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Basic Details" sheetId="3" state="visible" r:id="rId5"/>
    <sheet name="Holidays" sheetId="4" state="visible" r:id="rId6"/>
    <sheet name="Employees" sheetId="5" state="visible" r:id="rId7"/>
    <sheet name="Attendance" sheetId="6" state="visible" r:id="rId8"/>
    <sheet name="Salary Sheet" sheetId="7" state="visible" r:id="rId9"/>
    <sheet name="Salary Slip" sheetId="8" state="visible" r:id="rId10"/>
    <sheet name="Lists" sheetId="9" state="hidden" r:id="rId11"/>
  </sheets>
  <definedNames>
    <definedName function="false" hidden="false" localSheetId="7" name="_xlnm.Print_Area" vbProcedure="false">'Salary Slip'!$B$4:$F$35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U4" authorId="0">
      <text>
        <r>
          <rPr>
            <sz val="10"/>
            <rFont val="Arial"/>
            <family val="2"/>
          </rPr>
          <t xml:space="preserve">Flags duplicate IDs, ESI marked Yes when gross is above the ESI limit, and Basic below 50% of gross (the 50% wage rule under the Code on Wages).</t>
        </r>
      </text>
    </comment>
  </commentList>
</comments>
</file>

<file path=xl/sharedStrings.xml><?xml version="1.0" encoding="utf-8"?>
<sst xmlns="http://schemas.openxmlformats.org/spreadsheetml/2006/main" count="576" uniqueCount="344">
  <si>
    <t xml:space="preserve">Attendance &amp; Salary Sheet with Salary Slip</t>
  </si>
  <si>
    <t xml:space="preserve">GO TO SHEET</t>
  </si>
  <si>
    <t xml:space="preserve">THIS MONTH AT A GLANCE</t>
  </si>
  <si>
    <t xml:space="preserve">Company, month, PF/ESI settings</t>
  </si>
  <si>
    <t xml:space="preserve">Employees on payroll</t>
  </si>
  <si>
    <t xml:space="preserve">Paid holiday list</t>
  </si>
  <si>
    <t xml:space="preserve">Total Gross Earnings</t>
  </si>
  <si>
    <t xml:space="preserve">Employee master &amp; salary structure</t>
  </si>
  <si>
    <t xml:space="preserve">Total Deductions</t>
  </si>
  <si>
    <t xml:space="preserve">Mark P / A / HD / L daily</t>
  </si>
  <si>
    <t xml:space="preserve">Total Net Pay</t>
  </si>
  <si>
    <t xml:space="preserve">Full payroll register</t>
  </si>
  <si>
    <t xml:space="preserve">Employer PF + ESI</t>
  </si>
  <si>
    <t xml:space="preserve">Print payslip for any employee</t>
  </si>
  <si>
    <t xml:space="preserve">Total Cost to Company</t>
  </si>
  <si>
    <t xml:space="preserve">Features &amp; step-by-step guide</t>
  </si>
  <si>
    <t xml:space="preserve">Attendance rate</t>
  </si>
  <si>
    <t xml:space="preserve">Watch-outs</t>
  </si>
  <si>
    <t xml:space="preserve">Designed by</t>
  </si>
  <si>
    <t xml:space="preserve">Check out our templates @ xplorexcel.com</t>
  </si>
  <si>
    <t xml:space="preserve">◄ BACK TO DASHBOARD</t>
  </si>
  <si>
    <t xml:space="preserve">Features of Attendance &amp; Salary Sheet 1.0 in Microsoft Excel :-</t>
  </si>
  <si>
    <t xml:space="preserve">Life-time free – no macros, works in Excel 2010 and later, Excel for Mac and Google Sheets</t>
  </si>
  <si>
    <t xml:space="preserve">One-click month change – dates, day names, weekly offs and holidays update automatically</t>
  </si>
  <si>
    <t xml:space="preserve">Weekly off options: Sunday, Saturday &amp; Sunday, or 2nd &amp; 4th Saturday + Sunday</t>
  </si>
  <si>
    <t xml:space="preserve">Holiday list – holidays are shaded and paid automatically</t>
  </si>
  <si>
    <t xml:space="preserve">Attendance codes by dropdown: P (Present), A (Absent), HD (Half Day), L (Paid Leave)</t>
  </si>
  <si>
    <t xml:space="preserve">Unmarked working days are highlighted so no one is paid (or cut) by mistake</t>
  </si>
  <si>
    <t xml:space="preserve">Three salary bases: calendar days, fixed 26 days, or fixed 30 days</t>
  </si>
  <si>
    <t xml:space="preserve">Automatic salary break-up: Basic, HRA and Special Allowance from monthly gross</t>
  </si>
  <si>
    <t xml:space="preserve">PF (12%) with optional ₹15,000 wage ceiling, and ESI (0.75% / 3.25%) with the ₹21,000 limit check</t>
  </si>
  <si>
    <t xml:space="preserve">Professional Tax, TDS, advance/loan and other deductions</t>
  </si>
  <si>
    <t xml:space="preserve">Overtime at 2× the hourly rate and extra pay for work on weekly offs/holidays</t>
  </si>
  <si>
    <t xml:space="preserve">Printable A4 salary slip for any employee – net pay in words in Indian format (Lakh/Crore)</t>
  </si>
  <si>
    <t xml:space="preserve">Employer cost view: employer PF + ESI and cost to company per employee</t>
  </si>
  <si>
    <t xml:space="preserve">Dashboard with payroll totals, attendance rate and data-entry warnings</t>
  </si>
  <si>
    <t xml:space="preserve">Up to 50 employees</t>
  </si>
  <si>
    <t xml:space="preserve">How to use it (5 steps)</t>
  </si>
  <si>
    <t xml:space="preserve">Step 1</t>
  </si>
  <si>
    <t xml:space="preserve">Basic Details – enter company name, pick the month and year, weekly off and PF/ESI settings.</t>
  </si>
  <si>
    <t xml:space="preserve">Step 2</t>
  </si>
  <si>
    <t xml:space="preserve">Holidays – add your paid holidays for the year.</t>
  </si>
  <si>
    <t xml:space="preserve">Step 3</t>
  </si>
  <si>
    <t xml:space="preserve">Employees – enter each employee once with monthly gross salary, PF/ESI Yes/No and PT.</t>
  </si>
  <si>
    <t xml:space="preserve">Step 4</t>
  </si>
  <si>
    <t xml:space="preserve">Attendance – mark P / A / HD / L for each working day. Weekly offs and holidays fill themselves.</t>
  </si>
  <si>
    <t xml:space="preserve">Step 5</t>
  </si>
  <si>
    <t xml:space="preserve">Salary Sheet → add OT hours, bonus, TDS or advance if any. Salary Slip → pick Emp ID and print.</t>
  </si>
  <si>
    <t xml:space="preserve">Rates for PF, ESI and PT change from time to time and PT differs by state – confirm the current rates for your state before running payroll. This template is a calculation aid, not legal or tax advice.</t>
  </si>
  <si>
    <t xml:space="preserve">Basic Information for Payroll Setup</t>
  </si>
  <si>
    <t xml:space="preserve">Company / Firm Name</t>
  </si>
  <si>
    <t xml:space="preserve">Xplore Excel Pvt. Ltd.</t>
  </si>
  <si>
    <t xml:space="preserve">Printed on every salary slip</t>
  </si>
  <si>
    <t xml:space="preserve">Company Address</t>
  </si>
  <si>
    <t xml:space="preserve">Your Office Address, City, State - PIN</t>
  </si>
  <si>
    <t xml:space="preserve">Payroll Month</t>
  </si>
  <si>
    <t xml:space="preserve">October</t>
  </si>
  <si>
    <t xml:space="preserve">Select the month you are paying salary for</t>
  </si>
  <si>
    <t xml:space="preserve">Payroll Year</t>
  </si>
  <si>
    <t xml:space="preserve">Type the year, e.g. 2026</t>
  </si>
  <si>
    <t xml:space="preserve">Weekly Off</t>
  </si>
  <si>
    <t xml:space="preserve">Sunday</t>
  </si>
  <si>
    <t xml:space="preserve">Weekly offs are marked automatically and paid</t>
  </si>
  <si>
    <t xml:space="preserve">Salary Calculation Basis</t>
  </si>
  <si>
    <t xml:space="preserve">Calendar days of month</t>
  </si>
  <si>
    <t xml:space="preserve">Per-day rate = Monthly gross ÷ these days</t>
  </si>
  <si>
    <t xml:space="preserve">Pay extra for work on Weekly Off / Holiday?</t>
  </si>
  <si>
    <t xml:space="preserve">Yes</t>
  </si>
  <si>
    <t xml:space="preserve">If 'Yes', 'P' marked on a WO/H day is paid as an extra day</t>
  </si>
  <si>
    <t xml:space="preserve">PF – Employee contribution</t>
  </si>
  <si>
    <t xml:space="preserve">Standard EPF rate is 12% of PF wages</t>
  </si>
  <si>
    <t xml:space="preserve">PF – Employer contribution</t>
  </si>
  <si>
    <t xml:space="preserve">3.67% EPF + 8.33% EPS (shown as one figure)</t>
  </si>
  <si>
    <t xml:space="preserve">PF wage ceiling (₹)</t>
  </si>
  <si>
    <t xml:space="preserve">Statutory wage ceiling for PF</t>
  </si>
  <si>
    <t xml:space="preserve">Restrict PF to wage ceiling?</t>
  </si>
  <si>
    <t xml:space="preserve">'Yes' = PF on MIN(Basic, ceiling). 'No' = PF on full Basic</t>
  </si>
  <si>
    <t xml:space="preserve">ESI – Employee contribution</t>
  </si>
  <si>
    <t xml:space="preserve">Current ESI employee rate</t>
  </si>
  <si>
    <t xml:space="preserve">ESI – Employer contribution</t>
  </si>
  <si>
    <t xml:space="preserve">Current ESI employer rate</t>
  </si>
  <si>
    <t xml:space="preserve">ESI gross salary limit (₹)</t>
  </si>
  <si>
    <t xml:space="preserve">ESI applies only if monthly gross is up to this limit</t>
  </si>
  <si>
    <t xml:space="preserve">Overtime rate (× hourly rate)</t>
  </si>
  <si>
    <t xml:space="preserve">Factories Act: twice the ordinary rate</t>
  </si>
  <si>
    <t xml:space="preserve">Working hours per day</t>
  </si>
  <si>
    <t xml:space="preserve">Used to work out the hourly rate for overtime</t>
  </si>
  <si>
    <t xml:space="preserve">Calculated automatically (do not edit)</t>
  </si>
  <si>
    <t xml:space="preserve">Month number</t>
  </si>
  <si>
    <t xml:space="preserve">Days in selected month</t>
  </si>
  <si>
    <t xml:space="preserve">Salary divisor (days)</t>
  </si>
  <si>
    <t xml:space="preserve">Pay period</t>
  </si>
  <si>
    <t xml:space="preserve">Tip: Yellow cells are the only cells you need to fill. Everything else calculates itself.</t>
  </si>
  <si>
    <t xml:space="preserve">Holiday List (paid holidays)</t>
  </si>
  <si>
    <t xml:space="preserve">Add your company's paid holidays for the year. Festival dates change every year – check your state's official list.</t>
  </si>
  <si>
    <t xml:space="preserve">S.No</t>
  </si>
  <si>
    <t xml:space="preserve">Date</t>
  </si>
  <si>
    <t xml:space="preserve">Holiday</t>
  </si>
  <si>
    <t xml:space="preserve">Republic Day</t>
  </si>
  <si>
    <t xml:space="preserve">Independence Day</t>
  </si>
  <si>
    <t xml:space="preserve">Gandhi Jayanti</t>
  </si>
  <si>
    <t xml:space="preserve">Employee Master – enter each employee once</t>
  </si>
  <si>
    <t xml:space="preserve">Yellow = your input. Grey headers = automatic salary break-up. Up to 50 employees.</t>
  </si>
  <si>
    <t xml:space="preserve">Emp ID</t>
  </si>
  <si>
    <t xml:space="preserve">Employee Name</t>
  </si>
  <si>
    <t xml:space="preserve">Designation</t>
  </si>
  <si>
    <t xml:space="preserve">Department</t>
  </si>
  <si>
    <t xml:space="preserve">Date of Joining</t>
  </si>
  <si>
    <t xml:space="preserve">Monthly Gross Salary (₹)</t>
  </si>
  <si>
    <t xml:space="preserve">Basic % of Gross</t>
  </si>
  <si>
    <t xml:space="preserve">HRA % of Basic</t>
  </si>
  <si>
    <t xml:space="preserve">PF Applicable?</t>
  </si>
  <si>
    <t xml:space="preserve">ESI Applicable?</t>
  </si>
  <si>
    <t xml:space="preserve">Professional Tax (₹/month)</t>
  </si>
  <si>
    <t xml:space="preserve">UAN</t>
  </si>
  <si>
    <t xml:space="preserve">ESI IP No.</t>
  </si>
  <si>
    <t xml:space="preserve">Bank Name</t>
  </si>
  <si>
    <t xml:space="preserve">Bank A/c No.</t>
  </si>
  <si>
    <t xml:space="preserve">PAN</t>
  </si>
  <si>
    <t xml:space="preserve">Basic (₹)</t>
  </si>
  <si>
    <t xml:space="preserve">HRA (₹)</t>
  </si>
  <si>
    <t xml:space="preserve">Special Allowance (₹)</t>
  </si>
  <si>
    <t xml:space="preserve">Check</t>
  </si>
  <si>
    <t xml:space="preserve">XE001</t>
  </si>
  <si>
    <t xml:space="preserve">Harpreet Singh</t>
  </si>
  <si>
    <t xml:space="preserve">Accountant</t>
  </si>
  <si>
    <t xml:space="preserve">Accounts</t>
  </si>
  <si>
    <t xml:space="preserve">No</t>
  </si>
  <si>
    <t xml:space="preserve">SBI</t>
  </si>
  <si>
    <t xml:space="preserve">XE002</t>
  </si>
  <si>
    <t xml:space="preserve">Simran Kaur</t>
  </si>
  <si>
    <t xml:space="preserve">Sales Executive</t>
  </si>
  <si>
    <t xml:space="preserve">Sales</t>
  </si>
  <si>
    <t xml:space="preserve">PNB</t>
  </si>
  <si>
    <t xml:space="preserve">XE003</t>
  </si>
  <si>
    <t xml:space="preserve">Amit Verma</t>
  </si>
  <si>
    <t xml:space="preserve">Store Keeper</t>
  </si>
  <si>
    <t xml:space="preserve">Operations</t>
  </si>
  <si>
    <t xml:space="preserve">HDFC Bank</t>
  </si>
  <si>
    <t xml:space="preserve">XE004</t>
  </si>
  <si>
    <t xml:space="preserve">Neha Gupta</t>
  </si>
  <si>
    <t xml:space="preserve">HR Executive</t>
  </si>
  <si>
    <t xml:space="preserve">HR</t>
  </si>
  <si>
    <t xml:space="preserve">ICICI Bank</t>
  </si>
  <si>
    <t xml:space="preserve">XE005</t>
  </si>
  <si>
    <t xml:space="preserve">Gurpreet Kaur</t>
  </si>
  <si>
    <t xml:space="preserve">Office Assistant</t>
  </si>
  <si>
    <t xml:space="preserve">Admin</t>
  </si>
  <si>
    <t xml:space="preserve">XE006</t>
  </si>
  <si>
    <t xml:space="preserve">Rajesh Kumar</t>
  </si>
  <si>
    <t xml:space="preserve">Driver</t>
  </si>
  <si>
    <t xml:space="preserve">Punjab &amp; Sind Bank</t>
  </si>
  <si>
    <t xml:space="preserve">P</t>
  </si>
  <si>
    <t xml:space="preserve">Present</t>
  </si>
  <si>
    <t xml:space="preserve">A</t>
  </si>
  <si>
    <t xml:space="preserve">Absent</t>
  </si>
  <si>
    <t xml:space="preserve">HD</t>
  </si>
  <si>
    <t xml:space="preserve">Half Day</t>
  </si>
  <si>
    <t xml:space="preserve">L</t>
  </si>
  <si>
    <t xml:space="preserve">Paid Leave</t>
  </si>
  <si>
    <t xml:space="preserve">WO</t>
  </si>
  <si>
    <t xml:space="preserve">Weekly Off (auto)</t>
  </si>
  <si>
    <t xml:space="preserve">H</t>
  </si>
  <si>
    <t xml:space="preserve">Holiday (auto)</t>
  </si>
  <si>
    <t xml:space="preserve">Mark only P / A / HD / L on working days. Weekly offs and holidays are paid automatically. A blank working day is treated as unpaid and flagged.</t>
  </si>
  <si>
    <t xml:space="preserve">WO + Holidays</t>
  </si>
  <si>
    <t xml:space="preserve">Extra Days Worked</t>
  </si>
  <si>
    <t xml:space="preserve">Unmarked Days</t>
  </si>
  <si>
    <t xml:space="preserve">LOP Days</t>
  </si>
  <si>
    <t xml:space="preserve">Paid Days</t>
  </si>
  <si>
    <t xml:space="preserve">Yellow columns (OT hours, bonus, TDS, advance, other deductions) are the only inputs on this sheet. Everything else comes from Employees and Attendance.</t>
  </si>
  <si>
    <t xml:space="preserve">EMPLOYEE</t>
  </si>
  <si>
    <t xml:space="preserve">ATTENDANCE</t>
  </si>
  <si>
    <t xml:space="preserve">EARNINGS (₹)</t>
  </si>
  <si>
    <t xml:space="preserve">DEDUCTIONS (₹)</t>
  </si>
  <si>
    <t xml:space="preserve">NET</t>
  </si>
  <si>
    <t xml:space="preserve">EMPLOYER COST (₹)</t>
  </si>
  <si>
    <t xml:space="preserve">Monthly Gross</t>
  </si>
  <si>
    <t xml:space="preserve">Days in Month</t>
  </si>
  <si>
    <t xml:space="preserve">Basic</t>
  </si>
  <si>
    <t xml:space="preserve">HRA</t>
  </si>
  <si>
    <t xml:space="preserve">Special Allowance</t>
  </si>
  <si>
    <t xml:space="preserve">Extra-Day Pay</t>
  </si>
  <si>
    <t xml:space="preserve">OT Hours</t>
  </si>
  <si>
    <t xml:space="preserve">Overtime</t>
  </si>
  <si>
    <t xml:space="preserve">Bonus / Incentive</t>
  </si>
  <si>
    <t xml:space="preserve">Gross Earnings</t>
  </si>
  <si>
    <t xml:space="preserve">PF (Employee)</t>
  </si>
  <si>
    <t xml:space="preserve">ESI (Employee)</t>
  </si>
  <si>
    <t xml:space="preserve">Professional Tax</t>
  </si>
  <si>
    <t xml:space="preserve">TDS</t>
  </si>
  <si>
    <t xml:space="preserve">Advance / Loan</t>
  </si>
  <si>
    <t xml:space="preserve">Other Deductions</t>
  </si>
  <si>
    <t xml:space="preserve">NET PAY</t>
  </si>
  <si>
    <t xml:space="preserve">PF (Employer)</t>
  </si>
  <si>
    <t xml:space="preserve">ESI (Employer)</t>
  </si>
  <si>
    <t xml:space="preserve">Cost to Company</t>
  </si>
  <si>
    <t xml:space="preserve">TOTAL</t>
  </si>
  <si>
    <t xml:space="preserve">Select Emp ID ►</t>
  </si>
  <si>
    <t xml:space="preserve">Pick an employee, then Print (Ctrl+P) – slip is A4-ready</t>
  </si>
  <si>
    <t xml:space="preserve">Employee ID</t>
  </si>
  <si>
    <t xml:space="preserve">Monthly Gross (₹)</t>
  </si>
  <si>
    <t xml:space="preserve">EARNINGS</t>
  </si>
  <si>
    <t xml:space="preserve">Amount (₹)</t>
  </si>
  <si>
    <t xml:space="preserve">DEDUCTIONS</t>
  </si>
  <si>
    <t xml:space="preserve">Provident Fund</t>
  </si>
  <si>
    <t xml:space="preserve">House Rent Allowance</t>
  </si>
  <si>
    <t xml:space="preserve">ESI</t>
  </si>
  <si>
    <t xml:space="preserve">TDS (Income Tax)</t>
  </si>
  <si>
    <t xml:space="preserve">Employer contributions (not deducted from salary): PF + ESI</t>
  </si>
  <si>
    <t xml:space="preserve">NET PAY (Gross Earnings – Total Deductions)</t>
  </si>
  <si>
    <t xml:space="preserve">Employer's Signature</t>
  </si>
  <si>
    <t xml:space="preserve">Employee's Signature</t>
  </si>
  <si>
    <t xml:space="preserve">This is a computer-generated salary slip.</t>
  </si>
  <si>
    <t xml:space="preserve">Free template by xplorexcel.com</t>
  </si>
  <si>
    <t xml:space="preserve">Months</t>
  </si>
  <si>
    <t xml:space="preserve">Codes</t>
  </si>
  <si>
    <t xml:space="preserve">Salary Basis</t>
  </si>
  <si>
    <t xml:space="preserve">Yes/No</t>
  </si>
  <si>
    <t xml:space="preserve">No.</t>
  </si>
  <si>
    <t xml:space="preserve">Words</t>
  </si>
  <si>
    <t xml:space="preserve">Net pay in words (helper)</t>
  </si>
  <si>
    <t xml:space="preserve">January</t>
  </si>
  <si>
    <t xml:space="preserve">Zero</t>
  </si>
  <si>
    <t xml:space="preserve">Net Pay</t>
  </si>
  <si>
    <t xml:space="preserve">February</t>
  </si>
  <si>
    <t xml:space="preserve">Saturday &amp; Sunday</t>
  </si>
  <si>
    <t xml:space="preserve">Fixed 26 days</t>
  </si>
  <si>
    <t xml:space="preserve">One</t>
  </si>
  <si>
    <t xml:space="preserve">Crore</t>
  </si>
  <si>
    <t xml:space="preserve">March</t>
  </si>
  <si>
    <t xml:space="preserve">2nd &amp; 4th Saturday + Sunday</t>
  </si>
  <si>
    <t xml:space="preserve">Fixed 30 days</t>
  </si>
  <si>
    <t xml:space="preserve">Two</t>
  </si>
  <si>
    <t xml:space="preserve">Lakh</t>
  </si>
  <si>
    <t xml:space="preserve">April</t>
  </si>
  <si>
    <t xml:space="preserve">None</t>
  </si>
  <si>
    <t xml:space="preserve">Three</t>
  </si>
  <si>
    <t xml:space="preserve">Thousand</t>
  </si>
  <si>
    <t xml:space="preserve">May</t>
  </si>
  <si>
    <t xml:space="preserve">Four</t>
  </si>
  <si>
    <t xml:space="preserve">Hundred</t>
  </si>
  <si>
    <t xml:space="preserve">June</t>
  </si>
  <si>
    <t xml:space="preserve">Five</t>
  </si>
  <si>
    <t xml:space="preserve">Rest</t>
  </si>
  <si>
    <t xml:space="preserve">July</t>
  </si>
  <si>
    <t xml:space="preserve">Six</t>
  </si>
  <si>
    <t xml:space="preserve">August</t>
  </si>
  <si>
    <t xml:space="preserve">Seven</t>
  </si>
  <si>
    <t xml:space="preserve">September</t>
  </si>
  <si>
    <t xml:space="preserve">Eight</t>
  </si>
  <si>
    <t xml:space="preserve">Nine</t>
  </si>
  <si>
    <t xml:space="preserve">November</t>
  </si>
  <si>
    <t xml:space="preserve">Ten</t>
  </si>
  <si>
    <t xml:space="preserve">December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</si>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</sst>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&quot;₹ &quot;#,##0;[RED]&quot;-₹ &quot;#,##0;\-"/>
    <numFmt numFmtId="167" formatCode="0.0%"/>
    <numFmt numFmtId="168" formatCode="0%"/>
    <numFmt numFmtId="169" formatCode="0.00%"/>
    <numFmt numFmtId="170" formatCode="General"/>
    <numFmt numFmtId="171" formatCode="dd\-mmm\-yyyy"/>
    <numFmt numFmtId="172" formatCode="@"/>
    <numFmt numFmtId="173" formatCode="dd"/>
    <numFmt numFmtId="174" formatCode="0.0;\-0.0;\-"/>
    <numFmt numFmtId="175" formatCode="#,##0;[RED]\-#,##0;\-"/>
  </numFmts>
  <fonts count="4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i val="true"/>
      <sz val="10"/>
      <color rgb="FF20AD96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10"/>
      <name val="Arial"/>
      <family val="2"/>
    </font>
    <font>
      <sz val="10"/>
      <color rgb="FF000000"/>
      <name val="Cambria"/>
      <family val="0"/>
      <charset val="1"/>
    </font>
    <font>
      <i val="true"/>
      <sz val="10"/>
      <color rgb="FFC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10"/>
      <color rgb="FF006838"/>
      <name val="Cambria"/>
      <family val="0"/>
      <charset val="1"/>
    </font>
    <font>
      <sz val="10"/>
      <color rgb="FF002060"/>
      <name val="Cambria"/>
      <family val="0"/>
      <charset val="1"/>
    </font>
    <font>
      <sz val="9"/>
      <color rgb="FFFFFFFF"/>
      <name val="Cambria"/>
      <family val="0"/>
      <charset val="1"/>
    </font>
    <font>
      <sz val="10"/>
      <color rgb="FFFFFFFF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3"/>
      <color rgb="FFFFFFFF"/>
      <name val="Cambria"/>
      <family val="0"/>
      <charset val="1"/>
    </font>
    <font>
      <b val="true"/>
      <sz val="14"/>
      <color rgb="FFFFFFFF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i val="true"/>
      <sz val="9"/>
      <color rgb="FF7F7F7F"/>
      <name val="Cambria"/>
      <family val="0"/>
      <charset val="1"/>
    </font>
    <font>
      <u val="single"/>
      <sz val="8"/>
      <color rgb="FF0563C1"/>
      <name val="Cambria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FF2F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F2F2F2"/>
      </patternFill>
    </fill>
    <fill>
      <patternFill patternType="solid">
        <fgColor rgb="FF7F7F7F"/>
        <bgColor rgb="FF808080"/>
      </patternFill>
    </fill>
    <fill>
      <patternFill patternType="solid">
        <fgColor rgb="FFC6EFCE"/>
        <bgColor rgb="FFE2EFDA"/>
      </patternFill>
    </fill>
    <fill>
      <patternFill patternType="solid">
        <fgColor rgb="FFFFC7CE"/>
        <bgColor rgb="FFFCE4D6"/>
      </patternFill>
    </fill>
    <fill>
      <patternFill patternType="solid">
        <fgColor rgb="FFFFEB9C"/>
        <bgColor rgb="FFFFF2CC"/>
      </patternFill>
    </fill>
    <fill>
      <patternFill patternType="solid">
        <fgColor rgb="FFD9D9D9"/>
        <bgColor rgb="FFDDEBF7"/>
      </patternFill>
    </fill>
    <fill>
      <patternFill patternType="solid">
        <fgColor rgb="FFFCE4D6"/>
        <bgColor rgb="FFFFF2CC"/>
      </patternFill>
    </fill>
    <fill>
      <patternFill patternType="solid">
        <fgColor rgb="FF002060"/>
        <bgColor rgb="FF000080"/>
      </patternFill>
    </fill>
    <fill>
      <patternFill patternType="solid">
        <fgColor rgb="FFC00000"/>
        <bgColor rgb="FF800000"/>
      </patternFill>
    </fill>
    <fill>
      <patternFill patternType="solid">
        <fgColor rgb="FFBF8F00"/>
        <bgColor rgb="FFFF66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3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3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>
          <bgColor rgb="FF808080"/>
        </patternFill>
      </fill>
    </dxf>
    <dxf>
      <fill>
        <patternFill>
          <bgColor rgb="FFD9D9D9"/>
        </patternFill>
      </fill>
    </dxf>
    <dxf>
      <fill>
        <patternFill>
          <bgColor rgb="FFFCE4D6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DDEBF7"/>
        </patternFill>
      </fill>
    </dxf>
    <dxf>
      <fill>
        <patternFill>
          <bgColor rgb="FFFFF2F2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7F7F7F"/>
      <rgbColor rgb="FF800080"/>
      <rgbColor rgb="FF006838"/>
      <rgbColor rgb="FFFCE4D6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EDEDED"/>
      <rgbColor rgb="FFFFF2F2"/>
      <rgbColor rgb="FFF2F2F2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1142640</xdr:colOff>
      <xdr:row>21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5497920" y="498168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252720</xdr:rowOff>
    </xdr:from>
    <xdr:to>
      <xdr:col>1</xdr:col>
      <xdr:colOff>1904760</xdr:colOff>
      <xdr:row>28</xdr:row>
      <xdr:rowOff>128880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533412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27</xdr:row>
      <xdr:rowOff>0</xdr:rowOff>
    </xdr:from>
    <xdr:to>
      <xdr:col>2</xdr:col>
      <xdr:colOff>1238040</xdr:colOff>
      <xdr:row>29</xdr:row>
      <xdr:rowOff>58320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3383280" y="672480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<Relationship Id="rId2" Type="http://schemas.openxmlformats.org/officeDocument/2006/relationships/hyperlink" Target="https://xplorexcel.com/excel-templates/" TargetMode="External"/><Relationship Id="rId3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<Relationship Id="rId2" Type="http://schemas.openxmlformats.org/officeDocument/2006/relationships/hyperlink" Target="https://xplorexcel.com/excel-templates/" TargetMode="External"/><Relationship Id="rId3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Attendance%20and%20Salary%20Sheet%20with%20Salary%20Slip%201.0%20by%20Xplorexcel.com.xlsx" TargetMode="External"/><Relationship Id="rId3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Attendance%20and%20Salary%20Sheet%20with%20Salary%20Slip%201.0%20by%20Xplorexcel.com.xlsx" TargetMode="External"/><Relationship Id="rId2" Type="http://schemas.openxmlformats.org/officeDocument/2006/relationships/hyperlink" Target="https://xplorexcel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20"/>
    <col collapsed="false" customWidth="true" hidden="false" outlineLevel="0" max="4" min="4" style="0" width="4"/>
    <col collapsed="false" customWidth="true" hidden="false" outlineLevel="0" max="5" min="5" style="0" width="26"/>
    <col collapsed="false" customWidth="true" hidden="false" outlineLevel="0" max="6" min="6" style="0" width="20"/>
    <col collapsed="false" customWidth="true" hidden="false" outlineLevel="0" max="7" min="7" style="0" width="4"/>
    <col collapsed="false" customWidth="true" hidden="false" outlineLevel="0" max="8" min="8" style="0" width="30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"Payroll for "&amp;'Basic Details'!C24&amp;"  •  "&amp;'Basic Details'!C3</f>
        <v>Payroll for October 2026  •  Xplore Excel Pvt. Ltd.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HYPERLINK("#'Basic Details'!A1","1. Basic Details  ►")</f>
        <v>1. Basic Details  ►</v>
      </c>
      <c r="C9" s="5" t="s">
        <v>3</v>
      </c>
      <c r="E9" s="6" t="s">
        <v>4</v>
      </c>
      <c r="F9" s="7" t="n">
        <f aca="false">COUNTIF(Employees!B5:B54,"?*")</f>
        <v>6</v>
      </c>
    </row>
    <row r="10" customFormat="false" ht="24" hidden="false" customHeight="true" outlineLevel="0" collapsed="false">
      <c r="B10" s="4" t="str">
        <f aca="false">HYPERLINK("#'Holidays'!A1","2. Holidays  ►")</f>
        <v>2. Holidays  ►</v>
      </c>
      <c r="C10" s="5" t="s">
        <v>5</v>
      </c>
      <c r="E10" s="6" t="s">
        <v>6</v>
      </c>
      <c r="F10" s="8" t="n">
        <f aca="false">'Salary Sheet'!P58</f>
        <v>124781</v>
      </c>
    </row>
    <row r="11" customFormat="false" ht="24" hidden="false" customHeight="true" outlineLevel="0" collapsed="false">
      <c r="B11" s="4" t="str">
        <f aca="false">HYPERLINK("#'Employees'!A1","3. Employees  ►")</f>
        <v>3. Employees  ►</v>
      </c>
      <c r="C11" s="5" t="s">
        <v>7</v>
      </c>
      <c r="E11" s="6" t="s">
        <v>8</v>
      </c>
      <c r="F11" s="8" t="n">
        <f aca="false">'Salary Sheet'!W58</f>
        <v>9200</v>
      </c>
    </row>
    <row r="12" customFormat="false" ht="24" hidden="false" customHeight="true" outlineLevel="0" collapsed="false">
      <c r="B12" s="4" t="str">
        <f aca="false">HYPERLINK("#'Attendance'!A1","4. Attendance  ►")</f>
        <v>4. Attendance  ►</v>
      </c>
      <c r="C12" s="5" t="s">
        <v>9</v>
      </c>
      <c r="E12" s="6" t="s">
        <v>10</v>
      </c>
      <c r="F12" s="9" t="n">
        <f aca="false">'Salary Sheet'!X58</f>
        <v>115581</v>
      </c>
    </row>
    <row r="13" customFormat="false" ht="24" hidden="false" customHeight="true" outlineLevel="0" collapsed="false">
      <c r="B13" s="4" t="str">
        <f aca="false">HYPERLINK("#'Salary Sheet'!A1","5. Salary Sheet  ►")</f>
        <v>5. Salary Sheet  ►</v>
      </c>
      <c r="C13" s="5" t="s">
        <v>11</v>
      </c>
      <c r="E13" s="6" t="s">
        <v>12</v>
      </c>
      <c r="F13" s="8" t="n">
        <f aca="false">'Salary Sheet'!Y58+'Salary Sheet'!Z58</f>
        <v>8396</v>
      </c>
    </row>
    <row r="14" customFormat="false" ht="24" hidden="false" customHeight="true" outlineLevel="0" collapsed="false">
      <c r="B14" s="4" t="str">
        <f aca="false">HYPERLINK("#'Salary Slip'!A1","6. Salary Slip  ►")</f>
        <v>6. Salary Slip  ►</v>
      </c>
      <c r="C14" s="5" t="s">
        <v>13</v>
      </c>
      <c r="E14" s="6" t="s">
        <v>14</v>
      </c>
      <c r="F14" s="8" t="n">
        <f aca="false">'Salary Sheet'!AA58</f>
        <v>133177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15</v>
      </c>
      <c r="E15" s="6" t="s">
        <v>16</v>
      </c>
      <c r="F15" s="10" t="n">
        <f aca="false">IFERROR(SUM(Attendance!AQ8:AQ57)/(F9*'Basic Details'!$C$22),0)</f>
        <v>0.973118279569893</v>
      </c>
    </row>
    <row r="17" customFormat="false" ht="15" hidden="false" customHeight="false" outlineLevel="0" collapsed="false">
      <c r="B17" s="11" t="s">
        <v>17</v>
      </c>
    </row>
    <row r="18" customFormat="false" ht="15" hidden="false" customHeight="false" outlineLevel="0" collapsed="false">
      <c r="B18" s="12" t="str">
        <f aca="false">IF(SUM(Attendance!AO8:AO57)&gt;0,"⚠ "&amp;SUM(Attendance!AO8:AO57)&amp;" working day(s) not marked in Attendance – they are being treated as unpaid.","✔ Attendance is fully marked for all employees.")</f>
        <v>✔ Attendance is fully marked for all employees.</v>
      </c>
      <c r="C18" s="12"/>
      <c r="D18" s="12"/>
      <c r="E18" s="12"/>
      <c r="F18" s="12"/>
    </row>
    <row r="19" customFormat="false" ht="15" hidden="false" customHeight="false" outlineLevel="0" collapsed="false">
      <c r="B19" s="12" t="str">
        <f aca="false">IF(COUNTIF(Employees!U5:U54,"OK")&lt;F9,"⚠ Some employee rows need attention – see the Check column on Employees.","✔ Employee master has no warnings.")</f>
        <v>✔ Employee master has no warnings.</v>
      </c>
      <c r="C19" s="12"/>
      <c r="D19" s="12"/>
      <c r="E19" s="12"/>
      <c r="F19" s="12"/>
    </row>
    <row r="21" customFormat="false" ht="15" hidden="false" customHeight="false" outlineLevel="0" collapsed="false">
      <c r="E21" s="13" t="s">
        <v>18</v>
      </c>
    </row>
    <row r="24" customFormat="false" ht="15" hidden="false" customHeight="false" outlineLevel="0" collapsed="false">
      <c r="F24" s="14" t="s">
        <v>19</v>
      </c>
    </row>
  </sheetData>
  <mergeCells count="4">
    <mergeCell ref="B5:F5"/>
    <mergeCell ref="B6:F6"/>
    <mergeCell ref="B18:F18"/>
    <mergeCell ref="B19:F19"/>
  </mergeCells>
  <hyperlinks>
    <hyperlink ref="F24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false"/>
  </sheetPr>
  <dimension ref="A1:B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15" t="s">
        <v>20</v>
      </c>
    </row>
    <row r="2" customFormat="false" ht="22.05" hidden="false" customHeight="false" outlineLevel="0" collapsed="false">
      <c r="A2" s="16" t="s">
        <v>21</v>
      </c>
    </row>
    <row r="3" customFormat="false" ht="15" hidden="false" customHeight="false" outlineLevel="0" collapsed="false">
      <c r="A3" s="17" t="n">
        <v>1</v>
      </c>
      <c r="B3" s="18" t="s">
        <v>22</v>
      </c>
    </row>
    <row r="4" customFormat="false" ht="15" hidden="false" customHeight="false" outlineLevel="0" collapsed="false">
      <c r="A4" s="17" t="n">
        <v>2</v>
      </c>
      <c r="B4" s="18" t="s">
        <v>23</v>
      </c>
    </row>
    <row r="5" customFormat="false" ht="15" hidden="false" customHeight="false" outlineLevel="0" collapsed="false">
      <c r="A5" s="17" t="n">
        <v>3</v>
      </c>
      <c r="B5" s="18" t="s">
        <v>24</v>
      </c>
    </row>
    <row r="6" customFormat="false" ht="15" hidden="false" customHeight="false" outlineLevel="0" collapsed="false">
      <c r="A6" s="17" t="n">
        <v>4</v>
      </c>
      <c r="B6" s="18" t="s">
        <v>25</v>
      </c>
    </row>
    <row r="7" customFormat="false" ht="15" hidden="false" customHeight="false" outlineLevel="0" collapsed="false">
      <c r="A7" s="17" t="n">
        <v>5</v>
      </c>
      <c r="B7" s="18" t="s">
        <v>26</v>
      </c>
    </row>
    <row r="8" customFormat="false" ht="15" hidden="false" customHeight="false" outlineLevel="0" collapsed="false">
      <c r="A8" s="17" t="n">
        <v>6</v>
      </c>
      <c r="B8" s="18" t="s">
        <v>27</v>
      </c>
    </row>
    <row r="9" customFormat="false" ht="15" hidden="false" customHeight="false" outlineLevel="0" collapsed="false">
      <c r="A9" s="17" t="n">
        <v>7</v>
      </c>
      <c r="B9" s="18" t="s">
        <v>28</v>
      </c>
    </row>
    <row r="10" customFormat="false" ht="15" hidden="false" customHeight="false" outlineLevel="0" collapsed="false">
      <c r="A10" s="17" t="n">
        <v>8</v>
      </c>
      <c r="B10" s="18" t="s">
        <v>29</v>
      </c>
    </row>
    <row r="11" customFormat="false" ht="15" hidden="false" customHeight="false" outlineLevel="0" collapsed="false">
      <c r="A11" s="17" t="n">
        <v>9</v>
      </c>
      <c r="B11" s="18" t="s">
        <v>30</v>
      </c>
    </row>
    <row r="12" customFormat="false" ht="15" hidden="false" customHeight="false" outlineLevel="0" collapsed="false">
      <c r="A12" s="17" t="n">
        <v>10</v>
      </c>
      <c r="B12" s="18" t="s">
        <v>31</v>
      </c>
    </row>
    <row r="13" customFormat="false" ht="15" hidden="false" customHeight="false" outlineLevel="0" collapsed="false">
      <c r="A13" s="17" t="n">
        <v>11</v>
      </c>
      <c r="B13" s="18" t="s">
        <v>32</v>
      </c>
    </row>
    <row r="14" customFormat="false" ht="15" hidden="false" customHeight="false" outlineLevel="0" collapsed="false">
      <c r="A14" s="17" t="n">
        <v>12</v>
      </c>
      <c r="B14" s="18" t="s">
        <v>33</v>
      </c>
    </row>
    <row r="15" customFormat="false" ht="15" hidden="false" customHeight="false" outlineLevel="0" collapsed="false">
      <c r="A15" s="17" t="n">
        <v>13</v>
      </c>
      <c r="B15" s="18" t="s">
        <v>34</v>
      </c>
    </row>
    <row r="16" customFormat="false" ht="15" hidden="false" customHeight="false" outlineLevel="0" collapsed="false">
      <c r="A16" s="17" t="n">
        <v>14</v>
      </c>
      <c r="B16" s="18" t="s">
        <v>35</v>
      </c>
    </row>
    <row r="17" customFormat="false" ht="15" hidden="false" customHeight="false" outlineLevel="0" collapsed="false">
      <c r="A17" s="17" t="n">
        <v>15</v>
      </c>
      <c r="B17" s="18" t="s">
        <v>36</v>
      </c>
    </row>
    <row r="19" customFormat="false" ht="19.7" hidden="false" customHeight="false" outlineLevel="0" collapsed="false">
      <c r="A19" s="19" t="s">
        <v>37</v>
      </c>
      <c r="B19" s="19"/>
    </row>
    <row r="20" customFormat="false" ht="15" hidden="false" customHeight="false" outlineLevel="0" collapsed="false">
      <c r="A20" s="20" t="s">
        <v>38</v>
      </c>
      <c r="B20" s="21" t="s">
        <v>39</v>
      </c>
    </row>
    <row r="21" customFormat="false" ht="15" hidden="false" customHeight="false" outlineLevel="0" collapsed="false">
      <c r="A21" s="20" t="s">
        <v>40</v>
      </c>
      <c r="B21" s="21" t="s">
        <v>41</v>
      </c>
    </row>
    <row r="22" customFormat="false" ht="15" hidden="false" customHeight="false" outlineLevel="0" collapsed="false">
      <c r="A22" s="20" t="s">
        <v>42</v>
      </c>
      <c r="B22" s="21" t="s">
        <v>43</v>
      </c>
    </row>
    <row r="23" customFormat="false" ht="28.35" hidden="false" customHeight="false" outlineLevel="0" collapsed="false">
      <c r="A23" s="20" t="s">
        <v>44</v>
      </c>
      <c r="B23" s="21" t="s">
        <v>45</v>
      </c>
    </row>
    <row r="24" customFormat="false" ht="15" hidden="false" customHeight="false" outlineLevel="0" collapsed="false">
      <c r="A24" s="20" t="s">
        <v>46</v>
      </c>
      <c r="B24" s="21" t="s">
        <v>47</v>
      </c>
    </row>
    <row r="26" customFormat="false" ht="30" hidden="false" customHeight="true" outlineLevel="0" collapsed="false">
      <c r="B26" s="22" t="s">
        <v>48</v>
      </c>
    </row>
    <row r="33" customFormat="false" ht="15" hidden="false" customHeight="false" outlineLevel="0" collapsed="false">
      <c r="B33" s="14" t="s">
        <v>19</v>
      </c>
    </row>
  </sheetData>
  <mergeCells count="1">
    <mergeCell ref="A19:B19"/>
  </mergeCells>
  <hyperlinks>
    <hyperlink ref="A1" r:id="rId1" location="'Dashboard'!A1" display="◄ BACK TO DASHBOARD"/>
    <hyperlink ref="B33" r:id="rId2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fals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60"/>
  </cols>
  <sheetData>
    <row r="1" customFormat="false" ht="15" hidden="false" customHeight="false" outlineLevel="0" collapsed="false">
      <c r="A1" s="15" t="s">
        <v>20</v>
      </c>
    </row>
    <row r="2" customFormat="false" ht="31.5" hidden="false" customHeight="true" outlineLevel="0" collapsed="false">
      <c r="A2" s="23" t="s">
        <v>49</v>
      </c>
      <c r="B2" s="23"/>
      <c r="C2" s="23"/>
      <c r="D2" s="23"/>
    </row>
    <row r="3" customFormat="false" ht="21.75" hidden="false" customHeight="true" outlineLevel="0" collapsed="false">
      <c r="A3" s="24" t="s">
        <v>50</v>
      </c>
      <c r="B3" s="24"/>
      <c r="C3" s="25" t="s">
        <v>51</v>
      </c>
      <c r="D3" s="26" t="s">
        <v>52</v>
      </c>
    </row>
    <row r="4" customFormat="false" ht="21.75" hidden="false" customHeight="true" outlineLevel="0" collapsed="false">
      <c r="A4" s="24" t="s">
        <v>53</v>
      </c>
      <c r="B4" s="24"/>
      <c r="C4" s="25" t="s">
        <v>54</v>
      </c>
      <c r="D4" s="26" t="s">
        <v>52</v>
      </c>
    </row>
    <row r="5" customFormat="false" ht="21.75" hidden="false" customHeight="true" outlineLevel="0" collapsed="false">
      <c r="A5" s="24" t="s">
        <v>55</v>
      </c>
      <c r="B5" s="24"/>
      <c r="C5" s="25" t="s">
        <v>56</v>
      </c>
      <c r="D5" s="26" t="s">
        <v>57</v>
      </c>
    </row>
    <row r="6" customFormat="false" ht="21.75" hidden="false" customHeight="true" outlineLevel="0" collapsed="false">
      <c r="A6" s="24" t="s">
        <v>58</v>
      </c>
      <c r="B6" s="24"/>
      <c r="C6" s="25" t="n">
        <v>2026</v>
      </c>
      <c r="D6" s="26" t="s">
        <v>59</v>
      </c>
    </row>
    <row r="7" customFormat="false" ht="21.75" hidden="false" customHeight="true" outlineLevel="0" collapsed="false">
      <c r="A7" s="24" t="s">
        <v>60</v>
      </c>
      <c r="B7" s="24"/>
      <c r="C7" s="25" t="s">
        <v>61</v>
      </c>
      <c r="D7" s="26" t="s">
        <v>62</v>
      </c>
    </row>
    <row r="8" customFormat="false" ht="21.75" hidden="false" customHeight="true" outlineLevel="0" collapsed="false">
      <c r="A8" s="24" t="s">
        <v>63</v>
      </c>
      <c r="B8" s="24"/>
      <c r="C8" s="25" t="s">
        <v>64</v>
      </c>
      <c r="D8" s="26" t="s">
        <v>65</v>
      </c>
    </row>
    <row r="9" customFormat="false" ht="21.75" hidden="false" customHeight="true" outlineLevel="0" collapsed="false">
      <c r="A9" s="24" t="s">
        <v>66</v>
      </c>
      <c r="B9" s="24"/>
      <c r="C9" s="25" t="s">
        <v>67</v>
      </c>
      <c r="D9" s="26" t="s">
        <v>68</v>
      </c>
    </row>
    <row r="10" customFormat="false" ht="21.75" hidden="false" customHeight="true" outlineLevel="0" collapsed="false">
      <c r="A10" s="24" t="s">
        <v>69</v>
      </c>
      <c r="B10" s="24"/>
      <c r="C10" s="27" t="n">
        <v>0.12</v>
      </c>
      <c r="D10" s="26" t="s">
        <v>70</v>
      </c>
    </row>
    <row r="11" customFormat="false" ht="21.75" hidden="false" customHeight="true" outlineLevel="0" collapsed="false">
      <c r="A11" s="24" t="s">
        <v>71</v>
      </c>
      <c r="B11" s="24"/>
      <c r="C11" s="27" t="n">
        <v>0.12</v>
      </c>
      <c r="D11" s="26" t="s">
        <v>72</v>
      </c>
    </row>
    <row r="12" customFormat="false" ht="21.75" hidden="false" customHeight="true" outlineLevel="0" collapsed="false">
      <c r="A12" s="24" t="s">
        <v>73</v>
      </c>
      <c r="B12" s="24"/>
      <c r="C12" s="28" t="n">
        <v>15000</v>
      </c>
      <c r="D12" s="26" t="s">
        <v>74</v>
      </c>
    </row>
    <row r="13" customFormat="false" ht="21.75" hidden="false" customHeight="true" outlineLevel="0" collapsed="false">
      <c r="A13" s="24" t="s">
        <v>75</v>
      </c>
      <c r="B13" s="24"/>
      <c r="C13" s="25" t="s">
        <v>67</v>
      </c>
      <c r="D13" s="26" t="s">
        <v>76</v>
      </c>
    </row>
    <row r="14" customFormat="false" ht="21.75" hidden="false" customHeight="true" outlineLevel="0" collapsed="false">
      <c r="A14" s="24" t="s">
        <v>77</v>
      </c>
      <c r="B14" s="24"/>
      <c r="C14" s="29" t="n">
        <v>0.0075</v>
      </c>
      <c r="D14" s="26" t="s">
        <v>78</v>
      </c>
    </row>
    <row r="15" customFormat="false" ht="21.75" hidden="false" customHeight="true" outlineLevel="0" collapsed="false">
      <c r="A15" s="24" t="s">
        <v>79</v>
      </c>
      <c r="B15" s="24"/>
      <c r="C15" s="29" t="n">
        <v>0.0325</v>
      </c>
      <c r="D15" s="26" t="s">
        <v>80</v>
      </c>
    </row>
    <row r="16" customFormat="false" ht="21.75" hidden="false" customHeight="true" outlineLevel="0" collapsed="false">
      <c r="A16" s="24" t="s">
        <v>81</v>
      </c>
      <c r="B16" s="24"/>
      <c r="C16" s="28" t="n">
        <v>21000</v>
      </c>
      <c r="D16" s="26" t="s">
        <v>82</v>
      </c>
    </row>
    <row r="17" customFormat="false" ht="21.75" hidden="false" customHeight="true" outlineLevel="0" collapsed="false">
      <c r="A17" s="24" t="s">
        <v>83</v>
      </c>
      <c r="B17" s="24"/>
      <c r="C17" s="25" t="n">
        <v>2</v>
      </c>
      <c r="D17" s="26" t="s">
        <v>84</v>
      </c>
    </row>
    <row r="18" customFormat="false" ht="21.75" hidden="false" customHeight="true" outlineLevel="0" collapsed="false">
      <c r="A18" s="24" t="s">
        <v>85</v>
      </c>
      <c r="B18" s="24"/>
      <c r="C18" s="25" t="n">
        <v>8</v>
      </c>
      <c r="D18" s="26" t="s">
        <v>86</v>
      </c>
    </row>
    <row r="20" customFormat="false" ht="15" hidden="false" customHeight="false" outlineLevel="0" collapsed="false">
      <c r="A20" s="30" t="s">
        <v>87</v>
      </c>
      <c r="B20" s="30"/>
      <c r="C20" s="30"/>
      <c r="D20" s="30"/>
    </row>
    <row r="21" customFormat="false" ht="15" hidden="false" customHeight="true" outlineLevel="0" collapsed="false">
      <c r="A21" s="31" t="s">
        <v>88</v>
      </c>
      <c r="B21" s="31"/>
      <c r="C21" s="32" t="n">
        <f aca="false">MATCH(C5,Lists!$A$2:$A$13,0)</f>
        <v>10</v>
      </c>
    </row>
    <row r="22" customFormat="false" ht="15" hidden="false" customHeight="true" outlineLevel="0" collapsed="false">
      <c r="A22" s="31" t="s">
        <v>89</v>
      </c>
      <c r="B22" s="31"/>
      <c r="C22" s="32" t="n">
        <f aca="false">DAY(EOMONTH(DATE(C6,C21,1),0))</f>
        <v>31</v>
      </c>
    </row>
    <row r="23" customFormat="false" ht="15" hidden="false" customHeight="true" outlineLevel="0" collapsed="false">
      <c r="A23" s="31" t="s">
        <v>90</v>
      </c>
      <c r="B23" s="31"/>
      <c r="C23" s="32" t="n">
        <f aca="false">IF(C8="Fixed 26 days",26,IF(C8="Fixed 30 days",30,C22))</f>
        <v>31</v>
      </c>
    </row>
    <row r="24" customFormat="false" ht="15" hidden="false" customHeight="true" outlineLevel="0" collapsed="false">
      <c r="A24" s="31" t="s">
        <v>91</v>
      </c>
      <c r="B24" s="31"/>
      <c r="C24" s="32" t="str">
        <f aca="false">C5&amp;" "&amp;C6</f>
        <v>October 2026</v>
      </c>
    </row>
    <row r="26" customFormat="false" ht="15" hidden="false" customHeight="false" outlineLevel="0" collapsed="false">
      <c r="A26" s="33" t="s">
        <v>92</v>
      </c>
      <c r="B26" s="33"/>
      <c r="C26" s="33"/>
      <c r="D26" s="33"/>
    </row>
    <row r="28" customFormat="false" ht="15" hidden="false" customHeight="false" outlineLevel="0" collapsed="false">
      <c r="B28" s="34" t="s">
        <v>18</v>
      </c>
    </row>
    <row r="29" customFormat="false" ht="12.65" hidden="false" customHeight="false" outlineLevel="0" collapsed="false">
      <c r="D29" s="14" t="s">
        <v>19</v>
      </c>
    </row>
  </sheetData>
  <mergeCells count="23">
    <mergeCell ref="A2:D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D20"/>
    <mergeCell ref="A21:B21"/>
    <mergeCell ref="A22:B22"/>
    <mergeCell ref="A23:B23"/>
    <mergeCell ref="A24:B24"/>
    <mergeCell ref="A26:D26"/>
  </mergeCells>
  <dataValidations count="5">
    <dataValidation allowBlank="false" errorStyle="stop" operator="between" showDropDown="false" showErrorMessage="false" showInputMessage="false" sqref="C5" type="list">
      <formula1>Lists!$A$2:$A$13</formula1>
      <formula2>0</formula2>
    </dataValidation>
    <dataValidation allowBlank="false" errorStyle="stop" operator="between" showDropDown="false" showErrorMessage="false" showInputMessage="false" sqref="C7" type="list">
      <formula1>Lists!$C$2:$C$5</formula1>
      <formula2>0</formula2>
    </dataValidation>
    <dataValidation allowBlank="false" errorStyle="stop" operator="between" showDropDown="false" showErrorMessage="false" showInputMessage="false" sqref="C8" type="list">
      <formula1>Lists!$D$2:$D$4</formula1>
      <formula2>0</formula2>
    </dataValidation>
    <dataValidation allowBlank="false" errorStyle="stop" operator="between" showDropDown="false" showErrorMessage="false" showInputMessage="false" sqref="C9" type="list">
      <formula1>Lists!$E$2:$E$3</formula1>
      <formula2>0</formula2>
    </dataValidation>
    <dataValidation allowBlank="false" errorStyle="stop" operator="between" showDropDown="false" showErrorMessage="false" showInputMessage="false" sqref="C13" type="list">
      <formula1>Lists!$E$2:$E$3</formula1>
      <formula2>0</formula2>
    </dataValidation>
  </dataValidations>
  <hyperlinks>
    <hyperlink ref="A1" r:id="rId1" location="'Dashboard'!A1" display="◄ BACK TO DASHBOARD"/>
    <hyperlink ref="D29" r:id="rId2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fals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" min="3" style="0" width="40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35" t="s">
        <v>93</v>
      </c>
      <c r="B2" s="35"/>
      <c r="C2" s="35"/>
    </row>
    <row r="3" customFormat="false" ht="15" hidden="false" customHeight="false" outlineLevel="0" collapsed="false">
      <c r="A3" s="36" t="s">
        <v>94</v>
      </c>
      <c r="B3" s="36"/>
      <c r="C3" s="36"/>
    </row>
    <row r="4" customFormat="false" ht="36" hidden="false" customHeight="true" outlineLevel="0" collapsed="false">
      <c r="A4" s="37" t="s">
        <v>95</v>
      </c>
      <c r="B4" s="37" t="s">
        <v>96</v>
      </c>
      <c r="C4" s="37" t="s">
        <v>97</v>
      </c>
    </row>
    <row r="5" customFormat="false" ht="15" hidden="false" customHeight="false" outlineLevel="0" collapsed="false">
      <c r="A5" s="38" t="n">
        <v>1</v>
      </c>
      <c r="B5" s="39" t="n">
        <v>46048</v>
      </c>
      <c r="C5" s="40" t="s">
        <v>98</v>
      </c>
    </row>
    <row r="6" customFormat="false" ht="15" hidden="false" customHeight="false" outlineLevel="0" collapsed="false">
      <c r="A6" s="38" t="n">
        <v>2</v>
      </c>
      <c r="B6" s="39" t="n">
        <v>46249</v>
      </c>
      <c r="C6" s="40" t="s">
        <v>99</v>
      </c>
    </row>
    <row r="7" customFormat="false" ht="15" hidden="false" customHeight="false" outlineLevel="0" collapsed="false">
      <c r="A7" s="38" t="n">
        <v>3</v>
      </c>
      <c r="B7" s="39" t="n">
        <v>46297</v>
      </c>
      <c r="C7" s="40" t="s">
        <v>100</v>
      </c>
    </row>
    <row r="8" customFormat="false" ht="15" hidden="false" customHeight="false" outlineLevel="0" collapsed="false">
      <c r="A8" s="38" t="n">
        <v>4</v>
      </c>
      <c r="B8" s="39"/>
      <c r="C8" s="40"/>
    </row>
    <row r="9" customFormat="false" ht="15" hidden="false" customHeight="false" outlineLevel="0" collapsed="false">
      <c r="A9" s="38" t="n">
        <v>5</v>
      </c>
      <c r="B9" s="39"/>
      <c r="C9" s="40"/>
    </row>
    <row r="10" customFormat="false" ht="15" hidden="false" customHeight="false" outlineLevel="0" collapsed="false">
      <c r="A10" s="38" t="n">
        <v>6</v>
      </c>
      <c r="B10" s="39"/>
      <c r="C10" s="40"/>
    </row>
    <row r="11" customFormat="false" ht="15" hidden="false" customHeight="false" outlineLevel="0" collapsed="false">
      <c r="A11" s="38" t="n">
        <v>7</v>
      </c>
      <c r="B11" s="39"/>
      <c r="C11" s="40"/>
    </row>
    <row r="12" customFormat="false" ht="15" hidden="false" customHeight="false" outlineLevel="0" collapsed="false">
      <c r="A12" s="38" t="n">
        <v>8</v>
      </c>
      <c r="B12" s="39"/>
      <c r="C12" s="40"/>
    </row>
    <row r="13" customFormat="false" ht="15" hidden="false" customHeight="false" outlineLevel="0" collapsed="false">
      <c r="A13" s="38" t="n">
        <v>9</v>
      </c>
      <c r="B13" s="39"/>
      <c r="C13" s="40"/>
    </row>
    <row r="14" customFormat="false" ht="15" hidden="false" customHeight="false" outlineLevel="0" collapsed="false">
      <c r="A14" s="38" t="n">
        <v>10</v>
      </c>
      <c r="B14" s="39"/>
      <c r="C14" s="40"/>
    </row>
    <row r="15" customFormat="false" ht="15" hidden="false" customHeight="false" outlineLevel="0" collapsed="false">
      <c r="A15" s="38" t="n">
        <v>11</v>
      </c>
      <c r="B15" s="39"/>
      <c r="C15" s="40"/>
    </row>
    <row r="16" customFormat="false" ht="15" hidden="false" customHeight="false" outlineLevel="0" collapsed="false">
      <c r="A16" s="38" t="n">
        <v>12</v>
      </c>
      <c r="B16" s="39"/>
      <c r="C16" s="40"/>
    </row>
    <row r="17" customFormat="false" ht="15" hidden="false" customHeight="false" outlineLevel="0" collapsed="false">
      <c r="A17" s="38" t="n">
        <v>13</v>
      </c>
      <c r="B17" s="39"/>
      <c r="C17" s="40"/>
    </row>
    <row r="18" customFormat="false" ht="15" hidden="false" customHeight="false" outlineLevel="0" collapsed="false">
      <c r="A18" s="38" t="n">
        <v>14</v>
      </c>
      <c r="B18" s="39"/>
      <c r="C18" s="40"/>
    </row>
    <row r="19" customFormat="false" ht="15" hidden="false" customHeight="false" outlineLevel="0" collapsed="false">
      <c r="A19" s="38" t="n">
        <v>15</v>
      </c>
      <c r="B19" s="39"/>
      <c r="C19" s="40"/>
    </row>
    <row r="20" customFormat="false" ht="15" hidden="false" customHeight="false" outlineLevel="0" collapsed="false">
      <c r="A20" s="38" t="n">
        <v>16</v>
      </c>
      <c r="B20" s="39"/>
      <c r="C20" s="40"/>
    </row>
    <row r="21" customFormat="false" ht="15" hidden="false" customHeight="false" outlineLevel="0" collapsed="false">
      <c r="A21" s="38" t="n">
        <v>17</v>
      </c>
      <c r="B21" s="39"/>
      <c r="C21" s="40"/>
    </row>
    <row r="22" customFormat="false" ht="15" hidden="false" customHeight="false" outlineLevel="0" collapsed="false">
      <c r="A22" s="38" t="n">
        <v>18</v>
      </c>
      <c r="B22" s="39"/>
      <c r="C22" s="40"/>
    </row>
    <row r="23" customFormat="false" ht="15" hidden="false" customHeight="false" outlineLevel="0" collapsed="false">
      <c r="A23" s="38" t="n">
        <v>19</v>
      </c>
      <c r="B23" s="39"/>
      <c r="C23" s="40"/>
    </row>
    <row r="24" customFormat="false" ht="15" hidden="false" customHeight="false" outlineLevel="0" collapsed="false">
      <c r="A24" s="38" t="n">
        <v>20</v>
      </c>
      <c r="B24" s="39"/>
      <c r="C24" s="40"/>
    </row>
    <row r="25" customFormat="false" ht="15" hidden="false" customHeight="false" outlineLevel="0" collapsed="false">
      <c r="A25" s="38" t="n">
        <v>21</v>
      </c>
      <c r="B25" s="39"/>
      <c r="C25" s="40"/>
    </row>
    <row r="26" customFormat="false" ht="15" hidden="false" customHeight="false" outlineLevel="0" collapsed="false">
      <c r="A26" s="38" t="n">
        <v>22</v>
      </c>
      <c r="B26" s="39"/>
      <c r="C26" s="40"/>
    </row>
    <row r="27" customFormat="false" ht="15" hidden="false" customHeight="false" outlineLevel="0" collapsed="false">
      <c r="A27" s="38" t="n">
        <v>23</v>
      </c>
      <c r="B27" s="39"/>
      <c r="C27" s="40"/>
    </row>
    <row r="28" customFormat="false" ht="15" hidden="false" customHeight="false" outlineLevel="0" collapsed="false">
      <c r="A28" s="38" t="n">
        <v>24</v>
      </c>
      <c r="B28" s="39"/>
      <c r="C28" s="40"/>
    </row>
    <row r="29" customFormat="false" ht="15" hidden="false" customHeight="false" outlineLevel="0" collapsed="false">
      <c r="A29" s="38" t="n">
        <v>25</v>
      </c>
      <c r="B29" s="39"/>
      <c r="C29" s="40"/>
    </row>
  </sheetData>
  <mergeCells count="2">
    <mergeCell ref="A2:C2"/>
    <mergeCell ref="A3:C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false"/>
  </sheetPr>
  <dimension ref="A1:U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7" min="5" style="0" width="14"/>
    <col collapsed="false" customWidth="true" hidden="false" outlineLevel="0" max="11" min="8" style="0" width="10"/>
    <col collapsed="false" customWidth="true" hidden="false" outlineLevel="0" max="12" min="12" style="0" width="13"/>
    <col collapsed="false" customWidth="true" hidden="false" outlineLevel="0" max="14" min="13" style="0" width="14"/>
    <col collapsed="false" customWidth="true" hidden="false" outlineLevel="0" max="15" min="15" style="0" width="18"/>
    <col collapsed="false" customWidth="true" hidden="false" outlineLevel="0" max="16" min="16" style="0" width="16"/>
    <col collapsed="false" customWidth="true" hidden="false" outlineLevel="0" max="17" min="17" style="0" width="13"/>
    <col collapsed="false" customWidth="true" hidden="false" outlineLevel="0" max="19" min="18" style="0" width="12"/>
    <col collapsed="false" customWidth="true" hidden="false" outlineLevel="0" max="20" min="20" style="0" width="14"/>
    <col collapsed="false" customWidth="true" hidden="false" outlineLevel="0" max="21" min="21" style="0" width="22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41" t="s">
        <v>101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customFormat="false" ht="15" hidden="false" customHeight="false" outlineLevel="0" collapsed="false">
      <c r="A3" s="36" t="s">
        <v>102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customFormat="false" ht="48" hidden="false" customHeight="true" outlineLevel="0" collapsed="false">
      <c r="A4" s="37" t="s">
        <v>95</v>
      </c>
      <c r="B4" s="37" t="s">
        <v>103</v>
      </c>
      <c r="C4" s="37" t="s">
        <v>104</v>
      </c>
      <c r="D4" s="37" t="s">
        <v>105</v>
      </c>
      <c r="E4" s="37" t="s">
        <v>106</v>
      </c>
      <c r="F4" s="37" t="s">
        <v>107</v>
      </c>
      <c r="G4" s="37" t="s">
        <v>108</v>
      </c>
      <c r="H4" s="37" t="s">
        <v>109</v>
      </c>
      <c r="I4" s="37" t="s">
        <v>110</v>
      </c>
      <c r="J4" s="37" t="s">
        <v>111</v>
      </c>
      <c r="K4" s="37" t="s">
        <v>112</v>
      </c>
      <c r="L4" s="37" t="s">
        <v>113</v>
      </c>
      <c r="M4" s="37" t="s">
        <v>114</v>
      </c>
      <c r="N4" s="37" t="s">
        <v>115</v>
      </c>
      <c r="O4" s="37" t="s">
        <v>116</v>
      </c>
      <c r="P4" s="37" t="s">
        <v>117</v>
      </c>
      <c r="Q4" s="37" t="s">
        <v>118</v>
      </c>
      <c r="R4" s="42" t="s">
        <v>119</v>
      </c>
      <c r="S4" s="42" t="s">
        <v>120</v>
      </c>
      <c r="T4" s="42" t="s">
        <v>121</v>
      </c>
      <c r="U4" s="42" t="s">
        <v>122</v>
      </c>
    </row>
    <row r="5" customFormat="false" ht="15" hidden="false" customHeight="false" outlineLevel="0" collapsed="false">
      <c r="A5" s="38" t="n">
        <f aca="false">IF(B5="","",ROW()-4)</f>
        <v>1</v>
      </c>
      <c r="B5" s="43" t="s">
        <v>123</v>
      </c>
      <c r="C5" s="40" t="s">
        <v>124</v>
      </c>
      <c r="D5" s="40" t="s">
        <v>125</v>
      </c>
      <c r="E5" s="40" t="s">
        <v>126</v>
      </c>
      <c r="F5" s="39" t="n">
        <v>44287</v>
      </c>
      <c r="G5" s="44" t="n">
        <v>32000</v>
      </c>
      <c r="H5" s="45" t="n">
        <v>0.5</v>
      </c>
      <c r="I5" s="45" t="n">
        <v>0.4</v>
      </c>
      <c r="J5" s="43" t="s">
        <v>67</v>
      </c>
      <c r="K5" s="43" t="s">
        <v>127</v>
      </c>
      <c r="L5" s="44" t="n">
        <v>200</v>
      </c>
      <c r="M5" s="46"/>
      <c r="N5" s="46"/>
      <c r="O5" s="40" t="s">
        <v>128</v>
      </c>
      <c r="P5" s="46"/>
      <c r="Q5" s="46"/>
      <c r="R5" s="47" t="n">
        <f aca="false">IF(B5="","",ROUND(G5*H5,0))</f>
        <v>16000</v>
      </c>
      <c r="S5" s="47" t="n">
        <f aca="false">IF(B5="","",ROUND(R5*I5,0))</f>
        <v>6400</v>
      </c>
      <c r="T5" s="47" t="n">
        <f aca="false">IF(B5="","",G5-R5-S5)</f>
        <v>9600</v>
      </c>
      <c r="U5" s="48" t="str">
        <f aca="false">IF(B5="","",IF(COUNTIF($B$5:$B$54,B5)&gt;1,"Duplicate Emp ID",IF(AND(K5="Yes",G5&gt;'Basic Details'!$C$16),"ESI: gross above limit",IF(H5&lt;0.5,"Basic below 50%","OK"))))</f>
        <v>OK</v>
      </c>
    </row>
    <row r="6" customFormat="false" ht="15" hidden="false" customHeight="false" outlineLevel="0" collapsed="false">
      <c r="A6" s="38" t="n">
        <f aca="false">IF(B6="","",ROW()-4)</f>
        <v>2</v>
      </c>
      <c r="B6" s="43" t="s">
        <v>129</v>
      </c>
      <c r="C6" s="40" t="s">
        <v>130</v>
      </c>
      <c r="D6" s="40" t="s">
        <v>131</v>
      </c>
      <c r="E6" s="40" t="s">
        <v>132</v>
      </c>
      <c r="F6" s="39" t="n">
        <v>44757</v>
      </c>
      <c r="G6" s="44" t="n">
        <v>18500</v>
      </c>
      <c r="H6" s="45" t="n">
        <v>0.5</v>
      </c>
      <c r="I6" s="45" t="n">
        <v>0.4</v>
      </c>
      <c r="J6" s="43" t="s">
        <v>67</v>
      </c>
      <c r="K6" s="43" t="s">
        <v>67</v>
      </c>
      <c r="L6" s="44" t="n">
        <v>0</v>
      </c>
      <c r="M6" s="46"/>
      <c r="N6" s="46"/>
      <c r="O6" s="40" t="s">
        <v>133</v>
      </c>
      <c r="P6" s="46"/>
      <c r="Q6" s="46"/>
      <c r="R6" s="47" t="n">
        <f aca="false">IF(B6="","",ROUND(G6*H6,0))</f>
        <v>9250</v>
      </c>
      <c r="S6" s="47" t="n">
        <f aca="false">IF(B6="","",ROUND(R6*I6,0))</f>
        <v>3700</v>
      </c>
      <c r="T6" s="47" t="n">
        <f aca="false">IF(B6="","",G6-R6-S6)</f>
        <v>5550</v>
      </c>
      <c r="U6" s="48" t="str">
        <f aca="false">IF(B6="","",IF(COUNTIF($B$5:$B$54,B6)&gt;1,"Duplicate Emp ID",IF(AND(K6="Yes",G6&gt;'Basic Details'!$C$16),"ESI: gross above limit",IF(H6&lt;0.5,"Basic below 50%","OK"))))</f>
        <v>OK</v>
      </c>
    </row>
    <row r="7" customFormat="false" ht="15" hidden="false" customHeight="false" outlineLevel="0" collapsed="false">
      <c r="A7" s="38" t="n">
        <f aca="false">IF(B7="","",ROW()-4)</f>
        <v>3</v>
      </c>
      <c r="B7" s="43" t="s">
        <v>134</v>
      </c>
      <c r="C7" s="40" t="s">
        <v>135</v>
      </c>
      <c r="D7" s="40" t="s">
        <v>136</v>
      </c>
      <c r="E7" s="40" t="s">
        <v>137</v>
      </c>
      <c r="F7" s="39" t="n">
        <v>44936</v>
      </c>
      <c r="G7" s="44" t="n">
        <v>16000</v>
      </c>
      <c r="H7" s="45" t="n">
        <v>0.5</v>
      </c>
      <c r="I7" s="45" t="n">
        <v>0.4</v>
      </c>
      <c r="J7" s="43" t="s">
        <v>67</v>
      </c>
      <c r="K7" s="43" t="s">
        <v>67</v>
      </c>
      <c r="L7" s="44" t="n">
        <v>0</v>
      </c>
      <c r="M7" s="46"/>
      <c r="N7" s="46"/>
      <c r="O7" s="40" t="s">
        <v>138</v>
      </c>
      <c r="P7" s="46"/>
      <c r="Q7" s="46"/>
      <c r="R7" s="47" t="n">
        <f aca="false">IF(B7="","",ROUND(G7*H7,0))</f>
        <v>8000</v>
      </c>
      <c r="S7" s="47" t="n">
        <f aca="false">IF(B7="","",ROUND(R7*I7,0))</f>
        <v>3200</v>
      </c>
      <c r="T7" s="47" t="n">
        <f aca="false">IF(B7="","",G7-R7-S7)</f>
        <v>4800</v>
      </c>
      <c r="U7" s="48" t="str">
        <f aca="false">IF(B7="","",IF(COUNTIF($B$5:$B$54,B7)&gt;1,"Duplicate Emp ID",IF(AND(K7="Yes",G7&gt;'Basic Details'!$C$16),"ESI: gross above limit",IF(H7&lt;0.5,"Basic below 50%","OK"))))</f>
        <v>OK</v>
      </c>
    </row>
    <row r="8" customFormat="false" ht="15" hidden="false" customHeight="false" outlineLevel="0" collapsed="false">
      <c r="A8" s="38" t="n">
        <f aca="false">IF(B8="","",ROW()-4)</f>
        <v>4</v>
      </c>
      <c r="B8" s="43" t="s">
        <v>139</v>
      </c>
      <c r="C8" s="40" t="s">
        <v>140</v>
      </c>
      <c r="D8" s="40" t="s">
        <v>141</v>
      </c>
      <c r="E8" s="40" t="s">
        <v>142</v>
      </c>
      <c r="F8" s="39" t="n">
        <v>44137</v>
      </c>
      <c r="G8" s="44" t="n">
        <v>28000</v>
      </c>
      <c r="H8" s="45" t="n">
        <v>0.5</v>
      </c>
      <c r="I8" s="45" t="n">
        <v>0.4</v>
      </c>
      <c r="J8" s="43" t="s">
        <v>67</v>
      </c>
      <c r="K8" s="43" t="s">
        <v>127</v>
      </c>
      <c r="L8" s="44" t="n">
        <v>200</v>
      </c>
      <c r="M8" s="46"/>
      <c r="N8" s="46"/>
      <c r="O8" s="40" t="s">
        <v>143</v>
      </c>
      <c r="P8" s="46"/>
      <c r="Q8" s="46"/>
      <c r="R8" s="47" t="n">
        <f aca="false">IF(B8="","",ROUND(G8*H8,0))</f>
        <v>14000</v>
      </c>
      <c r="S8" s="47" t="n">
        <f aca="false">IF(B8="","",ROUND(R8*I8,0))</f>
        <v>5600</v>
      </c>
      <c r="T8" s="47" t="n">
        <f aca="false">IF(B8="","",G8-R8-S8)</f>
        <v>8400</v>
      </c>
      <c r="U8" s="48" t="str">
        <f aca="false">IF(B8="","",IF(COUNTIF($B$5:$B$54,B8)&gt;1,"Duplicate Emp ID",IF(AND(K8="Yes",G8&gt;'Basic Details'!$C$16),"ESI: gross above limit",IF(H8&lt;0.5,"Basic below 50%","OK"))))</f>
        <v>OK</v>
      </c>
    </row>
    <row r="9" customFormat="false" ht="15" hidden="false" customHeight="false" outlineLevel="0" collapsed="false">
      <c r="A9" s="38" t="n">
        <f aca="false">IF(B9="","",ROW()-4)</f>
        <v>5</v>
      </c>
      <c r="B9" s="43" t="s">
        <v>144</v>
      </c>
      <c r="C9" s="40" t="s">
        <v>145</v>
      </c>
      <c r="D9" s="40" t="s">
        <v>146</v>
      </c>
      <c r="E9" s="40" t="s">
        <v>147</v>
      </c>
      <c r="F9" s="39" t="n">
        <v>45369</v>
      </c>
      <c r="G9" s="44" t="n">
        <v>14500</v>
      </c>
      <c r="H9" s="45" t="n">
        <v>0.5</v>
      </c>
      <c r="I9" s="45" t="n">
        <v>0.4</v>
      </c>
      <c r="J9" s="43" t="s">
        <v>67</v>
      </c>
      <c r="K9" s="43" t="s">
        <v>67</v>
      </c>
      <c r="L9" s="44" t="n">
        <v>0</v>
      </c>
      <c r="M9" s="46"/>
      <c r="N9" s="46"/>
      <c r="O9" s="40" t="s">
        <v>128</v>
      </c>
      <c r="P9" s="46"/>
      <c r="Q9" s="46"/>
      <c r="R9" s="47" t="n">
        <f aca="false">IF(B9="","",ROUND(G9*H9,0))</f>
        <v>7250</v>
      </c>
      <c r="S9" s="47" t="n">
        <f aca="false">IF(B9="","",ROUND(R9*I9,0))</f>
        <v>2900</v>
      </c>
      <c r="T9" s="47" t="n">
        <f aca="false">IF(B9="","",G9-R9-S9)</f>
        <v>4350</v>
      </c>
      <c r="U9" s="48" t="str">
        <f aca="false">IF(B9="","",IF(COUNTIF($B$5:$B$54,B9)&gt;1,"Duplicate Emp ID",IF(AND(K9="Yes",G9&gt;'Basic Details'!$C$16),"ESI: gross above limit",IF(H9&lt;0.5,"Basic below 50%","OK"))))</f>
        <v>OK</v>
      </c>
    </row>
    <row r="10" customFormat="false" ht="15" hidden="false" customHeight="false" outlineLevel="0" collapsed="false">
      <c r="A10" s="38" t="n">
        <f aca="false">IF(B10="","",ROW()-4)</f>
        <v>6</v>
      </c>
      <c r="B10" s="43" t="s">
        <v>148</v>
      </c>
      <c r="C10" s="40" t="s">
        <v>149</v>
      </c>
      <c r="D10" s="40" t="s">
        <v>150</v>
      </c>
      <c r="E10" s="40" t="s">
        <v>137</v>
      </c>
      <c r="F10" s="39" t="n">
        <v>43621</v>
      </c>
      <c r="G10" s="44" t="n">
        <v>15500</v>
      </c>
      <c r="H10" s="45" t="n">
        <v>0.5</v>
      </c>
      <c r="I10" s="45" t="n">
        <v>0.4</v>
      </c>
      <c r="J10" s="43" t="s">
        <v>127</v>
      </c>
      <c r="K10" s="43" t="s">
        <v>67</v>
      </c>
      <c r="L10" s="44" t="n">
        <v>0</v>
      </c>
      <c r="M10" s="46"/>
      <c r="N10" s="46"/>
      <c r="O10" s="40" t="s">
        <v>151</v>
      </c>
      <c r="P10" s="46"/>
      <c r="Q10" s="46"/>
      <c r="R10" s="47" t="n">
        <f aca="false">IF(B10="","",ROUND(G10*H10,0))</f>
        <v>7750</v>
      </c>
      <c r="S10" s="47" t="n">
        <f aca="false">IF(B10="","",ROUND(R10*I10,0))</f>
        <v>3100</v>
      </c>
      <c r="T10" s="47" t="n">
        <f aca="false">IF(B10="","",G10-R10-S10)</f>
        <v>4650</v>
      </c>
      <c r="U10" s="48" t="str">
        <f aca="false">IF(B10="","",IF(COUNTIF($B$5:$B$54,B10)&gt;1,"Duplicate Emp ID",IF(AND(K10="Yes",G10&gt;'Basic Details'!$C$16),"ESI: gross above limit",IF(H10&lt;0.5,"Basic below 50%","OK"))))</f>
        <v>OK</v>
      </c>
    </row>
    <row r="11" customFormat="false" ht="15" hidden="false" customHeight="false" outlineLevel="0" collapsed="false">
      <c r="A11" s="38" t="str">
        <f aca="false">IF(B11="","",ROW()-4)</f>
        <v/>
      </c>
      <c r="B11" s="43"/>
      <c r="C11" s="40"/>
      <c r="D11" s="40"/>
      <c r="E11" s="40"/>
      <c r="F11" s="39"/>
      <c r="G11" s="44"/>
      <c r="H11" s="45"/>
      <c r="I11" s="45"/>
      <c r="J11" s="43"/>
      <c r="K11" s="43"/>
      <c r="L11" s="44"/>
      <c r="M11" s="46"/>
      <c r="N11" s="46"/>
      <c r="O11" s="40"/>
      <c r="P11" s="46"/>
      <c r="Q11" s="46"/>
      <c r="R11" s="47" t="str">
        <f aca="false">IF(B11="","",ROUND(G11*H11,0))</f>
        <v/>
      </c>
      <c r="S11" s="47" t="str">
        <f aca="false">IF(B11="","",ROUND(R11*I11,0))</f>
        <v/>
      </c>
      <c r="T11" s="47" t="str">
        <f aca="false">IF(B11="","",G11-R11-S11)</f>
        <v/>
      </c>
      <c r="U11" s="48" t="str">
        <f aca="false">IF(B11="","",IF(COUNTIF($B$5:$B$54,B11)&gt;1,"Duplicate Emp ID",IF(AND(K11="Yes",G11&gt;'Basic Details'!$C$16),"ESI: gross above limit",IF(H11&lt;0.5,"Basic below 50%","OK"))))</f>
        <v/>
      </c>
    </row>
    <row r="12" customFormat="false" ht="15" hidden="false" customHeight="false" outlineLevel="0" collapsed="false">
      <c r="A12" s="38" t="str">
        <f aca="false">IF(B12="","",ROW()-4)</f>
        <v/>
      </c>
      <c r="B12" s="43"/>
      <c r="C12" s="40"/>
      <c r="D12" s="40"/>
      <c r="E12" s="40"/>
      <c r="F12" s="39"/>
      <c r="G12" s="44"/>
      <c r="H12" s="45"/>
      <c r="I12" s="45"/>
      <c r="J12" s="43"/>
      <c r="K12" s="43"/>
      <c r="L12" s="44"/>
      <c r="M12" s="46"/>
      <c r="N12" s="46"/>
      <c r="O12" s="40"/>
      <c r="P12" s="46"/>
      <c r="Q12" s="46"/>
      <c r="R12" s="47" t="str">
        <f aca="false">IF(B12="","",ROUND(G12*H12,0))</f>
        <v/>
      </c>
      <c r="S12" s="47" t="str">
        <f aca="false">IF(B12="","",ROUND(R12*I12,0))</f>
        <v/>
      </c>
      <c r="T12" s="47" t="str">
        <f aca="false">IF(B12="","",G12-R12-S12)</f>
        <v/>
      </c>
      <c r="U12" s="48" t="str">
        <f aca="false">IF(B12="","",IF(COUNTIF($B$5:$B$54,B12)&gt;1,"Duplicate Emp ID",IF(AND(K12="Yes",G12&gt;'Basic Details'!$C$16),"ESI: gross above limit",IF(H12&lt;0.5,"Basic below 50%","OK"))))</f>
        <v/>
      </c>
    </row>
    <row r="13" customFormat="false" ht="15" hidden="false" customHeight="false" outlineLevel="0" collapsed="false">
      <c r="A13" s="38" t="str">
        <f aca="false">IF(B13="","",ROW()-4)</f>
        <v/>
      </c>
      <c r="B13" s="43"/>
      <c r="C13" s="40"/>
      <c r="D13" s="40"/>
      <c r="E13" s="40"/>
      <c r="F13" s="39"/>
      <c r="G13" s="44"/>
      <c r="H13" s="45"/>
      <c r="I13" s="45"/>
      <c r="J13" s="43"/>
      <c r="K13" s="43"/>
      <c r="L13" s="44"/>
      <c r="M13" s="46"/>
      <c r="N13" s="46"/>
      <c r="O13" s="40"/>
      <c r="P13" s="46"/>
      <c r="Q13" s="46"/>
      <c r="R13" s="47" t="str">
        <f aca="false">IF(B13="","",ROUND(G13*H13,0))</f>
        <v/>
      </c>
      <c r="S13" s="47" t="str">
        <f aca="false">IF(B13="","",ROUND(R13*I13,0))</f>
        <v/>
      </c>
      <c r="T13" s="47" t="str">
        <f aca="false">IF(B13="","",G13-R13-S13)</f>
        <v/>
      </c>
      <c r="U13" s="48" t="str">
        <f aca="false">IF(B13="","",IF(COUNTIF($B$5:$B$54,B13)&gt;1,"Duplicate Emp ID",IF(AND(K13="Yes",G13&gt;'Basic Details'!$C$16),"ESI: gross above limit",IF(H13&lt;0.5,"Basic below 50%","OK"))))</f>
        <v/>
      </c>
    </row>
    <row r="14" customFormat="false" ht="15" hidden="false" customHeight="false" outlineLevel="0" collapsed="false">
      <c r="A14" s="38" t="str">
        <f aca="false">IF(B14="","",ROW()-4)</f>
        <v/>
      </c>
      <c r="B14" s="43"/>
      <c r="C14" s="40"/>
      <c r="D14" s="40"/>
      <c r="E14" s="40"/>
      <c r="F14" s="39"/>
      <c r="G14" s="44"/>
      <c r="H14" s="45"/>
      <c r="I14" s="45"/>
      <c r="J14" s="43"/>
      <c r="K14" s="43"/>
      <c r="L14" s="44"/>
      <c r="M14" s="46"/>
      <c r="N14" s="46"/>
      <c r="O14" s="40"/>
      <c r="P14" s="46"/>
      <c r="Q14" s="46"/>
      <c r="R14" s="47" t="str">
        <f aca="false">IF(B14="","",ROUND(G14*H14,0))</f>
        <v/>
      </c>
      <c r="S14" s="47" t="str">
        <f aca="false">IF(B14="","",ROUND(R14*I14,0))</f>
        <v/>
      </c>
      <c r="T14" s="47" t="str">
        <f aca="false">IF(B14="","",G14-R14-S14)</f>
        <v/>
      </c>
      <c r="U14" s="48" t="str">
        <f aca="false">IF(B14="","",IF(COUNTIF($B$5:$B$54,B14)&gt;1,"Duplicate Emp ID",IF(AND(K14="Yes",G14&gt;'Basic Details'!$C$16),"ESI: gross above limit",IF(H14&lt;0.5,"Basic below 50%","OK"))))</f>
        <v/>
      </c>
    </row>
    <row r="15" customFormat="false" ht="15" hidden="false" customHeight="false" outlineLevel="0" collapsed="false">
      <c r="A15" s="38" t="str">
        <f aca="false">IF(B15="","",ROW()-4)</f>
        <v/>
      </c>
      <c r="B15" s="43"/>
      <c r="C15" s="40"/>
      <c r="D15" s="40"/>
      <c r="E15" s="40"/>
      <c r="F15" s="39"/>
      <c r="G15" s="44"/>
      <c r="H15" s="45"/>
      <c r="I15" s="45"/>
      <c r="J15" s="43"/>
      <c r="K15" s="43"/>
      <c r="L15" s="44"/>
      <c r="M15" s="46"/>
      <c r="N15" s="46"/>
      <c r="O15" s="40"/>
      <c r="P15" s="46"/>
      <c r="Q15" s="46"/>
      <c r="R15" s="47" t="str">
        <f aca="false">IF(B15="","",ROUND(G15*H15,0))</f>
        <v/>
      </c>
      <c r="S15" s="47" t="str">
        <f aca="false">IF(B15="","",ROUND(R15*I15,0))</f>
        <v/>
      </c>
      <c r="T15" s="47" t="str">
        <f aca="false">IF(B15="","",G15-R15-S15)</f>
        <v/>
      </c>
      <c r="U15" s="48" t="str">
        <f aca="false">IF(B15="","",IF(COUNTIF($B$5:$B$54,B15)&gt;1,"Duplicate Emp ID",IF(AND(K15="Yes",G15&gt;'Basic Details'!$C$16),"ESI: gross above limit",IF(H15&lt;0.5,"Basic below 50%","OK"))))</f>
        <v/>
      </c>
    </row>
    <row r="16" customFormat="false" ht="15" hidden="false" customHeight="false" outlineLevel="0" collapsed="false">
      <c r="A16" s="38" t="str">
        <f aca="false">IF(B16="","",ROW()-4)</f>
        <v/>
      </c>
      <c r="B16" s="43"/>
      <c r="C16" s="40"/>
      <c r="D16" s="40"/>
      <c r="E16" s="40"/>
      <c r="F16" s="39"/>
      <c r="G16" s="44"/>
      <c r="H16" s="45"/>
      <c r="I16" s="45"/>
      <c r="J16" s="43"/>
      <c r="K16" s="43"/>
      <c r="L16" s="44"/>
      <c r="M16" s="46"/>
      <c r="N16" s="46"/>
      <c r="O16" s="40"/>
      <c r="P16" s="46"/>
      <c r="Q16" s="46"/>
      <c r="R16" s="47" t="str">
        <f aca="false">IF(B16="","",ROUND(G16*H16,0))</f>
        <v/>
      </c>
      <c r="S16" s="47" t="str">
        <f aca="false">IF(B16="","",ROUND(R16*I16,0))</f>
        <v/>
      </c>
      <c r="T16" s="47" t="str">
        <f aca="false">IF(B16="","",G16-R16-S16)</f>
        <v/>
      </c>
      <c r="U16" s="48" t="str">
        <f aca="false">IF(B16="","",IF(COUNTIF($B$5:$B$54,B16)&gt;1,"Duplicate Emp ID",IF(AND(K16="Yes",G16&gt;'Basic Details'!$C$16),"ESI: gross above limit",IF(H16&lt;0.5,"Basic below 50%","OK"))))</f>
        <v/>
      </c>
    </row>
    <row r="17" customFormat="false" ht="15" hidden="false" customHeight="false" outlineLevel="0" collapsed="false">
      <c r="A17" s="38" t="str">
        <f aca="false">IF(B17="","",ROW()-4)</f>
        <v/>
      </c>
      <c r="B17" s="43"/>
      <c r="C17" s="40"/>
      <c r="D17" s="40"/>
      <c r="E17" s="40"/>
      <c r="F17" s="39"/>
      <c r="G17" s="44"/>
      <c r="H17" s="45"/>
      <c r="I17" s="45"/>
      <c r="J17" s="43"/>
      <c r="K17" s="43"/>
      <c r="L17" s="44"/>
      <c r="M17" s="46"/>
      <c r="N17" s="46"/>
      <c r="O17" s="40"/>
      <c r="P17" s="46"/>
      <c r="Q17" s="46"/>
      <c r="R17" s="47" t="str">
        <f aca="false">IF(B17="","",ROUND(G17*H17,0))</f>
        <v/>
      </c>
      <c r="S17" s="47" t="str">
        <f aca="false">IF(B17="","",ROUND(R17*I17,0))</f>
        <v/>
      </c>
      <c r="T17" s="47" t="str">
        <f aca="false">IF(B17="","",G17-R17-S17)</f>
        <v/>
      </c>
      <c r="U17" s="48" t="str">
        <f aca="false">IF(B17="","",IF(COUNTIF($B$5:$B$54,B17)&gt;1,"Duplicate Emp ID",IF(AND(K17="Yes",G17&gt;'Basic Details'!$C$16),"ESI: gross above limit",IF(H17&lt;0.5,"Basic below 50%","OK"))))</f>
        <v/>
      </c>
    </row>
    <row r="18" customFormat="false" ht="15" hidden="false" customHeight="false" outlineLevel="0" collapsed="false">
      <c r="A18" s="38" t="str">
        <f aca="false">IF(B18="","",ROW()-4)</f>
        <v/>
      </c>
      <c r="B18" s="43"/>
      <c r="C18" s="40"/>
      <c r="D18" s="40"/>
      <c r="E18" s="40"/>
      <c r="F18" s="39"/>
      <c r="G18" s="44"/>
      <c r="H18" s="45"/>
      <c r="I18" s="45"/>
      <c r="J18" s="43"/>
      <c r="K18" s="43"/>
      <c r="L18" s="44"/>
      <c r="M18" s="46"/>
      <c r="N18" s="46"/>
      <c r="O18" s="40"/>
      <c r="P18" s="46"/>
      <c r="Q18" s="46"/>
      <c r="R18" s="47" t="str">
        <f aca="false">IF(B18="","",ROUND(G18*H18,0))</f>
        <v/>
      </c>
      <c r="S18" s="47" t="str">
        <f aca="false">IF(B18="","",ROUND(R18*I18,0))</f>
        <v/>
      </c>
      <c r="T18" s="47" t="str">
        <f aca="false">IF(B18="","",G18-R18-S18)</f>
        <v/>
      </c>
      <c r="U18" s="48" t="str">
        <f aca="false">IF(B18="","",IF(COUNTIF($B$5:$B$54,B18)&gt;1,"Duplicate Emp ID",IF(AND(K18="Yes",G18&gt;'Basic Details'!$C$16),"ESI: gross above limit",IF(H18&lt;0.5,"Basic below 50%","OK"))))</f>
        <v/>
      </c>
    </row>
    <row r="19" customFormat="false" ht="15" hidden="false" customHeight="false" outlineLevel="0" collapsed="false">
      <c r="A19" s="38" t="str">
        <f aca="false">IF(B19="","",ROW()-4)</f>
        <v/>
      </c>
      <c r="B19" s="43"/>
      <c r="C19" s="40"/>
      <c r="D19" s="40"/>
      <c r="E19" s="40"/>
      <c r="F19" s="39"/>
      <c r="G19" s="44"/>
      <c r="H19" s="45"/>
      <c r="I19" s="45"/>
      <c r="J19" s="43"/>
      <c r="K19" s="43"/>
      <c r="L19" s="44"/>
      <c r="M19" s="46"/>
      <c r="N19" s="46"/>
      <c r="O19" s="40"/>
      <c r="P19" s="46"/>
      <c r="Q19" s="46"/>
      <c r="R19" s="47" t="str">
        <f aca="false">IF(B19="","",ROUND(G19*H19,0))</f>
        <v/>
      </c>
      <c r="S19" s="47" t="str">
        <f aca="false">IF(B19="","",ROUND(R19*I19,0))</f>
        <v/>
      </c>
      <c r="T19" s="47" t="str">
        <f aca="false">IF(B19="","",G19-R19-S19)</f>
        <v/>
      </c>
      <c r="U19" s="48" t="str">
        <f aca="false">IF(B19="","",IF(COUNTIF($B$5:$B$54,B19)&gt;1,"Duplicate Emp ID",IF(AND(K19="Yes",G19&gt;'Basic Details'!$C$16),"ESI: gross above limit",IF(H19&lt;0.5,"Basic below 50%","OK"))))</f>
        <v/>
      </c>
    </row>
    <row r="20" customFormat="false" ht="15" hidden="false" customHeight="false" outlineLevel="0" collapsed="false">
      <c r="A20" s="38" t="str">
        <f aca="false">IF(B20="","",ROW()-4)</f>
        <v/>
      </c>
      <c r="B20" s="43"/>
      <c r="C20" s="40"/>
      <c r="D20" s="40"/>
      <c r="E20" s="40"/>
      <c r="F20" s="39"/>
      <c r="G20" s="44"/>
      <c r="H20" s="45"/>
      <c r="I20" s="45"/>
      <c r="J20" s="43"/>
      <c r="K20" s="43"/>
      <c r="L20" s="44"/>
      <c r="M20" s="46"/>
      <c r="N20" s="46"/>
      <c r="O20" s="40"/>
      <c r="P20" s="46"/>
      <c r="Q20" s="46"/>
      <c r="R20" s="47" t="str">
        <f aca="false">IF(B20="","",ROUND(G20*H20,0))</f>
        <v/>
      </c>
      <c r="S20" s="47" t="str">
        <f aca="false">IF(B20="","",ROUND(R20*I20,0))</f>
        <v/>
      </c>
      <c r="T20" s="47" t="str">
        <f aca="false">IF(B20="","",G20-R20-S20)</f>
        <v/>
      </c>
      <c r="U20" s="48" t="str">
        <f aca="false">IF(B20="","",IF(COUNTIF($B$5:$B$54,B20)&gt;1,"Duplicate Emp ID",IF(AND(K20="Yes",G20&gt;'Basic Details'!$C$16),"ESI: gross above limit",IF(H20&lt;0.5,"Basic below 50%","OK"))))</f>
        <v/>
      </c>
    </row>
    <row r="21" customFormat="false" ht="15" hidden="false" customHeight="false" outlineLevel="0" collapsed="false">
      <c r="A21" s="38" t="str">
        <f aca="false">IF(B21="","",ROW()-4)</f>
        <v/>
      </c>
      <c r="B21" s="43"/>
      <c r="C21" s="40"/>
      <c r="D21" s="40"/>
      <c r="E21" s="40"/>
      <c r="F21" s="39"/>
      <c r="G21" s="44"/>
      <c r="H21" s="45"/>
      <c r="I21" s="45"/>
      <c r="J21" s="43"/>
      <c r="K21" s="43"/>
      <c r="L21" s="44"/>
      <c r="M21" s="46"/>
      <c r="N21" s="46"/>
      <c r="O21" s="40"/>
      <c r="P21" s="46"/>
      <c r="Q21" s="46"/>
      <c r="R21" s="47" t="str">
        <f aca="false">IF(B21="","",ROUND(G21*H21,0))</f>
        <v/>
      </c>
      <c r="S21" s="47" t="str">
        <f aca="false">IF(B21="","",ROUND(R21*I21,0))</f>
        <v/>
      </c>
      <c r="T21" s="47" t="str">
        <f aca="false">IF(B21="","",G21-R21-S21)</f>
        <v/>
      </c>
      <c r="U21" s="48" t="str">
        <f aca="false">IF(B21="","",IF(COUNTIF($B$5:$B$54,B21)&gt;1,"Duplicate Emp ID",IF(AND(K21="Yes",G21&gt;'Basic Details'!$C$16),"ESI: gross above limit",IF(H21&lt;0.5,"Basic below 50%","OK"))))</f>
        <v/>
      </c>
    </row>
    <row r="22" customFormat="false" ht="15" hidden="false" customHeight="false" outlineLevel="0" collapsed="false">
      <c r="A22" s="38" t="str">
        <f aca="false">IF(B22="","",ROW()-4)</f>
        <v/>
      </c>
      <c r="B22" s="43"/>
      <c r="C22" s="40"/>
      <c r="D22" s="40"/>
      <c r="E22" s="40"/>
      <c r="F22" s="39"/>
      <c r="G22" s="44"/>
      <c r="H22" s="45"/>
      <c r="I22" s="45"/>
      <c r="J22" s="43"/>
      <c r="K22" s="43"/>
      <c r="L22" s="44"/>
      <c r="M22" s="46"/>
      <c r="N22" s="46"/>
      <c r="O22" s="40"/>
      <c r="P22" s="46"/>
      <c r="Q22" s="46"/>
      <c r="R22" s="47" t="str">
        <f aca="false">IF(B22="","",ROUND(G22*H22,0))</f>
        <v/>
      </c>
      <c r="S22" s="47" t="str">
        <f aca="false">IF(B22="","",ROUND(R22*I22,0))</f>
        <v/>
      </c>
      <c r="T22" s="47" t="str">
        <f aca="false">IF(B22="","",G22-R22-S22)</f>
        <v/>
      </c>
      <c r="U22" s="48" t="str">
        <f aca="false">IF(B22="","",IF(COUNTIF($B$5:$B$54,B22)&gt;1,"Duplicate Emp ID",IF(AND(K22="Yes",G22&gt;'Basic Details'!$C$16),"ESI: gross above limit",IF(H22&lt;0.5,"Basic below 50%","OK"))))</f>
        <v/>
      </c>
    </row>
    <row r="23" customFormat="false" ht="15" hidden="false" customHeight="false" outlineLevel="0" collapsed="false">
      <c r="A23" s="38" t="str">
        <f aca="false">IF(B23="","",ROW()-4)</f>
        <v/>
      </c>
      <c r="B23" s="43"/>
      <c r="C23" s="40"/>
      <c r="D23" s="40"/>
      <c r="E23" s="40"/>
      <c r="F23" s="39"/>
      <c r="G23" s="44"/>
      <c r="H23" s="45"/>
      <c r="I23" s="45"/>
      <c r="J23" s="43"/>
      <c r="K23" s="43"/>
      <c r="L23" s="44"/>
      <c r="M23" s="46"/>
      <c r="N23" s="46"/>
      <c r="O23" s="40"/>
      <c r="P23" s="46"/>
      <c r="Q23" s="46"/>
      <c r="R23" s="47" t="str">
        <f aca="false">IF(B23="","",ROUND(G23*H23,0))</f>
        <v/>
      </c>
      <c r="S23" s="47" t="str">
        <f aca="false">IF(B23="","",ROUND(R23*I23,0))</f>
        <v/>
      </c>
      <c r="T23" s="47" t="str">
        <f aca="false">IF(B23="","",G23-R23-S23)</f>
        <v/>
      </c>
      <c r="U23" s="48" t="str">
        <f aca="false">IF(B23="","",IF(COUNTIF($B$5:$B$54,B23)&gt;1,"Duplicate Emp ID",IF(AND(K23="Yes",G23&gt;'Basic Details'!$C$16),"ESI: gross above limit",IF(H23&lt;0.5,"Basic below 50%","OK"))))</f>
        <v/>
      </c>
    </row>
    <row r="24" customFormat="false" ht="15" hidden="false" customHeight="false" outlineLevel="0" collapsed="false">
      <c r="A24" s="38" t="str">
        <f aca="false">IF(B24="","",ROW()-4)</f>
        <v/>
      </c>
      <c r="B24" s="43"/>
      <c r="C24" s="40"/>
      <c r="D24" s="40"/>
      <c r="E24" s="40"/>
      <c r="F24" s="39"/>
      <c r="G24" s="44"/>
      <c r="H24" s="45"/>
      <c r="I24" s="45"/>
      <c r="J24" s="43"/>
      <c r="K24" s="43"/>
      <c r="L24" s="44"/>
      <c r="M24" s="46"/>
      <c r="N24" s="46"/>
      <c r="O24" s="40"/>
      <c r="P24" s="46"/>
      <c r="Q24" s="46"/>
      <c r="R24" s="47" t="str">
        <f aca="false">IF(B24="","",ROUND(G24*H24,0))</f>
        <v/>
      </c>
      <c r="S24" s="47" t="str">
        <f aca="false">IF(B24="","",ROUND(R24*I24,0))</f>
        <v/>
      </c>
      <c r="T24" s="47" t="str">
        <f aca="false">IF(B24="","",G24-R24-S24)</f>
        <v/>
      </c>
      <c r="U24" s="48" t="str">
        <f aca="false">IF(B24="","",IF(COUNTIF($B$5:$B$54,B24)&gt;1,"Duplicate Emp ID",IF(AND(K24="Yes",G24&gt;'Basic Details'!$C$16),"ESI: gross above limit",IF(H24&lt;0.5,"Basic below 50%","OK"))))</f>
        <v/>
      </c>
    </row>
    <row r="25" customFormat="false" ht="15" hidden="false" customHeight="false" outlineLevel="0" collapsed="false">
      <c r="A25" s="38" t="str">
        <f aca="false">IF(B25="","",ROW()-4)</f>
        <v/>
      </c>
      <c r="B25" s="43"/>
      <c r="C25" s="40"/>
      <c r="D25" s="40"/>
      <c r="E25" s="40"/>
      <c r="F25" s="39"/>
      <c r="G25" s="44"/>
      <c r="H25" s="45"/>
      <c r="I25" s="45"/>
      <c r="J25" s="43"/>
      <c r="K25" s="43"/>
      <c r="L25" s="44"/>
      <c r="M25" s="46"/>
      <c r="N25" s="46"/>
      <c r="O25" s="40"/>
      <c r="P25" s="46"/>
      <c r="Q25" s="46"/>
      <c r="R25" s="47" t="str">
        <f aca="false">IF(B25="","",ROUND(G25*H25,0))</f>
        <v/>
      </c>
      <c r="S25" s="47" t="str">
        <f aca="false">IF(B25="","",ROUND(R25*I25,0))</f>
        <v/>
      </c>
      <c r="T25" s="47" t="str">
        <f aca="false">IF(B25="","",G25-R25-S25)</f>
        <v/>
      </c>
      <c r="U25" s="48" t="str">
        <f aca="false">IF(B25="","",IF(COUNTIF($B$5:$B$54,B25)&gt;1,"Duplicate Emp ID",IF(AND(K25="Yes",G25&gt;'Basic Details'!$C$16),"ESI: gross above limit",IF(H25&lt;0.5,"Basic below 50%","OK"))))</f>
        <v/>
      </c>
    </row>
    <row r="26" customFormat="false" ht="15" hidden="false" customHeight="false" outlineLevel="0" collapsed="false">
      <c r="A26" s="38" t="str">
        <f aca="false">IF(B26="","",ROW()-4)</f>
        <v/>
      </c>
      <c r="B26" s="43"/>
      <c r="C26" s="40"/>
      <c r="D26" s="40"/>
      <c r="E26" s="40"/>
      <c r="F26" s="39"/>
      <c r="G26" s="44"/>
      <c r="H26" s="45"/>
      <c r="I26" s="45"/>
      <c r="J26" s="43"/>
      <c r="K26" s="43"/>
      <c r="L26" s="44"/>
      <c r="M26" s="46"/>
      <c r="N26" s="46"/>
      <c r="O26" s="40"/>
      <c r="P26" s="46"/>
      <c r="Q26" s="46"/>
      <c r="R26" s="47" t="str">
        <f aca="false">IF(B26="","",ROUND(G26*H26,0))</f>
        <v/>
      </c>
      <c r="S26" s="47" t="str">
        <f aca="false">IF(B26="","",ROUND(R26*I26,0))</f>
        <v/>
      </c>
      <c r="T26" s="47" t="str">
        <f aca="false">IF(B26="","",G26-R26-S26)</f>
        <v/>
      </c>
      <c r="U26" s="48" t="str">
        <f aca="false">IF(B26="","",IF(COUNTIF($B$5:$B$54,B26)&gt;1,"Duplicate Emp ID",IF(AND(K26="Yes",G26&gt;'Basic Details'!$C$16),"ESI: gross above limit",IF(H26&lt;0.5,"Basic below 50%","OK"))))</f>
        <v/>
      </c>
    </row>
    <row r="27" customFormat="false" ht="15" hidden="false" customHeight="false" outlineLevel="0" collapsed="false">
      <c r="A27" s="38" t="str">
        <f aca="false">IF(B27="","",ROW()-4)</f>
        <v/>
      </c>
      <c r="B27" s="43"/>
      <c r="C27" s="40"/>
      <c r="D27" s="40"/>
      <c r="E27" s="40"/>
      <c r="F27" s="39"/>
      <c r="G27" s="44"/>
      <c r="H27" s="45"/>
      <c r="I27" s="45"/>
      <c r="J27" s="43"/>
      <c r="K27" s="43"/>
      <c r="L27" s="44"/>
      <c r="M27" s="46"/>
      <c r="N27" s="46"/>
      <c r="O27" s="40"/>
      <c r="P27" s="46"/>
      <c r="Q27" s="46"/>
      <c r="R27" s="47" t="str">
        <f aca="false">IF(B27="","",ROUND(G27*H27,0))</f>
        <v/>
      </c>
      <c r="S27" s="47" t="str">
        <f aca="false">IF(B27="","",ROUND(R27*I27,0))</f>
        <v/>
      </c>
      <c r="T27" s="47" t="str">
        <f aca="false">IF(B27="","",G27-R27-S27)</f>
        <v/>
      </c>
      <c r="U27" s="48" t="str">
        <f aca="false">IF(B27="","",IF(COUNTIF($B$5:$B$54,B27)&gt;1,"Duplicate Emp ID",IF(AND(K27="Yes",G27&gt;'Basic Details'!$C$16),"ESI: gross above limit",IF(H27&lt;0.5,"Basic below 50%","OK"))))</f>
        <v/>
      </c>
    </row>
    <row r="28" customFormat="false" ht="15" hidden="false" customHeight="false" outlineLevel="0" collapsed="false">
      <c r="A28" s="38" t="str">
        <f aca="false">IF(B28="","",ROW()-4)</f>
        <v/>
      </c>
      <c r="B28" s="43"/>
      <c r="C28" s="40"/>
      <c r="D28" s="40"/>
      <c r="E28" s="40"/>
      <c r="F28" s="39"/>
      <c r="G28" s="44"/>
      <c r="H28" s="45"/>
      <c r="I28" s="45"/>
      <c r="J28" s="43"/>
      <c r="K28" s="43"/>
      <c r="L28" s="44"/>
      <c r="M28" s="46"/>
      <c r="N28" s="46"/>
      <c r="O28" s="40"/>
      <c r="P28" s="46"/>
      <c r="Q28" s="46"/>
      <c r="R28" s="47" t="str">
        <f aca="false">IF(B28="","",ROUND(G28*H28,0))</f>
        <v/>
      </c>
      <c r="S28" s="47" t="str">
        <f aca="false">IF(B28="","",ROUND(R28*I28,0))</f>
        <v/>
      </c>
      <c r="T28" s="47" t="str">
        <f aca="false">IF(B28="","",G28-R28-S28)</f>
        <v/>
      </c>
      <c r="U28" s="48" t="str">
        <f aca="false">IF(B28="","",IF(COUNTIF($B$5:$B$54,B28)&gt;1,"Duplicate Emp ID",IF(AND(K28="Yes",G28&gt;'Basic Details'!$C$16),"ESI: gross above limit",IF(H28&lt;0.5,"Basic below 50%","OK"))))</f>
        <v/>
      </c>
    </row>
    <row r="29" customFormat="false" ht="15" hidden="false" customHeight="false" outlineLevel="0" collapsed="false">
      <c r="A29" s="38" t="str">
        <f aca="false">IF(B29="","",ROW()-4)</f>
        <v/>
      </c>
      <c r="B29" s="43"/>
      <c r="C29" s="40"/>
      <c r="D29" s="40"/>
      <c r="E29" s="40"/>
      <c r="F29" s="39"/>
      <c r="G29" s="44"/>
      <c r="H29" s="45"/>
      <c r="I29" s="45"/>
      <c r="J29" s="43"/>
      <c r="K29" s="43"/>
      <c r="L29" s="44"/>
      <c r="M29" s="46"/>
      <c r="N29" s="46"/>
      <c r="O29" s="40"/>
      <c r="P29" s="46"/>
      <c r="Q29" s="46"/>
      <c r="R29" s="47" t="str">
        <f aca="false">IF(B29="","",ROUND(G29*H29,0))</f>
        <v/>
      </c>
      <c r="S29" s="47" t="str">
        <f aca="false">IF(B29="","",ROUND(R29*I29,0))</f>
        <v/>
      </c>
      <c r="T29" s="47" t="str">
        <f aca="false">IF(B29="","",G29-R29-S29)</f>
        <v/>
      </c>
      <c r="U29" s="48" t="str">
        <f aca="false">IF(B29="","",IF(COUNTIF($B$5:$B$54,B29)&gt;1,"Duplicate Emp ID",IF(AND(K29="Yes",G29&gt;'Basic Details'!$C$16),"ESI: gross above limit",IF(H29&lt;0.5,"Basic below 50%","OK"))))</f>
        <v/>
      </c>
    </row>
    <row r="30" customFormat="false" ht="15" hidden="false" customHeight="false" outlineLevel="0" collapsed="false">
      <c r="A30" s="38" t="str">
        <f aca="false">IF(B30="","",ROW()-4)</f>
        <v/>
      </c>
      <c r="B30" s="43"/>
      <c r="C30" s="40"/>
      <c r="D30" s="40"/>
      <c r="E30" s="40"/>
      <c r="F30" s="39"/>
      <c r="G30" s="44"/>
      <c r="H30" s="45"/>
      <c r="I30" s="45"/>
      <c r="J30" s="43"/>
      <c r="K30" s="43"/>
      <c r="L30" s="44"/>
      <c r="M30" s="46"/>
      <c r="N30" s="46"/>
      <c r="O30" s="40"/>
      <c r="P30" s="46"/>
      <c r="Q30" s="46"/>
      <c r="R30" s="47" t="str">
        <f aca="false">IF(B30="","",ROUND(G30*H30,0))</f>
        <v/>
      </c>
      <c r="S30" s="47" t="str">
        <f aca="false">IF(B30="","",ROUND(R30*I30,0))</f>
        <v/>
      </c>
      <c r="T30" s="47" t="str">
        <f aca="false">IF(B30="","",G30-R30-S30)</f>
        <v/>
      </c>
      <c r="U30" s="48" t="str">
        <f aca="false">IF(B30="","",IF(COUNTIF($B$5:$B$54,B30)&gt;1,"Duplicate Emp ID",IF(AND(K30="Yes",G30&gt;'Basic Details'!$C$16),"ESI: gross above limit",IF(H30&lt;0.5,"Basic below 50%","OK"))))</f>
        <v/>
      </c>
    </row>
    <row r="31" customFormat="false" ht="15" hidden="false" customHeight="false" outlineLevel="0" collapsed="false">
      <c r="A31" s="38" t="str">
        <f aca="false">IF(B31="","",ROW()-4)</f>
        <v/>
      </c>
      <c r="B31" s="43"/>
      <c r="C31" s="40"/>
      <c r="D31" s="40"/>
      <c r="E31" s="40"/>
      <c r="F31" s="39"/>
      <c r="G31" s="44"/>
      <c r="H31" s="45"/>
      <c r="I31" s="45"/>
      <c r="J31" s="43"/>
      <c r="K31" s="43"/>
      <c r="L31" s="44"/>
      <c r="M31" s="46"/>
      <c r="N31" s="46"/>
      <c r="O31" s="40"/>
      <c r="P31" s="46"/>
      <c r="Q31" s="46"/>
      <c r="R31" s="47" t="str">
        <f aca="false">IF(B31="","",ROUND(G31*H31,0))</f>
        <v/>
      </c>
      <c r="S31" s="47" t="str">
        <f aca="false">IF(B31="","",ROUND(R31*I31,0))</f>
        <v/>
      </c>
      <c r="T31" s="47" t="str">
        <f aca="false">IF(B31="","",G31-R31-S31)</f>
        <v/>
      </c>
      <c r="U31" s="48" t="str">
        <f aca="false">IF(B31="","",IF(COUNTIF($B$5:$B$54,B31)&gt;1,"Duplicate Emp ID",IF(AND(K31="Yes",G31&gt;'Basic Details'!$C$16),"ESI: gross above limit",IF(H31&lt;0.5,"Basic below 50%","OK"))))</f>
        <v/>
      </c>
    </row>
    <row r="32" customFormat="false" ht="15" hidden="false" customHeight="false" outlineLevel="0" collapsed="false">
      <c r="A32" s="38" t="str">
        <f aca="false">IF(B32="","",ROW()-4)</f>
        <v/>
      </c>
      <c r="B32" s="43"/>
      <c r="C32" s="40"/>
      <c r="D32" s="40"/>
      <c r="E32" s="40"/>
      <c r="F32" s="39"/>
      <c r="G32" s="44"/>
      <c r="H32" s="45"/>
      <c r="I32" s="45"/>
      <c r="J32" s="43"/>
      <c r="K32" s="43"/>
      <c r="L32" s="44"/>
      <c r="M32" s="46"/>
      <c r="N32" s="46"/>
      <c r="O32" s="40"/>
      <c r="P32" s="46"/>
      <c r="Q32" s="46"/>
      <c r="R32" s="47" t="str">
        <f aca="false">IF(B32="","",ROUND(G32*H32,0))</f>
        <v/>
      </c>
      <c r="S32" s="47" t="str">
        <f aca="false">IF(B32="","",ROUND(R32*I32,0))</f>
        <v/>
      </c>
      <c r="T32" s="47" t="str">
        <f aca="false">IF(B32="","",G32-R32-S32)</f>
        <v/>
      </c>
      <c r="U32" s="48" t="str">
        <f aca="false">IF(B32="","",IF(COUNTIF($B$5:$B$54,B32)&gt;1,"Duplicate Emp ID",IF(AND(K32="Yes",G32&gt;'Basic Details'!$C$16),"ESI: gross above limit",IF(H32&lt;0.5,"Basic below 50%","OK"))))</f>
        <v/>
      </c>
    </row>
    <row r="33" customFormat="false" ht="15" hidden="false" customHeight="false" outlineLevel="0" collapsed="false">
      <c r="A33" s="38" t="str">
        <f aca="false">IF(B33="","",ROW()-4)</f>
        <v/>
      </c>
      <c r="B33" s="43"/>
      <c r="C33" s="40"/>
      <c r="D33" s="40"/>
      <c r="E33" s="40"/>
      <c r="F33" s="39"/>
      <c r="G33" s="44"/>
      <c r="H33" s="45"/>
      <c r="I33" s="45"/>
      <c r="J33" s="43"/>
      <c r="K33" s="43"/>
      <c r="L33" s="44"/>
      <c r="M33" s="46"/>
      <c r="N33" s="46"/>
      <c r="O33" s="40"/>
      <c r="P33" s="46"/>
      <c r="Q33" s="46"/>
      <c r="R33" s="47" t="str">
        <f aca="false">IF(B33="","",ROUND(G33*H33,0))</f>
        <v/>
      </c>
      <c r="S33" s="47" t="str">
        <f aca="false">IF(B33="","",ROUND(R33*I33,0))</f>
        <v/>
      </c>
      <c r="T33" s="47" t="str">
        <f aca="false">IF(B33="","",G33-R33-S33)</f>
        <v/>
      </c>
      <c r="U33" s="48" t="str">
        <f aca="false">IF(B33="","",IF(COUNTIF($B$5:$B$54,B33)&gt;1,"Duplicate Emp ID",IF(AND(K33="Yes",G33&gt;'Basic Details'!$C$16),"ESI: gross above limit",IF(H33&lt;0.5,"Basic below 50%","OK"))))</f>
        <v/>
      </c>
    </row>
    <row r="34" customFormat="false" ht="15" hidden="false" customHeight="false" outlineLevel="0" collapsed="false">
      <c r="A34" s="38" t="str">
        <f aca="false">IF(B34="","",ROW()-4)</f>
        <v/>
      </c>
      <c r="B34" s="43"/>
      <c r="C34" s="40"/>
      <c r="D34" s="40"/>
      <c r="E34" s="40"/>
      <c r="F34" s="39"/>
      <c r="G34" s="44"/>
      <c r="H34" s="45"/>
      <c r="I34" s="45"/>
      <c r="J34" s="43"/>
      <c r="K34" s="43"/>
      <c r="L34" s="44"/>
      <c r="M34" s="46"/>
      <c r="N34" s="46"/>
      <c r="O34" s="40"/>
      <c r="P34" s="46"/>
      <c r="Q34" s="46"/>
      <c r="R34" s="47" t="str">
        <f aca="false">IF(B34="","",ROUND(G34*H34,0))</f>
        <v/>
      </c>
      <c r="S34" s="47" t="str">
        <f aca="false">IF(B34="","",ROUND(R34*I34,0))</f>
        <v/>
      </c>
      <c r="T34" s="47" t="str">
        <f aca="false">IF(B34="","",G34-R34-S34)</f>
        <v/>
      </c>
      <c r="U34" s="48" t="str">
        <f aca="false">IF(B34="","",IF(COUNTIF($B$5:$B$54,B34)&gt;1,"Duplicate Emp ID",IF(AND(K34="Yes",G34&gt;'Basic Details'!$C$16),"ESI: gross above limit",IF(H34&lt;0.5,"Basic below 50%","OK"))))</f>
        <v/>
      </c>
    </row>
    <row r="35" customFormat="false" ht="15" hidden="false" customHeight="false" outlineLevel="0" collapsed="false">
      <c r="A35" s="38" t="str">
        <f aca="false">IF(B35="","",ROW()-4)</f>
        <v/>
      </c>
      <c r="B35" s="43"/>
      <c r="C35" s="40"/>
      <c r="D35" s="40"/>
      <c r="E35" s="40"/>
      <c r="F35" s="39"/>
      <c r="G35" s="44"/>
      <c r="H35" s="45"/>
      <c r="I35" s="45"/>
      <c r="J35" s="43"/>
      <c r="K35" s="43"/>
      <c r="L35" s="44"/>
      <c r="M35" s="46"/>
      <c r="N35" s="46"/>
      <c r="O35" s="40"/>
      <c r="P35" s="46"/>
      <c r="Q35" s="46"/>
      <c r="R35" s="47" t="str">
        <f aca="false">IF(B35="","",ROUND(G35*H35,0))</f>
        <v/>
      </c>
      <c r="S35" s="47" t="str">
        <f aca="false">IF(B35="","",ROUND(R35*I35,0))</f>
        <v/>
      </c>
      <c r="T35" s="47" t="str">
        <f aca="false">IF(B35="","",G35-R35-S35)</f>
        <v/>
      </c>
      <c r="U35" s="48" t="str">
        <f aca="false">IF(B35="","",IF(COUNTIF($B$5:$B$54,B35)&gt;1,"Duplicate Emp ID",IF(AND(K35="Yes",G35&gt;'Basic Details'!$C$16),"ESI: gross above limit",IF(H35&lt;0.5,"Basic below 50%","OK"))))</f>
        <v/>
      </c>
    </row>
    <row r="36" customFormat="false" ht="15" hidden="false" customHeight="false" outlineLevel="0" collapsed="false">
      <c r="A36" s="38" t="str">
        <f aca="false">IF(B36="","",ROW()-4)</f>
        <v/>
      </c>
      <c r="B36" s="43"/>
      <c r="C36" s="40"/>
      <c r="D36" s="40"/>
      <c r="E36" s="40"/>
      <c r="F36" s="39"/>
      <c r="G36" s="44"/>
      <c r="H36" s="45"/>
      <c r="I36" s="45"/>
      <c r="J36" s="43"/>
      <c r="K36" s="43"/>
      <c r="L36" s="44"/>
      <c r="M36" s="46"/>
      <c r="N36" s="46"/>
      <c r="O36" s="40"/>
      <c r="P36" s="46"/>
      <c r="Q36" s="46"/>
      <c r="R36" s="47" t="str">
        <f aca="false">IF(B36="","",ROUND(G36*H36,0))</f>
        <v/>
      </c>
      <c r="S36" s="47" t="str">
        <f aca="false">IF(B36="","",ROUND(R36*I36,0))</f>
        <v/>
      </c>
      <c r="T36" s="47" t="str">
        <f aca="false">IF(B36="","",G36-R36-S36)</f>
        <v/>
      </c>
      <c r="U36" s="48" t="str">
        <f aca="false">IF(B36="","",IF(COUNTIF($B$5:$B$54,B36)&gt;1,"Duplicate Emp ID",IF(AND(K36="Yes",G36&gt;'Basic Details'!$C$16),"ESI: gross above limit",IF(H36&lt;0.5,"Basic below 50%","OK"))))</f>
        <v/>
      </c>
    </row>
    <row r="37" customFormat="false" ht="15" hidden="false" customHeight="false" outlineLevel="0" collapsed="false">
      <c r="A37" s="38" t="str">
        <f aca="false">IF(B37="","",ROW()-4)</f>
        <v/>
      </c>
      <c r="B37" s="43"/>
      <c r="C37" s="40"/>
      <c r="D37" s="40"/>
      <c r="E37" s="40"/>
      <c r="F37" s="39"/>
      <c r="G37" s="44"/>
      <c r="H37" s="45"/>
      <c r="I37" s="45"/>
      <c r="J37" s="43"/>
      <c r="K37" s="43"/>
      <c r="L37" s="44"/>
      <c r="M37" s="46"/>
      <c r="N37" s="46"/>
      <c r="O37" s="40"/>
      <c r="P37" s="46"/>
      <c r="Q37" s="46"/>
      <c r="R37" s="47" t="str">
        <f aca="false">IF(B37="","",ROUND(G37*H37,0))</f>
        <v/>
      </c>
      <c r="S37" s="47" t="str">
        <f aca="false">IF(B37="","",ROUND(R37*I37,0))</f>
        <v/>
      </c>
      <c r="T37" s="47" t="str">
        <f aca="false">IF(B37="","",G37-R37-S37)</f>
        <v/>
      </c>
      <c r="U37" s="48" t="str">
        <f aca="false">IF(B37="","",IF(COUNTIF($B$5:$B$54,B37)&gt;1,"Duplicate Emp ID",IF(AND(K37="Yes",G37&gt;'Basic Details'!$C$16),"ESI: gross above limit",IF(H37&lt;0.5,"Basic below 50%","OK"))))</f>
        <v/>
      </c>
    </row>
    <row r="38" customFormat="false" ht="15" hidden="false" customHeight="false" outlineLevel="0" collapsed="false">
      <c r="A38" s="38" t="str">
        <f aca="false">IF(B38="","",ROW()-4)</f>
        <v/>
      </c>
      <c r="B38" s="43"/>
      <c r="C38" s="40"/>
      <c r="D38" s="40"/>
      <c r="E38" s="40"/>
      <c r="F38" s="39"/>
      <c r="G38" s="44"/>
      <c r="H38" s="45"/>
      <c r="I38" s="45"/>
      <c r="J38" s="43"/>
      <c r="K38" s="43"/>
      <c r="L38" s="44"/>
      <c r="M38" s="46"/>
      <c r="N38" s="46"/>
      <c r="O38" s="40"/>
      <c r="P38" s="46"/>
      <c r="Q38" s="46"/>
      <c r="R38" s="47" t="str">
        <f aca="false">IF(B38="","",ROUND(G38*H38,0))</f>
        <v/>
      </c>
      <c r="S38" s="47" t="str">
        <f aca="false">IF(B38="","",ROUND(R38*I38,0))</f>
        <v/>
      </c>
      <c r="T38" s="47" t="str">
        <f aca="false">IF(B38="","",G38-R38-S38)</f>
        <v/>
      </c>
      <c r="U38" s="48" t="str">
        <f aca="false">IF(B38="","",IF(COUNTIF($B$5:$B$54,B38)&gt;1,"Duplicate Emp ID",IF(AND(K38="Yes",G38&gt;'Basic Details'!$C$16),"ESI: gross above limit",IF(H38&lt;0.5,"Basic below 50%","OK"))))</f>
        <v/>
      </c>
    </row>
    <row r="39" customFormat="false" ht="15" hidden="false" customHeight="false" outlineLevel="0" collapsed="false">
      <c r="A39" s="38" t="str">
        <f aca="false">IF(B39="","",ROW()-4)</f>
        <v/>
      </c>
      <c r="B39" s="43"/>
      <c r="C39" s="40"/>
      <c r="D39" s="40"/>
      <c r="E39" s="40"/>
      <c r="F39" s="39"/>
      <c r="G39" s="44"/>
      <c r="H39" s="45"/>
      <c r="I39" s="45"/>
      <c r="J39" s="43"/>
      <c r="K39" s="43"/>
      <c r="L39" s="44"/>
      <c r="M39" s="46"/>
      <c r="N39" s="46"/>
      <c r="O39" s="40"/>
      <c r="P39" s="46"/>
      <c r="Q39" s="46"/>
      <c r="R39" s="47" t="str">
        <f aca="false">IF(B39="","",ROUND(G39*H39,0))</f>
        <v/>
      </c>
      <c r="S39" s="47" t="str">
        <f aca="false">IF(B39="","",ROUND(R39*I39,0))</f>
        <v/>
      </c>
      <c r="T39" s="47" t="str">
        <f aca="false">IF(B39="","",G39-R39-S39)</f>
        <v/>
      </c>
      <c r="U39" s="48" t="str">
        <f aca="false">IF(B39="","",IF(COUNTIF($B$5:$B$54,B39)&gt;1,"Duplicate Emp ID",IF(AND(K39="Yes",G39&gt;'Basic Details'!$C$16),"ESI: gross above limit",IF(H39&lt;0.5,"Basic below 50%","OK"))))</f>
        <v/>
      </c>
    </row>
    <row r="40" customFormat="false" ht="15" hidden="false" customHeight="false" outlineLevel="0" collapsed="false">
      <c r="A40" s="38" t="str">
        <f aca="false">IF(B40="","",ROW()-4)</f>
        <v/>
      </c>
      <c r="B40" s="43"/>
      <c r="C40" s="40"/>
      <c r="D40" s="40"/>
      <c r="E40" s="40"/>
      <c r="F40" s="39"/>
      <c r="G40" s="44"/>
      <c r="H40" s="45"/>
      <c r="I40" s="45"/>
      <c r="J40" s="43"/>
      <c r="K40" s="43"/>
      <c r="L40" s="44"/>
      <c r="M40" s="46"/>
      <c r="N40" s="46"/>
      <c r="O40" s="40"/>
      <c r="P40" s="46"/>
      <c r="Q40" s="46"/>
      <c r="R40" s="47" t="str">
        <f aca="false">IF(B40="","",ROUND(G40*H40,0))</f>
        <v/>
      </c>
      <c r="S40" s="47" t="str">
        <f aca="false">IF(B40="","",ROUND(R40*I40,0))</f>
        <v/>
      </c>
      <c r="T40" s="47" t="str">
        <f aca="false">IF(B40="","",G40-R40-S40)</f>
        <v/>
      </c>
      <c r="U40" s="48" t="str">
        <f aca="false">IF(B40="","",IF(COUNTIF($B$5:$B$54,B40)&gt;1,"Duplicate Emp ID",IF(AND(K40="Yes",G40&gt;'Basic Details'!$C$16),"ESI: gross above limit",IF(H40&lt;0.5,"Basic below 50%","OK"))))</f>
        <v/>
      </c>
    </row>
    <row r="41" customFormat="false" ht="15" hidden="false" customHeight="false" outlineLevel="0" collapsed="false">
      <c r="A41" s="38" t="str">
        <f aca="false">IF(B41="","",ROW()-4)</f>
        <v/>
      </c>
      <c r="B41" s="43"/>
      <c r="C41" s="40"/>
      <c r="D41" s="40"/>
      <c r="E41" s="40"/>
      <c r="F41" s="39"/>
      <c r="G41" s="44"/>
      <c r="H41" s="45"/>
      <c r="I41" s="45"/>
      <c r="J41" s="43"/>
      <c r="K41" s="43"/>
      <c r="L41" s="44"/>
      <c r="M41" s="46"/>
      <c r="N41" s="46"/>
      <c r="O41" s="40"/>
      <c r="P41" s="46"/>
      <c r="Q41" s="46"/>
      <c r="R41" s="47" t="str">
        <f aca="false">IF(B41="","",ROUND(G41*H41,0))</f>
        <v/>
      </c>
      <c r="S41" s="47" t="str">
        <f aca="false">IF(B41="","",ROUND(R41*I41,0))</f>
        <v/>
      </c>
      <c r="T41" s="47" t="str">
        <f aca="false">IF(B41="","",G41-R41-S41)</f>
        <v/>
      </c>
      <c r="U41" s="48" t="str">
        <f aca="false">IF(B41="","",IF(COUNTIF($B$5:$B$54,B41)&gt;1,"Duplicate Emp ID",IF(AND(K41="Yes",G41&gt;'Basic Details'!$C$16),"ESI: gross above limit",IF(H41&lt;0.5,"Basic below 50%","OK"))))</f>
        <v/>
      </c>
    </row>
    <row r="42" customFormat="false" ht="15" hidden="false" customHeight="false" outlineLevel="0" collapsed="false">
      <c r="A42" s="38" t="str">
        <f aca="false">IF(B42="","",ROW()-4)</f>
        <v/>
      </c>
      <c r="B42" s="43"/>
      <c r="C42" s="40"/>
      <c r="D42" s="40"/>
      <c r="E42" s="40"/>
      <c r="F42" s="39"/>
      <c r="G42" s="44"/>
      <c r="H42" s="45"/>
      <c r="I42" s="45"/>
      <c r="J42" s="43"/>
      <c r="K42" s="43"/>
      <c r="L42" s="44"/>
      <c r="M42" s="46"/>
      <c r="N42" s="46"/>
      <c r="O42" s="40"/>
      <c r="P42" s="46"/>
      <c r="Q42" s="46"/>
      <c r="R42" s="47" t="str">
        <f aca="false">IF(B42="","",ROUND(G42*H42,0))</f>
        <v/>
      </c>
      <c r="S42" s="47" t="str">
        <f aca="false">IF(B42="","",ROUND(R42*I42,0))</f>
        <v/>
      </c>
      <c r="T42" s="47" t="str">
        <f aca="false">IF(B42="","",G42-R42-S42)</f>
        <v/>
      </c>
      <c r="U42" s="48" t="str">
        <f aca="false">IF(B42="","",IF(COUNTIF($B$5:$B$54,B42)&gt;1,"Duplicate Emp ID",IF(AND(K42="Yes",G42&gt;'Basic Details'!$C$16),"ESI: gross above limit",IF(H42&lt;0.5,"Basic below 50%","OK"))))</f>
        <v/>
      </c>
    </row>
    <row r="43" customFormat="false" ht="15" hidden="false" customHeight="false" outlineLevel="0" collapsed="false">
      <c r="A43" s="38" t="str">
        <f aca="false">IF(B43="","",ROW()-4)</f>
        <v/>
      </c>
      <c r="B43" s="43"/>
      <c r="C43" s="40"/>
      <c r="D43" s="40"/>
      <c r="E43" s="40"/>
      <c r="F43" s="39"/>
      <c r="G43" s="44"/>
      <c r="H43" s="45"/>
      <c r="I43" s="45"/>
      <c r="J43" s="43"/>
      <c r="K43" s="43"/>
      <c r="L43" s="44"/>
      <c r="M43" s="46"/>
      <c r="N43" s="46"/>
      <c r="O43" s="40"/>
      <c r="P43" s="46"/>
      <c r="Q43" s="46"/>
      <c r="R43" s="47" t="str">
        <f aca="false">IF(B43="","",ROUND(G43*H43,0))</f>
        <v/>
      </c>
      <c r="S43" s="47" t="str">
        <f aca="false">IF(B43="","",ROUND(R43*I43,0))</f>
        <v/>
      </c>
      <c r="T43" s="47" t="str">
        <f aca="false">IF(B43="","",G43-R43-S43)</f>
        <v/>
      </c>
      <c r="U43" s="48" t="str">
        <f aca="false">IF(B43="","",IF(COUNTIF($B$5:$B$54,B43)&gt;1,"Duplicate Emp ID",IF(AND(K43="Yes",G43&gt;'Basic Details'!$C$16),"ESI: gross above limit",IF(H43&lt;0.5,"Basic below 50%","OK"))))</f>
        <v/>
      </c>
    </row>
    <row r="44" customFormat="false" ht="15" hidden="false" customHeight="false" outlineLevel="0" collapsed="false">
      <c r="A44" s="38" t="str">
        <f aca="false">IF(B44="","",ROW()-4)</f>
        <v/>
      </c>
      <c r="B44" s="43"/>
      <c r="C44" s="40"/>
      <c r="D44" s="40"/>
      <c r="E44" s="40"/>
      <c r="F44" s="39"/>
      <c r="G44" s="44"/>
      <c r="H44" s="45"/>
      <c r="I44" s="45"/>
      <c r="J44" s="43"/>
      <c r="K44" s="43"/>
      <c r="L44" s="44"/>
      <c r="M44" s="46"/>
      <c r="N44" s="46"/>
      <c r="O44" s="40"/>
      <c r="P44" s="46"/>
      <c r="Q44" s="46"/>
      <c r="R44" s="47" t="str">
        <f aca="false">IF(B44="","",ROUND(G44*H44,0))</f>
        <v/>
      </c>
      <c r="S44" s="47" t="str">
        <f aca="false">IF(B44="","",ROUND(R44*I44,0))</f>
        <v/>
      </c>
      <c r="T44" s="47" t="str">
        <f aca="false">IF(B44="","",G44-R44-S44)</f>
        <v/>
      </c>
      <c r="U44" s="48" t="str">
        <f aca="false">IF(B44="","",IF(COUNTIF($B$5:$B$54,B44)&gt;1,"Duplicate Emp ID",IF(AND(K44="Yes",G44&gt;'Basic Details'!$C$16),"ESI: gross above limit",IF(H44&lt;0.5,"Basic below 50%","OK"))))</f>
        <v/>
      </c>
    </row>
    <row r="45" customFormat="false" ht="15" hidden="false" customHeight="false" outlineLevel="0" collapsed="false">
      <c r="A45" s="38" t="str">
        <f aca="false">IF(B45="","",ROW()-4)</f>
        <v/>
      </c>
      <c r="B45" s="43"/>
      <c r="C45" s="40"/>
      <c r="D45" s="40"/>
      <c r="E45" s="40"/>
      <c r="F45" s="39"/>
      <c r="G45" s="44"/>
      <c r="H45" s="45"/>
      <c r="I45" s="45"/>
      <c r="J45" s="43"/>
      <c r="K45" s="43"/>
      <c r="L45" s="44"/>
      <c r="M45" s="46"/>
      <c r="N45" s="46"/>
      <c r="O45" s="40"/>
      <c r="P45" s="46"/>
      <c r="Q45" s="46"/>
      <c r="R45" s="47" t="str">
        <f aca="false">IF(B45="","",ROUND(G45*H45,0))</f>
        <v/>
      </c>
      <c r="S45" s="47" t="str">
        <f aca="false">IF(B45="","",ROUND(R45*I45,0))</f>
        <v/>
      </c>
      <c r="T45" s="47" t="str">
        <f aca="false">IF(B45="","",G45-R45-S45)</f>
        <v/>
      </c>
      <c r="U45" s="48" t="str">
        <f aca="false">IF(B45="","",IF(COUNTIF($B$5:$B$54,B45)&gt;1,"Duplicate Emp ID",IF(AND(K45="Yes",G45&gt;'Basic Details'!$C$16),"ESI: gross above limit",IF(H45&lt;0.5,"Basic below 50%","OK"))))</f>
        <v/>
      </c>
    </row>
    <row r="46" customFormat="false" ht="15" hidden="false" customHeight="false" outlineLevel="0" collapsed="false">
      <c r="A46" s="38" t="str">
        <f aca="false">IF(B46="","",ROW()-4)</f>
        <v/>
      </c>
      <c r="B46" s="43"/>
      <c r="C46" s="40"/>
      <c r="D46" s="40"/>
      <c r="E46" s="40"/>
      <c r="F46" s="39"/>
      <c r="G46" s="44"/>
      <c r="H46" s="45"/>
      <c r="I46" s="45"/>
      <c r="J46" s="43"/>
      <c r="K46" s="43"/>
      <c r="L46" s="44"/>
      <c r="M46" s="46"/>
      <c r="N46" s="46"/>
      <c r="O46" s="40"/>
      <c r="P46" s="46"/>
      <c r="Q46" s="46"/>
      <c r="R46" s="47" t="str">
        <f aca="false">IF(B46="","",ROUND(G46*H46,0))</f>
        <v/>
      </c>
      <c r="S46" s="47" t="str">
        <f aca="false">IF(B46="","",ROUND(R46*I46,0))</f>
        <v/>
      </c>
      <c r="T46" s="47" t="str">
        <f aca="false">IF(B46="","",G46-R46-S46)</f>
        <v/>
      </c>
      <c r="U46" s="48" t="str">
        <f aca="false">IF(B46="","",IF(COUNTIF($B$5:$B$54,B46)&gt;1,"Duplicate Emp ID",IF(AND(K46="Yes",G46&gt;'Basic Details'!$C$16),"ESI: gross above limit",IF(H46&lt;0.5,"Basic below 50%","OK"))))</f>
        <v/>
      </c>
    </row>
    <row r="47" customFormat="false" ht="15" hidden="false" customHeight="false" outlineLevel="0" collapsed="false">
      <c r="A47" s="38" t="str">
        <f aca="false">IF(B47="","",ROW()-4)</f>
        <v/>
      </c>
      <c r="B47" s="43"/>
      <c r="C47" s="40"/>
      <c r="D47" s="40"/>
      <c r="E47" s="40"/>
      <c r="F47" s="39"/>
      <c r="G47" s="44"/>
      <c r="H47" s="45"/>
      <c r="I47" s="45"/>
      <c r="J47" s="43"/>
      <c r="K47" s="43"/>
      <c r="L47" s="44"/>
      <c r="M47" s="46"/>
      <c r="N47" s="46"/>
      <c r="O47" s="40"/>
      <c r="P47" s="46"/>
      <c r="Q47" s="46"/>
      <c r="R47" s="47" t="str">
        <f aca="false">IF(B47="","",ROUND(G47*H47,0))</f>
        <v/>
      </c>
      <c r="S47" s="47" t="str">
        <f aca="false">IF(B47="","",ROUND(R47*I47,0))</f>
        <v/>
      </c>
      <c r="T47" s="47" t="str">
        <f aca="false">IF(B47="","",G47-R47-S47)</f>
        <v/>
      </c>
      <c r="U47" s="48" t="str">
        <f aca="false">IF(B47="","",IF(COUNTIF($B$5:$B$54,B47)&gt;1,"Duplicate Emp ID",IF(AND(K47="Yes",G47&gt;'Basic Details'!$C$16),"ESI: gross above limit",IF(H47&lt;0.5,"Basic below 50%","OK"))))</f>
        <v/>
      </c>
    </row>
    <row r="48" customFormat="false" ht="15" hidden="false" customHeight="false" outlineLevel="0" collapsed="false">
      <c r="A48" s="38" t="str">
        <f aca="false">IF(B48="","",ROW()-4)</f>
        <v/>
      </c>
      <c r="B48" s="43"/>
      <c r="C48" s="40"/>
      <c r="D48" s="40"/>
      <c r="E48" s="40"/>
      <c r="F48" s="39"/>
      <c r="G48" s="44"/>
      <c r="H48" s="45"/>
      <c r="I48" s="45"/>
      <c r="J48" s="43"/>
      <c r="K48" s="43"/>
      <c r="L48" s="44"/>
      <c r="M48" s="46"/>
      <c r="N48" s="46"/>
      <c r="O48" s="40"/>
      <c r="P48" s="46"/>
      <c r="Q48" s="46"/>
      <c r="R48" s="47" t="str">
        <f aca="false">IF(B48="","",ROUND(G48*H48,0))</f>
        <v/>
      </c>
      <c r="S48" s="47" t="str">
        <f aca="false">IF(B48="","",ROUND(R48*I48,0))</f>
        <v/>
      </c>
      <c r="T48" s="47" t="str">
        <f aca="false">IF(B48="","",G48-R48-S48)</f>
        <v/>
      </c>
      <c r="U48" s="48" t="str">
        <f aca="false">IF(B48="","",IF(COUNTIF($B$5:$B$54,B48)&gt;1,"Duplicate Emp ID",IF(AND(K48="Yes",G48&gt;'Basic Details'!$C$16),"ESI: gross above limit",IF(H48&lt;0.5,"Basic below 50%","OK"))))</f>
        <v/>
      </c>
    </row>
    <row r="49" customFormat="false" ht="15" hidden="false" customHeight="false" outlineLevel="0" collapsed="false">
      <c r="A49" s="38" t="str">
        <f aca="false">IF(B49="","",ROW()-4)</f>
        <v/>
      </c>
      <c r="B49" s="43"/>
      <c r="C49" s="40"/>
      <c r="D49" s="40"/>
      <c r="E49" s="40"/>
      <c r="F49" s="39"/>
      <c r="G49" s="44"/>
      <c r="H49" s="45"/>
      <c r="I49" s="45"/>
      <c r="J49" s="43"/>
      <c r="K49" s="43"/>
      <c r="L49" s="44"/>
      <c r="M49" s="46"/>
      <c r="N49" s="46"/>
      <c r="O49" s="40"/>
      <c r="P49" s="46"/>
      <c r="Q49" s="46"/>
      <c r="R49" s="47" t="str">
        <f aca="false">IF(B49="","",ROUND(G49*H49,0))</f>
        <v/>
      </c>
      <c r="S49" s="47" t="str">
        <f aca="false">IF(B49="","",ROUND(R49*I49,0))</f>
        <v/>
      </c>
      <c r="T49" s="47" t="str">
        <f aca="false">IF(B49="","",G49-R49-S49)</f>
        <v/>
      </c>
      <c r="U49" s="48" t="str">
        <f aca="false">IF(B49="","",IF(COUNTIF($B$5:$B$54,B49)&gt;1,"Duplicate Emp ID",IF(AND(K49="Yes",G49&gt;'Basic Details'!$C$16),"ESI: gross above limit",IF(H49&lt;0.5,"Basic below 50%","OK"))))</f>
        <v/>
      </c>
    </row>
    <row r="50" customFormat="false" ht="15" hidden="false" customHeight="false" outlineLevel="0" collapsed="false">
      <c r="A50" s="38" t="str">
        <f aca="false">IF(B50="","",ROW()-4)</f>
        <v/>
      </c>
      <c r="B50" s="43"/>
      <c r="C50" s="40"/>
      <c r="D50" s="40"/>
      <c r="E50" s="40"/>
      <c r="F50" s="39"/>
      <c r="G50" s="44"/>
      <c r="H50" s="45"/>
      <c r="I50" s="45"/>
      <c r="J50" s="43"/>
      <c r="K50" s="43"/>
      <c r="L50" s="44"/>
      <c r="M50" s="46"/>
      <c r="N50" s="46"/>
      <c r="O50" s="40"/>
      <c r="P50" s="46"/>
      <c r="Q50" s="46"/>
      <c r="R50" s="47" t="str">
        <f aca="false">IF(B50="","",ROUND(G50*H50,0))</f>
        <v/>
      </c>
      <c r="S50" s="47" t="str">
        <f aca="false">IF(B50="","",ROUND(R50*I50,0))</f>
        <v/>
      </c>
      <c r="T50" s="47" t="str">
        <f aca="false">IF(B50="","",G50-R50-S50)</f>
        <v/>
      </c>
      <c r="U50" s="48" t="str">
        <f aca="false">IF(B50="","",IF(COUNTIF($B$5:$B$54,B50)&gt;1,"Duplicate Emp ID",IF(AND(K50="Yes",G50&gt;'Basic Details'!$C$16),"ESI: gross above limit",IF(H50&lt;0.5,"Basic below 50%","OK"))))</f>
        <v/>
      </c>
    </row>
    <row r="51" customFormat="false" ht="15" hidden="false" customHeight="false" outlineLevel="0" collapsed="false">
      <c r="A51" s="38" t="str">
        <f aca="false">IF(B51="","",ROW()-4)</f>
        <v/>
      </c>
      <c r="B51" s="43"/>
      <c r="C51" s="40"/>
      <c r="D51" s="40"/>
      <c r="E51" s="40"/>
      <c r="F51" s="39"/>
      <c r="G51" s="44"/>
      <c r="H51" s="45"/>
      <c r="I51" s="45"/>
      <c r="J51" s="43"/>
      <c r="K51" s="43"/>
      <c r="L51" s="44"/>
      <c r="M51" s="46"/>
      <c r="N51" s="46"/>
      <c r="O51" s="40"/>
      <c r="P51" s="46"/>
      <c r="Q51" s="46"/>
      <c r="R51" s="47" t="str">
        <f aca="false">IF(B51="","",ROUND(G51*H51,0))</f>
        <v/>
      </c>
      <c r="S51" s="47" t="str">
        <f aca="false">IF(B51="","",ROUND(R51*I51,0))</f>
        <v/>
      </c>
      <c r="T51" s="47" t="str">
        <f aca="false">IF(B51="","",G51-R51-S51)</f>
        <v/>
      </c>
      <c r="U51" s="48" t="str">
        <f aca="false">IF(B51="","",IF(COUNTIF($B$5:$B$54,B51)&gt;1,"Duplicate Emp ID",IF(AND(K51="Yes",G51&gt;'Basic Details'!$C$16),"ESI: gross above limit",IF(H51&lt;0.5,"Basic below 50%","OK"))))</f>
        <v/>
      </c>
    </row>
    <row r="52" customFormat="false" ht="15" hidden="false" customHeight="false" outlineLevel="0" collapsed="false">
      <c r="A52" s="38" t="str">
        <f aca="false">IF(B52="","",ROW()-4)</f>
        <v/>
      </c>
      <c r="B52" s="43"/>
      <c r="C52" s="40"/>
      <c r="D52" s="40"/>
      <c r="E52" s="40"/>
      <c r="F52" s="39"/>
      <c r="G52" s="44"/>
      <c r="H52" s="45"/>
      <c r="I52" s="45"/>
      <c r="J52" s="43"/>
      <c r="K52" s="43"/>
      <c r="L52" s="44"/>
      <c r="M52" s="46"/>
      <c r="N52" s="46"/>
      <c r="O52" s="40"/>
      <c r="P52" s="46"/>
      <c r="Q52" s="46"/>
      <c r="R52" s="47" t="str">
        <f aca="false">IF(B52="","",ROUND(G52*H52,0))</f>
        <v/>
      </c>
      <c r="S52" s="47" t="str">
        <f aca="false">IF(B52="","",ROUND(R52*I52,0))</f>
        <v/>
      </c>
      <c r="T52" s="47" t="str">
        <f aca="false">IF(B52="","",G52-R52-S52)</f>
        <v/>
      </c>
      <c r="U52" s="48" t="str">
        <f aca="false">IF(B52="","",IF(COUNTIF($B$5:$B$54,B52)&gt;1,"Duplicate Emp ID",IF(AND(K52="Yes",G52&gt;'Basic Details'!$C$16),"ESI: gross above limit",IF(H52&lt;0.5,"Basic below 50%","OK"))))</f>
        <v/>
      </c>
    </row>
    <row r="53" customFormat="false" ht="15" hidden="false" customHeight="false" outlineLevel="0" collapsed="false">
      <c r="A53" s="38" t="str">
        <f aca="false">IF(B53="","",ROW()-4)</f>
        <v/>
      </c>
      <c r="B53" s="43"/>
      <c r="C53" s="40"/>
      <c r="D53" s="40"/>
      <c r="E53" s="40"/>
      <c r="F53" s="39"/>
      <c r="G53" s="44"/>
      <c r="H53" s="45"/>
      <c r="I53" s="45"/>
      <c r="J53" s="43"/>
      <c r="K53" s="43"/>
      <c r="L53" s="44"/>
      <c r="M53" s="46"/>
      <c r="N53" s="46"/>
      <c r="O53" s="40"/>
      <c r="P53" s="46"/>
      <c r="Q53" s="46"/>
      <c r="R53" s="47" t="str">
        <f aca="false">IF(B53="","",ROUND(G53*H53,0))</f>
        <v/>
      </c>
      <c r="S53" s="47" t="str">
        <f aca="false">IF(B53="","",ROUND(R53*I53,0))</f>
        <v/>
      </c>
      <c r="T53" s="47" t="str">
        <f aca="false">IF(B53="","",G53-R53-S53)</f>
        <v/>
      </c>
      <c r="U53" s="48" t="str">
        <f aca="false">IF(B53="","",IF(COUNTIF($B$5:$B$54,B53)&gt;1,"Duplicate Emp ID",IF(AND(K53="Yes",G53&gt;'Basic Details'!$C$16),"ESI: gross above limit",IF(H53&lt;0.5,"Basic below 50%","OK"))))</f>
        <v/>
      </c>
    </row>
    <row r="54" customFormat="false" ht="15" hidden="false" customHeight="false" outlineLevel="0" collapsed="false">
      <c r="A54" s="38" t="str">
        <f aca="false">IF(B54="","",ROW()-4)</f>
        <v/>
      </c>
      <c r="B54" s="43"/>
      <c r="C54" s="40"/>
      <c r="D54" s="40"/>
      <c r="E54" s="40"/>
      <c r="F54" s="39"/>
      <c r="G54" s="44"/>
      <c r="H54" s="45"/>
      <c r="I54" s="45"/>
      <c r="J54" s="43"/>
      <c r="K54" s="43"/>
      <c r="L54" s="44"/>
      <c r="M54" s="46"/>
      <c r="N54" s="46"/>
      <c r="O54" s="40"/>
      <c r="P54" s="46"/>
      <c r="Q54" s="46"/>
      <c r="R54" s="47" t="str">
        <f aca="false">IF(B54="","",ROUND(G54*H54,0))</f>
        <v/>
      </c>
      <c r="S54" s="47" t="str">
        <f aca="false">IF(B54="","",ROUND(R54*I54,0))</f>
        <v/>
      </c>
      <c r="T54" s="47" t="str">
        <f aca="false">IF(B54="","",G54-R54-S54)</f>
        <v/>
      </c>
      <c r="U54" s="48" t="str">
        <f aca="false">IF(B54="","",IF(COUNTIF($B$5:$B$54,B54)&gt;1,"Duplicate Emp ID",IF(AND(K54="Yes",G54&gt;'Basic Details'!$C$16),"ESI: gross above limit",IF(H54&lt;0.5,"Basic below 50%","OK"))))</f>
        <v/>
      </c>
    </row>
  </sheetData>
  <mergeCells count="2">
    <mergeCell ref="A2:U2"/>
    <mergeCell ref="A3:U3"/>
  </mergeCells>
  <conditionalFormatting sqref="U5:U54">
    <cfRule type="expression" priority="2" aboveAverage="0" equalAverage="0" bottom="0" percent="0" rank="0" text="" dxfId="0">
      <formula>AND(U5&lt;&gt;"",U5&lt;&gt;"OK")</formula>
    </cfRule>
    <cfRule type="expression" priority="3" aboveAverage="0" equalAverage="0" bottom="0" percent="0" rank="0" text="" dxfId="1">
      <formula>U5="OK"</formula>
    </cfRule>
  </conditionalFormatting>
  <dataValidations count="1">
    <dataValidation allowBlank="false" errorStyle="stop" operator="between" showDropDown="false" showErrorMessage="false" showInputMessage="false" sqref="J5:K54" type="list">
      <formula1>Lists!$E$2:$E$3</formula1>
      <formula2>0</formula2>
    </dataValidation>
  </dataValidations>
  <hyperlinks>
    <hyperlink ref="A1" r:id="rId2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AQ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3" min="3" style="0" width="20"/>
    <col collapsed="false" customWidth="true" hidden="false" outlineLevel="0" max="34" min="4" style="0" width="4.6"/>
    <col collapsed="false" customWidth="true" hidden="false" outlineLevel="0" max="43" min="35" style="0" width="9.51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41" t="str">
        <f aca="false">"Attendance Register – "&amp;'Basic Details'!$C$24&amp;"   |   "&amp;'Basic Details'!$C$3</f>
        <v>Attendance Register – October 2026   |   Xplore Excel Pvt. Ltd.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</row>
    <row r="3" customFormat="false" ht="15" hidden="false" customHeight="true" outlineLevel="0" collapsed="false">
      <c r="D3" s="49" t="s">
        <v>152</v>
      </c>
      <c r="E3" s="50" t="s">
        <v>153</v>
      </c>
      <c r="F3" s="50"/>
      <c r="G3" s="50"/>
      <c r="H3" s="50"/>
      <c r="I3" s="51" t="s">
        <v>154</v>
      </c>
      <c r="J3" s="50" t="s">
        <v>155</v>
      </c>
      <c r="K3" s="50"/>
      <c r="L3" s="50"/>
      <c r="M3" s="50"/>
      <c r="N3" s="52" t="s">
        <v>156</v>
      </c>
      <c r="O3" s="50" t="s">
        <v>157</v>
      </c>
      <c r="P3" s="50"/>
      <c r="Q3" s="50"/>
      <c r="R3" s="50"/>
      <c r="S3" s="53" t="s">
        <v>158</v>
      </c>
      <c r="T3" s="50" t="s">
        <v>159</v>
      </c>
      <c r="U3" s="50"/>
      <c r="V3" s="50"/>
      <c r="W3" s="50"/>
      <c r="X3" s="54" t="s">
        <v>160</v>
      </c>
      <c r="Y3" s="50" t="s">
        <v>161</v>
      </c>
      <c r="Z3" s="50"/>
      <c r="AA3" s="50"/>
      <c r="AB3" s="50"/>
      <c r="AC3" s="55" t="s">
        <v>162</v>
      </c>
      <c r="AD3" s="50" t="s">
        <v>163</v>
      </c>
      <c r="AE3" s="50"/>
      <c r="AF3" s="50"/>
      <c r="AG3" s="50"/>
    </row>
    <row r="4" customFormat="false" ht="15" hidden="false" customHeight="false" outlineLevel="0" collapsed="false">
      <c r="A4" s="56" t="s">
        <v>164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</row>
    <row r="5" customFormat="false" ht="15" hidden="false" customHeight="true" outlineLevel="0" collapsed="false">
      <c r="A5" s="37" t="s">
        <v>95</v>
      </c>
      <c r="B5" s="37" t="s">
        <v>103</v>
      </c>
      <c r="C5" s="37" t="s">
        <v>104</v>
      </c>
      <c r="D5" s="57" t="n">
        <f aca="false">IF(1&gt;'Basic Details'!$C$22,"",DATE('Basic Details'!$C$6,'Basic Details'!$C$21,1))</f>
        <v>46296</v>
      </c>
      <c r="E5" s="57" t="n">
        <f aca="false">IF(2&gt;'Basic Details'!$C$22,"",DATE('Basic Details'!$C$6,'Basic Details'!$C$21,2))</f>
        <v>46297</v>
      </c>
      <c r="F5" s="57" t="n">
        <f aca="false">IF(3&gt;'Basic Details'!$C$22,"",DATE('Basic Details'!$C$6,'Basic Details'!$C$21,3))</f>
        <v>46298</v>
      </c>
      <c r="G5" s="57" t="n">
        <f aca="false">IF(4&gt;'Basic Details'!$C$22,"",DATE('Basic Details'!$C$6,'Basic Details'!$C$21,4))</f>
        <v>46299</v>
      </c>
      <c r="H5" s="57" t="n">
        <f aca="false">IF(5&gt;'Basic Details'!$C$22,"",DATE('Basic Details'!$C$6,'Basic Details'!$C$21,5))</f>
        <v>46300</v>
      </c>
      <c r="I5" s="57" t="n">
        <f aca="false">IF(6&gt;'Basic Details'!$C$22,"",DATE('Basic Details'!$C$6,'Basic Details'!$C$21,6))</f>
        <v>46301</v>
      </c>
      <c r="J5" s="57" t="n">
        <f aca="false">IF(7&gt;'Basic Details'!$C$22,"",DATE('Basic Details'!$C$6,'Basic Details'!$C$21,7))</f>
        <v>46302</v>
      </c>
      <c r="K5" s="57" t="n">
        <f aca="false">IF(8&gt;'Basic Details'!$C$22,"",DATE('Basic Details'!$C$6,'Basic Details'!$C$21,8))</f>
        <v>46303</v>
      </c>
      <c r="L5" s="57" t="n">
        <f aca="false">IF(9&gt;'Basic Details'!$C$22,"",DATE('Basic Details'!$C$6,'Basic Details'!$C$21,9))</f>
        <v>46304</v>
      </c>
      <c r="M5" s="57" t="n">
        <f aca="false">IF(10&gt;'Basic Details'!$C$22,"",DATE('Basic Details'!$C$6,'Basic Details'!$C$21,10))</f>
        <v>46305</v>
      </c>
      <c r="N5" s="57" t="n">
        <f aca="false">IF(11&gt;'Basic Details'!$C$22,"",DATE('Basic Details'!$C$6,'Basic Details'!$C$21,11))</f>
        <v>46306</v>
      </c>
      <c r="O5" s="57" t="n">
        <f aca="false">IF(12&gt;'Basic Details'!$C$22,"",DATE('Basic Details'!$C$6,'Basic Details'!$C$21,12))</f>
        <v>46307</v>
      </c>
      <c r="P5" s="57" t="n">
        <f aca="false">IF(13&gt;'Basic Details'!$C$22,"",DATE('Basic Details'!$C$6,'Basic Details'!$C$21,13))</f>
        <v>46308</v>
      </c>
      <c r="Q5" s="57" t="n">
        <f aca="false">IF(14&gt;'Basic Details'!$C$22,"",DATE('Basic Details'!$C$6,'Basic Details'!$C$21,14))</f>
        <v>46309</v>
      </c>
      <c r="R5" s="57" t="n">
        <f aca="false">IF(15&gt;'Basic Details'!$C$22,"",DATE('Basic Details'!$C$6,'Basic Details'!$C$21,15))</f>
        <v>46310</v>
      </c>
      <c r="S5" s="57" t="n">
        <f aca="false">IF(16&gt;'Basic Details'!$C$22,"",DATE('Basic Details'!$C$6,'Basic Details'!$C$21,16))</f>
        <v>46311</v>
      </c>
      <c r="T5" s="57" t="n">
        <f aca="false">IF(17&gt;'Basic Details'!$C$22,"",DATE('Basic Details'!$C$6,'Basic Details'!$C$21,17))</f>
        <v>46312</v>
      </c>
      <c r="U5" s="57" t="n">
        <f aca="false">IF(18&gt;'Basic Details'!$C$22,"",DATE('Basic Details'!$C$6,'Basic Details'!$C$21,18))</f>
        <v>46313</v>
      </c>
      <c r="V5" s="57" t="n">
        <f aca="false">IF(19&gt;'Basic Details'!$C$22,"",DATE('Basic Details'!$C$6,'Basic Details'!$C$21,19))</f>
        <v>46314</v>
      </c>
      <c r="W5" s="57" t="n">
        <f aca="false">IF(20&gt;'Basic Details'!$C$22,"",DATE('Basic Details'!$C$6,'Basic Details'!$C$21,20))</f>
        <v>46315</v>
      </c>
      <c r="X5" s="57" t="n">
        <f aca="false">IF(21&gt;'Basic Details'!$C$22,"",DATE('Basic Details'!$C$6,'Basic Details'!$C$21,21))</f>
        <v>46316</v>
      </c>
      <c r="Y5" s="57" t="n">
        <f aca="false">IF(22&gt;'Basic Details'!$C$22,"",DATE('Basic Details'!$C$6,'Basic Details'!$C$21,22))</f>
        <v>46317</v>
      </c>
      <c r="Z5" s="57" t="n">
        <f aca="false">IF(23&gt;'Basic Details'!$C$22,"",DATE('Basic Details'!$C$6,'Basic Details'!$C$21,23))</f>
        <v>46318</v>
      </c>
      <c r="AA5" s="57" t="n">
        <f aca="false">IF(24&gt;'Basic Details'!$C$22,"",DATE('Basic Details'!$C$6,'Basic Details'!$C$21,24))</f>
        <v>46319</v>
      </c>
      <c r="AB5" s="57" t="n">
        <f aca="false">IF(25&gt;'Basic Details'!$C$22,"",DATE('Basic Details'!$C$6,'Basic Details'!$C$21,25))</f>
        <v>46320</v>
      </c>
      <c r="AC5" s="57" t="n">
        <f aca="false">IF(26&gt;'Basic Details'!$C$22,"",DATE('Basic Details'!$C$6,'Basic Details'!$C$21,26))</f>
        <v>46321</v>
      </c>
      <c r="AD5" s="57" t="n">
        <f aca="false">IF(27&gt;'Basic Details'!$C$22,"",DATE('Basic Details'!$C$6,'Basic Details'!$C$21,27))</f>
        <v>46322</v>
      </c>
      <c r="AE5" s="57" t="n">
        <f aca="false">IF(28&gt;'Basic Details'!$C$22,"",DATE('Basic Details'!$C$6,'Basic Details'!$C$21,28))</f>
        <v>46323</v>
      </c>
      <c r="AF5" s="57" t="n">
        <f aca="false">IF(29&gt;'Basic Details'!$C$22,"",DATE('Basic Details'!$C$6,'Basic Details'!$C$21,29))</f>
        <v>46324</v>
      </c>
      <c r="AG5" s="57" t="n">
        <f aca="false">IF(30&gt;'Basic Details'!$C$22,"",DATE('Basic Details'!$C$6,'Basic Details'!$C$21,30))</f>
        <v>46325</v>
      </c>
      <c r="AH5" s="57" t="n">
        <f aca="false">IF(31&gt;'Basic Details'!$C$22,"",DATE('Basic Details'!$C$6,'Basic Details'!$C$21,31))</f>
        <v>46326</v>
      </c>
      <c r="AI5" s="58" t="s">
        <v>153</v>
      </c>
      <c r="AJ5" s="58" t="s">
        <v>157</v>
      </c>
      <c r="AK5" s="58" t="s">
        <v>159</v>
      </c>
      <c r="AL5" s="58" t="s">
        <v>155</v>
      </c>
      <c r="AM5" s="58" t="s">
        <v>165</v>
      </c>
      <c r="AN5" s="58" t="s">
        <v>166</v>
      </c>
      <c r="AO5" s="58" t="s">
        <v>167</v>
      </c>
      <c r="AP5" s="59" t="s">
        <v>168</v>
      </c>
      <c r="AQ5" s="59" t="s">
        <v>169</v>
      </c>
    </row>
    <row r="6" customFormat="false" ht="15" hidden="false" customHeight="false" outlineLevel="0" collapsed="false">
      <c r="A6" s="37"/>
      <c r="B6" s="37"/>
      <c r="C6" s="37"/>
      <c r="D6" s="60" t="str">
        <f aca="false">IF(D5="","",TEXT(D5,"ddd"))</f>
        <v>Thu</v>
      </c>
      <c r="E6" s="60" t="str">
        <f aca="false">IF(E5="","",TEXT(E5,"ddd"))</f>
        <v>Fri</v>
      </c>
      <c r="F6" s="60" t="str">
        <f aca="false">IF(F5="","",TEXT(F5,"ddd"))</f>
        <v>Sat</v>
      </c>
      <c r="G6" s="60" t="str">
        <f aca="false">IF(G5="","",TEXT(G5,"ddd"))</f>
        <v>Sun</v>
      </c>
      <c r="H6" s="60" t="str">
        <f aca="false">IF(H5="","",TEXT(H5,"ddd"))</f>
        <v>Mon</v>
      </c>
      <c r="I6" s="60" t="str">
        <f aca="false">IF(I5="","",TEXT(I5,"ddd"))</f>
        <v>Tue</v>
      </c>
      <c r="J6" s="60" t="str">
        <f aca="false">IF(J5="","",TEXT(J5,"ddd"))</f>
        <v>Wed</v>
      </c>
      <c r="K6" s="60" t="str">
        <f aca="false">IF(K5="","",TEXT(K5,"ddd"))</f>
        <v>Thu</v>
      </c>
      <c r="L6" s="60" t="str">
        <f aca="false">IF(L5="","",TEXT(L5,"ddd"))</f>
        <v>Fri</v>
      </c>
      <c r="M6" s="60" t="str">
        <f aca="false">IF(M5="","",TEXT(M5,"ddd"))</f>
        <v>Sat</v>
      </c>
      <c r="N6" s="60" t="str">
        <f aca="false">IF(N5="","",TEXT(N5,"ddd"))</f>
        <v>Sun</v>
      </c>
      <c r="O6" s="60" t="str">
        <f aca="false">IF(O5="","",TEXT(O5,"ddd"))</f>
        <v>Mon</v>
      </c>
      <c r="P6" s="60" t="str">
        <f aca="false">IF(P5="","",TEXT(P5,"ddd"))</f>
        <v>Tue</v>
      </c>
      <c r="Q6" s="60" t="str">
        <f aca="false">IF(Q5="","",TEXT(Q5,"ddd"))</f>
        <v>Wed</v>
      </c>
      <c r="R6" s="60" t="str">
        <f aca="false">IF(R5="","",TEXT(R5,"ddd"))</f>
        <v>Thu</v>
      </c>
      <c r="S6" s="60" t="str">
        <f aca="false">IF(S5="","",TEXT(S5,"ddd"))</f>
        <v>Fri</v>
      </c>
      <c r="T6" s="60" t="str">
        <f aca="false">IF(T5="","",TEXT(T5,"ddd"))</f>
        <v>Sat</v>
      </c>
      <c r="U6" s="60" t="str">
        <f aca="false">IF(U5="","",TEXT(U5,"ddd"))</f>
        <v>Sun</v>
      </c>
      <c r="V6" s="60" t="str">
        <f aca="false">IF(V5="","",TEXT(V5,"ddd"))</f>
        <v>Mon</v>
      </c>
      <c r="W6" s="60" t="str">
        <f aca="false">IF(W5="","",TEXT(W5,"ddd"))</f>
        <v>Tue</v>
      </c>
      <c r="X6" s="60" t="str">
        <f aca="false">IF(X5="","",TEXT(X5,"ddd"))</f>
        <v>Wed</v>
      </c>
      <c r="Y6" s="60" t="str">
        <f aca="false">IF(Y5="","",TEXT(Y5,"ddd"))</f>
        <v>Thu</v>
      </c>
      <c r="Z6" s="60" t="str">
        <f aca="false">IF(Z5="","",TEXT(Z5,"ddd"))</f>
        <v>Fri</v>
      </c>
      <c r="AA6" s="60" t="str">
        <f aca="false">IF(AA5="","",TEXT(AA5,"ddd"))</f>
        <v>Sat</v>
      </c>
      <c r="AB6" s="60" t="str">
        <f aca="false">IF(AB5="","",TEXT(AB5,"ddd"))</f>
        <v>Sun</v>
      </c>
      <c r="AC6" s="60" t="str">
        <f aca="false">IF(AC5="","",TEXT(AC5,"ddd"))</f>
        <v>Mon</v>
      </c>
      <c r="AD6" s="60" t="str">
        <f aca="false">IF(AD5="","",TEXT(AD5,"ddd"))</f>
        <v>Tue</v>
      </c>
      <c r="AE6" s="60" t="str">
        <f aca="false">IF(AE5="","",TEXT(AE5,"ddd"))</f>
        <v>Wed</v>
      </c>
      <c r="AF6" s="60" t="str">
        <f aca="false">IF(AF5="","",TEXT(AF5,"ddd"))</f>
        <v>Thu</v>
      </c>
      <c r="AG6" s="60" t="str">
        <f aca="false">IF(AG5="","",TEXT(AG5,"ddd"))</f>
        <v>Fri</v>
      </c>
      <c r="AH6" s="60" t="str">
        <f aca="false">IF(AH5="","",TEXT(AH5,"ddd"))</f>
        <v>Sat</v>
      </c>
      <c r="AI6" s="58"/>
      <c r="AJ6" s="58"/>
      <c r="AK6" s="58"/>
      <c r="AL6" s="58"/>
      <c r="AM6" s="58"/>
      <c r="AN6" s="58"/>
      <c r="AO6" s="58"/>
      <c r="AP6" s="58"/>
      <c r="AQ6" s="58"/>
    </row>
    <row r="7" customFormat="false" ht="15" hidden="false" customHeight="false" outlineLevel="0" collapsed="false">
      <c r="A7" s="37"/>
      <c r="B7" s="37"/>
      <c r="C7" s="37"/>
      <c r="D7" s="61" t="str">
        <f aca="false">IF(D$5="","",IF(COUNTIF(Holidays!$B$5:$B$29,D$5)&gt;0,"H",IF(OR(AND(WEEKDAY(D$5,2)=7,'Basic Details'!$C$7&lt;&gt;"None"),AND(WEEKDAY(D$5,2)=6,'Basic Details'!$C$7="Saturday &amp; Sunday"),AND(WEEKDAY(D$5,2)=6,'Basic Details'!$C$7="2nd &amp; 4th Saturday + Sunday",OR(INT((DAY(D$5)-1)/7)=1,INT((DAY(D$5)-1)/7)=3))),"WO","W")))</f>
        <v>W</v>
      </c>
      <c r="E7" s="61" t="str">
        <f aca="false">IF(E$5="","",IF(COUNTIF(Holidays!$B$5:$B$29,E$5)&gt;0,"H",IF(OR(AND(WEEKDAY(E$5,2)=7,'Basic Details'!$C$7&lt;&gt;"None"),AND(WEEKDAY(E$5,2)=6,'Basic Details'!$C$7="Saturday &amp; Sunday"),AND(WEEKDAY(E$5,2)=6,'Basic Details'!$C$7="2nd &amp; 4th Saturday + Sunday",OR(INT((DAY(E$5)-1)/7)=1,INT((DAY(E$5)-1)/7)=3))),"WO","W")))</f>
        <v>H</v>
      </c>
      <c r="F7" s="61" t="str">
        <f aca="false">IF(F$5="","",IF(COUNTIF(Holidays!$B$5:$B$29,F$5)&gt;0,"H",IF(OR(AND(WEEKDAY(F$5,2)=7,'Basic Details'!$C$7&lt;&gt;"None"),AND(WEEKDAY(F$5,2)=6,'Basic Details'!$C$7="Saturday &amp; Sunday"),AND(WEEKDAY(F$5,2)=6,'Basic Details'!$C$7="2nd &amp; 4th Saturday + Sunday",OR(INT((DAY(F$5)-1)/7)=1,INT((DAY(F$5)-1)/7)=3))),"WO","W")))</f>
        <v>W</v>
      </c>
      <c r="G7" s="61" t="str">
        <f aca="false">IF(G$5="","",IF(COUNTIF(Holidays!$B$5:$B$29,G$5)&gt;0,"H",IF(OR(AND(WEEKDAY(G$5,2)=7,'Basic Details'!$C$7&lt;&gt;"None"),AND(WEEKDAY(G$5,2)=6,'Basic Details'!$C$7="Saturday &amp; Sunday"),AND(WEEKDAY(G$5,2)=6,'Basic Details'!$C$7="2nd &amp; 4th Saturday + Sunday",OR(INT((DAY(G$5)-1)/7)=1,INT((DAY(G$5)-1)/7)=3))),"WO","W")))</f>
        <v>WO</v>
      </c>
      <c r="H7" s="61" t="str">
        <f aca="false">IF(H$5="","",IF(COUNTIF(Holidays!$B$5:$B$29,H$5)&gt;0,"H",IF(OR(AND(WEEKDAY(H$5,2)=7,'Basic Details'!$C$7&lt;&gt;"None"),AND(WEEKDAY(H$5,2)=6,'Basic Details'!$C$7="Saturday &amp; Sunday"),AND(WEEKDAY(H$5,2)=6,'Basic Details'!$C$7="2nd &amp; 4th Saturday + Sunday",OR(INT((DAY(H$5)-1)/7)=1,INT((DAY(H$5)-1)/7)=3))),"WO","W")))</f>
        <v>W</v>
      </c>
      <c r="I7" s="61" t="str">
        <f aca="false">IF(I$5="","",IF(COUNTIF(Holidays!$B$5:$B$29,I$5)&gt;0,"H",IF(OR(AND(WEEKDAY(I$5,2)=7,'Basic Details'!$C$7&lt;&gt;"None"),AND(WEEKDAY(I$5,2)=6,'Basic Details'!$C$7="Saturday &amp; Sunday"),AND(WEEKDAY(I$5,2)=6,'Basic Details'!$C$7="2nd &amp; 4th Saturday + Sunday",OR(INT((DAY(I$5)-1)/7)=1,INT((DAY(I$5)-1)/7)=3))),"WO","W")))</f>
        <v>W</v>
      </c>
      <c r="J7" s="61" t="str">
        <f aca="false">IF(J$5="","",IF(COUNTIF(Holidays!$B$5:$B$29,J$5)&gt;0,"H",IF(OR(AND(WEEKDAY(J$5,2)=7,'Basic Details'!$C$7&lt;&gt;"None"),AND(WEEKDAY(J$5,2)=6,'Basic Details'!$C$7="Saturday &amp; Sunday"),AND(WEEKDAY(J$5,2)=6,'Basic Details'!$C$7="2nd &amp; 4th Saturday + Sunday",OR(INT((DAY(J$5)-1)/7)=1,INT((DAY(J$5)-1)/7)=3))),"WO","W")))</f>
        <v>W</v>
      </c>
      <c r="K7" s="61" t="str">
        <f aca="false">IF(K$5="","",IF(COUNTIF(Holidays!$B$5:$B$29,K$5)&gt;0,"H",IF(OR(AND(WEEKDAY(K$5,2)=7,'Basic Details'!$C$7&lt;&gt;"None"),AND(WEEKDAY(K$5,2)=6,'Basic Details'!$C$7="Saturday &amp; Sunday"),AND(WEEKDAY(K$5,2)=6,'Basic Details'!$C$7="2nd &amp; 4th Saturday + Sunday",OR(INT((DAY(K$5)-1)/7)=1,INT((DAY(K$5)-1)/7)=3))),"WO","W")))</f>
        <v>W</v>
      </c>
      <c r="L7" s="61" t="str">
        <f aca="false">IF(L$5="","",IF(COUNTIF(Holidays!$B$5:$B$29,L$5)&gt;0,"H",IF(OR(AND(WEEKDAY(L$5,2)=7,'Basic Details'!$C$7&lt;&gt;"None"),AND(WEEKDAY(L$5,2)=6,'Basic Details'!$C$7="Saturday &amp; Sunday"),AND(WEEKDAY(L$5,2)=6,'Basic Details'!$C$7="2nd &amp; 4th Saturday + Sunday",OR(INT((DAY(L$5)-1)/7)=1,INT((DAY(L$5)-1)/7)=3))),"WO","W")))</f>
        <v>W</v>
      </c>
      <c r="M7" s="61" t="str">
        <f aca="false">IF(M$5="","",IF(COUNTIF(Holidays!$B$5:$B$29,M$5)&gt;0,"H",IF(OR(AND(WEEKDAY(M$5,2)=7,'Basic Details'!$C$7&lt;&gt;"None"),AND(WEEKDAY(M$5,2)=6,'Basic Details'!$C$7="Saturday &amp; Sunday"),AND(WEEKDAY(M$5,2)=6,'Basic Details'!$C$7="2nd &amp; 4th Saturday + Sunday",OR(INT((DAY(M$5)-1)/7)=1,INT((DAY(M$5)-1)/7)=3))),"WO","W")))</f>
        <v>W</v>
      </c>
      <c r="N7" s="61" t="str">
        <f aca="false">IF(N$5="","",IF(COUNTIF(Holidays!$B$5:$B$29,N$5)&gt;0,"H",IF(OR(AND(WEEKDAY(N$5,2)=7,'Basic Details'!$C$7&lt;&gt;"None"),AND(WEEKDAY(N$5,2)=6,'Basic Details'!$C$7="Saturday &amp; Sunday"),AND(WEEKDAY(N$5,2)=6,'Basic Details'!$C$7="2nd &amp; 4th Saturday + Sunday",OR(INT((DAY(N$5)-1)/7)=1,INT((DAY(N$5)-1)/7)=3))),"WO","W")))</f>
        <v>WO</v>
      </c>
      <c r="O7" s="61" t="str">
        <f aca="false">IF(O$5="","",IF(COUNTIF(Holidays!$B$5:$B$29,O$5)&gt;0,"H",IF(OR(AND(WEEKDAY(O$5,2)=7,'Basic Details'!$C$7&lt;&gt;"None"),AND(WEEKDAY(O$5,2)=6,'Basic Details'!$C$7="Saturday &amp; Sunday"),AND(WEEKDAY(O$5,2)=6,'Basic Details'!$C$7="2nd &amp; 4th Saturday + Sunday",OR(INT((DAY(O$5)-1)/7)=1,INT((DAY(O$5)-1)/7)=3))),"WO","W")))</f>
        <v>W</v>
      </c>
      <c r="P7" s="61" t="str">
        <f aca="false">IF(P$5="","",IF(COUNTIF(Holidays!$B$5:$B$29,P$5)&gt;0,"H",IF(OR(AND(WEEKDAY(P$5,2)=7,'Basic Details'!$C$7&lt;&gt;"None"),AND(WEEKDAY(P$5,2)=6,'Basic Details'!$C$7="Saturday &amp; Sunday"),AND(WEEKDAY(P$5,2)=6,'Basic Details'!$C$7="2nd &amp; 4th Saturday + Sunday",OR(INT((DAY(P$5)-1)/7)=1,INT((DAY(P$5)-1)/7)=3))),"WO","W")))</f>
        <v>W</v>
      </c>
      <c r="Q7" s="61" t="str">
        <f aca="false">IF(Q$5="","",IF(COUNTIF(Holidays!$B$5:$B$29,Q$5)&gt;0,"H",IF(OR(AND(WEEKDAY(Q$5,2)=7,'Basic Details'!$C$7&lt;&gt;"None"),AND(WEEKDAY(Q$5,2)=6,'Basic Details'!$C$7="Saturday &amp; Sunday"),AND(WEEKDAY(Q$5,2)=6,'Basic Details'!$C$7="2nd &amp; 4th Saturday + Sunday",OR(INT((DAY(Q$5)-1)/7)=1,INT((DAY(Q$5)-1)/7)=3))),"WO","W")))</f>
        <v>W</v>
      </c>
      <c r="R7" s="61" t="str">
        <f aca="false">IF(R$5="","",IF(COUNTIF(Holidays!$B$5:$B$29,R$5)&gt;0,"H",IF(OR(AND(WEEKDAY(R$5,2)=7,'Basic Details'!$C$7&lt;&gt;"None"),AND(WEEKDAY(R$5,2)=6,'Basic Details'!$C$7="Saturday &amp; Sunday"),AND(WEEKDAY(R$5,2)=6,'Basic Details'!$C$7="2nd &amp; 4th Saturday + Sunday",OR(INT((DAY(R$5)-1)/7)=1,INT((DAY(R$5)-1)/7)=3))),"WO","W")))</f>
        <v>W</v>
      </c>
      <c r="S7" s="61" t="str">
        <f aca="false">IF(S$5="","",IF(COUNTIF(Holidays!$B$5:$B$29,S$5)&gt;0,"H",IF(OR(AND(WEEKDAY(S$5,2)=7,'Basic Details'!$C$7&lt;&gt;"None"),AND(WEEKDAY(S$5,2)=6,'Basic Details'!$C$7="Saturday &amp; Sunday"),AND(WEEKDAY(S$5,2)=6,'Basic Details'!$C$7="2nd &amp; 4th Saturday + Sunday",OR(INT((DAY(S$5)-1)/7)=1,INT((DAY(S$5)-1)/7)=3))),"WO","W")))</f>
        <v>W</v>
      </c>
      <c r="T7" s="61" t="str">
        <f aca="false">IF(T$5="","",IF(COUNTIF(Holidays!$B$5:$B$29,T$5)&gt;0,"H",IF(OR(AND(WEEKDAY(T$5,2)=7,'Basic Details'!$C$7&lt;&gt;"None"),AND(WEEKDAY(T$5,2)=6,'Basic Details'!$C$7="Saturday &amp; Sunday"),AND(WEEKDAY(T$5,2)=6,'Basic Details'!$C$7="2nd &amp; 4th Saturday + Sunday",OR(INT((DAY(T$5)-1)/7)=1,INT((DAY(T$5)-1)/7)=3))),"WO","W")))</f>
        <v>W</v>
      </c>
      <c r="U7" s="61" t="str">
        <f aca="false">IF(U$5="","",IF(COUNTIF(Holidays!$B$5:$B$29,U$5)&gt;0,"H",IF(OR(AND(WEEKDAY(U$5,2)=7,'Basic Details'!$C$7&lt;&gt;"None"),AND(WEEKDAY(U$5,2)=6,'Basic Details'!$C$7="Saturday &amp; Sunday"),AND(WEEKDAY(U$5,2)=6,'Basic Details'!$C$7="2nd &amp; 4th Saturday + Sunday",OR(INT((DAY(U$5)-1)/7)=1,INT((DAY(U$5)-1)/7)=3))),"WO","W")))</f>
        <v>WO</v>
      </c>
      <c r="V7" s="61" t="str">
        <f aca="false">IF(V$5="","",IF(COUNTIF(Holidays!$B$5:$B$29,V$5)&gt;0,"H",IF(OR(AND(WEEKDAY(V$5,2)=7,'Basic Details'!$C$7&lt;&gt;"None"),AND(WEEKDAY(V$5,2)=6,'Basic Details'!$C$7="Saturday &amp; Sunday"),AND(WEEKDAY(V$5,2)=6,'Basic Details'!$C$7="2nd &amp; 4th Saturday + Sunday",OR(INT((DAY(V$5)-1)/7)=1,INT((DAY(V$5)-1)/7)=3))),"WO","W")))</f>
        <v>W</v>
      </c>
      <c r="W7" s="61" t="str">
        <f aca="false">IF(W$5="","",IF(COUNTIF(Holidays!$B$5:$B$29,W$5)&gt;0,"H",IF(OR(AND(WEEKDAY(W$5,2)=7,'Basic Details'!$C$7&lt;&gt;"None"),AND(WEEKDAY(W$5,2)=6,'Basic Details'!$C$7="Saturday &amp; Sunday"),AND(WEEKDAY(W$5,2)=6,'Basic Details'!$C$7="2nd &amp; 4th Saturday + Sunday",OR(INT((DAY(W$5)-1)/7)=1,INT((DAY(W$5)-1)/7)=3))),"WO","W")))</f>
        <v>W</v>
      </c>
      <c r="X7" s="61" t="str">
        <f aca="false">IF(X$5="","",IF(COUNTIF(Holidays!$B$5:$B$29,X$5)&gt;0,"H",IF(OR(AND(WEEKDAY(X$5,2)=7,'Basic Details'!$C$7&lt;&gt;"None"),AND(WEEKDAY(X$5,2)=6,'Basic Details'!$C$7="Saturday &amp; Sunday"),AND(WEEKDAY(X$5,2)=6,'Basic Details'!$C$7="2nd &amp; 4th Saturday + Sunday",OR(INT((DAY(X$5)-1)/7)=1,INT((DAY(X$5)-1)/7)=3))),"WO","W")))</f>
        <v>W</v>
      </c>
      <c r="Y7" s="61" t="str">
        <f aca="false">IF(Y$5="","",IF(COUNTIF(Holidays!$B$5:$B$29,Y$5)&gt;0,"H",IF(OR(AND(WEEKDAY(Y$5,2)=7,'Basic Details'!$C$7&lt;&gt;"None"),AND(WEEKDAY(Y$5,2)=6,'Basic Details'!$C$7="Saturday &amp; Sunday"),AND(WEEKDAY(Y$5,2)=6,'Basic Details'!$C$7="2nd &amp; 4th Saturday + Sunday",OR(INT((DAY(Y$5)-1)/7)=1,INT((DAY(Y$5)-1)/7)=3))),"WO","W")))</f>
        <v>W</v>
      </c>
      <c r="Z7" s="61" t="str">
        <f aca="false">IF(Z$5="","",IF(COUNTIF(Holidays!$B$5:$B$29,Z$5)&gt;0,"H",IF(OR(AND(WEEKDAY(Z$5,2)=7,'Basic Details'!$C$7&lt;&gt;"None"),AND(WEEKDAY(Z$5,2)=6,'Basic Details'!$C$7="Saturday &amp; Sunday"),AND(WEEKDAY(Z$5,2)=6,'Basic Details'!$C$7="2nd &amp; 4th Saturday + Sunday",OR(INT((DAY(Z$5)-1)/7)=1,INT((DAY(Z$5)-1)/7)=3))),"WO","W")))</f>
        <v>W</v>
      </c>
      <c r="AA7" s="61" t="str">
        <f aca="false">IF(AA$5="","",IF(COUNTIF(Holidays!$B$5:$B$29,AA$5)&gt;0,"H",IF(OR(AND(WEEKDAY(AA$5,2)=7,'Basic Details'!$C$7&lt;&gt;"None"),AND(WEEKDAY(AA$5,2)=6,'Basic Details'!$C$7="Saturday &amp; Sunday"),AND(WEEKDAY(AA$5,2)=6,'Basic Details'!$C$7="2nd &amp; 4th Saturday + Sunday",OR(INT((DAY(AA$5)-1)/7)=1,INT((DAY(AA$5)-1)/7)=3))),"WO","W")))</f>
        <v>W</v>
      </c>
      <c r="AB7" s="61" t="str">
        <f aca="false">IF(AB$5="","",IF(COUNTIF(Holidays!$B$5:$B$29,AB$5)&gt;0,"H",IF(OR(AND(WEEKDAY(AB$5,2)=7,'Basic Details'!$C$7&lt;&gt;"None"),AND(WEEKDAY(AB$5,2)=6,'Basic Details'!$C$7="Saturday &amp; Sunday"),AND(WEEKDAY(AB$5,2)=6,'Basic Details'!$C$7="2nd &amp; 4th Saturday + Sunday",OR(INT((DAY(AB$5)-1)/7)=1,INT((DAY(AB$5)-1)/7)=3))),"WO","W")))</f>
        <v>WO</v>
      </c>
      <c r="AC7" s="61" t="str">
        <f aca="false">IF(AC$5="","",IF(COUNTIF(Holidays!$B$5:$B$29,AC$5)&gt;0,"H",IF(OR(AND(WEEKDAY(AC$5,2)=7,'Basic Details'!$C$7&lt;&gt;"None"),AND(WEEKDAY(AC$5,2)=6,'Basic Details'!$C$7="Saturday &amp; Sunday"),AND(WEEKDAY(AC$5,2)=6,'Basic Details'!$C$7="2nd &amp; 4th Saturday + Sunday",OR(INT((DAY(AC$5)-1)/7)=1,INT((DAY(AC$5)-1)/7)=3))),"WO","W")))</f>
        <v>W</v>
      </c>
      <c r="AD7" s="61" t="str">
        <f aca="false">IF(AD$5="","",IF(COUNTIF(Holidays!$B$5:$B$29,AD$5)&gt;0,"H",IF(OR(AND(WEEKDAY(AD$5,2)=7,'Basic Details'!$C$7&lt;&gt;"None"),AND(WEEKDAY(AD$5,2)=6,'Basic Details'!$C$7="Saturday &amp; Sunday"),AND(WEEKDAY(AD$5,2)=6,'Basic Details'!$C$7="2nd &amp; 4th Saturday + Sunday",OR(INT((DAY(AD$5)-1)/7)=1,INT((DAY(AD$5)-1)/7)=3))),"WO","W")))</f>
        <v>W</v>
      </c>
      <c r="AE7" s="61" t="str">
        <f aca="false">IF(AE$5="","",IF(COUNTIF(Holidays!$B$5:$B$29,AE$5)&gt;0,"H",IF(OR(AND(WEEKDAY(AE$5,2)=7,'Basic Details'!$C$7&lt;&gt;"None"),AND(WEEKDAY(AE$5,2)=6,'Basic Details'!$C$7="Saturday &amp; Sunday"),AND(WEEKDAY(AE$5,2)=6,'Basic Details'!$C$7="2nd &amp; 4th Saturday + Sunday",OR(INT((DAY(AE$5)-1)/7)=1,INT((DAY(AE$5)-1)/7)=3))),"WO","W")))</f>
        <v>W</v>
      </c>
      <c r="AF7" s="61" t="str">
        <f aca="false">IF(AF$5="","",IF(COUNTIF(Holidays!$B$5:$B$29,AF$5)&gt;0,"H",IF(OR(AND(WEEKDAY(AF$5,2)=7,'Basic Details'!$C$7&lt;&gt;"None"),AND(WEEKDAY(AF$5,2)=6,'Basic Details'!$C$7="Saturday &amp; Sunday"),AND(WEEKDAY(AF$5,2)=6,'Basic Details'!$C$7="2nd &amp; 4th Saturday + Sunday",OR(INT((DAY(AF$5)-1)/7)=1,INT((DAY(AF$5)-1)/7)=3))),"WO","W")))</f>
        <v>W</v>
      </c>
      <c r="AG7" s="61" t="str">
        <f aca="false">IF(AG$5="","",IF(COUNTIF(Holidays!$B$5:$B$29,AG$5)&gt;0,"H",IF(OR(AND(WEEKDAY(AG$5,2)=7,'Basic Details'!$C$7&lt;&gt;"None"),AND(WEEKDAY(AG$5,2)=6,'Basic Details'!$C$7="Saturday &amp; Sunday"),AND(WEEKDAY(AG$5,2)=6,'Basic Details'!$C$7="2nd &amp; 4th Saturday + Sunday",OR(INT((DAY(AG$5)-1)/7)=1,INT((DAY(AG$5)-1)/7)=3))),"WO","W")))</f>
        <v>W</v>
      </c>
      <c r="AH7" s="61" t="str">
        <f aca="false">IF(AH$5="","",IF(COUNTIF(Holidays!$B$5:$B$29,AH$5)&gt;0,"H",IF(OR(AND(WEEKDAY(AH$5,2)=7,'Basic Details'!$C$7&lt;&gt;"None"),AND(WEEKDAY(AH$5,2)=6,'Basic Details'!$C$7="Saturday &amp; Sunday"),AND(WEEKDAY(AH$5,2)=6,'Basic Details'!$C$7="2nd &amp; 4th Saturday + Sunday",OR(INT((DAY(AH$5)-1)/7)=1,INT((DAY(AH$5)-1)/7)=3))),"WO","W")))</f>
        <v>W</v>
      </c>
      <c r="AI7" s="58"/>
      <c r="AJ7" s="58"/>
      <c r="AK7" s="58"/>
      <c r="AL7" s="58"/>
      <c r="AM7" s="58"/>
      <c r="AN7" s="58"/>
      <c r="AO7" s="58"/>
      <c r="AP7" s="58"/>
      <c r="AQ7" s="58"/>
    </row>
    <row r="8" customFormat="false" ht="18" hidden="false" customHeight="true" outlineLevel="0" collapsed="false">
      <c r="A8" s="38" t="n">
        <f aca="false">IF(B8="","",ROW()-7)</f>
        <v>1</v>
      </c>
      <c r="B8" s="38" t="str">
        <f aca="false">IF(Employees!B5="","",Employees!B5)</f>
        <v>XE001</v>
      </c>
      <c r="C8" s="62" t="str">
        <f aca="false">IF(Employees!C5="","",Employees!C5)</f>
        <v>Harpreet Singh</v>
      </c>
      <c r="D8" s="48" t="s">
        <v>152</v>
      </c>
      <c r="E8" s="48"/>
      <c r="F8" s="48" t="s">
        <v>152</v>
      </c>
      <c r="G8" s="48"/>
      <c r="H8" s="48" t="s">
        <v>152</v>
      </c>
      <c r="I8" s="48" t="s">
        <v>152</v>
      </c>
      <c r="J8" s="48" t="s">
        <v>152</v>
      </c>
      <c r="K8" s="48" t="s">
        <v>152</v>
      </c>
      <c r="L8" s="48" t="s">
        <v>158</v>
      </c>
      <c r="M8" s="48" t="s">
        <v>152</v>
      </c>
      <c r="N8" s="48"/>
      <c r="O8" s="48" t="s">
        <v>152</v>
      </c>
      <c r="P8" s="48" t="s">
        <v>152</v>
      </c>
      <c r="Q8" s="48" t="s">
        <v>152</v>
      </c>
      <c r="R8" s="48" t="s">
        <v>152</v>
      </c>
      <c r="S8" s="48" t="s">
        <v>152</v>
      </c>
      <c r="T8" s="48" t="s">
        <v>152</v>
      </c>
      <c r="U8" s="48"/>
      <c r="V8" s="48" t="s">
        <v>152</v>
      </c>
      <c r="W8" s="48" t="s">
        <v>152</v>
      </c>
      <c r="X8" s="48" t="s">
        <v>152</v>
      </c>
      <c r="Y8" s="48" t="s">
        <v>152</v>
      </c>
      <c r="Z8" s="48" t="s">
        <v>152</v>
      </c>
      <c r="AA8" s="48" t="s">
        <v>152</v>
      </c>
      <c r="AB8" s="48"/>
      <c r="AC8" s="48" t="s">
        <v>152</v>
      </c>
      <c r="AD8" s="48" t="s">
        <v>152</v>
      </c>
      <c r="AE8" s="48" t="s">
        <v>152</v>
      </c>
      <c r="AF8" s="48" t="s">
        <v>152</v>
      </c>
      <c r="AG8" s="48" t="s">
        <v>152</v>
      </c>
      <c r="AH8" s="48" t="s">
        <v>152</v>
      </c>
      <c r="AI8" s="63" t="n">
        <f aca="false">IF($B8="","",SUMPRODUCT(($D8:$AH8="P")*($D$7:$AH$7="W")))</f>
        <v>25</v>
      </c>
      <c r="AJ8" s="63" t="n">
        <f aca="false">IF($B8="","",SUMPRODUCT(($D8:$AH8="HD")*($D$7:$AH$7="W")))</f>
        <v>0</v>
      </c>
      <c r="AK8" s="63" t="n">
        <f aca="false">IF($B8="","",SUMPRODUCT(($D8:$AH8="L")*($D$7:$AH$7="W")))</f>
        <v>1</v>
      </c>
      <c r="AL8" s="63" t="n">
        <f aca="false">IF($B8="","",SUMPRODUCT(($D8:$AH8="A")*($D$7:$AH$7="W")))</f>
        <v>0</v>
      </c>
      <c r="AM8" s="63" t="n">
        <f aca="false">IF($B8="","",COUNTIF($D$7:$AH$7,"WO")+COUNTIF($D$7:$AH$7,"H"))</f>
        <v>5</v>
      </c>
      <c r="AN8" s="63" t="n">
        <f aca="false">IF($B8="","",SUMPRODUCT(($D8:$AH8="P")*(($D$7:$AH$7="WO")+($D$7:$AH$7="H")))+0.5*SUMPRODUCT(($D8:$AH8="HD")*(($D$7:$AH$7="WO")+($D$7:$AH$7="H"))))</f>
        <v>0</v>
      </c>
      <c r="AO8" s="63" t="n">
        <f aca="false">IF($B8="","",SUMPRODUCT(($D8:$AH8="")*($D$7:$AH$7="W")))</f>
        <v>0</v>
      </c>
      <c r="AP8" s="64" t="n">
        <f aca="false">IF($B8="","",AL8+0.5*AJ8+AO8)</f>
        <v>0</v>
      </c>
      <c r="AQ8" s="65" t="n">
        <f aca="false">IF($B8="","",'Basic Details'!$C$22-AP8)</f>
        <v>31</v>
      </c>
    </row>
    <row r="9" customFormat="false" ht="18" hidden="false" customHeight="true" outlineLevel="0" collapsed="false">
      <c r="A9" s="38" t="n">
        <f aca="false">IF(B9="","",ROW()-7)</f>
        <v>2</v>
      </c>
      <c r="B9" s="38" t="str">
        <f aca="false">IF(Employees!B6="","",Employees!B6)</f>
        <v>XE002</v>
      </c>
      <c r="C9" s="62" t="str">
        <f aca="false">IF(Employees!C6="","",Employees!C6)</f>
        <v>Simran Kaur</v>
      </c>
      <c r="D9" s="48" t="s">
        <v>152</v>
      </c>
      <c r="E9" s="48"/>
      <c r="F9" s="48" t="s">
        <v>152</v>
      </c>
      <c r="G9" s="48"/>
      <c r="H9" s="48" t="s">
        <v>152</v>
      </c>
      <c r="I9" s="48" t="s">
        <v>152</v>
      </c>
      <c r="J9" s="48" t="s">
        <v>152</v>
      </c>
      <c r="K9" s="48" t="s">
        <v>152</v>
      </c>
      <c r="L9" s="48" t="s">
        <v>152</v>
      </c>
      <c r="M9" s="48" t="s">
        <v>152</v>
      </c>
      <c r="N9" s="48"/>
      <c r="O9" s="48" t="s">
        <v>152</v>
      </c>
      <c r="P9" s="48" t="s">
        <v>152</v>
      </c>
      <c r="Q9" s="48" t="s">
        <v>154</v>
      </c>
      <c r="R9" s="48" t="s">
        <v>152</v>
      </c>
      <c r="S9" s="48" t="s">
        <v>152</v>
      </c>
      <c r="T9" s="48" t="s">
        <v>152</v>
      </c>
      <c r="U9" s="48"/>
      <c r="V9" s="48" t="s">
        <v>152</v>
      </c>
      <c r="W9" s="48" t="s">
        <v>152</v>
      </c>
      <c r="X9" s="48" t="s">
        <v>156</v>
      </c>
      <c r="Y9" s="48" t="s">
        <v>152</v>
      </c>
      <c r="Z9" s="48" t="s">
        <v>152</v>
      </c>
      <c r="AA9" s="48" t="s">
        <v>152</v>
      </c>
      <c r="AB9" s="48"/>
      <c r="AC9" s="48" t="s">
        <v>152</v>
      </c>
      <c r="AD9" s="48" t="s">
        <v>152</v>
      </c>
      <c r="AE9" s="48" t="s">
        <v>152</v>
      </c>
      <c r="AF9" s="48" t="s">
        <v>152</v>
      </c>
      <c r="AG9" s="48" t="s">
        <v>152</v>
      </c>
      <c r="AH9" s="48" t="s">
        <v>152</v>
      </c>
      <c r="AI9" s="63" t="n">
        <f aca="false">IF($B9="","",SUMPRODUCT(($D9:$AH9="P")*($D$7:$AH$7="W")))</f>
        <v>24</v>
      </c>
      <c r="AJ9" s="63" t="n">
        <f aca="false">IF($B9="","",SUMPRODUCT(($D9:$AH9="HD")*($D$7:$AH$7="W")))</f>
        <v>1</v>
      </c>
      <c r="AK9" s="63" t="n">
        <f aca="false">IF($B9="","",SUMPRODUCT(($D9:$AH9="L")*($D$7:$AH$7="W")))</f>
        <v>0</v>
      </c>
      <c r="AL9" s="63" t="n">
        <f aca="false">IF($B9="","",SUMPRODUCT(($D9:$AH9="A")*($D$7:$AH$7="W")))</f>
        <v>1</v>
      </c>
      <c r="AM9" s="63" t="n">
        <f aca="false">IF($B9="","",COUNTIF($D$7:$AH$7,"WO")+COUNTIF($D$7:$AH$7,"H"))</f>
        <v>5</v>
      </c>
      <c r="AN9" s="63" t="n">
        <f aca="false">IF($B9="","",SUMPRODUCT(($D9:$AH9="P")*(($D$7:$AH$7="WO")+($D$7:$AH$7="H")))+0.5*SUMPRODUCT(($D9:$AH9="HD")*(($D$7:$AH$7="WO")+($D$7:$AH$7="H"))))</f>
        <v>0</v>
      </c>
      <c r="AO9" s="63" t="n">
        <f aca="false">IF($B9="","",SUMPRODUCT(($D9:$AH9="")*($D$7:$AH$7="W")))</f>
        <v>0</v>
      </c>
      <c r="AP9" s="64" t="n">
        <f aca="false">IF($B9="","",AL9+0.5*AJ9+AO9)</f>
        <v>1.5</v>
      </c>
      <c r="AQ9" s="65" t="n">
        <f aca="false">IF($B9="","",'Basic Details'!$C$22-AP9)</f>
        <v>29.5</v>
      </c>
    </row>
    <row r="10" customFormat="false" ht="18" hidden="false" customHeight="true" outlineLevel="0" collapsed="false">
      <c r="A10" s="38" t="n">
        <f aca="false">IF(B10="","",ROW()-7)</f>
        <v>3</v>
      </c>
      <c r="B10" s="38" t="str">
        <f aca="false">IF(Employees!B7="","",Employees!B7)</f>
        <v>XE003</v>
      </c>
      <c r="C10" s="62" t="str">
        <f aca="false">IF(Employees!C7="","",Employees!C7)</f>
        <v>Amit Verma</v>
      </c>
      <c r="D10" s="48" t="s">
        <v>152</v>
      </c>
      <c r="E10" s="48"/>
      <c r="F10" s="48" t="s">
        <v>152</v>
      </c>
      <c r="G10" s="48" t="s">
        <v>152</v>
      </c>
      <c r="H10" s="48" t="s">
        <v>152</v>
      </c>
      <c r="I10" s="48" t="s">
        <v>152</v>
      </c>
      <c r="J10" s="48" t="s">
        <v>152</v>
      </c>
      <c r="K10" s="48" t="s">
        <v>152</v>
      </c>
      <c r="L10" s="48" t="s">
        <v>152</v>
      </c>
      <c r="M10" s="48" t="s">
        <v>152</v>
      </c>
      <c r="N10" s="48"/>
      <c r="O10" s="48" t="s">
        <v>152</v>
      </c>
      <c r="P10" s="48" t="s">
        <v>152</v>
      </c>
      <c r="Q10" s="48" t="s">
        <v>152</v>
      </c>
      <c r="R10" s="48" t="s">
        <v>152</v>
      </c>
      <c r="S10" s="48" t="s">
        <v>152</v>
      </c>
      <c r="T10" s="48" t="s">
        <v>152</v>
      </c>
      <c r="U10" s="48" t="s">
        <v>152</v>
      </c>
      <c r="V10" s="48" t="s">
        <v>152</v>
      </c>
      <c r="W10" s="48" t="s">
        <v>152</v>
      </c>
      <c r="X10" s="48" t="s">
        <v>152</v>
      </c>
      <c r="Y10" s="48" t="s">
        <v>152</v>
      </c>
      <c r="Z10" s="48" t="s">
        <v>152</v>
      </c>
      <c r="AA10" s="48" t="s">
        <v>152</v>
      </c>
      <c r="AB10" s="48"/>
      <c r="AC10" s="48" t="s">
        <v>152</v>
      </c>
      <c r="AD10" s="48" t="s">
        <v>154</v>
      </c>
      <c r="AE10" s="48" t="s">
        <v>152</v>
      </c>
      <c r="AF10" s="48" t="s">
        <v>152</v>
      </c>
      <c r="AG10" s="48" t="s">
        <v>152</v>
      </c>
      <c r="AH10" s="48" t="s">
        <v>152</v>
      </c>
      <c r="AI10" s="63" t="n">
        <f aca="false">IF($B10="","",SUMPRODUCT(($D10:$AH10="P")*($D$7:$AH$7="W")))</f>
        <v>25</v>
      </c>
      <c r="AJ10" s="63" t="n">
        <f aca="false">IF($B10="","",SUMPRODUCT(($D10:$AH10="HD")*($D$7:$AH$7="W")))</f>
        <v>0</v>
      </c>
      <c r="AK10" s="63" t="n">
        <f aca="false">IF($B10="","",SUMPRODUCT(($D10:$AH10="L")*($D$7:$AH$7="W")))</f>
        <v>0</v>
      </c>
      <c r="AL10" s="63" t="n">
        <f aca="false">IF($B10="","",SUMPRODUCT(($D10:$AH10="A")*($D$7:$AH$7="W")))</f>
        <v>1</v>
      </c>
      <c r="AM10" s="63" t="n">
        <f aca="false">IF($B10="","",COUNTIF($D$7:$AH$7,"WO")+COUNTIF($D$7:$AH$7,"H"))</f>
        <v>5</v>
      </c>
      <c r="AN10" s="63" t="n">
        <f aca="false">IF($B10="","",SUMPRODUCT(($D10:$AH10="P")*(($D$7:$AH$7="WO")+($D$7:$AH$7="H")))+0.5*SUMPRODUCT(($D10:$AH10="HD")*(($D$7:$AH$7="WO")+($D$7:$AH$7="H"))))</f>
        <v>2</v>
      </c>
      <c r="AO10" s="63" t="n">
        <f aca="false">IF($B10="","",SUMPRODUCT(($D10:$AH10="")*($D$7:$AH$7="W")))</f>
        <v>0</v>
      </c>
      <c r="AP10" s="64" t="n">
        <f aca="false">IF($B10="","",AL10+0.5*AJ10+AO10)</f>
        <v>1</v>
      </c>
      <c r="AQ10" s="65" t="n">
        <f aca="false">IF($B10="","",'Basic Details'!$C$22-AP10)</f>
        <v>30</v>
      </c>
    </row>
    <row r="11" customFormat="false" ht="18" hidden="false" customHeight="true" outlineLevel="0" collapsed="false">
      <c r="A11" s="38" t="n">
        <f aca="false">IF(B11="","",ROW()-7)</f>
        <v>4</v>
      </c>
      <c r="B11" s="38" t="str">
        <f aca="false">IF(Employees!B8="","",Employees!B8)</f>
        <v>XE004</v>
      </c>
      <c r="C11" s="62" t="str">
        <f aca="false">IF(Employees!C8="","",Employees!C8)</f>
        <v>Neha Gupta</v>
      </c>
      <c r="D11" s="48" t="s">
        <v>152</v>
      </c>
      <c r="E11" s="48"/>
      <c r="F11" s="48" t="s">
        <v>152</v>
      </c>
      <c r="G11" s="48"/>
      <c r="H11" s="48" t="s">
        <v>152</v>
      </c>
      <c r="I11" s="48" t="s">
        <v>152</v>
      </c>
      <c r="J11" s="48" t="s">
        <v>152</v>
      </c>
      <c r="K11" s="48" t="s">
        <v>152</v>
      </c>
      <c r="L11" s="48" t="s">
        <v>152</v>
      </c>
      <c r="M11" s="48" t="s">
        <v>152</v>
      </c>
      <c r="N11" s="48"/>
      <c r="O11" s="48" t="s">
        <v>152</v>
      </c>
      <c r="P11" s="48" t="s">
        <v>152</v>
      </c>
      <c r="Q11" s="48" t="s">
        <v>152</v>
      </c>
      <c r="R11" s="48" t="s">
        <v>152</v>
      </c>
      <c r="S11" s="48" t="s">
        <v>152</v>
      </c>
      <c r="T11" s="48" t="s">
        <v>152</v>
      </c>
      <c r="U11" s="48"/>
      <c r="V11" s="48" t="s">
        <v>152</v>
      </c>
      <c r="W11" s="48" t="s">
        <v>152</v>
      </c>
      <c r="X11" s="48" t="s">
        <v>152</v>
      </c>
      <c r="Y11" s="48" t="s">
        <v>152</v>
      </c>
      <c r="Z11" s="48" t="s">
        <v>152</v>
      </c>
      <c r="AA11" s="48" t="s">
        <v>152</v>
      </c>
      <c r="AB11" s="48"/>
      <c r="AC11" s="48" t="s">
        <v>152</v>
      </c>
      <c r="AD11" s="48" t="s">
        <v>152</v>
      </c>
      <c r="AE11" s="48" t="s">
        <v>152</v>
      </c>
      <c r="AF11" s="48" t="s">
        <v>152</v>
      </c>
      <c r="AG11" s="48" t="s">
        <v>152</v>
      </c>
      <c r="AH11" s="48" t="s">
        <v>152</v>
      </c>
      <c r="AI11" s="63" t="n">
        <f aca="false">IF($B11="","",SUMPRODUCT(($D11:$AH11="P")*($D$7:$AH$7="W")))</f>
        <v>26</v>
      </c>
      <c r="AJ11" s="63" t="n">
        <f aca="false">IF($B11="","",SUMPRODUCT(($D11:$AH11="HD")*($D$7:$AH$7="W")))</f>
        <v>0</v>
      </c>
      <c r="AK11" s="63" t="n">
        <f aca="false">IF($B11="","",SUMPRODUCT(($D11:$AH11="L")*($D$7:$AH$7="W")))</f>
        <v>0</v>
      </c>
      <c r="AL11" s="63" t="n">
        <f aca="false">IF($B11="","",SUMPRODUCT(($D11:$AH11="A")*($D$7:$AH$7="W")))</f>
        <v>0</v>
      </c>
      <c r="AM11" s="63" t="n">
        <f aca="false">IF($B11="","",COUNTIF($D$7:$AH$7,"WO")+COUNTIF($D$7:$AH$7,"H"))</f>
        <v>5</v>
      </c>
      <c r="AN11" s="63" t="n">
        <f aca="false">IF($B11="","",SUMPRODUCT(($D11:$AH11="P")*(($D$7:$AH$7="WO")+($D$7:$AH$7="H")))+0.5*SUMPRODUCT(($D11:$AH11="HD")*(($D$7:$AH$7="WO")+($D$7:$AH$7="H"))))</f>
        <v>0</v>
      </c>
      <c r="AO11" s="63" t="n">
        <f aca="false">IF($B11="","",SUMPRODUCT(($D11:$AH11="")*($D$7:$AH$7="W")))</f>
        <v>0</v>
      </c>
      <c r="AP11" s="64" t="n">
        <f aca="false">IF($B11="","",AL11+0.5*AJ11+AO11)</f>
        <v>0</v>
      </c>
      <c r="AQ11" s="65" t="n">
        <f aca="false">IF($B11="","",'Basic Details'!$C$22-AP11)</f>
        <v>31</v>
      </c>
    </row>
    <row r="12" customFormat="false" ht="18" hidden="false" customHeight="true" outlineLevel="0" collapsed="false">
      <c r="A12" s="38" t="n">
        <f aca="false">IF(B12="","",ROW()-7)</f>
        <v>5</v>
      </c>
      <c r="B12" s="38" t="str">
        <f aca="false">IF(Employees!B9="","",Employees!B9)</f>
        <v>XE005</v>
      </c>
      <c r="C12" s="62" t="str">
        <f aca="false">IF(Employees!C9="","",Employees!C9)</f>
        <v>Gurpreet Kaur</v>
      </c>
      <c r="D12" s="48" t="s">
        <v>152</v>
      </c>
      <c r="E12" s="48"/>
      <c r="F12" s="48" t="s">
        <v>152</v>
      </c>
      <c r="G12" s="48"/>
      <c r="H12" s="48" t="s">
        <v>152</v>
      </c>
      <c r="I12" s="48" t="s">
        <v>158</v>
      </c>
      <c r="J12" s="48" t="s">
        <v>158</v>
      </c>
      <c r="K12" s="48" t="s">
        <v>152</v>
      </c>
      <c r="L12" s="48" t="s">
        <v>152</v>
      </c>
      <c r="M12" s="48" t="s">
        <v>152</v>
      </c>
      <c r="N12" s="48"/>
      <c r="O12" s="48" t="s">
        <v>152</v>
      </c>
      <c r="P12" s="48" t="s">
        <v>152</v>
      </c>
      <c r="Q12" s="48" t="s">
        <v>152</v>
      </c>
      <c r="R12" s="48" t="s">
        <v>152</v>
      </c>
      <c r="S12" s="48" t="s">
        <v>152</v>
      </c>
      <c r="T12" s="48" t="s">
        <v>152</v>
      </c>
      <c r="U12" s="48"/>
      <c r="V12" s="48" t="s">
        <v>152</v>
      </c>
      <c r="W12" s="48" t="s">
        <v>152</v>
      </c>
      <c r="X12" s="48" t="s">
        <v>152</v>
      </c>
      <c r="Y12" s="48" t="s">
        <v>152</v>
      </c>
      <c r="Z12" s="48" t="s">
        <v>156</v>
      </c>
      <c r="AA12" s="48" t="s">
        <v>152</v>
      </c>
      <c r="AB12" s="48"/>
      <c r="AC12" s="48" t="s">
        <v>152</v>
      </c>
      <c r="AD12" s="48" t="s">
        <v>152</v>
      </c>
      <c r="AE12" s="48" t="s">
        <v>152</v>
      </c>
      <c r="AF12" s="48" t="s">
        <v>152</v>
      </c>
      <c r="AG12" s="48" t="s">
        <v>152</v>
      </c>
      <c r="AH12" s="48" t="s">
        <v>152</v>
      </c>
      <c r="AI12" s="63" t="n">
        <f aca="false">IF($B12="","",SUMPRODUCT(($D12:$AH12="P")*($D$7:$AH$7="W")))</f>
        <v>23</v>
      </c>
      <c r="AJ12" s="63" t="n">
        <f aca="false">IF($B12="","",SUMPRODUCT(($D12:$AH12="HD")*($D$7:$AH$7="W")))</f>
        <v>1</v>
      </c>
      <c r="AK12" s="63" t="n">
        <f aca="false">IF($B12="","",SUMPRODUCT(($D12:$AH12="L")*($D$7:$AH$7="W")))</f>
        <v>2</v>
      </c>
      <c r="AL12" s="63" t="n">
        <f aca="false">IF($B12="","",SUMPRODUCT(($D12:$AH12="A")*($D$7:$AH$7="W")))</f>
        <v>0</v>
      </c>
      <c r="AM12" s="63" t="n">
        <f aca="false">IF($B12="","",COUNTIF($D$7:$AH$7,"WO")+COUNTIF($D$7:$AH$7,"H"))</f>
        <v>5</v>
      </c>
      <c r="AN12" s="63" t="n">
        <f aca="false">IF($B12="","",SUMPRODUCT(($D12:$AH12="P")*(($D$7:$AH$7="WO")+($D$7:$AH$7="H")))+0.5*SUMPRODUCT(($D12:$AH12="HD")*(($D$7:$AH$7="WO")+($D$7:$AH$7="H"))))</f>
        <v>0</v>
      </c>
      <c r="AO12" s="63" t="n">
        <f aca="false">IF($B12="","",SUMPRODUCT(($D12:$AH12="")*($D$7:$AH$7="W")))</f>
        <v>0</v>
      </c>
      <c r="AP12" s="64" t="n">
        <f aca="false">IF($B12="","",AL12+0.5*AJ12+AO12)</f>
        <v>0.5</v>
      </c>
      <c r="AQ12" s="65" t="n">
        <f aca="false">IF($B12="","",'Basic Details'!$C$22-AP12)</f>
        <v>30.5</v>
      </c>
    </row>
    <row r="13" customFormat="false" ht="18" hidden="false" customHeight="true" outlineLevel="0" collapsed="false">
      <c r="A13" s="38" t="n">
        <f aca="false">IF(B13="","",ROW()-7)</f>
        <v>6</v>
      </c>
      <c r="B13" s="38" t="str">
        <f aca="false">IF(Employees!B10="","",Employees!B10)</f>
        <v>XE006</v>
      </c>
      <c r="C13" s="62" t="str">
        <f aca="false">IF(Employees!C10="","",Employees!C10)</f>
        <v>Rajesh Kumar</v>
      </c>
      <c r="D13" s="48" t="s">
        <v>152</v>
      </c>
      <c r="E13" s="48"/>
      <c r="F13" s="48" t="s">
        <v>152</v>
      </c>
      <c r="G13" s="48"/>
      <c r="H13" s="48" t="s">
        <v>152</v>
      </c>
      <c r="I13" s="48" t="s">
        <v>152</v>
      </c>
      <c r="J13" s="48" t="s">
        <v>152</v>
      </c>
      <c r="K13" s="48" t="s">
        <v>152</v>
      </c>
      <c r="L13" s="48" t="s">
        <v>152</v>
      </c>
      <c r="M13" s="48" t="s">
        <v>152</v>
      </c>
      <c r="N13" s="48"/>
      <c r="O13" s="48" t="s">
        <v>154</v>
      </c>
      <c r="P13" s="48" t="s">
        <v>154</v>
      </c>
      <c r="Q13" s="48" t="s">
        <v>152</v>
      </c>
      <c r="R13" s="48" t="s">
        <v>152</v>
      </c>
      <c r="S13" s="48" t="s">
        <v>152</v>
      </c>
      <c r="T13" s="48" t="s">
        <v>152</v>
      </c>
      <c r="U13" s="48"/>
      <c r="V13" s="48" t="s">
        <v>152</v>
      </c>
      <c r="W13" s="48" t="s">
        <v>152</v>
      </c>
      <c r="X13" s="48" t="s">
        <v>152</v>
      </c>
      <c r="Y13" s="48" t="s">
        <v>152</v>
      </c>
      <c r="Z13" s="48" t="s">
        <v>152</v>
      </c>
      <c r="AA13" s="48" t="s">
        <v>152</v>
      </c>
      <c r="AB13" s="48"/>
      <c r="AC13" s="48" t="s">
        <v>152</v>
      </c>
      <c r="AD13" s="48" t="s">
        <v>152</v>
      </c>
      <c r="AE13" s="48" t="s">
        <v>152</v>
      </c>
      <c r="AF13" s="48" t="s">
        <v>152</v>
      </c>
      <c r="AG13" s="48" t="s">
        <v>152</v>
      </c>
      <c r="AH13" s="48" t="s">
        <v>152</v>
      </c>
      <c r="AI13" s="63" t="n">
        <f aca="false">IF($B13="","",SUMPRODUCT(($D13:$AH13="P")*($D$7:$AH$7="W")))</f>
        <v>24</v>
      </c>
      <c r="AJ13" s="63" t="n">
        <f aca="false">IF($B13="","",SUMPRODUCT(($D13:$AH13="HD")*($D$7:$AH$7="W")))</f>
        <v>0</v>
      </c>
      <c r="AK13" s="63" t="n">
        <f aca="false">IF($B13="","",SUMPRODUCT(($D13:$AH13="L")*($D$7:$AH$7="W")))</f>
        <v>0</v>
      </c>
      <c r="AL13" s="63" t="n">
        <f aca="false">IF($B13="","",SUMPRODUCT(($D13:$AH13="A")*($D$7:$AH$7="W")))</f>
        <v>2</v>
      </c>
      <c r="AM13" s="63" t="n">
        <f aca="false">IF($B13="","",COUNTIF($D$7:$AH$7,"WO")+COUNTIF($D$7:$AH$7,"H"))</f>
        <v>5</v>
      </c>
      <c r="AN13" s="63" t="n">
        <f aca="false">IF($B13="","",SUMPRODUCT(($D13:$AH13="P")*(($D$7:$AH$7="WO")+($D$7:$AH$7="H")))+0.5*SUMPRODUCT(($D13:$AH13="HD")*(($D$7:$AH$7="WO")+($D$7:$AH$7="H"))))</f>
        <v>0</v>
      </c>
      <c r="AO13" s="63" t="n">
        <f aca="false">IF($B13="","",SUMPRODUCT(($D13:$AH13="")*($D$7:$AH$7="W")))</f>
        <v>0</v>
      </c>
      <c r="AP13" s="64" t="n">
        <f aca="false">IF($B13="","",AL13+0.5*AJ13+AO13)</f>
        <v>2</v>
      </c>
      <c r="AQ13" s="65" t="n">
        <f aca="false">IF($B13="","",'Basic Details'!$C$22-AP13)</f>
        <v>29</v>
      </c>
    </row>
    <row r="14" customFormat="false" ht="18" hidden="false" customHeight="true" outlineLevel="0" collapsed="false">
      <c r="A14" s="38" t="str">
        <f aca="false">IF(B14="","",ROW()-7)</f>
        <v/>
      </c>
      <c r="B14" s="38" t="str">
        <f aca="false">IF(Employees!B11="","",Employees!B11)</f>
        <v/>
      </c>
      <c r="C14" s="62" t="str">
        <f aca="false">IF(Employees!C11="","",Employees!C11)</f>
        <v/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63" t="str">
        <f aca="false">IF($B14="","",SUMPRODUCT(($D14:$AH14="P")*($D$7:$AH$7="W")))</f>
        <v/>
      </c>
      <c r="AJ14" s="63" t="str">
        <f aca="false">IF($B14="","",SUMPRODUCT(($D14:$AH14="HD")*($D$7:$AH$7="W")))</f>
        <v/>
      </c>
      <c r="AK14" s="63" t="str">
        <f aca="false">IF($B14="","",SUMPRODUCT(($D14:$AH14="L")*($D$7:$AH$7="W")))</f>
        <v/>
      </c>
      <c r="AL14" s="63" t="str">
        <f aca="false">IF($B14="","",SUMPRODUCT(($D14:$AH14="A")*($D$7:$AH$7="W")))</f>
        <v/>
      </c>
      <c r="AM14" s="63" t="str">
        <f aca="false">IF($B14="","",COUNTIF($D$7:$AH$7,"WO")+COUNTIF($D$7:$AH$7,"H"))</f>
        <v/>
      </c>
      <c r="AN14" s="63" t="str">
        <f aca="false">IF($B14="","",SUMPRODUCT(($D14:$AH14="P")*(($D$7:$AH$7="WO")+($D$7:$AH$7="H")))+0.5*SUMPRODUCT(($D14:$AH14="HD")*(($D$7:$AH$7="WO")+($D$7:$AH$7="H"))))</f>
        <v/>
      </c>
      <c r="AO14" s="63" t="str">
        <f aca="false">IF($B14="","",SUMPRODUCT(($D14:$AH14="")*($D$7:$AH$7="W")))</f>
        <v/>
      </c>
      <c r="AP14" s="64" t="str">
        <f aca="false">IF($B14="","",AL14+0.5*AJ14+AO14)</f>
        <v/>
      </c>
      <c r="AQ14" s="65" t="str">
        <f aca="false">IF($B14="","",'Basic Details'!$C$22-AP14)</f>
        <v/>
      </c>
    </row>
    <row r="15" customFormat="false" ht="18" hidden="false" customHeight="true" outlineLevel="0" collapsed="false">
      <c r="A15" s="38" t="str">
        <f aca="false">IF(B15="","",ROW()-7)</f>
        <v/>
      </c>
      <c r="B15" s="38" t="str">
        <f aca="false">IF(Employees!B12="","",Employees!B12)</f>
        <v/>
      </c>
      <c r="C15" s="62" t="str">
        <f aca="false">IF(Employees!C12="","",Employees!C12)</f>
        <v/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63" t="str">
        <f aca="false">IF($B15="","",SUMPRODUCT(($D15:$AH15="P")*($D$7:$AH$7="W")))</f>
        <v/>
      </c>
      <c r="AJ15" s="63" t="str">
        <f aca="false">IF($B15="","",SUMPRODUCT(($D15:$AH15="HD")*($D$7:$AH$7="W")))</f>
        <v/>
      </c>
      <c r="AK15" s="63" t="str">
        <f aca="false">IF($B15="","",SUMPRODUCT(($D15:$AH15="L")*($D$7:$AH$7="W")))</f>
        <v/>
      </c>
      <c r="AL15" s="63" t="str">
        <f aca="false">IF($B15="","",SUMPRODUCT(($D15:$AH15="A")*($D$7:$AH$7="W")))</f>
        <v/>
      </c>
      <c r="AM15" s="63" t="str">
        <f aca="false">IF($B15="","",COUNTIF($D$7:$AH$7,"WO")+COUNTIF($D$7:$AH$7,"H"))</f>
        <v/>
      </c>
      <c r="AN15" s="63" t="str">
        <f aca="false">IF($B15="","",SUMPRODUCT(($D15:$AH15="P")*(($D$7:$AH$7="WO")+($D$7:$AH$7="H")))+0.5*SUMPRODUCT(($D15:$AH15="HD")*(($D$7:$AH$7="WO")+($D$7:$AH$7="H"))))</f>
        <v/>
      </c>
      <c r="AO15" s="63" t="str">
        <f aca="false">IF($B15="","",SUMPRODUCT(($D15:$AH15="")*($D$7:$AH$7="W")))</f>
        <v/>
      </c>
      <c r="AP15" s="64" t="str">
        <f aca="false">IF($B15="","",AL15+0.5*AJ15+AO15)</f>
        <v/>
      </c>
      <c r="AQ15" s="65" t="str">
        <f aca="false">IF($B15="","",'Basic Details'!$C$22-AP15)</f>
        <v/>
      </c>
    </row>
    <row r="16" customFormat="false" ht="18" hidden="false" customHeight="true" outlineLevel="0" collapsed="false">
      <c r="A16" s="38" t="str">
        <f aca="false">IF(B16="","",ROW()-7)</f>
        <v/>
      </c>
      <c r="B16" s="38" t="str">
        <f aca="false">IF(Employees!B13="","",Employees!B13)</f>
        <v/>
      </c>
      <c r="C16" s="62" t="str">
        <f aca="false">IF(Employees!C13="","",Employees!C13)</f>
        <v/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63" t="str">
        <f aca="false">IF($B16="","",SUMPRODUCT(($D16:$AH16="P")*($D$7:$AH$7="W")))</f>
        <v/>
      </c>
      <c r="AJ16" s="63" t="str">
        <f aca="false">IF($B16="","",SUMPRODUCT(($D16:$AH16="HD")*($D$7:$AH$7="W")))</f>
        <v/>
      </c>
      <c r="AK16" s="63" t="str">
        <f aca="false">IF($B16="","",SUMPRODUCT(($D16:$AH16="L")*($D$7:$AH$7="W")))</f>
        <v/>
      </c>
      <c r="AL16" s="63" t="str">
        <f aca="false">IF($B16="","",SUMPRODUCT(($D16:$AH16="A")*($D$7:$AH$7="W")))</f>
        <v/>
      </c>
      <c r="AM16" s="63" t="str">
        <f aca="false">IF($B16="","",COUNTIF($D$7:$AH$7,"WO")+COUNTIF($D$7:$AH$7,"H"))</f>
        <v/>
      </c>
      <c r="AN16" s="63" t="str">
        <f aca="false">IF($B16="","",SUMPRODUCT(($D16:$AH16="P")*(($D$7:$AH$7="WO")+($D$7:$AH$7="H")))+0.5*SUMPRODUCT(($D16:$AH16="HD")*(($D$7:$AH$7="WO")+($D$7:$AH$7="H"))))</f>
        <v/>
      </c>
      <c r="AO16" s="63" t="str">
        <f aca="false">IF($B16="","",SUMPRODUCT(($D16:$AH16="")*($D$7:$AH$7="W")))</f>
        <v/>
      </c>
      <c r="AP16" s="64" t="str">
        <f aca="false">IF($B16="","",AL16+0.5*AJ16+AO16)</f>
        <v/>
      </c>
      <c r="AQ16" s="65" t="str">
        <f aca="false">IF($B16="","",'Basic Details'!$C$22-AP16)</f>
        <v/>
      </c>
    </row>
    <row r="17" customFormat="false" ht="18" hidden="false" customHeight="true" outlineLevel="0" collapsed="false">
      <c r="A17" s="38" t="str">
        <f aca="false">IF(B17="","",ROW()-7)</f>
        <v/>
      </c>
      <c r="B17" s="38" t="str">
        <f aca="false">IF(Employees!B14="","",Employees!B14)</f>
        <v/>
      </c>
      <c r="C17" s="62" t="str">
        <f aca="false">IF(Employees!C14="","",Employees!C14)</f>
        <v/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63" t="str">
        <f aca="false">IF($B17="","",SUMPRODUCT(($D17:$AH17="P")*($D$7:$AH$7="W")))</f>
        <v/>
      </c>
      <c r="AJ17" s="63" t="str">
        <f aca="false">IF($B17="","",SUMPRODUCT(($D17:$AH17="HD")*($D$7:$AH$7="W")))</f>
        <v/>
      </c>
      <c r="AK17" s="63" t="str">
        <f aca="false">IF($B17="","",SUMPRODUCT(($D17:$AH17="L")*($D$7:$AH$7="W")))</f>
        <v/>
      </c>
      <c r="AL17" s="63" t="str">
        <f aca="false">IF($B17="","",SUMPRODUCT(($D17:$AH17="A")*($D$7:$AH$7="W")))</f>
        <v/>
      </c>
      <c r="AM17" s="63" t="str">
        <f aca="false">IF($B17="","",COUNTIF($D$7:$AH$7,"WO")+COUNTIF($D$7:$AH$7,"H"))</f>
        <v/>
      </c>
      <c r="AN17" s="63" t="str">
        <f aca="false">IF($B17="","",SUMPRODUCT(($D17:$AH17="P")*(($D$7:$AH$7="WO")+($D$7:$AH$7="H")))+0.5*SUMPRODUCT(($D17:$AH17="HD")*(($D$7:$AH$7="WO")+($D$7:$AH$7="H"))))</f>
        <v/>
      </c>
      <c r="AO17" s="63" t="str">
        <f aca="false">IF($B17="","",SUMPRODUCT(($D17:$AH17="")*($D$7:$AH$7="W")))</f>
        <v/>
      </c>
      <c r="AP17" s="64" t="str">
        <f aca="false">IF($B17="","",AL17+0.5*AJ17+AO17)</f>
        <v/>
      </c>
      <c r="AQ17" s="65" t="str">
        <f aca="false">IF($B17="","",'Basic Details'!$C$22-AP17)</f>
        <v/>
      </c>
    </row>
    <row r="18" customFormat="false" ht="18" hidden="false" customHeight="true" outlineLevel="0" collapsed="false">
      <c r="A18" s="38" t="str">
        <f aca="false">IF(B18="","",ROW()-7)</f>
        <v/>
      </c>
      <c r="B18" s="38" t="str">
        <f aca="false">IF(Employees!B15="","",Employees!B15)</f>
        <v/>
      </c>
      <c r="C18" s="62" t="str">
        <f aca="false">IF(Employees!C15="","",Employees!C15)</f>
        <v/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63" t="str">
        <f aca="false">IF($B18="","",SUMPRODUCT(($D18:$AH18="P")*($D$7:$AH$7="W")))</f>
        <v/>
      </c>
      <c r="AJ18" s="63" t="str">
        <f aca="false">IF($B18="","",SUMPRODUCT(($D18:$AH18="HD")*($D$7:$AH$7="W")))</f>
        <v/>
      </c>
      <c r="AK18" s="63" t="str">
        <f aca="false">IF($B18="","",SUMPRODUCT(($D18:$AH18="L")*($D$7:$AH$7="W")))</f>
        <v/>
      </c>
      <c r="AL18" s="63" t="str">
        <f aca="false">IF($B18="","",SUMPRODUCT(($D18:$AH18="A")*($D$7:$AH$7="W")))</f>
        <v/>
      </c>
      <c r="AM18" s="63" t="str">
        <f aca="false">IF($B18="","",COUNTIF($D$7:$AH$7,"WO")+COUNTIF($D$7:$AH$7,"H"))</f>
        <v/>
      </c>
      <c r="AN18" s="63" t="str">
        <f aca="false">IF($B18="","",SUMPRODUCT(($D18:$AH18="P")*(($D$7:$AH$7="WO")+($D$7:$AH$7="H")))+0.5*SUMPRODUCT(($D18:$AH18="HD")*(($D$7:$AH$7="WO")+($D$7:$AH$7="H"))))</f>
        <v/>
      </c>
      <c r="AO18" s="63" t="str">
        <f aca="false">IF($B18="","",SUMPRODUCT(($D18:$AH18="")*($D$7:$AH$7="W")))</f>
        <v/>
      </c>
      <c r="AP18" s="64" t="str">
        <f aca="false">IF($B18="","",AL18+0.5*AJ18+AO18)</f>
        <v/>
      </c>
      <c r="AQ18" s="65" t="str">
        <f aca="false">IF($B18="","",'Basic Details'!$C$22-AP18)</f>
        <v/>
      </c>
    </row>
    <row r="19" customFormat="false" ht="18" hidden="false" customHeight="true" outlineLevel="0" collapsed="false">
      <c r="A19" s="38" t="str">
        <f aca="false">IF(B19="","",ROW()-7)</f>
        <v/>
      </c>
      <c r="B19" s="38" t="str">
        <f aca="false">IF(Employees!B16="","",Employees!B16)</f>
        <v/>
      </c>
      <c r="C19" s="62" t="str">
        <f aca="false">IF(Employees!C16="","",Employees!C16)</f>
        <v/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63" t="str">
        <f aca="false">IF($B19="","",SUMPRODUCT(($D19:$AH19="P")*($D$7:$AH$7="W")))</f>
        <v/>
      </c>
      <c r="AJ19" s="63" t="str">
        <f aca="false">IF($B19="","",SUMPRODUCT(($D19:$AH19="HD")*($D$7:$AH$7="W")))</f>
        <v/>
      </c>
      <c r="AK19" s="63" t="str">
        <f aca="false">IF($B19="","",SUMPRODUCT(($D19:$AH19="L")*($D$7:$AH$7="W")))</f>
        <v/>
      </c>
      <c r="AL19" s="63" t="str">
        <f aca="false">IF($B19="","",SUMPRODUCT(($D19:$AH19="A")*($D$7:$AH$7="W")))</f>
        <v/>
      </c>
      <c r="AM19" s="63" t="str">
        <f aca="false">IF($B19="","",COUNTIF($D$7:$AH$7,"WO")+COUNTIF($D$7:$AH$7,"H"))</f>
        <v/>
      </c>
      <c r="AN19" s="63" t="str">
        <f aca="false">IF($B19="","",SUMPRODUCT(($D19:$AH19="P")*(($D$7:$AH$7="WO")+($D$7:$AH$7="H")))+0.5*SUMPRODUCT(($D19:$AH19="HD")*(($D$7:$AH$7="WO")+($D$7:$AH$7="H"))))</f>
        <v/>
      </c>
      <c r="AO19" s="63" t="str">
        <f aca="false">IF($B19="","",SUMPRODUCT(($D19:$AH19="")*($D$7:$AH$7="W")))</f>
        <v/>
      </c>
      <c r="AP19" s="64" t="str">
        <f aca="false">IF($B19="","",AL19+0.5*AJ19+AO19)</f>
        <v/>
      </c>
      <c r="AQ19" s="65" t="str">
        <f aca="false">IF($B19="","",'Basic Details'!$C$22-AP19)</f>
        <v/>
      </c>
    </row>
    <row r="20" customFormat="false" ht="18" hidden="false" customHeight="true" outlineLevel="0" collapsed="false">
      <c r="A20" s="38" t="str">
        <f aca="false">IF(B20="","",ROW()-7)</f>
        <v/>
      </c>
      <c r="B20" s="38" t="str">
        <f aca="false">IF(Employees!B17="","",Employees!B17)</f>
        <v/>
      </c>
      <c r="C20" s="62" t="str">
        <f aca="false">IF(Employees!C17="","",Employees!C17)</f>
        <v/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63" t="str">
        <f aca="false">IF($B20="","",SUMPRODUCT(($D20:$AH20="P")*($D$7:$AH$7="W")))</f>
        <v/>
      </c>
      <c r="AJ20" s="63" t="str">
        <f aca="false">IF($B20="","",SUMPRODUCT(($D20:$AH20="HD")*($D$7:$AH$7="W")))</f>
        <v/>
      </c>
      <c r="AK20" s="63" t="str">
        <f aca="false">IF($B20="","",SUMPRODUCT(($D20:$AH20="L")*($D$7:$AH$7="W")))</f>
        <v/>
      </c>
      <c r="AL20" s="63" t="str">
        <f aca="false">IF($B20="","",SUMPRODUCT(($D20:$AH20="A")*($D$7:$AH$7="W")))</f>
        <v/>
      </c>
      <c r="AM20" s="63" t="str">
        <f aca="false">IF($B20="","",COUNTIF($D$7:$AH$7,"WO")+COUNTIF($D$7:$AH$7,"H"))</f>
        <v/>
      </c>
      <c r="AN20" s="63" t="str">
        <f aca="false">IF($B20="","",SUMPRODUCT(($D20:$AH20="P")*(($D$7:$AH$7="WO")+($D$7:$AH$7="H")))+0.5*SUMPRODUCT(($D20:$AH20="HD")*(($D$7:$AH$7="WO")+($D$7:$AH$7="H"))))</f>
        <v/>
      </c>
      <c r="AO20" s="63" t="str">
        <f aca="false">IF($B20="","",SUMPRODUCT(($D20:$AH20="")*($D$7:$AH$7="W")))</f>
        <v/>
      </c>
      <c r="AP20" s="64" t="str">
        <f aca="false">IF($B20="","",AL20+0.5*AJ20+AO20)</f>
        <v/>
      </c>
      <c r="AQ20" s="65" t="str">
        <f aca="false">IF($B20="","",'Basic Details'!$C$22-AP20)</f>
        <v/>
      </c>
    </row>
    <row r="21" customFormat="false" ht="18" hidden="false" customHeight="true" outlineLevel="0" collapsed="false">
      <c r="A21" s="38" t="str">
        <f aca="false">IF(B21="","",ROW()-7)</f>
        <v/>
      </c>
      <c r="B21" s="38" t="str">
        <f aca="false">IF(Employees!B18="","",Employees!B18)</f>
        <v/>
      </c>
      <c r="C21" s="62" t="str">
        <f aca="false">IF(Employees!C18="","",Employees!C18)</f>
        <v/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63" t="str">
        <f aca="false">IF($B21="","",SUMPRODUCT(($D21:$AH21="P")*($D$7:$AH$7="W")))</f>
        <v/>
      </c>
      <c r="AJ21" s="63" t="str">
        <f aca="false">IF($B21="","",SUMPRODUCT(($D21:$AH21="HD")*($D$7:$AH$7="W")))</f>
        <v/>
      </c>
      <c r="AK21" s="63" t="str">
        <f aca="false">IF($B21="","",SUMPRODUCT(($D21:$AH21="L")*($D$7:$AH$7="W")))</f>
        <v/>
      </c>
      <c r="AL21" s="63" t="str">
        <f aca="false">IF($B21="","",SUMPRODUCT(($D21:$AH21="A")*($D$7:$AH$7="W")))</f>
        <v/>
      </c>
      <c r="AM21" s="63" t="str">
        <f aca="false">IF($B21="","",COUNTIF($D$7:$AH$7,"WO")+COUNTIF($D$7:$AH$7,"H"))</f>
        <v/>
      </c>
      <c r="AN21" s="63" t="str">
        <f aca="false">IF($B21="","",SUMPRODUCT(($D21:$AH21="P")*(($D$7:$AH$7="WO")+($D$7:$AH$7="H")))+0.5*SUMPRODUCT(($D21:$AH21="HD")*(($D$7:$AH$7="WO")+($D$7:$AH$7="H"))))</f>
        <v/>
      </c>
      <c r="AO21" s="63" t="str">
        <f aca="false">IF($B21="","",SUMPRODUCT(($D21:$AH21="")*($D$7:$AH$7="W")))</f>
        <v/>
      </c>
      <c r="AP21" s="64" t="str">
        <f aca="false">IF($B21="","",AL21+0.5*AJ21+AO21)</f>
        <v/>
      </c>
      <c r="AQ21" s="65" t="str">
        <f aca="false">IF($B21="","",'Basic Details'!$C$22-AP21)</f>
        <v/>
      </c>
    </row>
    <row r="22" customFormat="false" ht="18" hidden="false" customHeight="true" outlineLevel="0" collapsed="false">
      <c r="A22" s="38" t="str">
        <f aca="false">IF(B22="","",ROW()-7)</f>
        <v/>
      </c>
      <c r="B22" s="38" t="str">
        <f aca="false">IF(Employees!B19="","",Employees!B19)</f>
        <v/>
      </c>
      <c r="C22" s="62" t="str">
        <f aca="false">IF(Employees!C19="","",Employees!C19)</f>
        <v/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63" t="str">
        <f aca="false">IF($B22="","",SUMPRODUCT(($D22:$AH22="P")*($D$7:$AH$7="W")))</f>
        <v/>
      </c>
      <c r="AJ22" s="63" t="str">
        <f aca="false">IF($B22="","",SUMPRODUCT(($D22:$AH22="HD")*($D$7:$AH$7="W")))</f>
        <v/>
      </c>
      <c r="AK22" s="63" t="str">
        <f aca="false">IF($B22="","",SUMPRODUCT(($D22:$AH22="L")*($D$7:$AH$7="W")))</f>
        <v/>
      </c>
      <c r="AL22" s="63" t="str">
        <f aca="false">IF($B22="","",SUMPRODUCT(($D22:$AH22="A")*($D$7:$AH$7="W")))</f>
        <v/>
      </c>
      <c r="AM22" s="63" t="str">
        <f aca="false">IF($B22="","",COUNTIF($D$7:$AH$7,"WO")+COUNTIF($D$7:$AH$7,"H"))</f>
        <v/>
      </c>
      <c r="AN22" s="63" t="str">
        <f aca="false">IF($B22="","",SUMPRODUCT(($D22:$AH22="P")*(($D$7:$AH$7="WO")+($D$7:$AH$7="H")))+0.5*SUMPRODUCT(($D22:$AH22="HD")*(($D$7:$AH$7="WO")+($D$7:$AH$7="H"))))</f>
        <v/>
      </c>
      <c r="AO22" s="63" t="str">
        <f aca="false">IF($B22="","",SUMPRODUCT(($D22:$AH22="")*($D$7:$AH$7="W")))</f>
        <v/>
      </c>
      <c r="AP22" s="64" t="str">
        <f aca="false">IF($B22="","",AL22+0.5*AJ22+AO22)</f>
        <v/>
      </c>
      <c r="AQ22" s="65" t="str">
        <f aca="false">IF($B22="","",'Basic Details'!$C$22-AP22)</f>
        <v/>
      </c>
    </row>
    <row r="23" customFormat="false" ht="18" hidden="false" customHeight="true" outlineLevel="0" collapsed="false">
      <c r="A23" s="38" t="str">
        <f aca="false">IF(B23="","",ROW()-7)</f>
        <v/>
      </c>
      <c r="B23" s="38" t="str">
        <f aca="false">IF(Employees!B20="","",Employees!B20)</f>
        <v/>
      </c>
      <c r="C23" s="62" t="str">
        <f aca="false">IF(Employees!C20="","",Employees!C20)</f>
        <v/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63" t="str">
        <f aca="false">IF($B23="","",SUMPRODUCT(($D23:$AH23="P")*($D$7:$AH$7="W")))</f>
        <v/>
      </c>
      <c r="AJ23" s="63" t="str">
        <f aca="false">IF($B23="","",SUMPRODUCT(($D23:$AH23="HD")*($D$7:$AH$7="W")))</f>
        <v/>
      </c>
      <c r="AK23" s="63" t="str">
        <f aca="false">IF($B23="","",SUMPRODUCT(($D23:$AH23="L")*($D$7:$AH$7="W")))</f>
        <v/>
      </c>
      <c r="AL23" s="63" t="str">
        <f aca="false">IF($B23="","",SUMPRODUCT(($D23:$AH23="A")*($D$7:$AH$7="W")))</f>
        <v/>
      </c>
      <c r="AM23" s="63" t="str">
        <f aca="false">IF($B23="","",COUNTIF($D$7:$AH$7,"WO")+COUNTIF($D$7:$AH$7,"H"))</f>
        <v/>
      </c>
      <c r="AN23" s="63" t="str">
        <f aca="false">IF($B23="","",SUMPRODUCT(($D23:$AH23="P")*(($D$7:$AH$7="WO")+($D$7:$AH$7="H")))+0.5*SUMPRODUCT(($D23:$AH23="HD")*(($D$7:$AH$7="WO")+($D$7:$AH$7="H"))))</f>
        <v/>
      </c>
      <c r="AO23" s="63" t="str">
        <f aca="false">IF($B23="","",SUMPRODUCT(($D23:$AH23="")*($D$7:$AH$7="W")))</f>
        <v/>
      </c>
      <c r="AP23" s="64" t="str">
        <f aca="false">IF($B23="","",AL23+0.5*AJ23+AO23)</f>
        <v/>
      </c>
      <c r="AQ23" s="65" t="str">
        <f aca="false">IF($B23="","",'Basic Details'!$C$22-AP23)</f>
        <v/>
      </c>
    </row>
    <row r="24" customFormat="false" ht="18" hidden="false" customHeight="true" outlineLevel="0" collapsed="false">
      <c r="A24" s="38" t="str">
        <f aca="false">IF(B24="","",ROW()-7)</f>
        <v/>
      </c>
      <c r="B24" s="38" t="str">
        <f aca="false">IF(Employees!B21="","",Employees!B21)</f>
        <v/>
      </c>
      <c r="C24" s="62" t="str">
        <f aca="false">IF(Employees!C21="","",Employees!C21)</f>
        <v/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63" t="str">
        <f aca="false">IF($B24="","",SUMPRODUCT(($D24:$AH24="P")*($D$7:$AH$7="W")))</f>
        <v/>
      </c>
      <c r="AJ24" s="63" t="str">
        <f aca="false">IF($B24="","",SUMPRODUCT(($D24:$AH24="HD")*($D$7:$AH$7="W")))</f>
        <v/>
      </c>
      <c r="AK24" s="63" t="str">
        <f aca="false">IF($B24="","",SUMPRODUCT(($D24:$AH24="L")*($D$7:$AH$7="W")))</f>
        <v/>
      </c>
      <c r="AL24" s="63" t="str">
        <f aca="false">IF($B24="","",SUMPRODUCT(($D24:$AH24="A")*($D$7:$AH$7="W")))</f>
        <v/>
      </c>
      <c r="AM24" s="63" t="str">
        <f aca="false">IF($B24="","",COUNTIF($D$7:$AH$7,"WO")+COUNTIF($D$7:$AH$7,"H"))</f>
        <v/>
      </c>
      <c r="AN24" s="63" t="str">
        <f aca="false">IF($B24="","",SUMPRODUCT(($D24:$AH24="P")*(($D$7:$AH$7="WO")+($D$7:$AH$7="H")))+0.5*SUMPRODUCT(($D24:$AH24="HD")*(($D$7:$AH$7="WO")+($D$7:$AH$7="H"))))</f>
        <v/>
      </c>
      <c r="AO24" s="63" t="str">
        <f aca="false">IF($B24="","",SUMPRODUCT(($D24:$AH24="")*($D$7:$AH$7="W")))</f>
        <v/>
      </c>
      <c r="AP24" s="64" t="str">
        <f aca="false">IF($B24="","",AL24+0.5*AJ24+AO24)</f>
        <v/>
      </c>
      <c r="AQ24" s="65" t="str">
        <f aca="false">IF($B24="","",'Basic Details'!$C$22-AP24)</f>
        <v/>
      </c>
    </row>
    <row r="25" customFormat="false" ht="18" hidden="false" customHeight="true" outlineLevel="0" collapsed="false">
      <c r="A25" s="38" t="str">
        <f aca="false">IF(B25="","",ROW()-7)</f>
        <v/>
      </c>
      <c r="B25" s="38" t="str">
        <f aca="false">IF(Employees!B22="","",Employees!B22)</f>
        <v/>
      </c>
      <c r="C25" s="62" t="str">
        <f aca="false">IF(Employees!C22="","",Employees!C22)</f>
        <v/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63" t="str">
        <f aca="false">IF($B25="","",SUMPRODUCT(($D25:$AH25="P")*($D$7:$AH$7="W")))</f>
        <v/>
      </c>
      <c r="AJ25" s="63" t="str">
        <f aca="false">IF($B25="","",SUMPRODUCT(($D25:$AH25="HD")*($D$7:$AH$7="W")))</f>
        <v/>
      </c>
      <c r="AK25" s="63" t="str">
        <f aca="false">IF($B25="","",SUMPRODUCT(($D25:$AH25="L")*($D$7:$AH$7="W")))</f>
        <v/>
      </c>
      <c r="AL25" s="63" t="str">
        <f aca="false">IF($B25="","",SUMPRODUCT(($D25:$AH25="A")*($D$7:$AH$7="W")))</f>
        <v/>
      </c>
      <c r="AM25" s="63" t="str">
        <f aca="false">IF($B25="","",COUNTIF($D$7:$AH$7,"WO")+COUNTIF($D$7:$AH$7,"H"))</f>
        <v/>
      </c>
      <c r="AN25" s="63" t="str">
        <f aca="false">IF($B25="","",SUMPRODUCT(($D25:$AH25="P")*(($D$7:$AH$7="WO")+($D$7:$AH$7="H")))+0.5*SUMPRODUCT(($D25:$AH25="HD")*(($D$7:$AH$7="WO")+($D$7:$AH$7="H"))))</f>
        <v/>
      </c>
      <c r="AO25" s="63" t="str">
        <f aca="false">IF($B25="","",SUMPRODUCT(($D25:$AH25="")*($D$7:$AH$7="W")))</f>
        <v/>
      </c>
      <c r="AP25" s="64" t="str">
        <f aca="false">IF($B25="","",AL25+0.5*AJ25+AO25)</f>
        <v/>
      </c>
      <c r="AQ25" s="65" t="str">
        <f aca="false">IF($B25="","",'Basic Details'!$C$22-AP25)</f>
        <v/>
      </c>
    </row>
    <row r="26" customFormat="false" ht="18" hidden="false" customHeight="true" outlineLevel="0" collapsed="false">
      <c r="A26" s="38" t="str">
        <f aca="false">IF(B26="","",ROW()-7)</f>
        <v/>
      </c>
      <c r="B26" s="38" t="str">
        <f aca="false">IF(Employees!B23="","",Employees!B23)</f>
        <v/>
      </c>
      <c r="C26" s="62" t="str">
        <f aca="false">IF(Employees!C23="","",Employees!C23)</f>
        <v/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63" t="str">
        <f aca="false">IF($B26="","",SUMPRODUCT(($D26:$AH26="P")*($D$7:$AH$7="W")))</f>
        <v/>
      </c>
      <c r="AJ26" s="63" t="str">
        <f aca="false">IF($B26="","",SUMPRODUCT(($D26:$AH26="HD")*($D$7:$AH$7="W")))</f>
        <v/>
      </c>
      <c r="AK26" s="63" t="str">
        <f aca="false">IF($B26="","",SUMPRODUCT(($D26:$AH26="L")*($D$7:$AH$7="W")))</f>
        <v/>
      </c>
      <c r="AL26" s="63" t="str">
        <f aca="false">IF($B26="","",SUMPRODUCT(($D26:$AH26="A")*($D$7:$AH$7="W")))</f>
        <v/>
      </c>
      <c r="AM26" s="63" t="str">
        <f aca="false">IF($B26="","",COUNTIF($D$7:$AH$7,"WO")+COUNTIF($D$7:$AH$7,"H"))</f>
        <v/>
      </c>
      <c r="AN26" s="63" t="str">
        <f aca="false">IF($B26="","",SUMPRODUCT(($D26:$AH26="P")*(($D$7:$AH$7="WO")+($D$7:$AH$7="H")))+0.5*SUMPRODUCT(($D26:$AH26="HD")*(($D$7:$AH$7="WO")+($D$7:$AH$7="H"))))</f>
        <v/>
      </c>
      <c r="AO26" s="63" t="str">
        <f aca="false">IF($B26="","",SUMPRODUCT(($D26:$AH26="")*($D$7:$AH$7="W")))</f>
        <v/>
      </c>
      <c r="AP26" s="64" t="str">
        <f aca="false">IF($B26="","",AL26+0.5*AJ26+AO26)</f>
        <v/>
      </c>
      <c r="AQ26" s="65" t="str">
        <f aca="false">IF($B26="","",'Basic Details'!$C$22-AP26)</f>
        <v/>
      </c>
    </row>
    <row r="27" customFormat="false" ht="18" hidden="false" customHeight="true" outlineLevel="0" collapsed="false">
      <c r="A27" s="38" t="str">
        <f aca="false">IF(B27="","",ROW()-7)</f>
        <v/>
      </c>
      <c r="B27" s="38" t="str">
        <f aca="false">IF(Employees!B24="","",Employees!B24)</f>
        <v/>
      </c>
      <c r="C27" s="62" t="str">
        <f aca="false">IF(Employees!C24="","",Employees!C24)</f>
        <v/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63" t="str">
        <f aca="false">IF($B27="","",SUMPRODUCT(($D27:$AH27="P")*($D$7:$AH$7="W")))</f>
        <v/>
      </c>
      <c r="AJ27" s="63" t="str">
        <f aca="false">IF($B27="","",SUMPRODUCT(($D27:$AH27="HD")*($D$7:$AH$7="W")))</f>
        <v/>
      </c>
      <c r="AK27" s="63" t="str">
        <f aca="false">IF($B27="","",SUMPRODUCT(($D27:$AH27="L")*($D$7:$AH$7="W")))</f>
        <v/>
      </c>
      <c r="AL27" s="63" t="str">
        <f aca="false">IF($B27="","",SUMPRODUCT(($D27:$AH27="A")*($D$7:$AH$7="W")))</f>
        <v/>
      </c>
      <c r="AM27" s="63" t="str">
        <f aca="false">IF($B27="","",COUNTIF($D$7:$AH$7,"WO")+COUNTIF($D$7:$AH$7,"H"))</f>
        <v/>
      </c>
      <c r="AN27" s="63" t="str">
        <f aca="false">IF($B27="","",SUMPRODUCT(($D27:$AH27="P")*(($D$7:$AH$7="WO")+($D$7:$AH$7="H")))+0.5*SUMPRODUCT(($D27:$AH27="HD")*(($D$7:$AH$7="WO")+($D$7:$AH$7="H"))))</f>
        <v/>
      </c>
      <c r="AO27" s="63" t="str">
        <f aca="false">IF($B27="","",SUMPRODUCT(($D27:$AH27="")*($D$7:$AH$7="W")))</f>
        <v/>
      </c>
      <c r="AP27" s="64" t="str">
        <f aca="false">IF($B27="","",AL27+0.5*AJ27+AO27)</f>
        <v/>
      </c>
      <c r="AQ27" s="65" t="str">
        <f aca="false">IF($B27="","",'Basic Details'!$C$22-AP27)</f>
        <v/>
      </c>
    </row>
    <row r="28" customFormat="false" ht="18" hidden="false" customHeight="true" outlineLevel="0" collapsed="false">
      <c r="A28" s="38" t="str">
        <f aca="false">IF(B28="","",ROW()-7)</f>
        <v/>
      </c>
      <c r="B28" s="38" t="str">
        <f aca="false">IF(Employees!B25="","",Employees!B25)</f>
        <v/>
      </c>
      <c r="C28" s="62" t="str">
        <f aca="false">IF(Employees!C25="","",Employees!C25)</f>
        <v/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63" t="str">
        <f aca="false">IF($B28="","",SUMPRODUCT(($D28:$AH28="P")*($D$7:$AH$7="W")))</f>
        <v/>
      </c>
      <c r="AJ28" s="63" t="str">
        <f aca="false">IF($B28="","",SUMPRODUCT(($D28:$AH28="HD")*($D$7:$AH$7="W")))</f>
        <v/>
      </c>
      <c r="AK28" s="63" t="str">
        <f aca="false">IF($B28="","",SUMPRODUCT(($D28:$AH28="L")*($D$7:$AH$7="W")))</f>
        <v/>
      </c>
      <c r="AL28" s="63" t="str">
        <f aca="false">IF($B28="","",SUMPRODUCT(($D28:$AH28="A")*($D$7:$AH$7="W")))</f>
        <v/>
      </c>
      <c r="AM28" s="63" t="str">
        <f aca="false">IF($B28="","",COUNTIF($D$7:$AH$7,"WO")+COUNTIF($D$7:$AH$7,"H"))</f>
        <v/>
      </c>
      <c r="AN28" s="63" t="str">
        <f aca="false">IF($B28="","",SUMPRODUCT(($D28:$AH28="P")*(($D$7:$AH$7="WO")+($D$7:$AH$7="H")))+0.5*SUMPRODUCT(($D28:$AH28="HD")*(($D$7:$AH$7="WO")+($D$7:$AH$7="H"))))</f>
        <v/>
      </c>
      <c r="AO28" s="63" t="str">
        <f aca="false">IF($B28="","",SUMPRODUCT(($D28:$AH28="")*($D$7:$AH$7="W")))</f>
        <v/>
      </c>
      <c r="AP28" s="64" t="str">
        <f aca="false">IF($B28="","",AL28+0.5*AJ28+AO28)</f>
        <v/>
      </c>
      <c r="AQ28" s="65" t="str">
        <f aca="false">IF($B28="","",'Basic Details'!$C$22-AP28)</f>
        <v/>
      </c>
    </row>
    <row r="29" customFormat="false" ht="18" hidden="false" customHeight="true" outlineLevel="0" collapsed="false">
      <c r="A29" s="38" t="str">
        <f aca="false">IF(B29="","",ROW()-7)</f>
        <v/>
      </c>
      <c r="B29" s="38" t="str">
        <f aca="false">IF(Employees!B26="","",Employees!B26)</f>
        <v/>
      </c>
      <c r="C29" s="62" t="str">
        <f aca="false">IF(Employees!C26="","",Employees!C26)</f>
        <v/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63" t="str">
        <f aca="false">IF($B29="","",SUMPRODUCT(($D29:$AH29="P")*($D$7:$AH$7="W")))</f>
        <v/>
      </c>
      <c r="AJ29" s="63" t="str">
        <f aca="false">IF($B29="","",SUMPRODUCT(($D29:$AH29="HD")*($D$7:$AH$7="W")))</f>
        <v/>
      </c>
      <c r="AK29" s="63" t="str">
        <f aca="false">IF($B29="","",SUMPRODUCT(($D29:$AH29="L")*($D$7:$AH$7="W")))</f>
        <v/>
      </c>
      <c r="AL29" s="63" t="str">
        <f aca="false">IF($B29="","",SUMPRODUCT(($D29:$AH29="A")*($D$7:$AH$7="W")))</f>
        <v/>
      </c>
      <c r="AM29" s="63" t="str">
        <f aca="false">IF($B29="","",COUNTIF($D$7:$AH$7,"WO")+COUNTIF($D$7:$AH$7,"H"))</f>
        <v/>
      </c>
      <c r="AN29" s="63" t="str">
        <f aca="false">IF($B29="","",SUMPRODUCT(($D29:$AH29="P")*(($D$7:$AH$7="WO")+($D$7:$AH$7="H")))+0.5*SUMPRODUCT(($D29:$AH29="HD")*(($D$7:$AH$7="WO")+($D$7:$AH$7="H"))))</f>
        <v/>
      </c>
      <c r="AO29" s="63" t="str">
        <f aca="false">IF($B29="","",SUMPRODUCT(($D29:$AH29="")*($D$7:$AH$7="W")))</f>
        <v/>
      </c>
      <c r="AP29" s="64" t="str">
        <f aca="false">IF($B29="","",AL29+0.5*AJ29+AO29)</f>
        <v/>
      </c>
      <c r="AQ29" s="65" t="str">
        <f aca="false">IF($B29="","",'Basic Details'!$C$22-AP29)</f>
        <v/>
      </c>
    </row>
    <row r="30" customFormat="false" ht="18" hidden="false" customHeight="true" outlineLevel="0" collapsed="false">
      <c r="A30" s="38" t="str">
        <f aca="false">IF(B30="","",ROW()-7)</f>
        <v/>
      </c>
      <c r="B30" s="38" t="str">
        <f aca="false">IF(Employees!B27="","",Employees!B27)</f>
        <v/>
      </c>
      <c r="C30" s="62" t="str">
        <f aca="false">IF(Employees!C27="","",Employees!C27)</f>
        <v/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63" t="str">
        <f aca="false">IF($B30="","",SUMPRODUCT(($D30:$AH30="P")*($D$7:$AH$7="W")))</f>
        <v/>
      </c>
      <c r="AJ30" s="63" t="str">
        <f aca="false">IF($B30="","",SUMPRODUCT(($D30:$AH30="HD")*($D$7:$AH$7="W")))</f>
        <v/>
      </c>
      <c r="AK30" s="63" t="str">
        <f aca="false">IF($B30="","",SUMPRODUCT(($D30:$AH30="L")*($D$7:$AH$7="W")))</f>
        <v/>
      </c>
      <c r="AL30" s="63" t="str">
        <f aca="false">IF($B30="","",SUMPRODUCT(($D30:$AH30="A")*($D$7:$AH$7="W")))</f>
        <v/>
      </c>
      <c r="AM30" s="63" t="str">
        <f aca="false">IF($B30="","",COUNTIF($D$7:$AH$7,"WO")+COUNTIF($D$7:$AH$7,"H"))</f>
        <v/>
      </c>
      <c r="AN30" s="63" t="str">
        <f aca="false">IF($B30="","",SUMPRODUCT(($D30:$AH30="P")*(($D$7:$AH$7="WO")+($D$7:$AH$7="H")))+0.5*SUMPRODUCT(($D30:$AH30="HD")*(($D$7:$AH$7="WO")+($D$7:$AH$7="H"))))</f>
        <v/>
      </c>
      <c r="AO30" s="63" t="str">
        <f aca="false">IF($B30="","",SUMPRODUCT(($D30:$AH30="")*($D$7:$AH$7="W")))</f>
        <v/>
      </c>
      <c r="AP30" s="64" t="str">
        <f aca="false">IF($B30="","",AL30+0.5*AJ30+AO30)</f>
        <v/>
      </c>
      <c r="AQ30" s="65" t="str">
        <f aca="false">IF($B30="","",'Basic Details'!$C$22-AP30)</f>
        <v/>
      </c>
    </row>
    <row r="31" customFormat="false" ht="18" hidden="false" customHeight="true" outlineLevel="0" collapsed="false">
      <c r="A31" s="38" t="str">
        <f aca="false">IF(B31="","",ROW()-7)</f>
        <v/>
      </c>
      <c r="B31" s="38" t="str">
        <f aca="false">IF(Employees!B28="","",Employees!B28)</f>
        <v/>
      </c>
      <c r="C31" s="62" t="str">
        <f aca="false">IF(Employees!C28="","",Employees!C28)</f>
        <v/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63" t="str">
        <f aca="false">IF($B31="","",SUMPRODUCT(($D31:$AH31="P")*($D$7:$AH$7="W")))</f>
        <v/>
      </c>
      <c r="AJ31" s="63" t="str">
        <f aca="false">IF($B31="","",SUMPRODUCT(($D31:$AH31="HD")*($D$7:$AH$7="W")))</f>
        <v/>
      </c>
      <c r="AK31" s="63" t="str">
        <f aca="false">IF($B31="","",SUMPRODUCT(($D31:$AH31="L")*($D$7:$AH$7="W")))</f>
        <v/>
      </c>
      <c r="AL31" s="63" t="str">
        <f aca="false">IF($B31="","",SUMPRODUCT(($D31:$AH31="A")*($D$7:$AH$7="W")))</f>
        <v/>
      </c>
      <c r="AM31" s="63" t="str">
        <f aca="false">IF($B31="","",COUNTIF($D$7:$AH$7,"WO")+COUNTIF($D$7:$AH$7,"H"))</f>
        <v/>
      </c>
      <c r="AN31" s="63" t="str">
        <f aca="false">IF($B31="","",SUMPRODUCT(($D31:$AH31="P")*(($D$7:$AH$7="WO")+($D$7:$AH$7="H")))+0.5*SUMPRODUCT(($D31:$AH31="HD")*(($D$7:$AH$7="WO")+($D$7:$AH$7="H"))))</f>
        <v/>
      </c>
      <c r="AO31" s="63" t="str">
        <f aca="false">IF($B31="","",SUMPRODUCT(($D31:$AH31="")*($D$7:$AH$7="W")))</f>
        <v/>
      </c>
      <c r="AP31" s="64" t="str">
        <f aca="false">IF($B31="","",AL31+0.5*AJ31+AO31)</f>
        <v/>
      </c>
      <c r="AQ31" s="65" t="str">
        <f aca="false">IF($B31="","",'Basic Details'!$C$22-AP31)</f>
        <v/>
      </c>
    </row>
    <row r="32" customFormat="false" ht="18" hidden="false" customHeight="true" outlineLevel="0" collapsed="false">
      <c r="A32" s="38" t="str">
        <f aca="false">IF(B32="","",ROW()-7)</f>
        <v/>
      </c>
      <c r="B32" s="38" t="str">
        <f aca="false">IF(Employees!B29="","",Employees!B29)</f>
        <v/>
      </c>
      <c r="C32" s="62" t="str">
        <f aca="false">IF(Employees!C29="","",Employees!C29)</f>
        <v/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63" t="str">
        <f aca="false">IF($B32="","",SUMPRODUCT(($D32:$AH32="P")*($D$7:$AH$7="W")))</f>
        <v/>
      </c>
      <c r="AJ32" s="63" t="str">
        <f aca="false">IF($B32="","",SUMPRODUCT(($D32:$AH32="HD")*($D$7:$AH$7="W")))</f>
        <v/>
      </c>
      <c r="AK32" s="63" t="str">
        <f aca="false">IF($B32="","",SUMPRODUCT(($D32:$AH32="L")*($D$7:$AH$7="W")))</f>
        <v/>
      </c>
      <c r="AL32" s="63" t="str">
        <f aca="false">IF($B32="","",SUMPRODUCT(($D32:$AH32="A")*($D$7:$AH$7="W")))</f>
        <v/>
      </c>
      <c r="AM32" s="63" t="str">
        <f aca="false">IF($B32="","",COUNTIF($D$7:$AH$7,"WO")+COUNTIF($D$7:$AH$7,"H"))</f>
        <v/>
      </c>
      <c r="AN32" s="63" t="str">
        <f aca="false">IF($B32="","",SUMPRODUCT(($D32:$AH32="P")*(($D$7:$AH$7="WO")+($D$7:$AH$7="H")))+0.5*SUMPRODUCT(($D32:$AH32="HD")*(($D$7:$AH$7="WO")+($D$7:$AH$7="H"))))</f>
        <v/>
      </c>
      <c r="AO32" s="63" t="str">
        <f aca="false">IF($B32="","",SUMPRODUCT(($D32:$AH32="")*($D$7:$AH$7="W")))</f>
        <v/>
      </c>
      <c r="AP32" s="64" t="str">
        <f aca="false">IF($B32="","",AL32+0.5*AJ32+AO32)</f>
        <v/>
      </c>
      <c r="AQ32" s="65" t="str">
        <f aca="false">IF($B32="","",'Basic Details'!$C$22-AP32)</f>
        <v/>
      </c>
    </row>
    <row r="33" customFormat="false" ht="18" hidden="false" customHeight="true" outlineLevel="0" collapsed="false">
      <c r="A33" s="38" t="str">
        <f aca="false">IF(B33="","",ROW()-7)</f>
        <v/>
      </c>
      <c r="B33" s="38" t="str">
        <f aca="false">IF(Employees!B30="","",Employees!B30)</f>
        <v/>
      </c>
      <c r="C33" s="62" t="str">
        <f aca="false">IF(Employees!C30="","",Employees!C30)</f>
        <v/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63" t="str">
        <f aca="false">IF($B33="","",SUMPRODUCT(($D33:$AH33="P")*($D$7:$AH$7="W")))</f>
        <v/>
      </c>
      <c r="AJ33" s="63" t="str">
        <f aca="false">IF($B33="","",SUMPRODUCT(($D33:$AH33="HD")*($D$7:$AH$7="W")))</f>
        <v/>
      </c>
      <c r="AK33" s="63" t="str">
        <f aca="false">IF($B33="","",SUMPRODUCT(($D33:$AH33="L")*($D$7:$AH$7="W")))</f>
        <v/>
      </c>
      <c r="AL33" s="63" t="str">
        <f aca="false">IF($B33="","",SUMPRODUCT(($D33:$AH33="A")*($D$7:$AH$7="W")))</f>
        <v/>
      </c>
      <c r="AM33" s="63" t="str">
        <f aca="false">IF($B33="","",COUNTIF($D$7:$AH$7,"WO")+COUNTIF($D$7:$AH$7,"H"))</f>
        <v/>
      </c>
      <c r="AN33" s="63" t="str">
        <f aca="false">IF($B33="","",SUMPRODUCT(($D33:$AH33="P")*(($D$7:$AH$7="WO")+($D$7:$AH$7="H")))+0.5*SUMPRODUCT(($D33:$AH33="HD")*(($D$7:$AH$7="WO")+($D$7:$AH$7="H"))))</f>
        <v/>
      </c>
      <c r="AO33" s="63" t="str">
        <f aca="false">IF($B33="","",SUMPRODUCT(($D33:$AH33="")*($D$7:$AH$7="W")))</f>
        <v/>
      </c>
      <c r="AP33" s="64" t="str">
        <f aca="false">IF($B33="","",AL33+0.5*AJ33+AO33)</f>
        <v/>
      </c>
      <c r="AQ33" s="65" t="str">
        <f aca="false">IF($B33="","",'Basic Details'!$C$22-AP33)</f>
        <v/>
      </c>
    </row>
    <row r="34" customFormat="false" ht="18" hidden="false" customHeight="true" outlineLevel="0" collapsed="false">
      <c r="A34" s="38" t="str">
        <f aca="false">IF(B34="","",ROW()-7)</f>
        <v/>
      </c>
      <c r="B34" s="38" t="str">
        <f aca="false">IF(Employees!B31="","",Employees!B31)</f>
        <v/>
      </c>
      <c r="C34" s="62" t="str">
        <f aca="false">IF(Employees!C31="","",Employees!C31)</f>
        <v/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63" t="str">
        <f aca="false">IF($B34="","",SUMPRODUCT(($D34:$AH34="P")*($D$7:$AH$7="W")))</f>
        <v/>
      </c>
      <c r="AJ34" s="63" t="str">
        <f aca="false">IF($B34="","",SUMPRODUCT(($D34:$AH34="HD")*($D$7:$AH$7="W")))</f>
        <v/>
      </c>
      <c r="AK34" s="63" t="str">
        <f aca="false">IF($B34="","",SUMPRODUCT(($D34:$AH34="L")*($D$7:$AH$7="W")))</f>
        <v/>
      </c>
      <c r="AL34" s="63" t="str">
        <f aca="false">IF($B34="","",SUMPRODUCT(($D34:$AH34="A")*($D$7:$AH$7="W")))</f>
        <v/>
      </c>
      <c r="AM34" s="63" t="str">
        <f aca="false">IF($B34="","",COUNTIF($D$7:$AH$7,"WO")+COUNTIF($D$7:$AH$7,"H"))</f>
        <v/>
      </c>
      <c r="AN34" s="63" t="str">
        <f aca="false">IF($B34="","",SUMPRODUCT(($D34:$AH34="P")*(($D$7:$AH$7="WO")+($D$7:$AH$7="H")))+0.5*SUMPRODUCT(($D34:$AH34="HD")*(($D$7:$AH$7="WO")+($D$7:$AH$7="H"))))</f>
        <v/>
      </c>
      <c r="AO34" s="63" t="str">
        <f aca="false">IF($B34="","",SUMPRODUCT(($D34:$AH34="")*($D$7:$AH$7="W")))</f>
        <v/>
      </c>
      <c r="AP34" s="64" t="str">
        <f aca="false">IF($B34="","",AL34+0.5*AJ34+AO34)</f>
        <v/>
      </c>
      <c r="AQ34" s="65" t="str">
        <f aca="false">IF($B34="","",'Basic Details'!$C$22-AP34)</f>
        <v/>
      </c>
    </row>
    <row r="35" customFormat="false" ht="18" hidden="false" customHeight="true" outlineLevel="0" collapsed="false">
      <c r="A35" s="38" t="str">
        <f aca="false">IF(B35="","",ROW()-7)</f>
        <v/>
      </c>
      <c r="B35" s="38" t="str">
        <f aca="false">IF(Employees!B32="","",Employees!B32)</f>
        <v/>
      </c>
      <c r="C35" s="62" t="str">
        <f aca="false">IF(Employees!C32="","",Employees!C32)</f>
        <v/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63" t="str">
        <f aca="false">IF($B35="","",SUMPRODUCT(($D35:$AH35="P")*($D$7:$AH$7="W")))</f>
        <v/>
      </c>
      <c r="AJ35" s="63" t="str">
        <f aca="false">IF($B35="","",SUMPRODUCT(($D35:$AH35="HD")*($D$7:$AH$7="W")))</f>
        <v/>
      </c>
      <c r="AK35" s="63" t="str">
        <f aca="false">IF($B35="","",SUMPRODUCT(($D35:$AH35="L")*($D$7:$AH$7="W")))</f>
        <v/>
      </c>
      <c r="AL35" s="63" t="str">
        <f aca="false">IF($B35="","",SUMPRODUCT(($D35:$AH35="A")*($D$7:$AH$7="W")))</f>
        <v/>
      </c>
      <c r="AM35" s="63" t="str">
        <f aca="false">IF($B35="","",COUNTIF($D$7:$AH$7,"WO")+COUNTIF($D$7:$AH$7,"H"))</f>
        <v/>
      </c>
      <c r="AN35" s="63" t="str">
        <f aca="false">IF($B35="","",SUMPRODUCT(($D35:$AH35="P")*(($D$7:$AH$7="WO")+($D$7:$AH$7="H")))+0.5*SUMPRODUCT(($D35:$AH35="HD")*(($D$7:$AH$7="WO")+($D$7:$AH$7="H"))))</f>
        <v/>
      </c>
      <c r="AO35" s="63" t="str">
        <f aca="false">IF($B35="","",SUMPRODUCT(($D35:$AH35="")*($D$7:$AH$7="W")))</f>
        <v/>
      </c>
      <c r="AP35" s="64" t="str">
        <f aca="false">IF($B35="","",AL35+0.5*AJ35+AO35)</f>
        <v/>
      </c>
      <c r="AQ35" s="65" t="str">
        <f aca="false">IF($B35="","",'Basic Details'!$C$22-AP35)</f>
        <v/>
      </c>
    </row>
    <row r="36" customFormat="false" ht="18" hidden="false" customHeight="true" outlineLevel="0" collapsed="false">
      <c r="A36" s="38" t="str">
        <f aca="false">IF(B36="","",ROW()-7)</f>
        <v/>
      </c>
      <c r="B36" s="38" t="str">
        <f aca="false">IF(Employees!B33="","",Employees!B33)</f>
        <v/>
      </c>
      <c r="C36" s="62" t="str">
        <f aca="false">IF(Employees!C33="","",Employees!C33)</f>
        <v/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63" t="str">
        <f aca="false">IF($B36="","",SUMPRODUCT(($D36:$AH36="P")*($D$7:$AH$7="W")))</f>
        <v/>
      </c>
      <c r="AJ36" s="63" t="str">
        <f aca="false">IF($B36="","",SUMPRODUCT(($D36:$AH36="HD")*($D$7:$AH$7="W")))</f>
        <v/>
      </c>
      <c r="AK36" s="63" t="str">
        <f aca="false">IF($B36="","",SUMPRODUCT(($D36:$AH36="L")*($D$7:$AH$7="W")))</f>
        <v/>
      </c>
      <c r="AL36" s="63" t="str">
        <f aca="false">IF($B36="","",SUMPRODUCT(($D36:$AH36="A")*($D$7:$AH$7="W")))</f>
        <v/>
      </c>
      <c r="AM36" s="63" t="str">
        <f aca="false">IF($B36="","",COUNTIF($D$7:$AH$7,"WO")+COUNTIF($D$7:$AH$7,"H"))</f>
        <v/>
      </c>
      <c r="AN36" s="63" t="str">
        <f aca="false">IF($B36="","",SUMPRODUCT(($D36:$AH36="P")*(($D$7:$AH$7="WO")+($D$7:$AH$7="H")))+0.5*SUMPRODUCT(($D36:$AH36="HD")*(($D$7:$AH$7="WO")+($D$7:$AH$7="H"))))</f>
        <v/>
      </c>
      <c r="AO36" s="63" t="str">
        <f aca="false">IF($B36="","",SUMPRODUCT(($D36:$AH36="")*($D$7:$AH$7="W")))</f>
        <v/>
      </c>
      <c r="AP36" s="64" t="str">
        <f aca="false">IF($B36="","",AL36+0.5*AJ36+AO36)</f>
        <v/>
      </c>
      <c r="AQ36" s="65" t="str">
        <f aca="false">IF($B36="","",'Basic Details'!$C$22-AP36)</f>
        <v/>
      </c>
    </row>
    <row r="37" customFormat="false" ht="18" hidden="false" customHeight="true" outlineLevel="0" collapsed="false">
      <c r="A37" s="38" t="str">
        <f aca="false">IF(B37="","",ROW()-7)</f>
        <v/>
      </c>
      <c r="B37" s="38" t="str">
        <f aca="false">IF(Employees!B34="","",Employees!B34)</f>
        <v/>
      </c>
      <c r="C37" s="62" t="str">
        <f aca="false">IF(Employees!C34="","",Employees!C34)</f>
        <v/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63" t="str">
        <f aca="false">IF($B37="","",SUMPRODUCT(($D37:$AH37="P")*($D$7:$AH$7="W")))</f>
        <v/>
      </c>
      <c r="AJ37" s="63" t="str">
        <f aca="false">IF($B37="","",SUMPRODUCT(($D37:$AH37="HD")*($D$7:$AH$7="W")))</f>
        <v/>
      </c>
      <c r="AK37" s="63" t="str">
        <f aca="false">IF($B37="","",SUMPRODUCT(($D37:$AH37="L")*($D$7:$AH$7="W")))</f>
        <v/>
      </c>
      <c r="AL37" s="63" t="str">
        <f aca="false">IF($B37="","",SUMPRODUCT(($D37:$AH37="A")*($D$7:$AH$7="W")))</f>
        <v/>
      </c>
      <c r="AM37" s="63" t="str">
        <f aca="false">IF($B37="","",COUNTIF($D$7:$AH$7,"WO")+COUNTIF($D$7:$AH$7,"H"))</f>
        <v/>
      </c>
      <c r="AN37" s="63" t="str">
        <f aca="false">IF($B37="","",SUMPRODUCT(($D37:$AH37="P")*(($D$7:$AH$7="WO")+($D$7:$AH$7="H")))+0.5*SUMPRODUCT(($D37:$AH37="HD")*(($D$7:$AH$7="WO")+($D$7:$AH$7="H"))))</f>
        <v/>
      </c>
      <c r="AO37" s="63" t="str">
        <f aca="false">IF($B37="","",SUMPRODUCT(($D37:$AH37="")*($D$7:$AH$7="W")))</f>
        <v/>
      </c>
      <c r="AP37" s="64" t="str">
        <f aca="false">IF($B37="","",AL37+0.5*AJ37+AO37)</f>
        <v/>
      </c>
      <c r="AQ37" s="65" t="str">
        <f aca="false">IF($B37="","",'Basic Details'!$C$22-AP37)</f>
        <v/>
      </c>
    </row>
    <row r="38" customFormat="false" ht="18" hidden="false" customHeight="true" outlineLevel="0" collapsed="false">
      <c r="A38" s="38" t="str">
        <f aca="false">IF(B38="","",ROW()-7)</f>
        <v/>
      </c>
      <c r="B38" s="38" t="str">
        <f aca="false">IF(Employees!B35="","",Employees!B35)</f>
        <v/>
      </c>
      <c r="C38" s="62" t="str">
        <f aca="false">IF(Employees!C35="","",Employees!C35)</f>
        <v/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63" t="str">
        <f aca="false">IF($B38="","",SUMPRODUCT(($D38:$AH38="P")*($D$7:$AH$7="W")))</f>
        <v/>
      </c>
      <c r="AJ38" s="63" t="str">
        <f aca="false">IF($B38="","",SUMPRODUCT(($D38:$AH38="HD")*($D$7:$AH$7="W")))</f>
        <v/>
      </c>
      <c r="AK38" s="63" t="str">
        <f aca="false">IF($B38="","",SUMPRODUCT(($D38:$AH38="L")*($D$7:$AH$7="W")))</f>
        <v/>
      </c>
      <c r="AL38" s="63" t="str">
        <f aca="false">IF($B38="","",SUMPRODUCT(($D38:$AH38="A")*($D$7:$AH$7="W")))</f>
        <v/>
      </c>
      <c r="AM38" s="63" t="str">
        <f aca="false">IF($B38="","",COUNTIF($D$7:$AH$7,"WO")+COUNTIF($D$7:$AH$7,"H"))</f>
        <v/>
      </c>
      <c r="AN38" s="63" t="str">
        <f aca="false">IF($B38="","",SUMPRODUCT(($D38:$AH38="P")*(($D$7:$AH$7="WO")+($D$7:$AH$7="H")))+0.5*SUMPRODUCT(($D38:$AH38="HD")*(($D$7:$AH$7="WO")+($D$7:$AH$7="H"))))</f>
        <v/>
      </c>
      <c r="AO38" s="63" t="str">
        <f aca="false">IF($B38="","",SUMPRODUCT(($D38:$AH38="")*($D$7:$AH$7="W")))</f>
        <v/>
      </c>
      <c r="AP38" s="64" t="str">
        <f aca="false">IF($B38="","",AL38+0.5*AJ38+AO38)</f>
        <v/>
      </c>
      <c r="AQ38" s="65" t="str">
        <f aca="false">IF($B38="","",'Basic Details'!$C$22-AP38)</f>
        <v/>
      </c>
    </row>
    <row r="39" customFormat="false" ht="18" hidden="false" customHeight="true" outlineLevel="0" collapsed="false">
      <c r="A39" s="38" t="str">
        <f aca="false">IF(B39="","",ROW()-7)</f>
        <v/>
      </c>
      <c r="B39" s="38" t="str">
        <f aca="false">IF(Employees!B36="","",Employees!B36)</f>
        <v/>
      </c>
      <c r="C39" s="62" t="str">
        <f aca="false">IF(Employees!C36="","",Employees!C36)</f>
        <v/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63" t="str">
        <f aca="false">IF($B39="","",SUMPRODUCT(($D39:$AH39="P")*($D$7:$AH$7="W")))</f>
        <v/>
      </c>
      <c r="AJ39" s="63" t="str">
        <f aca="false">IF($B39="","",SUMPRODUCT(($D39:$AH39="HD")*($D$7:$AH$7="W")))</f>
        <v/>
      </c>
      <c r="AK39" s="63" t="str">
        <f aca="false">IF($B39="","",SUMPRODUCT(($D39:$AH39="L")*($D$7:$AH$7="W")))</f>
        <v/>
      </c>
      <c r="AL39" s="63" t="str">
        <f aca="false">IF($B39="","",SUMPRODUCT(($D39:$AH39="A")*($D$7:$AH$7="W")))</f>
        <v/>
      </c>
      <c r="AM39" s="63" t="str">
        <f aca="false">IF($B39="","",COUNTIF($D$7:$AH$7,"WO")+COUNTIF($D$7:$AH$7,"H"))</f>
        <v/>
      </c>
      <c r="AN39" s="63" t="str">
        <f aca="false">IF($B39="","",SUMPRODUCT(($D39:$AH39="P")*(($D$7:$AH$7="WO")+($D$7:$AH$7="H")))+0.5*SUMPRODUCT(($D39:$AH39="HD")*(($D$7:$AH$7="WO")+($D$7:$AH$7="H"))))</f>
        <v/>
      </c>
      <c r="AO39" s="63" t="str">
        <f aca="false">IF($B39="","",SUMPRODUCT(($D39:$AH39="")*($D$7:$AH$7="W")))</f>
        <v/>
      </c>
      <c r="AP39" s="64" t="str">
        <f aca="false">IF($B39="","",AL39+0.5*AJ39+AO39)</f>
        <v/>
      </c>
      <c r="AQ39" s="65" t="str">
        <f aca="false">IF($B39="","",'Basic Details'!$C$22-AP39)</f>
        <v/>
      </c>
    </row>
    <row r="40" customFormat="false" ht="18" hidden="false" customHeight="true" outlineLevel="0" collapsed="false">
      <c r="A40" s="38" t="str">
        <f aca="false">IF(B40="","",ROW()-7)</f>
        <v/>
      </c>
      <c r="B40" s="38" t="str">
        <f aca="false">IF(Employees!B37="","",Employees!B37)</f>
        <v/>
      </c>
      <c r="C40" s="62" t="str">
        <f aca="false">IF(Employees!C37="","",Employees!C37)</f>
        <v/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63" t="str">
        <f aca="false">IF($B40="","",SUMPRODUCT(($D40:$AH40="P")*($D$7:$AH$7="W")))</f>
        <v/>
      </c>
      <c r="AJ40" s="63" t="str">
        <f aca="false">IF($B40="","",SUMPRODUCT(($D40:$AH40="HD")*($D$7:$AH$7="W")))</f>
        <v/>
      </c>
      <c r="AK40" s="63" t="str">
        <f aca="false">IF($B40="","",SUMPRODUCT(($D40:$AH40="L")*($D$7:$AH$7="W")))</f>
        <v/>
      </c>
      <c r="AL40" s="63" t="str">
        <f aca="false">IF($B40="","",SUMPRODUCT(($D40:$AH40="A")*($D$7:$AH$7="W")))</f>
        <v/>
      </c>
      <c r="AM40" s="63" t="str">
        <f aca="false">IF($B40="","",COUNTIF($D$7:$AH$7,"WO")+COUNTIF($D$7:$AH$7,"H"))</f>
        <v/>
      </c>
      <c r="AN40" s="63" t="str">
        <f aca="false">IF($B40="","",SUMPRODUCT(($D40:$AH40="P")*(($D$7:$AH$7="WO")+($D$7:$AH$7="H")))+0.5*SUMPRODUCT(($D40:$AH40="HD")*(($D$7:$AH$7="WO")+($D$7:$AH$7="H"))))</f>
        <v/>
      </c>
      <c r="AO40" s="63" t="str">
        <f aca="false">IF($B40="","",SUMPRODUCT(($D40:$AH40="")*($D$7:$AH$7="W")))</f>
        <v/>
      </c>
      <c r="AP40" s="64" t="str">
        <f aca="false">IF($B40="","",AL40+0.5*AJ40+AO40)</f>
        <v/>
      </c>
      <c r="AQ40" s="65" t="str">
        <f aca="false">IF($B40="","",'Basic Details'!$C$22-AP40)</f>
        <v/>
      </c>
    </row>
    <row r="41" customFormat="false" ht="18" hidden="false" customHeight="true" outlineLevel="0" collapsed="false">
      <c r="A41" s="38" t="str">
        <f aca="false">IF(B41="","",ROW()-7)</f>
        <v/>
      </c>
      <c r="B41" s="38" t="str">
        <f aca="false">IF(Employees!B38="","",Employees!B38)</f>
        <v/>
      </c>
      <c r="C41" s="62" t="str">
        <f aca="false">IF(Employees!C38="","",Employees!C38)</f>
        <v/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63" t="str">
        <f aca="false">IF($B41="","",SUMPRODUCT(($D41:$AH41="P")*($D$7:$AH$7="W")))</f>
        <v/>
      </c>
      <c r="AJ41" s="63" t="str">
        <f aca="false">IF($B41="","",SUMPRODUCT(($D41:$AH41="HD")*($D$7:$AH$7="W")))</f>
        <v/>
      </c>
      <c r="AK41" s="63" t="str">
        <f aca="false">IF($B41="","",SUMPRODUCT(($D41:$AH41="L")*($D$7:$AH$7="W")))</f>
        <v/>
      </c>
      <c r="AL41" s="63" t="str">
        <f aca="false">IF($B41="","",SUMPRODUCT(($D41:$AH41="A")*($D$7:$AH$7="W")))</f>
        <v/>
      </c>
      <c r="AM41" s="63" t="str">
        <f aca="false">IF($B41="","",COUNTIF($D$7:$AH$7,"WO")+COUNTIF($D$7:$AH$7,"H"))</f>
        <v/>
      </c>
      <c r="AN41" s="63" t="str">
        <f aca="false">IF($B41="","",SUMPRODUCT(($D41:$AH41="P")*(($D$7:$AH$7="WO")+($D$7:$AH$7="H")))+0.5*SUMPRODUCT(($D41:$AH41="HD")*(($D$7:$AH$7="WO")+($D$7:$AH$7="H"))))</f>
        <v/>
      </c>
      <c r="AO41" s="63" t="str">
        <f aca="false">IF($B41="","",SUMPRODUCT(($D41:$AH41="")*($D$7:$AH$7="W")))</f>
        <v/>
      </c>
      <c r="AP41" s="64" t="str">
        <f aca="false">IF($B41="","",AL41+0.5*AJ41+AO41)</f>
        <v/>
      </c>
      <c r="AQ41" s="65" t="str">
        <f aca="false">IF($B41="","",'Basic Details'!$C$22-AP41)</f>
        <v/>
      </c>
    </row>
    <row r="42" customFormat="false" ht="18" hidden="false" customHeight="true" outlineLevel="0" collapsed="false">
      <c r="A42" s="38" t="str">
        <f aca="false">IF(B42="","",ROW()-7)</f>
        <v/>
      </c>
      <c r="B42" s="38" t="str">
        <f aca="false">IF(Employees!B39="","",Employees!B39)</f>
        <v/>
      </c>
      <c r="C42" s="62" t="str">
        <f aca="false">IF(Employees!C39="","",Employees!C39)</f>
        <v/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63" t="str">
        <f aca="false">IF($B42="","",SUMPRODUCT(($D42:$AH42="P")*($D$7:$AH$7="W")))</f>
        <v/>
      </c>
      <c r="AJ42" s="63" t="str">
        <f aca="false">IF($B42="","",SUMPRODUCT(($D42:$AH42="HD")*($D$7:$AH$7="W")))</f>
        <v/>
      </c>
      <c r="AK42" s="63" t="str">
        <f aca="false">IF($B42="","",SUMPRODUCT(($D42:$AH42="L")*($D$7:$AH$7="W")))</f>
        <v/>
      </c>
      <c r="AL42" s="63" t="str">
        <f aca="false">IF($B42="","",SUMPRODUCT(($D42:$AH42="A")*($D$7:$AH$7="W")))</f>
        <v/>
      </c>
      <c r="AM42" s="63" t="str">
        <f aca="false">IF($B42="","",COUNTIF($D$7:$AH$7,"WO")+COUNTIF($D$7:$AH$7,"H"))</f>
        <v/>
      </c>
      <c r="AN42" s="63" t="str">
        <f aca="false">IF($B42="","",SUMPRODUCT(($D42:$AH42="P")*(($D$7:$AH$7="WO")+($D$7:$AH$7="H")))+0.5*SUMPRODUCT(($D42:$AH42="HD")*(($D$7:$AH$7="WO")+($D$7:$AH$7="H"))))</f>
        <v/>
      </c>
      <c r="AO42" s="63" t="str">
        <f aca="false">IF($B42="","",SUMPRODUCT(($D42:$AH42="")*($D$7:$AH$7="W")))</f>
        <v/>
      </c>
      <c r="AP42" s="64" t="str">
        <f aca="false">IF($B42="","",AL42+0.5*AJ42+AO42)</f>
        <v/>
      </c>
      <c r="AQ42" s="65" t="str">
        <f aca="false">IF($B42="","",'Basic Details'!$C$22-AP42)</f>
        <v/>
      </c>
    </row>
    <row r="43" customFormat="false" ht="18" hidden="false" customHeight="true" outlineLevel="0" collapsed="false">
      <c r="A43" s="38" t="str">
        <f aca="false">IF(B43="","",ROW()-7)</f>
        <v/>
      </c>
      <c r="B43" s="38" t="str">
        <f aca="false">IF(Employees!B40="","",Employees!B40)</f>
        <v/>
      </c>
      <c r="C43" s="62" t="str">
        <f aca="false">IF(Employees!C40="","",Employees!C40)</f>
        <v/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63" t="str">
        <f aca="false">IF($B43="","",SUMPRODUCT(($D43:$AH43="P")*($D$7:$AH$7="W")))</f>
        <v/>
      </c>
      <c r="AJ43" s="63" t="str">
        <f aca="false">IF($B43="","",SUMPRODUCT(($D43:$AH43="HD")*($D$7:$AH$7="W")))</f>
        <v/>
      </c>
      <c r="AK43" s="63" t="str">
        <f aca="false">IF($B43="","",SUMPRODUCT(($D43:$AH43="L")*($D$7:$AH$7="W")))</f>
        <v/>
      </c>
      <c r="AL43" s="63" t="str">
        <f aca="false">IF($B43="","",SUMPRODUCT(($D43:$AH43="A")*($D$7:$AH$7="W")))</f>
        <v/>
      </c>
      <c r="AM43" s="63" t="str">
        <f aca="false">IF($B43="","",COUNTIF($D$7:$AH$7,"WO")+COUNTIF($D$7:$AH$7,"H"))</f>
        <v/>
      </c>
      <c r="AN43" s="63" t="str">
        <f aca="false">IF($B43="","",SUMPRODUCT(($D43:$AH43="P")*(($D$7:$AH$7="WO")+($D$7:$AH$7="H")))+0.5*SUMPRODUCT(($D43:$AH43="HD")*(($D$7:$AH$7="WO")+($D$7:$AH$7="H"))))</f>
        <v/>
      </c>
      <c r="AO43" s="63" t="str">
        <f aca="false">IF($B43="","",SUMPRODUCT(($D43:$AH43="")*($D$7:$AH$7="W")))</f>
        <v/>
      </c>
      <c r="AP43" s="64" t="str">
        <f aca="false">IF($B43="","",AL43+0.5*AJ43+AO43)</f>
        <v/>
      </c>
      <c r="AQ43" s="65" t="str">
        <f aca="false">IF($B43="","",'Basic Details'!$C$22-AP43)</f>
        <v/>
      </c>
    </row>
    <row r="44" customFormat="false" ht="18" hidden="false" customHeight="true" outlineLevel="0" collapsed="false">
      <c r="A44" s="38" t="str">
        <f aca="false">IF(B44="","",ROW()-7)</f>
        <v/>
      </c>
      <c r="B44" s="38" t="str">
        <f aca="false">IF(Employees!B41="","",Employees!B41)</f>
        <v/>
      </c>
      <c r="C44" s="62" t="str">
        <f aca="false">IF(Employees!C41="","",Employees!C41)</f>
        <v/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63" t="str">
        <f aca="false">IF($B44="","",SUMPRODUCT(($D44:$AH44="P")*($D$7:$AH$7="W")))</f>
        <v/>
      </c>
      <c r="AJ44" s="63" t="str">
        <f aca="false">IF($B44="","",SUMPRODUCT(($D44:$AH44="HD")*($D$7:$AH$7="W")))</f>
        <v/>
      </c>
      <c r="AK44" s="63" t="str">
        <f aca="false">IF($B44="","",SUMPRODUCT(($D44:$AH44="L")*($D$7:$AH$7="W")))</f>
        <v/>
      </c>
      <c r="AL44" s="63" t="str">
        <f aca="false">IF($B44="","",SUMPRODUCT(($D44:$AH44="A")*($D$7:$AH$7="W")))</f>
        <v/>
      </c>
      <c r="AM44" s="63" t="str">
        <f aca="false">IF($B44="","",COUNTIF($D$7:$AH$7,"WO")+COUNTIF($D$7:$AH$7,"H"))</f>
        <v/>
      </c>
      <c r="AN44" s="63" t="str">
        <f aca="false">IF($B44="","",SUMPRODUCT(($D44:$AH44="P")*(($D$7:$AH$7="WO")+($D$7:$AH$7="H")))+0.5*SUMPRODUCT(($D44:$AH44="HD")*(($D$7:$AH$7="WO")+($D$7:$AH$7="H"))))</f>
        <v/>
      </c>
      <c r="AO44" s="63" t="str">
        <f aca="false">IF($B44="","",SUMPRODUCT(($D44:$AH44="")*($D$7:$AH$7="W")))</f>
        <v/>
      </c>
      <c r="AP44" s="64" t="str">
        <f aca="false">IF($B44="","",AL44+0.5*AJ44+AO44)</f>
        <v/>
      </c>
      <c r="AQ44" s="65" t="str">
        <f aca="false">IF($B44="","",'Basic Details'!$C$22-AP44)</f>
        <v/>
      </c>
    </row>
    <row r="45" customFormat="false" ht="18" hidden="false" customHeight="true" outlineLevel="0" collapsed="false">
      <c r="A45" s="38" t="str">
        <f aca="false">IF(B45="","",ROW()-7)</f>
        <v/>
      </c>
      <c r="B45" s="38" t="str">
        <f aca="false">IF(Employees!B42="","",Employees!B42)</f>
        <v/>
      </c>
      <c r="C45" s="62" t="str">
        <f aca="false">IF(Employees!C42="","",Employees!C42)</f>
        <v/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63" t="str">
        <f aca="false">IF($B45="","",SUMPRODUCT(($D45:$AH45="P")*($D$7:$AH$7="W")))</f>
        <v/>
      </c>
      <c r="AJ45" s="63" t="str">
        <f aca="false">IF($B45="","",SUMPRODUCT(($D45:$AH45="HD")*($D$7:$AH$7="W")))</f>
        <v/>
      </c>
      <c r="AK45" s="63" t="str">
        <f aca="false">IF($B45="","",SUMPRODUCT(($D45:$AH45="L")*($D$7:$AH$7="W")))</f>
        <v/>
      </c>
      <c r="AL45" s="63" t="str">
        <f aca="false">IF($B45="","",SUMPRODUCT(($D45:$AH45="A")*($D$7:$AH$7="W")))</f>
        <v/>
      </c>
      <c r="AM45" s="63" t="str">
        <f aca="false">IF($B45="","",COUNTIF($D$7:$AH$7,"WO")+COUNTIF($D$7:$AH$7,"H"))</f>
        <v/>
      </c>
      <c r="AN45" s="63" t="str">
        <f aca="false">IF($B45="","",SUMPRODUCT(($D45:$AH45="P")*(($D$7:$AH$7="WO")+($D$7:$AH$7="H")))+0.5*SUMPRODUCT(($D45:$AH45="HD")*(($D$7:$AH$7="WO")+($D$7:$AH$7="H"))))</f>
        <v/>
      </c>
      <c r="AO45" s="63" t="str">
        <f aca="false">IF($B45="","",SUMPRODUCT(($D45:$AH45="")*($D$7:$AH$7="W")))</f>
        <v/>
      </c>
      <c r="AP45" s="64" t="str">
        <f aca="false">IF($B45="","",AL45+0.5*AJ45+AO45)</f>
        <v/>
      </c>
      <c r="AQ45" s="65" t="str">
        <f aca="false">IF($B45="","",'Basic Details'!$C$22-AP45)</f>
        <v/>
      </c>
    </row>
    <row r="46" customFormat="false" ht="18" hidden="false" customHeight="true" outlineLevel="0" collapsed="false">
      <c r="A46" s="38" t="str">
        <f aca="false">IF(B46="","",ROW()-7)</f>
        <v/>
      </c>
      <c r="B46" s="38" t="str">
        <f aca="false">IF(Employees!B43="","",Employees!B43)</f>
        <v/>
      </c>
      <c r="C46" s="62" t="str">
        <f aca="false">IF(Employees!C43="","",Employees!C43)</f>
        <v/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63" t="str">
        <f aca="false">IF($B46="","",SUMPRODUCT(($D46:$AH46="P")*($D$7:$AH$7="W")))</f>
        <v/>
      </c>
      <c r="AJ46" s="63" t="str">
        <f aca="false">IF($B46="","",SUMPRODUCT(($D46:$AH46="HD")*($D$7:$AH$7="W")))</f>
        <v/>
      </c>
      <c r="AK46" s="63" t="str">
        <f aca="false">IF($B46="","",SUMPRODUCT(($D46:$AH46="L")*($D$7:$AH$7="W")))</f>
        <v/>
      </c>
      <c r="AL46" s="63" t="str">
        <f aca="false">IF($B46="","",SUMPRODUCT(($D46:$AH46="A")*($D$7:$AH$7="W")))</f>
        <v/>
      </c>
      <c r="AM46" s="63" t="str">
        <f aca="false">IF($B46="","",COUNTIF($D$7:$AH$7,"WO")+COUNTIF($D$7:$AH$7,"H"))</f>
        <v/>
      </c>
      <c r="AN46" s="63" t="str">
        <f aca="false">IF($B46="","",SUMPRODUCT(($D46:$AH46="P")*(($D$7:$AH$7="WO")+($D$7:$AH$7="H")))+0.5*SUMPRODUCT(($D46:$AH46="HD")*(($D$7:$AH$7="WO")+($D$7:$AH$7="H"))))</f>
        <v/>
      </c>
      <c r="AO46" s="63" t="str">
        <f aca="false">IF($B46="","",SUMPRODUCT(($D46:$AH46="")*($D$7:$AH$7="W")))</f>
        <v/>
      </c>
      <c r="AP46" s="64" t="str">
        <f aca="false">IF($B46="","",AL46+0.5*AJ46+AO46)</f>
        <v/>
      </c>
      <c r="AQ46" s="65" t="str">
        <f aca="false">IF($B46="","",'Basic Details'!$C$22-AP46)</f>
        <v/>
      </c>
    </row>
    <row r="47" customFormat="false" ht="18" hidden="false" customHeight="true" outlineLevel="0" collapsed="false">
      <c r="A47" s="38" t="str">
        <f aca="false">IF(B47="","",ROW()-7)</f>
        <v/>
      </c>
      <c r="B47" s="38" t="str">
        <f aca="false">IF(Employees!B44="","",Employees!B44)</f>
        <v/>
      </c>
      <c r="C47" s="62" t="str">
        <f aca="false">IF(Employees!C44="","",Employees!C44)</f>
        <v/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63" t="str">
        <f aca="false">IF($B47="","",SUMPRODUCT(($D47:$AH47="P")*($D$7:$AH$7="W")))</f>
        <v/>
      </c>
      <c r="AJ47" s="63" t="str">
        <f aca="false">IF($B47="","",SUMPRODUCT(($D47:$AH47="HD")*($D$7:$AH$7="W")))</f>
        <v/>
      </c>
      <c r="AK47" s="63" t="str">
        <f aca="false">IF($B47="","",SUMPRODUCT(($D47:$AH47="L")*($D$7:$AH$7="W")))</f>
        <v/>
      </c>
      <c r="AL47" s="63" t="str">
        <f aca="false">IF($B47="","",SUMPRODUCT(($D47:$AH47="A")*($D$7:$AH$7="W")))</f>
        <v/>
      </c>
      <c r="AM47" s="63" t="str">
        <f aca="false">IF($B47="","",COUNTIF($D$7:$AH$7,"WO")+COUNTIF($D$7:$AH$7,"H"))</f>
        <v/>
      </c>
      <c r="AN47" s="63" t="str">
        <f aca="false">IF($B47="","",SUMPRODUCT(($D47:$AH47="P")*(($D$7:$AH$7="WO")+($D$7:$AH$7="H")))+0.5*SUMPRODUCT(($D47:$AH47="HD")*(($D$7:$AH$7="WO")+($D$7:$AH$7="H"))))</f>
        <v/>
      </c>
      <c r="AO47" s="63" t="str">
        <f aca="false">IF($B47="","",SUMPRODUCT(($D47:$AH47="")*($D$7:$AH$7="W")))</f>
        <v/>
      </c>
      <c r="AP47" s="64" t="str">
        <f aca="false">IF($B47="","",AL47+0.5*AJ47+AO47)</f>
        <v/>
      </c>
      <c r="AQ47" s="65" t="str">
        <f aca="false">IF($B47="","",'Basic Details'!$C$22-AP47)</f>
        <v/>
      </c>
    </row>
    <row r="48" customFormat="false" ht="18" hidden="false" customHeight="true" outlineLevel="0" collapsed="false">
      <c r="A48" s="38" t="str">
        <f aca="false">IF(B48="","",ROW()-7)</f>
        <v/>
      </c>
      <c r="B48" s="38" t="str">
        <f aca="false">IF(Employees!B45="","",Employees!B45)</f>
        <v/>
      </c>
      <c r="C48" s="62" t="str">
        <f aca="false">IF(Employees!C45="","",Employees!C45)</f>
        <v/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63" t="str">
        <f aca="false">IF($B48="","",SUMPRODUCT(($D48:$AH48="P")*($D$7:$AH$7="W")))</f>
        <v/>
      </c>
      <c r="AJ48" s="63" t="str">
        <f aca="false">IF($B48="","",SUMPRODUCT(($D48:$AH48="HD")*($D$7:$AH$7="W")))</f>
        <v/>
      </c>
      <c r="AK48" s="63" t="str">
        <f aca="false">IF($B48="","",SUMPRODUCT(($D48:$AH48="L")*($D$7:$AH$7="W")))</f>
        <v/>
      </c>
      <c r="AL48" s="63" t="str">
        <f aca="false">IF($B48="","",SUMPRODUCT(($D48:$AH48="A")*($D$7:$AH$7="W")))</f>
        <v/>
      </c>
      <c r="AM48" s="63" t="str">
        <f aca="false">IF($B48="","",COUNTIF($D$7:$AH$7,"WO")+COUNTIF($D$7:$AH$7,"H"))</f>
        <v/>
      </c>
      <c r="AN48" s="63" t="str">
        <f aca="false">IF($B48="","",SUMPRODUCT(($D48:$AH48="P")*(($D$7:$AH$7="WO")+($D$7:$AH$7="H")))+0.5*SUMPRODUCT(($D48:$AH48="HD")*(($D$7:$AH$7="WO")+($D$7:$AH$7="H"))))</f>
        <v/>
      </c>
      <c r="AO48" s="63" t="str">
        <f aca="false">IF($B48="","",SUMPRODUCT(($D48:$AH48="")*($D$7:$AH$7="W")))</f>
        <v/>
      </c>
      <c r="AP48" s="64" t="str">
        <f aca="false">IF($B48="","",AL48+0.5*AJ48+AO48)</f>
        <v/>
      </c>
      <c r="AQ48" s="65" t="str">
        <f aca="false">IF($B48="","",'Basic Details'!$C$22-AP48)</f>
        <v/>
      </c>
    </row>
    <row r="49" customFormat="false" ht="18" hidden="false" customHeight="true" outlineLevel="0" collapsed="false">
      <c r="A49" s="38" t="str">
        <f aca="false">IF(B49="","",ROW()-7)</f>
        <v/>
      </c>
      <c r="B49" s="38" t="str">
        <f aca="false">IF(Employees!B46="","",Employees!B46)</f>
        <v/>
      </c>
      <c r="C49" s="62" t="str">
        <f aca="false">IF(Employees!C46="","",Employees!C46)</f>
        <v/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63" t="str">
        <f aca="false">IF($B49="","",SUMPRODUCT(($D49:$AH49="P")*($D$7:$AH$7="W")))</f>
        <v/>
      </c>
      <c r="AJ49" s="63" t="str">
        <f aca="false">IF($B49="","",SUMPRODUCT(($D49:$AH49="HD")*($D$7:$AH$7="W")))</f>
        <v/>
      </c>
      <c r="AK49" s="63" t="str">
        <f aca="false">IF($B49="","",SUMPRODUCT(($D49:$AH49="L")*($D$7:$AH$7="W")))</f>
        <v/>
      </c>
      <c r="AL49" s="63" t="str">
        <f aca="false">IF($B49="","",SUMPRODUCT(($D49:$AH49="A")*($D$7:$AH$7="W")))</f>
        <v/>
      </c>
      <c r="AM49" s="63" t="str">
        <f aca="false">IF($B49="","",COUNTIF($D$7:$AH$7,"WO")+COUNTIF($D$7:$AH$7,"H"))</f>
        <v/>
      </c>
      <c r="AN49" s="63" t="str">
        <f aca="false">IF($B49="","",SUMPRODUCT(($D49:$AH49="P")*(($D$7:$AH$7="WO")+($D$7:$AH$7="H")))+0.5*SUMPRODUCT(($D49:$AH49="HD")*(($D$7:$AH$7="WO")+($D$7:$AH$7="H"))))</f>
        <v/>
      </c>
      <c r="AO49" s="63" t="str">
        <f aca="false">IF($B49="","",SUMPRODUCT(($D49:$AH49="")*($D$7:$AH$7="W")))</f>
        <v/>
      </c>
      <c r="AP49" s="64" t="str">
        <f aca="false">IF($B49="","",AL49+0.5*AJ49+AO49)</f>
        <v/>
      </c>
      <c r="AQ49" s="65" t="str">
        <f aca="false">IF($B49="","",'Basic Details'!$C$22-AP49)</f>
        <v/>
      </c>
    </row>
    <row r="50" customFormat="false" ht="18" hidden="false" customHeight="true" outlineLevel="0" collapsed="false">
      <c r="A50" s="38" t="str">
        <f aca="false">IF(B50="","",ROW()-7)</f>
        <v/>
      </c>
      <c r="B50" s="38" t="str">
        <f aca="false">IF(Employees!B47="","",Employees!B47)</f>
        <v/>
      </c>
      <c r="C50" s="62" t="str">
        <f aca="false">IF(Employees!C47="","",Employees!C47)</f>
        <v/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63" t="str">
        <f aca="false">IF($B50="","",SUMPRODUCT(($D50:$AH50="P")*($D$7:$AH$7="W")))</f>
        <v/>
      </c>
      <c r="AJ50" s="63" t="str">
        <f aca="false">IF($B50="","",SUMPRODUCT(($D50:$AH50="HD")*($D$7:$AH$7="W")))</f>
        <v/>
      </c>
      <c r="AK50" s="63" t="str">
        <f aca="false">IF($B50="","",SUMPRODUCT(($D50:$AH50="L")*($D$7:$AH$7="W")))</f>
        <v/>
      </c>
      <c r="AL50" s="63" t="str">
        <f aca="false">IF($B50="","",SUMPRODUCT(($D50:$AH50="A")*($D$7:$AH$7="W")))</f>
        <v/>
      </c>
      <c r="AM50" s="63" t="str">
        <f aca="false">IF($B50="","",COUNTIF($D$7:$AH$7,"WO")+COUNTIF($D$7:$AH$7,"H"))</f>
        <v/>
      </c>
      <c r="AN50" s="63" t="str">
        <f aca="false">IF($B50="","",SUMPRODUCT(($D50:$AH50="P")*(($D$7:$AH$7="WO")+($D$7:$AH$7="H")))+0.5*SUMPRODUCT(($D50:$AH50="HD")*(($D$7:$AH$7="WO")+($D$7:$AH$7="H"))))</f>
        <v/>
      </c>
      <c r="AO50" s="63" t="str">
        <f aca="false">IF($B50="","",SUMPRODUCT(($D50:$AH50="")*($D$7:$AH$7="W")))</f>
        <v/>
      </c>
      <c r="AP50" s="64" t="str">
        <f aca="false">IF($B50="","",AL50+0.5*AJ50+AO50)</f>
        <v/>
      </c>
      <c r="AQ50" s="65" t="str">
        <f aca="false">IF($B50="","",'Basic Details'!$C$22-AP50)</f>
        <v/>
      </c>
    </row>
    <row r="51" customFormat="false" ht="18" hidden="false" customHeight="true" outlineLevel="0" collapsed="false">
      <c r="A51" s="38" t="str">
        <f aca="false">IF(B51="","",ROW()-7)</f>
        <v/>
      </c>
      <c r="B51" s="38" t="str">
        <f aca="false">IF(Employees!B48="","",Employees!B48)</f>
        <v/>
      </c>
      <c r="C51" s="62" t="str">
        <f aca="false">IF(Employees!C48="","",Employees!C48)</f>
        <v/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63" t="str">
        <f aca="false">IF($B51="","",SUMPRODUCT(($D51:$AH51="P")*($D$7:$AH$7="W")))</f>
        <v/>
      </c>
      <c r="AJ51" s="63" t="str">
        <f aca="false">IF($B51="","",SUMPRODUCT(($D51:$AH51="HD")*($D$7:$AH$7="W")))</f>
        <v/>
      </c>
      <c r="AK51" s="63" t="str">
        <f aca="false">IF($B51="","",SUMPRODUCT(($D51:$AH51="L")*($D$7:$AH$7="W")))</f>
        <v/>
      </c>
      <c r="AL51" s="63" t="str">
        <f aca="false">IF($B51="","",SUMPRODUCT(($D51:$AH51="A")*($D$7:$AH$7="W")))</f>
        <v/>
      </c>
      <c r="AM51" s="63" t="str">
        <f aca="false">IF($B51="","",COUNTIF($D$7:$AH$7,"WO")+COUNTIF($D$7:$AH$7,"H"))</f>
        <v/>
      </c>
      <c r="AN51" s="63" t="str">
        <f aca="false">IF($B51="","",SUMPRODUCT(($D51:$AH51="P")*(($D$7:$AH$7="WO")+($D$7:$AH$7="H")))+0.5*SUMPRODUCT(($D51:$AH51="HD")*(($D$7:$AH$7="WO")+($D$7:$AH$7="H"))))</f>
        <v/>
      </c>
      <c r="AO51" s="63" t="str">
        <f aca="false">IF($B51="","",SUMPRODUCT(($D51:$AH51="")*($D$7:$AH$7="W")))</f>
        <v/>
      </c>
      <c r="AP51" s="64" t="str">
        <f aca="false">IF($B51="","",AL51+0.5*AJ51+AO51)</f>
        <v/>
      </c>
      <c r="AQ51" s="65" t="str">
        <f aca="false">IF($B51="","",'Basic Details'!$C$22-AP51)</f>
        <v/>
      </c>
    </row>
    <row r="52" customFormat="false" ht="18" hidden="false" customHeight="true" outlineLevel="0" collapsed="false">
      <c r="A52" s="38" t="str">
        <f aca="false">IF(B52="","",ROW()-7)</f>
        <v/>
      </c>
      <c r="B52" s="38" t="str">
        <f aca="false">IF(Employees!B49="","",Employees!B49)</f>
        <v/>
      </c>
      <c r="C52" s="62" t="str">
        <f aca="false">IF(Employees!C49="","",Employees!C49)</f>
        <v/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63" t="str">
        <f aca="false">IF($B52="","",SUMPRODUCT(($D52:$AH52="P")*($D$7:$AH$7="W")))</f>
        <v/>
      </c>
      <c r="AJ52" s="63" t="str">
        <f aca="false">IF($B52="","",SUMPRODUCT(($D52:$AH52="HD")*($D$7:$AH$7="W")))</f>
        <v/>
      </c>
      <c r="AK52" s="63" t="str">
        <f aca="false">IF($B52="","",SUMPRODUCT(($D52:$AH52="L")*($D$7:$AH$7="W")))</f>
        <v/>
      </c>
      <c r="AL52" s="63" t="str">
        <f aca="false">IF($B52="","",SUMPRODUCT(($D52:$AH52="A")*($D$7:$AH$7="W")))</f>
        <v/>
      </c>
      <c r="AM52" s="63" t="str">
        <f aca="false">IF($B52="","",COUNTIF($D$7:$AH$7,"WO")+COUNTIF($D$7:$AH$7,"H"))</f>
        <v/>
      </c>
      <c r="AN52" s="63" t="str">
        <f aca="false">IF($B52="","",SUMPRODUCT(($D52:$AH52="P")*(($D$7:$AH$7="WO")+($D$7:$AH$7="H")))+0.5*SUMPRODUCT(($D52:$AH52="HD")*(($D$7:$AH$7="WO")+($D$7:$AH$7="H"))))</f>
        <v/>
      </c>
      <c r="AO52" s="63" t="str">
        <f aca="false">IF($B52="","",SUMPRODUCT(($D52:$AH52="")*($D$7:$AH$7="W")))</f>
        <v/>
      </c>
      <c r="AP52" s="64" t="str">
        <f aca="false">IF($B52="","",AL52+0.5*AJ52+AO52)</f>
        <v/>
      </c>
      <c r="AQ52" s="65" t="str">
        <f aca="false">IF($B52="","",'Basic Details'!$C$22-AP52)</f>
        <v/>
      </c>
    </row>
    <row r="53" customFormat="false" ht="18" hidden="false" customHeight="true" outlineLevel="0" collapsed="false">
      <c r="A53" s="38" t="str">
        <f aca="false">IF(B53="","",ROW()-7)</f>
        <v/>
      </c>
      <c r="B53" s="38" t="str">
        <f aca="false">IF(Employees!B50="","",Employees!B50)</f>
        <v/>
      </c>
      <c r="C53" s="62" t="str">
        <f aca="false">IF(Employees!C50="","",Employees!C50)</f>
        <v/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63" t="str">
        <f aca="false">IF($B53="","",SUMPRODUCT(($D53:$AH53="P")*($D$7:$AH$7="W")))</f>
        <v/>
      </c>
      <c r="AJ53" s="63" t="str">
        <f aca="false">IF($B53="","",SUMPRODUCT(($D53:$AH53="HD")*($D$7:$AH$7="W")))</f>
        <v/>
      </c>
      <c r="AK53" s="63" t="str">
        <f aca="false">IF($B53="","",SUMPRODUCT(($D53:$AH53="L")*($D$7:$AH$7="W")))</f>
        <v/>
      </c>
      <c r="AL53" s="63" t="str">
        <f aca="false">IF($B53="","",SUMPRODUCT(($D53:$AH53="A")*($D$7:$AH$7="W")))</f>
        <v/>
      </c>
      <c r="AM53" s="63" t="str">
        <f aca="false">IF($B53="","",COUNTIF($D$7:$AH$7,"WO")+COUNTIF($D$7:$AH$7,"H"))</f>
        <v/>
      </c>
      <c r="AN53" s="63" t="str">
        <f aca="false">IF($B53="","",SUMPRODUCT(($D53:$AH53="P")*(($D$7:$AH$7="WO")+($D$7:$AH$7="H")))+0.5*SUMPRODUCT(($D53:$AH53="HD")*(($D$7:$AH$7="WO")+($D$7:$AH$7="H"))))</f>
        <v/>
      </c>
      <c r="AO53" s="63" t="str">
        <f aca="false">IF($B53="","",SUMPRODUCT(($D53:$AH53="")*($D$7:$AH$7="W")))</f>
        <v/>
      </c>
      <c r="AP53" s="64" t="str">
        <f aca="false">IF($B53="","",AL53+0.5*AJ53+AO53)</f>
        <v/>
      </c>
      <c r="AQ53" s="65" t="str">
        <f aca="false">IF($B53="","",'Basic Details'!$C$22-AP53)</f>
        <v/>
      </c>
    </row>
    <row r="54" customFormat="false" ht="18" hidden="false" customHeight="true" outlineLevel="0" collapsed="false">
      <c r="A54" s="38" t="str">
        <f aca="false">IF(B54="","",ROW()-7)</f>
        <v/>
      </c>
      <c r="B54" s="38" t="str">
        <f aca="false">IF(Employees!B51="","",Employees!B51)</f>
        <v/>
      </c>
      <c r="C54" s="62" t="str">
        <f aca="false">IF(Employees!C51="","",Employees!C51)</f>
        <v/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63" t="str">
        <f aca="false">IF($B54="","",SUMPRODUCT(($D54:$AH54="P")*($D$7:$AH$7="W")))</f>
        <v/>
      </c>
      <c r="AJ54" s="63" t="str">
        <f aca="false">IF($B54="","",SUMPRODUCT(($D54:$AH54="HD")*($D$7:$AH$7="W")))</f>
        <v/>
      </c>
      <c r="AK54" s="63" t="str">
        <f aca="false">IF($B54="","",SUMPRODUCT(($D54:$AH54="L")*($D$7:$AH$7="W")))</f>
        <v/>
      </c>
      <c r="AL54" s="63" t="str">
        <f aca="false">IF($B54="","",SUMPRODUCT(($D54:$AH54="A")*($D$7:$AH$7="W")))</f>
        <v/>
      </c>
      <c r="AM54" s="63" t="str">
        <f aca="false">IF($B54="","",COUNTIF($D$7:$AH$7,"WO")+COUNTIF($D$7:$AH$7,"H"))</f>
        <v/>
      </c>
      <c r="AN54" s="63" t="str">
        <f aca="false">IF($B54="","",SUMPRODUCT(($D54:$AH54="P")*(($D$7:$AH$7="WO")+($D$7:$AH$7="H")))+0.5*SUMPRODUCT(($D54:$AH54="HD")*(($D$7:$AH$7="WO")+($D$7:$AH$7="H"))))</f>
        <v/>
      </c>
      <c r="AO54" s="63" t="str">
        <f aca="false">IF($B54="","",SUMPRODUCT(($D54:$AH54="")*($D$7:$AH$7="W")))</f>
        <v/>
      </c>
      <c r="AP54" s="64" t="str">
        <f aca="false">IF($B54="","",AL54+0.5*AJ54+AO54)</f>
        <v/>
      </c>
      <c r="AQ54" s="65" t="str">
        <f aca="false">IF($B54="","",'Basic Details'!$C$22-AP54)</f>
        <v/>
      </c>
    </row>
    <row r="55" customFormat="false" ht="18" hidden="false" customHeight="true" outlineLevel="0" collapsed="false">
      <c r="A55" s="38" t="str">
        <f aca="false">IF(B55="","",ROW()-7)</f>
        <v/>
      </c>
      <c r="B55" s="38" t="str">
        <f aca="false">IF(Employees!B52="","",Employees!B52)</f>
        <v/>
      </c>
      <c r="C55" s="62" t="str">
        <f aca="false">IF(Employees!C52="","",Employees!C52)</f>
        <v/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63" t="str">
        <f aca="false">IF($B55="","",SUMPRODUCT(($D55:$AH55="P")*($D$7:$AH$7="W")))</f>
        <v/>
      </c>
      <c r="AJ55" s="63" t="str">
        <f aca="false">IF($B55="","",SUMPRODUCT(($D55:$AH55="HD")*($D$7:$AH$7="W")))</f>
        <v/>
      </c>
      <c r="AK55" s="63" t="str">
        <f aca="false">IF($B55="","",SUMPRODUCT(($D55:$AH55="L")*($D$7:$AH$7="W")))</f>
        <v/>
      </c>
      <c r="AL55" s="63" t="str">
        <f aca="false">IF($B55="","",SUMPRODUCT(($D55:$AH55="A")*($D$7:$AH$7="W")))</f>
        <v/>
      </c>
      <c r="AM55" s="63" t="str">
        <f aca="false">IF($B55="","",COUNTIF($D$7:$AH$7,"WO")+COUNTIF($D$7:$AH$7,"H"))</f>
        <v/>
      </c>
      <c r="AN55" s="63" t="str">
        <f aca="false">IF($B55="","",SUMPRODUCT(($D55:$AH55="P")*(($D$7:$AH$7="WO")+($D$7:$AH$7="H")))+0.5*SUMPRODUCT(($D55:$AH55="HD")*(($D$7:$AH$7="WO")+($D$7:$AH$7="H"))))</f>
        <v/>
      </c>
      <c r="AO55" s="63" t="str">
        <f aca="false">IF($B55="","",SUMPRODUCT(($D55:$AH55="")*($D$7:$AH$7="W")))</f>
        <v/>
      </c>
      <c r="AP55" s="64" t="str">
        <f aca="false">IF($B55="","",AL55+0.5*AJ55+AO55)</f>
        <v/>
      </c>
      <c r="AQ55" s="65" t="str">
        <f aca="false">IF($B55="","",'Basic Details'!$C$22-AP55)</f>
        <v/>
      </c>
    </row>
    <row r="56" customFormat="false" ht="18" hidden="false" customHeight="true" outlineLevel="0" collapsed="false">
      <c r="A56" s="38" t="str">
        <f aca="false">IF(B56="","",ROW()-7)</f>
        <v/>
      </c>
      <c r="B56" s="38" t="str">
        <f aca="false">IF(Employees!B53="","",Employees!B53)</f>
        <v/>
      </c>
      <c r="C56" s="62" t="str">
        <f aca="false">IF(Employees!C53="","",Employees!C53)</f>
        <v/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63" t="str">
        <f aca="false">IF($B56="","",SUMPRODUCT(($D56:$AH56="P")*($D$7:$AH$7="W")))</f>
        <v/>
      </c>
      <c r="AJ56" s="63" t="str">
        <f aca="false">IF($B56="","",SUMPRODUCT(($D56:$AH56="HD")*($D$7:$AH$7="W")))</f>
        <v/>
      </c>
      <c r="AK56" s="63" t="str">
        <f aca="false">IF($B56="","",SUMPRODUCT(($D56:$AH56="L")*($D$7:$AH$7="W")))</f>
        <v/>
      </c>
      <c r="AL56" s="63" t="str">
        <f aca="false">IF($B56="","",SUMPRODUCT(($D56:$AH56="A")*($D$7:$AH$7="W")))</f>
        <v/>
      </c>
      <c r="AM56" s="63" t="str">
        <f aca="false">IF($B56="","",COUNTIF($D$7:$AH$7,"WO")+COUNTIF($D$7:$AH$7,"H"))</f>
        <v/>
      </c>
      <c r="AN56" s="63" t="str">
        <f aca="false">IF($B56="","",SUMPRODUCT(($D56:$AH56="P")*(($D$7:$AH$7="WO")+($D$7:$AH$7="H")))+0.5*SUMPRODUCT(($D56:$AH56="HD")*(($D$7:$AH$7="WO")+($D$7:$AH$7="H"))))</f>
        <v/>
      </c>
      <c r="AO56" s="63" t="str">
        <f aca="false">IF($B56="","",SUMPRODUCT(($D56:$AH56="")*($D$7:$AH$7="W")))</f>
        <v/>
      </c>
      <c r="AP56" s="64" t="str">
        <f aca="false">IF($B56="","",AL56+0.5*AJ56+AO56)</f>
        <v/>
      </c>
      <c r="AQ56" s="65" t="str">
        <f aca="false">IF($B56="","",'Basic Details'!$C$22-AP56)</f>
        <v/>
      </c>
    </row>
    <row r="57" customFormat="false" ht="18" hidden="false" customHeight="true" outlineLevel="0" collapsed="false">
      <c r="A57" s="38" t="str">
        <f aca="false">IF(B57="","",ROW()-7)</f>
        <v/>
      </c>
      <c r="B57" s="38" t="str">
        <f aca="false">IF(Employees!B54="","",Employees!B54)</f>
        <v/>
      </c>
      <c r="C57" s="62" t="str">
        <f aca="false">IF(Employees!C54="","",Employees!C54)</f>
        <v/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63" t="str">
        <f aca="false">IF($B57="","",SUMPRODUCT(($D57:$AH57="P")*($D$7:$AH$7="W")))</f>
        <v/>
      </c>
      <c r="AJ57" s="63" t="str">
        <f aca="false">IF($B57="","",SUMPRODUCT(($D57:$AH57="HD")*($D$7:$AH$7="W")))</f>
        <v/>
      </c>
      <c r="AK57" s="63" t="str">
        <f aca="false">IF($B57="","",SUMPRODUCT(($D57:$AH57="L")*($D$7:$AH$7="W")))</f>
        <v/>
      </c>
      <c r="AL57" s="63" t="str">
        <f aca="false">IF($B57="","",SUMPRODUCT(($D57:$AH57="A")*($D$7:$AH$7="W")))</f>
        <v/>
      </c>
      <c r="AM57" s="63" t="str">
        <f aca="false">IF($B57="","",COUNTIF($D$7:$AH$7,"WO")+COUNTIF($D$7:$AH$7,"H"))</f>
        <v/>
      </c>
      <c r="AN57" s="63" t="str">
        <f aca="false">IF($B57="","",SUMPRODUCT(($D57:$AH57="P")*(($D$7:$AH$7="WO")+($D$7:$AH$7="H")))+0.5*SUMPRODUCT(($D57:$AH57="HD")*(($D$7:$AH$7="WO")+($D$7:$AH$7="H"))))</f>
        <v/>
      </c>
      <c r="AO57" s="63" t="str">
        <f aca="false">IF($B57="","",SUMPRODUCT(($D57:$AH57="")*($D$7:$AH$7="W")))</f>
        <v/>
      </c>
      <c r="AP57" s="64" t="str">
        <f aca="false">IF($B57="","",AL57+0.5*AJ57+AO57)</f>
        <v/>
      </c>
      <c r="AQ57" s="65" t="str">
        <f aca="false">IF($B57="","",'Basic Details'!$C$22-AP57)</f>
        <v/>
      </c>
    </row>
  </sheetData>
  <mergeCells count="20">
    <mergeCell ref="A2:AQ2"/>
    <mergeCell ref="E3:H3"/>
    <mergeCell ref="J3:M3"/>
    <mergeCell ref="O3:R3"/>
    <mergeCell ref="T3:W3"/>
    <mergeCell ref="Y3:AB3"/>
    <mergeCell ref="AD3:AG3"/>
    <mergeCell ref="A4:AQ4"/>
    <mergeCell ref="A5:A7"/>
    <mergeCell ref="B5:B7"/>
    <mergeCell ref="C5:C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</mergeCells>
  <conditionalFormatting sqref="D8:AH57">
    <cfRule type="expression" priority="2" aboveAverage="0" equalAverage="0" bottom="0" percent="0" rank="0" text="" dxfId="2">
      <formula>D$5=""</formula>
    </cfRule>
    <cfRule type="expression" priority="3" aboveAverage="0" equalAverage="0" bottom="0" percent="0" rank="0" text="" dxfId="3">
      <formula>D$7="WO"</formula>
    </cfRule>
    <cfRule type="expression" priority="4" aboveAverage="0" equalAverage="0" bottom="0" percent="0" rank="0" text="" dxfId="4">
      <formula>D$7="H"</formula>
    </cfRule>
    <cfRule type="expression" priority="5" aboveAverage="0" equalAverage="0" bottom="0" percent="0" rank="0" text="" dxfId="5">
      <formula>D8="P"</formula>
    </cfRule>
    <cfRule type="expression" priority="6" aboveAverage="0" equalAverage="0" bottom="0" percent="0" rank="0" text="" dxfId="6">
      <formula>D8="A"</formula>
    </cfRule>
    <cfRule type="expression" priority="7" aboveAverage="0" equalAverage="0" bottom="0" percent="0" rank="0" text="" dxfId="7">
      <formula>D8="HD"</formula>
    </cfRule>
    <cfRule type="expression" priority="8" aboveAverage="0" equalAverage="0" bottom="0" percent="0" rank="0" text="" dxfId="8">
      <formula>D8="L"</formula>
    </cfRule>
    <cfRule type="expression" priority="9" aboveAverage="0" equalAverage="0" bottom="0" percent="0" rank="0" text="" dxfId="9">
      <formula>AND($B8&lt;&gt;"",D8="",D$7="W")</formula>
    </cfRule>
  </conditionalFormatting>
  <conditionalFormatting sqref="AO8:AO57">
    <cfRule type="expression" priority="10" aboveAverage="0" equalAverage="0" bottom="0" percent="0" rank="0" text="" dxfId="0">
      <formula>N(AO8)&gt;0</formula>
    </cfRule>
  </conditionalFormatting>
  <dataValidations count="1">
    <dataValidation allowBlank="true" error="Use P, A, HD or L" errorStyle="stop" errorTitle="Invalid code" operator="between" showDropDown="false" showErrorMessage="true" showInputMessage="false" sqref="D8:AH57" type="list">
      <formula1>Lists!$B$2:$B$5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AA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8" min="6" style="0" width="8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10"/>
    <col collapsed="false" customWidth="true" hidden="false" outlineLevel="0" max="13" min="13" style="0" width="8"/>
    <col collapsed="false" customWidth="true" hidden="false" outlineLevel="0" max="15" min="14" style="0" width="10"/>
    <col collapsed="false" customWidth="true" hidden="false" outlineLevel="0" max="16" min="16" style="0" width="12"/>
    <col collapsed="false" customWidth="true" hidden="false" outlineLevel="0" max="18" min="17" style="0" width="11"/>
    <col collapsed="false" customWidth="true" hidden="false" outlineLevel="0" max="19" min="19" style="0" width="10"/>
    <col collapsed="false" customWidth="true" hidden="false" outlineLevel="0" max="20" min="20" style="0" width="9"/>
    <col collapsed="false" customWidth="true" hidden="false" outlineLevel="0" max="22" min="21" style="0" width="10"/>
    <col collapsed="false" customWidth="true" hidden="false" outlineLevel="0" max="23" min="23" style="0" width="12"/>
    <col collapsed="false" customWidth="true" hidden="false" outlineLevel="0" max="24" min="24" style="0" width="13"/>
    <col collapsed="false" customWidth="true" hidden="false" outlineLevel="0" max="26" min="25" style="0" width="11"/>
    <col collapsed="false" customWidth="true" hidden="false" outlineLevel="0" max="27" min="27" style="0" width="13"/>
  </cols>
  <sheetData>
    <row r="1" customFormat="false" ht="15" hidden="false" customHeight="false" outlineLevel="0" collapsed="false">
      <c r="A1" s="15" t="s">
        <v>20</v>
      </c>
    </row>
    <row r="2" customFormat="false" ht="27.75" hidden="false" customHeight="true" outlineLevel="0" collapsed="false">
      <c r="A2" s="41" t="str">
        <f aca="false">"Salary Sheet (Payroll Register) – "&amp;'Basic Details'!$C$24&amp;"   |   "&amp;'Basic Details'!$C$3</f>
        <v>Salary Sheet (Payroll Register) – October 2026   |   Xplore Excel Pvt. Ltd.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customFormat="false" ht="15" hidden="false" customHeight="false" outlineLevel="0" collapsed="false">
      <c r="A3" s="36" t="s">
        <v>170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5" customFormat="false" ht="15" hidden="false" customHeight="true" outlineLevel="0" collapsed="false">
      <c r="A5" s="66" t="s">
        <v>171</v>
      </c>
      <c r="B5" s="66"/>
      <c r="C5" s="66"/>
      <c r="D5" s="66"/>
      <c r="E5" s="66" t="s">
        <v>172</v>
      </c>
      <c r="F5" s="66"/>
      <c r="G5" s="66"/>
      <c r="H5" s="66"/>
      <c r="I5" s="67" t="s">
        <v>173</v>
      </c>
      <c r="J5" s="67"/>
      <c r="K5" s="67"/>
      <c r="L5" s="67"/>
      <c r="M5" s="67"/>
      <c r="N5" s="67"/>
      <c r="O5" s="67"/>
      <c r="P5" s="67"/>
      <c r="Q5" s="68" t="s">
        <v>174</v>
      </c>
      <c r="R5" s="68"/>
      <c r="S5" s="68"/>
      <c r="T5" s="68"/>
      <c r="U5" s="68"/>
      <c r="V5" s="68"/>
      <c r="W5" s="68"/>
      <c r="X5" s="37" t="s">
        <v>175</v>
      </c>
      <c r="Y5" s="69" t="s">
        <v>176</v>
      </c>
      <c r="Z5" s="69"/>
      <c r="AA5" s="69"/>
    </row>
    <row r="6" customFormat="false" ht="43.5" hidden="false" customHeight="true" outlineLevel="0" collapsed="false">
      <c r="A6" s="37" t="s">
        <v>95</v>
      </c>
      <c r="B6" s="37" t="s">
        <v>103</v>
      </c>
      <c r="C6" s="37" t="s">
        <v>104</v>
      </c>
      <c r="D6" s="37" t="s">
        <v>105</v>
      </c>
      <c r="E6" s="37" t="s">
        <v>177</v>
      </c>
      <c r="F6" s="37" t="s">
        <v>178</v>
      </c>
      <c r="G6" s="37" t="s">
        <v>168</v>
      </c>
      <c r="H6" s="37" t="s">
        <v>169</v>
      </c>
      <c r="I6" s="37" t="s">
        <v>179</v>
      </c>
      <c r="J6" s="37" t="s">
        <v>180</v>
      </c>
      <c r="K6" s="37" t="s">
        <v>181</v>
      </c>
      <c r="L6" s="37" t="s">
        <v>182</v>
      </c>
      <c r="M6" s="70" t="s">
        <v>183</v>
      </c>
      <c r="N6" s="37" t="s">
        <v>184</v>
      </c>
      <c r="O6" s="70" t="s">
        <v>185</v>
      </c>
      <c r="P6" s="37" t="s">
        <v>186</v>
      </c>
      <c r="Q6" s="37" t="s">
        <v>187</v>
      </c>
      <c r="R6" s="37" t="s">
        <v>188</v>
      </c>
      <c r="S6" s="37" t="s">
        <v>189</v>
      </c>
      <c r="T6" s="70" t="s">
        <v>190</v>
      </c>
      <c r="U6" s="70" t="s">
        <v>191</v>
      </c>
      <c r="V6" s="70" t="s">
        <v>192</v>
      </c>
      <c r="W6" s="37" t="s">
        <v>8</v>
      </c>
      <c r="X6" s="37" t="s">
        <v>193</v>
      </c>
      <c r="Y6" s="37" t="s">
        <v>194</v>
      </c>
      <c r="Z6" s="37" t="s">
        <v>195</v>
      </c>
      <c r="AA6" s="37" t="s">
        <v>196</v>
      </c>
    </row>
    <row r="7" customFormat="false" ht="15" hidden="false" customHeight="false" outlineLevel="0" collapsed="false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customFormat="false" ht="18" hidden="false" customHeight="true" outlineLevel="0" collapsed="false">
      <c r="A8" s="71" t="n">
        <f aca="false">IF(B8="","",ROW()-7)</f>
        <v>1</v>
      </c>
      <c r="B8" s="71" t="str">
        <f aca="false">IF(Employees!B5="","",Employees!B5)</f>
        <v>XE001</v>
      </c>
      <c r="C8" s="72" t="str">
        <f aca="false">IF(Employees!C5="","",Employees!C5)</f>
        <v>Harpreet Singh</v>
      </c>
      <c r="D8" s="72" t="str">
        <f aca="false">IF(Employees!D5="","",Employees!D5)</f>
        <v>Accountant</v>
      </c>
      <c r="E8" s="73" t="n">
        <f aca="false">IF($B8="","",Employees!G5)</f>
        <v>32000</v>
      </c>
      <c r="F8" s="71" t="n">
        <f aca="false">IF($B8="","",'Basic Details'!$C$22)</f>
        <v>31</v>
      </c>
      <c r="G8" s="63" t="n">
        <f aca="false">IF($B8="","",Attendance!AP8)</f>
        <v>0</v>
      </c>
      <c r="H8" s="63" t="n">
        <f aca="false">IF($B8="","",Attendance!AQ8)</f>
        <v>31</v>
      </c>
      <c r="I8" s="73" t="n">
        <f aca="false">IF($B8="","",ROUND(Employees!R5*MAX(0,1-G8/'Basic Details'!$C$23),0))</f>
        <v>16000</v>
      </c>
      <c r="J8" s="73" t="n">
        <f aca="false">IF($B8="","",ROUND(Employees!S5*MAX(0,1-G8/'Basic Details'!$C$23),0))</f>
        <v>6400</v>
      </c>
      <c r="K8" s="73" t="n">
        <f aca="false">IF($B8="","",ROUND(Employees!T5*MAX(0,1-G8/'Basic Details'!$C$23),0))</f>
        <v>9600</v>
      </c>
      <c r="L8" s="73" t="n">
        <f aca="false">IF($B8="","",IF('Basic Details'!$C$9="Yes",ROUND(Attendance!AN8*E8/'Basic Details'!$C$23,0),0))</f>
        <v>0</v>
      </c>
      <c r="M8" s="74"/>
      <c r="N8" s="73" t="n">
        <f aca="false">IF($B8="","",ROUND(N(M8)*E8/'Basic Details'!$C$23/'Basic Details'!$C$18*'Basic Details'!$C$17,0))</f>
        <v>0</v>
      </c>
      <c r="O8" s="75" t="n">
        <v>1000</v>
      </c>
      <c r="P8" s="73" t="n">
        <f aca="false">IF($B8="","",SUM(I8:L8)+N8+N(O8))</f>
        <v>33000</v>
      </c>
      <c r="Q8" s="73" t="n">
        <f aca="false">IF($B8="","",IF(Employees!J5="Yes",ROUND(IF('Basic Details'!$C$13="Yes",MIN(I8,'Basic Details'!$C$12),I8)*'Basic Details'!$C$10,0),0))</f>
        <v>1800</v>
      </c>
      <c r="R8" s="73" t="n">
        <f aca="false">IF($B8="","",IF(AND(Employees!K5="Yes",E8&lt;='Basic Details'!$C$16),ROUNDUP((P8-N(O8))*'Basic Details'!$C$14,0),0))</f>
        <v>0</v>
      </c>
      <c r="S8" s="73" t="n">
        <f aca="false">IF($B8="","",IF(P8&gt;0,N(Employees!L5),0))</f>
        <v>200</v>
      </c>
      <c r="T8" s="75" t="n">
        <v>0</v>
      </c>
      <c r="U8" s="75"/>
      <c r="V8" s="75"/>
      <c r="W8" s="73" t="n">
        <f aca="false">IF($B8="","",Q8+R8+S8+N(T8)+N(U8)+N(V8))</f>
        <v>2000</v>
      </c>
      <c r="X8" s="76" t="n">
        <f aca="false">IF($B8="","",P8-W8)</f>
        <v>31000</v>
      </c>
      <c r="Y8" s="73" t="n">
        <f aca="false">IF($B8="","",IF(Employees!J5="Yes",ROUND(IF('Basic Details'!$C$13="Yes",MIN(I8,'Basic Details'!$C$12),I8)*'Basic Details'!$C$11,0),0))</f>
        <v>1800</v>
      </c>
      <c r="Z8" s="73" t="n">
        <f aca="false">IF($B8="","",IF(AND(Employees!K5="Yes",E8&lt;='Basic Details'!$C$16),ROUNDUP((P8-N(O8))*'Basic Details'!$C$15,0),0))</f>
        <v>0</v>
      </c>
      <c r="AA8" s="73" t="n">
        <f aca="false">IF($B8="","",P8+Y8+Z8)</f>
        <v>34800</v>
      </c>
    </row>
    <row r="9" customFormat="false" ht="18" hidden="false" customHeight="true" outlineLevel="0" collapsed="false">
      <c r="A9" s="71" t="n">
        <f aca="false">IF(B9="","",ROW()-7)</f>
        <v>2</v>
      </c>
      <c r="B9" s="71" t="str">
        <f aca="false">IF(Employees!B6="","",Employees!B6)</f>
        <v>XE002</v>
      </c>
      <c r="C9" s="72" t="str">
        <f aca="false">IF(Employees!C6="","",Employees!C6)</f>
        <v>Simran Kaur</v>
      </c>
      <c r="D9" s="72" t="str">
        <f aca="false">IF(Employees!D6="","",Employees!D6)</f>
        <v>Sales Executive</v>
      </c>
      <c r="E9" s="73" t="n">
        <f aca="false">IF($B9="","",Employees!G6)</f>
        <v>18500</v>
      </c>
      <c r="F9" s="71" t="n">
        <f aca="false">IF($B9="","",'Basic Details'!$C$22)</f>
        <v>31</v>
      </c>
      <c r="G9" s="63" t="n">
        <f aca="false">IF($B9="","",Attendance!AP9)</f>
        <v>1.5</v>
      </c>
      <c r="H9" s="63" t="n">
        <f aca="false">IF($B9="","",Attendance!AQ9)</f>
        <v>29.5</v>
      </c>
      <c r="I9" s="73" t="n">
        <f aca="false">IF($B9="","",ROUND(Employees!R6*MAX(0,1-G9/'Basic Details'!$C$23),0))</f>
        <v>8802</v>
      </c>
      <c r="J9" s="73" t="n">
        <f aca="false">IF($B9="","",ROUND(Employees!S6*MAX(0,1-G9/'Basic Details'!$C$23),0))</f>
        <v>3521</v>
      </c>
      <c r="K9" s="73" t="n">
        <f aca="false">IF($B9="","",ROUND(Employees!T6*MAX(0,1-G9/'Basic Details'!$C$23),0))</f>
        <v>5281</v>
      </c>
      <c r="L9" s="73" t="n">
        <f aca="false">IF($B9="","",IF('Basic Details'!$C$9="Yes",ROUND(Attendance!AN9*E9/'Basic Details'!$C$23,0),0))</f>
        <v>0</v>
      </c>
      <c r="M9" s="74" t="n">
        <v>6</v>
      </c>
      <c r="N9" s="73" t="n">
        <f aca="false">IF($B9="","",ROUND(N(M9)*E9/'Basic Details'!$C$23/'Basic Details'!$C$18*'Basic Details'!$C$17,0))</f>
        <v>895</v>
      </c>
      <c r="O9" s="75"/>
      <c r="P9" s="73" t="n">
        <f aca="false">IF($B9="","",SUM(I9:L9)+N9+N(O9))</f>
        <v>18499</v>
      </c>
      <c r="Q9" s="73" t="n">
        <f aca="false">IF($B9="","",IF(Employees!J6="Yes",ROUND(IF('Basic Details'!$C$13="Yes",MIN(I9,'Basic Details'!$C$12),I9)*'Basic Details'!$C$10,0),0))</f>
        <v>1056</v>
      </c>
      <c r="R9" s="73" t="n">
        <f aca="false">IF($B9="","",IF(AND(Employees!K6="Yes",E9&lt;='Basic Details'!$C$16),ROUNDUP((P9-N(O9))*'Basic Details'!$C$14,0),0))</f>
        <v>139</v>
      </c>
      <c r="S9" s="73" t="n">
        <f aca="false">IF($B9="","",IF(P9&gt;0,N(Employees!L6),0))</f>
        <v>0</v>
      </c>
      <c r="T9" s="75"/>
      <c r="U9" s="75"/>
      <c r="V9" s="75"/>
      <c r="W9" s="73" t="n">
        <f aca="false">IF($B9="","",Q9+R9+S9+N(T9)+N(U9)+N(V9))</f>
        <v>1195</v>
      </c>
      <c r="X9" s="76" t="n">
        <f aca="false">IF($B9="","",P9-W9)</f>
        <v>17304</v>
      </c>
      <c r="Y9" s="73" t="n">
        <f aca="false">IF($B9="","",IF(Employees!J6="Yes",ROUND(IF('Basic Details'!$C$13="Yes",MIN(I9,'Basic Details'!$C$12),I9)*'Basic Details'!$C$11,0),0))</f>
        <v>1056</v>
      </c>
      <c r="Z9" s="73" t="n">
        <f aca="false">IF($B9="","",IF(AND(Employees!K6="Yes",E9&lt;='Basic Details'!$C$16),ROUNDUP((P9-N(O9))*'Basic Details'!$C$15,0),0))</f>
        <v>602</v>
      </c>
      <c r="AA9" s="73" t="n">
        <f aca="false">IF($B9="","",P9+Y9+Z9)</f>
        <v>20157</v>
      </c>
    </row>
    <row r="10" customFormat="false" ht="18" hidden="false" customHeight="true" outlineLevel="0" collapsed="false">
      <c r="A10" s="71" t="n">
        <f aca="false">IF(B10="","",ROW()-7)</f>
        <v>3</v>
      </c>
      <c r="B10" s="71" t="str">
        <f aca="false">IF(Employees!B7="","",Employees!B7)</f>
        <v>XE003</v>
      </c>
      <c r="C10" s="72" t="str">
        <f aca="false">IF(Employees!C7="","",Employees!C7)</f>
        <v>Amit Verma</v>
      </c>
      <c r="D10" s="72" t="str">
        <f aca="false">IF(Employees!D7="","",Employees!D7)</f>
        <v>Store Keeper</v>
      </c>
      <c r="E10" s="73" t="n">
        <f aca="false">IF($B10="","",Employees!G7)</f>
        <v>16000</v>
      </c>
      <c r="F10" s="71" t="n">
        <f aca="false">IF($B10="","",'Basic Details'!$C$22)</f>
        <v>31</v>
      </c>
      <c r="G10" s="63" t="n">
        <f aca="false">IF($B10="","",Attendance!AP10)</f>
        <v>1</v>
      </c>
      <c r="H10" s="63" t="n">
        <f aca="false">IF($B10="","",Attendance!AQ10)</f>
        <v>30</v>
      </c>
      <c r="I10" s="73" t="n">
        <f aca="false">IF($B10="","",ROUND(Employees!R7*MAX(0,1-G10/'Basic Details'!$C$23),0))</f>
        <v>7742</v>
      </c>
      <c r="J10" s="73" t="n">
        <f aca="false">IF($B10="","",ROUND(Employees!S7*MAX(0,1-G10/'Basic Details'!$C$23),0))</f>
        <v>3097</v>
      </c>
      <c r="K10" s="73" t="n">
        <f aca="false">IF($B10="","",ROUND(Employees!T7*MAX(0,1-G10/'Basic Details'!$C$23),0))</f>
        <v>4645</v>
      </c>
      <c r="L10" s="73" t="n">
        <f aca="false">IF($B10="","",IF('Basic Details'!$C$9="Yes",ROUND(Attendance!AN10*E10/'Basic Details'!$C$23,0),0))</f>
        <v>1032</v>
      </c>
      <c r="M10" s="74" t="n">
        <v>0</v>
      </c>
      <c r="N10" s="73" t="n">
        <f aca="false">IF($B10="","",ROUND(N(M10)*E10/'Basic Details'!$C$23/'Basic Details'!$C$18*'Basic Details'!$C$17,0))</f>
        <v>0</v>
      </c>
      <c r="O10" s="75"/>
      <c r="P10" s="73" t="n">
        <f aca="false">IF($B10="","",SUM(I10:L10)+N10+N(O10))</f>
        <v>16516</v>
      </c>
      <c r="Q10" s="73" t="n">
        <f aca="false">IF($B10="","",IF(Employees!J7="Yes",ROUND(IF('Basic Details'!$C$13="Yes",MIN(I10,'Basic Details'!$C$12),I10)*'Basic Details'!$C$10,0),0))</f>
        <v>929</v>
      </c>
      <c r="R10" s="73" t="n">
        <f aca="false">IF($B10="","",IF(AND(Employees!K7="Yes",E10&lt;='Basic Details'!$C$16),ROUNDUP((P10-N(O10))*'Basic Details'!$C$14,0),0))</f>
        <v>124</v>
      </c>
      <c r="S10" s="73" t="n">
        <f aca="false">IF($B10="","",IF(P10&gt;0,N(Employees!L7),0))</f>
        <v>0</v>
      </c>
      <c r="T10" s="75"/>
      <c r="U10" s="75"/>
      <c r="V10" s="75"/>
      <c r="W10" s="73" t="n">
        <f aca="false">IF($B10="","",Q10+R10+S10+N(T10)+N(U10)+N(V10))</f>
        <v>1053</v>
      </c>
      <c r="X10" s="76" t="n">
        <f aca="false">IF($B10="","",P10-W10)</f>
        <v>15463</v>
      </c>
      <c r="Y10" s="73" t="n">
        <f aca="false">IF($B10="","",IF(Employees!J7="Yes",ROUND(IF('Basic Details'!$C$13="Yes",MIN(I10,'Basic Details'!$C$12),I10)*'Basic Details'!$C$11,0),0))</f>
        <v>929</v>
      </c>
      <c r="Z10" s="73" t="n">
        <f aca="false">IF($B10="","",IF(AND(Employees!K7="Yes",E10&lt;='Basic Details'!$C$16),ROUNDUP((P10-N(O10))*'Basic Details'!$C$15,0),0))</f>
        <v>537</v>
      </c>
      <c r="AA10" s="73" t="n">
        <f aca="false">IF($B10="","",P10+Y10+Z10)</f>
        <v>17982</v>
      </c>
    </row>
    <row r="11" customFormat="false" ht="18" hidden="false" customHeight="true" outlineLevel="0" collapsed="false">
      <c r="A11" s="71" t="n">
        <f aca="false">IF(B11="","",ROW()-7)</f>
        <v>4</v>
      </c>
      <c r="B11" s="71" t="str">
        <f aca="false">IF(Employees!B8="","",Employees!B8)</f>
        <v>XE004</v>
      </c>
      <c r="C11" s="72" t="str">
        <f aca="false">IF(Employees!C8="","",Employees!C8)</f>
        <v>Neha Gupta</v>
      </c>
      <c r="D11" s="72" t="str">
        <f aca="false">IF(Employees!D8="","",Employees!D8)</f>
        <v>HR Executive</v>
      </c>
      <c r="E11" s="73" t="n">
        <f aca="false">IF($B11="","",Employees!G8)</f>
        <v>28000</v>
      </c>
      <c r="F11" s="71" t="n">
        <f aca="false">IF($B11="","",'Basic Details'!$C$22)</f>
        <v>31</v>
      </c>
      <c r="G11" s="63" t="n">
        <f aca="false">IF($B11="","",Attendance!AP11)</f>
        <v>0</v>
      </c>
      <c r="H11" s="63" t="n">
        <f aca="false">IF($B11="","",Attendance!AQ11)</f>
        <v>31</v>
      </c>
      <c r="I11" s="73" t="n">
        <f aca="false">IF($B11="","",ROUND(Employees!R8*MAX(0,1-G11/'Basic Details'!$C$23),0))</f>
        <v>14000</v>
      </c>
      <c r="J11" s="73" t="n">
        <f aca="false">IF($B11="","",ROUND(Employees!S8*MAX(0,1-G11/'Basic Details'!$C$23),0))</f>
        <v>5600</v>
      </c>
      <c r="K11" s="73" t="n">
        <f aca="false">IF($B11="","",ROUND(Employees!T8*MAX(0,1-G11/'Basic Details'!$C$23),0))</f>
        <v>8400</v>
      </c>
      <c r="L11" s="73" t="n">
        <f aca="false">IF($B11="","",IF('Basic Details'!$C$9="Yes",ROUND(Attendance!AN11*E11/'Basic Details'!$C$23,0),0))</f>
        <v>0</v>
      </c>
      <c r="M11" s="74"/>
      <c r="N11" s="73" t="n">
        <f aca="false">IF($B11="","",ROUND(N(M11)*E11/'Basic Details'!$C$23/'Basic Details'!$C$18*'Basic Details'!$C$17,0))</f>
        <v>0</v>
      </c>
      <c r="O11" s="75"/>
      <c r="P11" s="73" t="n">
        <f aca="false">IF($B11="","",SUM(I11:L11)+N11+N(O11))</f>
        <v>28000</v>
      </c>
      <c r="Q11" s="73" t="n">
        <f aca="false">IF($B11="","",IF(Employees!J8="Yes",ROUND(IF('Basic Details'!$C$13="Yes",MIN(I11,'Basic Details'!$C$12),I11)*'Basic Details'!$C$10,0),0))</f>
        <v>1680</v>
      </c>
      <c r="R11" s="73" t="n">
        <f aca="false">IF($B11="","",IF(AND(Employees!K8="Yes",E11&lt;='Basic Details'!$C$16),ROUNDUP((P11-N(O11))*'Basic Details'!$C$14,0),0))</f>
        <v>0</v>
      </c>
      <c r="S11" s="73" t="n">
        <f aca="false">IF($B11="","",IF(P11&gt;0,N(Employees!L8),0))</f>
        <v>200</v>
      </c>
      <c r="T11" s="75"/>
      <c r="U11" s="75" t="n">
        <v>2000</v>
      </c>
      <c r="V11" s="75"/>
      <c r="W11" s="73" t="n">
        <f aca="false">IF($B11="","",Q11+R11+S11+N(T11)+N(U11)+N(V11))</f>
        <v>3880</v>
      </c>
      <c r="X11" s="76" t="n">
        <f aca="false">IF($B11="","",P11-W11)</f>
        <v>24120</v>
      </c>
      <c r="Y11" s="73" t="n">
        <f aca="false">IF($B11="","",IF(Employees!J8="Yes",ROUND(IF('Basic Details'!$C$13="Yes",MIN(I11,'Basic Details'!$C$12),I11)*'Basic Details'!$C$11,0),0))</f>
        <v>1680</v>
      </c>
      <c r="Z11" s="73" t="n">
        <f aca="false">IF($B11="","",IF(AND(Employees!K8="Yes",E11&lt;='Basic Details'!$C$16),ROUNDUP((P11-N(O11))*'Basic Details'!$C$15,0),0))</f>
        <v>0</v>
      </c>
      <c r="AA11" s="73" t="n">
        <f aca="false">IF($B11="","",P11+Y11+Z11)</f>
        <v>29680</v>
      </c>
    </row>
    <row r="12" customFormat="false" ht="18" hidden="false" customHeight="true" outlineLevel="0" collapsed="false">
      <c r="A12" s="71" t="n">
        <f aca="false">IF(B12="","",ROW()-7)</f>
        <v>5</v>
      </c>
      <c r="B12" s="71" t="str">
        <f aca="false">IF(Employees!B9="","",Employees!B9)</f>
        <v>XE005</v>
      </c>
      <c r="C12" s="72" t="str">
        <f aca="false">IF(Employees!C9="","",Employees!C9)</f>
        <v>Gurpreet Kaur</v>
      </c>
      <c r="D12" s="72" t="str">
        <f aca="false">IF(Employees!D9="","",Employees!D9)</f>
        <v>Office Assistant</v>
      </c>
      <c r="E12" s="73" t="n">
        <f aca="false">IF($B12="","",Employees!G9)</f>
        <v>14500</v>
      </c>
      <c r="F12" s="71" t="n">
        <f aca="false">IF($B12="","",'Basic Details'!$C$22)</f>
        <v>31</v>
      </c>
      <c r="G12" s="63" t="n">
        <f aca="false">IF($B12="","",Attendance!AP12)</f>
        <v>0.5</v>
      </c>
      <c r="H12" s="63" t="n">
        <f aca="false">IF($B12="","",Attendance!AQ12)</f>
        <v>30.5</v>
      </c>
      <c r="I12" s="73" t="n">
        <f aca="false">IF($B12="","",ROUND(Employees!R9*MAX(0,1-G12/'Basic Details'!$C$23),0))</f>
        <v>7133</v>
      </c>
      <c r="J12" s="73" t="n">
        <f aca="false">IF($B12="","",ROUND(Employees!S9*MAX(0,1-G12/'Basic Details'!$C$23),0))</f>
        <v>2853</v>
      </c>
      <c r="K12" s="73" t="n">
        <f aca="false">IF($B12="","",ROUND(Employees!T9*MAX(0,1-G12/'Basic Details'!$C$23),0))</f>
        <v>4280</v>
      </c>
      <c r="L12" s="73" t="n">
        <f aca="false">IF($B12="","",IF('Basic Details'!$C$9="Yes",ROUND(Attendance!AN12*E12/'Basic Details'!$C$23,0),0))</f>
        <v>0</v>
      </c>
      <c r="M12" s="74"/>
      <c r="N12" s="73" t="n">
        <f aca="false">IF($B12="","",ROUND(N(M12)*E12/'Basic Details'!$C$23/'Basic Details'!$C$18*'Basic Details'!$C$17,0))</f>
        <v>0</v>
      </c>
      <c r="O12" s="75"/>
      <c r="P12" s="73" t="n">
        <f aca="false">IF($B12="","",SUM(I12:L12)+N12+N(O12))</f>
        <v>14266</v>
      </c>
      <c r="Q12" s="73" t="n">
        <f aca="false">IF($B12="","",IF(Employees!J9="Yes",ROUND(IF('Basic Details'!$C$13="Yes",MIN(I12,'Basic Details'!$C$12),I12)*'Basic Details'!$C$10,0),0))</f>
        <v>856</v>
      </c>
      <c r="R12" s="73" t="n">
        <f aca="false">IF($B12="","",IF(AND(Employees!K9="Yes",E12&lt;='Basic Details'!$C$16),ROUNDUP((P12-N(O12))*'Basic Details'!$C$14,0),0))</f>
        <v>107</v>
      </c>
      <c r="S12" s="73" t="n">
        <f aca="false">IF($B12="","",IF(P12&gt;0,N(Employees!L9),0))</f>
        <v>0</v>
      </c>
      <c r="T12" s="75"/>
      <c r="U12" s="75"/>
      <c r="V12" s="75"/>
      <c r="W12" s="73" t="n">
        <f aca="false">IF($B12="","",Q12+R12+S12+N(T12)+N(U12)+N(V12))</f>
        <v>963</v>
      </c>
      <c r="X12" s="76" t="n">
        <f aca="false">IF($B12="","",P12-W12)</f>
        <v>13303</v>
      </c>
      <c r="Y12" s="73" t="n">
        <f aca="false">IF($B12="","",IF(Employees!J9="Yes",ROUND(IF('Basic Details'!$C$13="Yes",MIN(I12,'Basic Details'!$C$12),I12)*'Basic Details'!$C$11,0),0))</f>
        <v>856</v>
      </c>
      <c r="Z12" s="73" t="n">
        <f aca="false">IF($B12="","",IF(AND(Employees!K9="Yes",E12&lt;='Basic Details'!$C$16),ROUNDUP((P12-N(O12))*'Basic Details'!$C$15,0),0))</f>
        <v>464</v>
      </c>
      <c r="AA12" s="73" t="n">
        <f aca="false">IF($B12="","",P12+Y12+Z12)</f>
        <v>15586</v>
      </c>
    </row>
    <row r="13" customFormat="false" ht="18" hidden="false" customHeight="true" outlineLevel="0" collapsed="false">
      <c r="A13" s="71" t="n">
        <f aca="false">IF(B13="","",ROW()-7)</f>
        <v>6</v>
      </c>
      <c r="B13" s="71" t="str">
        <f aca="false">IF(Employees!B10="","",Employees!B10)</f>
        <v>XE006</v>
      </c>
      <c r="C13" s="72" t="str">
        <f aca="false">IF(Employees!C10="","",Employees!C10)</f>
        <v>Rajesh Kumar</v>
      </c>
      <c r="D13" s="72" t="str">
        <f aca="false">IF(Employees!D10="","",Employees!D10)</f>
        <v>Driver</v>
      </c>
      <c r="E13" s="73" t="n">
        <f aca="false">IF($B13="","",Employees!G10)</f>
        <v>15500</v>
      </c>
      <c r="F13" s="71" t="n">
        <f aca="false">IF($B13="","",'Basic Details'!$C$22)</f>
        <v>31</v>
      </c>
      <c r="G13" s="63" t="n">
        <f aca="false">IF($B13="","",Attendance!AP13)</f>
        <v>2</v>
      </c>
      <c r="H13" s="63" t="n">
        <f aca="false">IF($B13="","",Attendance!AQ13)</f>
        <v>29</v>
      </c>
      <c r="I13" s="73" t="n">
        <f aca="false">IF($B13="","",ROUND(Employees!R10*MAX(0,1-G13/'Basic Details'!$C$23),0))</f>
        <v>7250</v>
      </c>
      <c r="J13" s="73" t="n">
        <f aca="false">IF($B13="","",ROUND(Employees!S10*MAX(0,1-G13/'Basic Details'!$C$23),0))</f>
        <v>2900</v>
      </c>
      <c r="K13" s="73" t="n">
        <f aca="false">IF($B13="","",ROUND(Employees!T10*MAX(0,1-G13/'Basic Details'!$C$23),0))</f>
        <v>4350</v>
      </c>
      <c r="L13" s="73" t="n">
        <f aca="false">IF($B13="","",IF('Basic Details'!$C$9="Yes",ROUND(Attendance!AN13*E13/'Basic Details'!$C$23,0),0))</f>
        <v>0</v>
      </c>
      <c r="M13" s="74"/>
      <c r="N13" s="73" t="n">
        <f aca="false">IF($B13="","",ROUND(N(M13)*E13/'Basic Details'!$C$23/'Basic Details'!$C$18*'Basic Details'!$C$17,0))</f>
        <v>0</v>
      </c>
      <c r="O13" s="75"/>
      <c r="P13" s="73" t="n">
        <f aca="false">IF($B13="","",SUM(I13:L13)+N13+N(O13))</f>
        <v>14500</v>
      </c>
      <c r="Q13" s="73" t="n">
        <f aca="false">IF($B13="","",IF(Employees!J10="Yes",ROUND(IF('Basic Details'!$C$13="Yes",MIN(I13,'Basic Details'!$C$12),I13)*'Basic Details'!$C$10,0),0))</f>
        <v>0</v>
      </c>
      <c r="R13" s="73" t="n">
        <f aca="false">IF($B13="","",IF(AND(Employees!K10="Yes",E13&lt;='Basic Details'!$C$16),ROUNDUP((P13-N(O13))*'Basic Details'!$C$14,0),0))</f>
        <v>109</v>
      </c>
      <c r="S13" s="73" t="n">
        <f aca="false">IF($B13="","",IF(P13&gt;0,N(Employees!L10),0))</f>
        <v>0</v>
      </c>
      <c r="T13" s="75"/>
      <c r="U13" s="75"/>
      <c r="V13" s="75"/>
      <c r="W13" s="73" t="n">
        <f aca="false">IF($B13="","",Q13+R13+S13+N(T13)+N(U13)+N(V13))</f>
        <v>109</v>
      </c>
      <c r="X13" s="76" t="n">
        <f aca="false">IF($B13="","",P13-W13)</f>
        <v>14391</v>
      </c>
      <c r="Y13" s="73" t="n">
        <f aca="false">IF($B13="","",IF(Employees!J10="Yes",ROUND(IF('Basic Details'!$C$13="Yes",MIN(I13,'Basic Details'!$C$12),I13)*'Basic Details'!$C$11,0),0))</f>
        <v>0</v>
      </c>
      <c r="Z13" s="73" t="n">
        <f aca="false">IF($B13="","",IF(AND(Employees!K10="Yes",E13&lt;='Basic Details'!$C$16),ROUNDUP((P13-N(O13))*'Basic Details'!$C$15,0),0))</f>
        <v>472</v>
      </c>
      <c r="AA13" s="73" t="n">
        <f aca="false">IF($B13="","",P13+Y13+Z13)</f>
        <v>14972</v>
      </c>
    </row>
    <row r="14" customFormat="false" ht="18" hidden="false" customHeight="true" outlineLevel="0" collapsed="false">
      <c r="A14" s="71" t="str">
        <f aca="false">IF(B14="","",ROW()-7)</f>
        <v/>
      </c>
      <c r="B14" s="71" t="str">
        <f aca="false">IF(Employees!B11="","",Employees!B11)</f>
        <v/>
      </c>
      <c r="C14" s="72" t="str">
        <f aca="false">IF(Employees!C11="","",Employees!C11)</f>
        <v/>
      </c>
      <c r="D14" s="72" t="str">
        <f aca="false">IF(Employees!D11="","",Employees!D11)</f>
        <v/>
      </c>
      <c r="E14" s="73" t="str">
        <f aca="false">IF($B14="","",Employees!G11)</f>
        <v/>
      </c>
      <c r="F14" s="71" t="str">
        <f aca="false">IF($B14="","",'Basic Details'!$C$22)</f>
        <v/>
      </c>
      <c r="G14" s="63" t="str">
        <f aca="false">IF($B14="","",Attendance!AP14)</f>
        <v/>
      </c>
      <c r="H14" s="63" t="str">
        <f aca="false">IF($B14="","",Attendance!AQ14)</f>
        <v/>
      </c>
      <c r="I14" s="73" t="str">
        <f aca="false">IF($B14="","",ROUND(Employees!R11*MAX(0,1-G14/'Basic Details'!$C$23),0))</f>
        <v/>
      </c>
      <c r="J14" s="73" t="str">
        <f aca="false">IF($B14="","",ROUND(Employees!S11*MAX(0,1-G14/'Basic Details'!$C$23),0))</f>
        <v/>
      </c>
      <c r="K14" s="73" t="str">
        <f aca="false">IF($B14="","",ROUND(Employees!T11*MAX(0,1-G14/'Basic Details'!$C$23),0))</f>
        <v/>
      </c>
      <c r="L14" s="73" t="str">
        <f aca="false">IF($B14="","",IF('Basic Details'!$C$9="Yes",ROUND(Attendance!AN14*E14/'Basic Details'!$C$23,0),0))</f>
        <v/>
      </c>
      <c r="M14" s="74"/>
      <c r="N14" s="73" t="str">
        <f aca="false">IF($B14="","",ROUND(N(M14)*E14/'Basic Details'!$C$23/'Basic Details'!$C$18*'Basic Details'!$C$17,0))</f>
        <v/>
      </c>
      <c r="O14" s="75"/>
      <c r="P14" s="73" t="str">
        <f aca="false">IF($B14="","",SUM(I14:L14)+N14+N(O14))</f>
        <v/>
      </c>
      <c r="Q14" s="73" t="str">
        <f aca="false">IF($B14="","",IF(Employees!J11="Yes",ROUND(IF('Basic Details'!$C$13="Yes",MIN(I14,'Basic Details'!$C$12),I14)*'Basic Details'!$C$10,0),0))</f>
        <v/>
      </c>
      <c r="R14" s="73" t="str">
        <f aca="false">IF($B14="","",IF(AND(Employees!K11="Yes",E14&lt;='Basic Details'!$C$16),ROUNDUP((P14-N(O14))*'Basic Details'!$C$14,0),0))</f>
        <v/>
      </c>
      <c r="S14" s="73" t="str">
        <f aca="false">IF($B14="","",IF(P14&gt;0,N(Employees!L11),0))</f>
        <v/>
      </c>
      <c r="T14" s="75"/>
      <c r="U14" s="75"/>
      <c r="V14" s="75"/>
      <c r="W14" s="73" t="str">
        <f aca="false">IF($B14="","",Q14+R14+S14+N(T14)+N(U14)+N(V14))</f>
        <v/>
      </c>
      <c r="X14" s="76" t="str">
        <f aca="false">IF($B14="","",P14-W14)</f>
        <v/>
      </c>
      <c r="Y14" s="73" t="str">
        <f aca="false">IF($B14="","",IF(Employees!J11="Yes",ROUND(IF('Basic Details'!$C$13="Yes",MIN(I14,'Basic Details'!$C$12),I14)*'Basic Details'!$C$11,0),0))</f>
        <v/>
      </c>
      <c r="Z14" s="73" t="str">
        <f aca="false">IF($B14="","",IF(AND(Employees!K11="Yes",E14&lt;='Basic Details'!$C$16),ROUNDUP((P14-N(O14))*'Basic Details'!$C$15,0),0))</f>
        <v/>
      </c>
      <c r="AA14" s="73" t="str">
        <f aca="false">IF($B14="","",P14+Y14+Z14)</f>
        <v/>
      </c>
    </row>
    <row r="15" customFormat="false" ht="18" hidden="false" customHeight="true" outlineLevel="0" collapsed="false">
      <c r="A15" s="71" t="str">
        <f aca="false">IF(B15="","",ROW()-7)</f>
        <v/>
      </c>
      <c r="B15" s="71" t="str">
        <f aca="false">IF(Employees!B12="","",Employees!B12)</f>
        <v/>
      </c>
      <c r="C15" s="72" t="str">
        <f aca="false">IF(Employees!C12="","",Employees!C12)</f>
        <v/>
      </c>
      <c r="D15" s="72" t="str">
        <f aca="false">IF(Employees!D12="","",Employees!D12)</f>
        <v/>
      </c>
      <c r="E15" s="73" t="str">
        <f aca="false">IF($B15="","",Employees!G12)</f>
        <v/>
      </c>
      <c r="F15" s="71" t="str">
        <f aca="false">IF($B15="","",'Basic Details'!$C$22)</f>
        <v/>
      </c>
      <c r="G15" s="63" t="str">
        <f aca="false">IF($B15="","",Attendance!AP15)</f>
        <v/>
      </c>
      <c r="H15" s="63" t="str">
        <f aca="false">IF($B15="","",Attendance!AQ15)</f>
        <v/>
      </c>
      <c r="I15" s="73" t="str">
        <f aca="false">IF($B15="","",ROUND(Employees!R12*MAX(0,1-G15/'Basic Details'!$C$23),0))</f>
        <v/>
      </c>
      <c r="J15" s="73" t="str">
        <f aca="false">IF($B15="","",ROUND(Employees!S12*MAX(0,1-G15/'Basic Details'!$C$23),0))</f>
        <v/>
      </c>
      <c r="K15" s="73" t="str">
        <f aca="false">IF($B15="","",ROUND(Employees!T12*MAX(0,1-G15/'Basic Details'!$C$23),0))</f>
        <v/>
      </c>
      <c r="L15" s="73" t="str">
        <f aca="false">IF($B15="","",IF('Basic Details'!$C$9="Yes",ROUND(Attendance!AN15*E15/'Basic Details'!$C$23,0),0))</f>
        <v/>
      </c>
      <c r="M15" s="74"/>
      <c r="N15" s="73" t="str">
        <f aca="false">IF($B15="","",ROUND(N(M15)*E15/'Basic Details'!$C$23/'Basic Details'!$C$18*'Basic Details'!$C$17,0))</f>
        <v/>
      </c>
      <c r="O15" s="75"/>
      <c r="P15" s="73" t="str">
        <f aca="false">IF($B15="","",SUM(I15:L15)+N15+N(O15))</f>
        <v/>
      </c>
      <c r="Q15" s="73" t="str">
        <f aca="false">IF($B15="","",IF(Employees!J12="Yes",ROUND(IF('Basic Details'!$C$13="Yes",MIN(I15,'Basic Details'!$C$12),I15)*'Basic Details'!$C$10,0),0))</f>
        <v/>
      </c>
      <c r="R15" s="73" t="str">
        <f aca="false">IF($B15="","",IF(AND(Employees!K12="Yes",E15&lt;='Basic Details'!$C$16),ROUNDUP((P15-N(O15))*'Basic Details'!$C$14,0),0))</f>
        <v/>
      </c>
      <c r="S15" s="73" t="str">
        <f aca="false">IF($B15="","",IF(P15&gt;0,N(Employees!L12),0))</f>
        <v/>
      </c>
      <c r="T15" s="75"/>
      <c r="U15" s="75"/>
      <c r="V15" s="75"/>
      <c r="W15" s="73" t="str">
        <f aca="false">IF($B15="","",Q15+R15+S15+N(T15)+N(U15)+N(V15))</f>
        <v/>
      </c>
      <c r="X15" s="76" t="str">
        <f aca="false">IF($B15="","",P15-W15)</f>
        <v/>
      </c>
      <c r="Y15" s="73" t="str">
        <f aca="false">IF($B15="","",IF(Employees!J12="Yes",ROUND(IF('Basic Details'!$C$13="Yes",MIN(I15,'Basic Details'!$C$12),I15)*'Basic Details'!$C$11,0),0))</f>
        <v/>
      </c>
      <c r="Z15" s="73" t="str">
        <f aca="false">IF($B15="","",IF(AND(Employees!K12="Yes",E15&lt;='Basic Details'!$C$16),ROUNDUP((P15-N(O15))*'Basic Details'!$C$15,0),0))</f>
        <v/>
      </c>
      <c r="AA15" s="73" t="str">
        <f aca="false">IF($B15="","",P15+Y15+Z15)</f>
        <v/>
      </c>
    </row>
    <row r="16" customFormat="false" ht="18" hidden="false" customHeight="true" outlineLevel="0" collapsed="false">
      <c r="A16" s="71" t="str">
        <f aca="false">IF(B16="","",ROW()-7)</f>
        <v/>
      </c>
      <c r="B16" s="71" t="str">
        <f aca="false">IF(Employees!B13="","",Employees!B13)</f>
        <v/>
      </c>
      <c r="C16" s="72" t="str">
        <f aca="false">IF(Employees!C13="","",Employees!C13)</f>
        <v/>
      </c>
      <c r="D16" s="72" t="str">
        <f aca="false">IF(Employees!D13="","",Employees!D13)</f>
        <v/>
      </c>
      <c r="E16" s="73" t="str">
        <f aca="false">IF($B16="","",Employees!G13)</f>
        <v/>
      </c>
      <c r="F16" s="71" t="str">
        <f aca="false">IF($B16="","",'Basic Details'!$C$22)</f>
        <v/>
      </c>
      <c r="G16" s="63" t="str">
        <f aca="false">IF($B16="","",Attendance!AP16)</f>
        <v/>
      </c>
      <c r="H16" s="63" t="str">
        <f aca="false">IF($B16="","",Attendance!AQ16)</f>
        <v/>
      </c>
      <c r="I16" s="73" t="str">
        <f aca="false">IF($B16="","",ROUND(Employees!R13*MAX(0,1-G16/'Basic Details'!$C$23),0))</f>
        <v/>
      </c>
      <c r="J16" s="73" t="str">
        <f aca="false">IF($B16="","",ROUND(Employees!S13*MAX(0,1-G16/'Basic Details'!$C$23),0))</f>
        <v/>
      </c>
      <c r="K16" s="73" t="str">
        <f aca="false">IF($B16="","",ROUND(Employees!T13*MAX(0,1-G16/'Basic Details'!$C$23),0))</f>
        <v/>
      </c>
      <c r="L16" s="73" t="str">
        <f aca="false">IF($B16="","",IF('Basic Details'!$C$9="Yes",ROUND(Attendance!AN16*E16/'Basic Details'!$C$23,0),0))</f>
        <v/>
      </c>
      <c r="M16" s="74"/>
      <c r="N16" s="73" t="str">
        <f aca="false">IF($B16="","",ROUND(N(M16)*E16/'Basic Details'!$C$23/'Basic Details'!$C$18*'Basic Details'!$C$17,0))</f>
        <v/>
      </c>
      <c r="O16" s="75"/>
      <c r="P16" s="73" t="str">
        <f aca="false">IF($B16="","",SUM(I16:L16)+N16+N(O16))</f>
        <v/>
      </c>
      <c r="Q16" s="73" t="str">
        <f aca="false">IF($B16="","",IF(Employees!J13="Yes",ROUND(IF('Basic Details'!$C$13="Yes",MIN(I16,'Basic Details'!$C$12),I16)*'Basic Details'!$C$10,0),0))</f>
        <v/>
      </c>
      <c r="R16" s="73" t="str">
        <f aca="false">IF($B16="","",IF(AND(Employees!K13="Yes",E16&lt;='Basic Details'!$C$16),ROUNDUP((P16-N(O16))*'Basic Details'!$C$14,0),0))</f>
        <v/>
      </c>
      <c r="S16" s="73" t="str">
        <f aca="false">IF($B16="","",IF(P16&gt;0,N(Employees!L13),0))</f>
        <v/>
      </c>
      <c r="T16" s="75"/>
      <c r="U16" s="75"/>
      <c r="V16" s="75"/>
      <c r="W16" s="73" t="str">
        <f aca="false">IF($B16="","",Q16+R16+S16+N(T16)+N(U16)+N(V16))</f>
        <v/>
      </c>
      <c r="X16" s="76" t="str">
        <f aca="false">IF($B16="","",P16-W16)</f>
        <v/>
      </c>
      <c r="Y16" s="73" t="str">
        <f aca="false">IF($B16="","",IF(Employees!J13="Yes",ROUND(IF('Basic Details'!$C$13="Yes",MIN(I16,'Basic Details'!$C$12),I16)*'Basic Details'!$C$11,0),0))</f>
        <v/>
      </c>
      <c r="Z16" s="73" t="str">
        <f aca="false">IF($B16="","",IF(AND(Employees!K13="Yes",E16&lt;='Basic Details'!$C$16),ROUNDUP((P16-N(O16))*'Basic Details'!$C$15,0),0))</f>
        <v/>
      </c>
      <c r="AA16" s="73" t="str">
        <f aca="false">IF($B16="","",P16+Y16+Z16)</f>
        <v/>
      </c>
    </row>
    <row r="17" customFormat="false" ht="18" hidden="false" customHeight="true" outlineLevel="0" collapsed="false">
      <c r="A17" s="71" t="str">
        <f aca="false">IF(B17="","",ROW()-7)</f>
        <v/>
      </c>
      <c r="B17" s="71" t="str">
        <f aca="false">IF(Employees!B14="","",Employees!B14)</f>
        <v/>
      </c>
      <c r="C17" s="72" t="str">
        <f aca="false">IF(Employees!C14="","",Employees!C14)</f>
        <v/>
      </c>
      <c r="D17" s="72" t="str">
        <f aca="false">IF(Employees!D14="","",Employees!D14)</f>
        <v/>
      </c>
      <c r="E17" s="73" t="str">
        <f aca="false">IF($B17="","",Employees!G14)</f>
        <v/>
      </c>
      <c r="F17" s="71" t="str">
        <f aca="false">IF($B17="","",'Basic Details'!$C$22)</f>
        <v/>
      </c>
      <c r="G17" s="63" t="str">
        <f aca="false">IF($B17="","",Attendance!AP17)</f>
        <v/>
      </c>
      <c r="H17" s="63" t="str">
        <f aca="false">IF($B17="","",Attendance!AQ17)</f>
        <v/>
      </c>
      <c r="I17" s="73" t="str">
        <f aca="false">IF($B17="","",ROUND(Employees!R14*MAX(0,1-G17/'Basic Details'!$C$23),0))</f>
        <v/>
      </c>
      <c r="J17" s="73" t="str">
        <f aca="false">IF($B17="","",ROUND(Employees!S14*MAX(0,1-G17/'Basic Details'!$C$23),0))</f>
        <v/>
      </c>
      <c r="K17" s="73" t="str">
        <f aca="false">IF($B17="","",ROUND(Employees!T14*MAX(0,1-G17/'Basic Details'!$C$23),0))</f>
        <v/>
      </c>
      <c r="L17" s="73" t="str">
        <f aca="false">IF($B17="","",IF('Basic Details'!$C$9="Yes",ROUND(Attendance!AN17*E17/'Basic Details'!$C$23,0),0))</f>
        <v/>
      </c>
      <c r="M17" s="74"/>
      <c r="N17" s="73" t="str">
        <f aca="false">IF($B17="","",ROUND(N(M17)*E17/'Basic Details'!$C$23/'Basic Details'!$C$18*'Basic Details'!$C$17,0))</f>
        <v/>
      </c>
      <c r="O17" s="75"/>
      <c r="P17" s="73" t="str">
        <f aca="false">IF($B17="","",SUM(I17:L17)+N17+N(O17))</f>
        <v/>
      </c>
      <c r="Q17" s="73" t="str">
        <f aca="false">IF($B17="","",IF(Employees!J14="Yes",ROUND(IF('Basic Details'!$C$13="Yes",MIN(I17,'Basic Details'!$C$12),I17)*'Basic Details'!$C$10,0),0))</f>
        <v/>
      </c>
      <c r="R17" s="73" t="str">
        <f aca="false">IF($B17="","",IF(AND(Employees!K14="Yes",E17&lt;='Basic Details'!$C$16),ROUNDUP((P17-N(O17))*'Basic Details'!$C$14,0),0))</f>
        <v/>
      </c>
      <c r="S17" s="73" t="str">
        <f aca="false">IF($B17="","",IF(P17&gt;0,N(Employees!L14),0))</f>
        <v/>
      </c>
      <c r="T17" s="75"/>
      <c r="U17" s="75"/>
      <c r="V17" s="75"/>
      <c r="W17" s="73" t="str">
        <f aca="false">IF($B17="","",Q17+R17+S17+N(T17)+N(U17)+N(V17))</f>
        <v/>
      </c>
      <c r="X17" s="76" t="str">
        <f aca="false">IF($B17="","",P17-W17)</f>
        <v/>
      </c>
      <c r="Y17" s="73" t="str">
        <f aca="false">IF($B17="","",IF(Employees!J14="Yes",ROUND(IF('Basic Details'!$C$13="Yes",MIN(I17,'Basic Details'!$C$12),I17)*'Basic Details'!$C$11,0),0))</f>
        <v/>
      </c>
      <c r="Z17" s="73" t="str">
        <f aca="false">IF($B17="","",IF(AND(Employees!K14="Yes",E17&lt;='Basic Details'!$C$16),ROUNDUP((P17-N(O17))*'Basic Details'!$C$15,0),0))</f>
        <v/>
      </c>
      <c r="AA17" s="73" t="str">
        <f aca="false">IF($B17="","",P17+Y17+Z17)</f>
        <v/>
      </c>
    </row>
    <row r="18" customFormat="false" ht="18" hidden="false" customHeight="true" outlineLevel="0" collapsed="false">
      <c r="A18" s="71" t="str">
        <f aca="false">IF(B18="","",ROW()-7)</f>
        <v/>
      </c>
      <c r="B18" s="71" t="str">
        <f aca="false">IF(Employees!B15="","",Employees!B15)</f>
        <v/>
      </c>
      <c r="C18" s="72" t="str">
        <f aca="false">IF(Employees!C15="","",Employees!C15)</f>
        <v/>
      </c>
      <c r="D18" s="72" t="str">
        <f aca="false">IF(Employees!D15="","",Employees!D15)</f>
        <v/>
      </c>
      <c r="E18" s="73" t="str">
        <f aca="false">IF($B18="","",Employees!G15)</f>
        <v/>
      </c>
      <c r="F18" s="71" t="str">
        <f aca="false">IF($B18="","",'Basic Details'!$C$22)</f>
        <v/>
      </c>
      <c r="G18" s="63" t="str">
        <f aca="false">IF($B18="","",Attendance!AP18)</f>
        <v/>
      </c>
      <c r="H18" s="63" t="str">
        <f aca="false">IF($B18="","",Attendance!AQ18)</f>
        <v/>
      </c>
      <c r="I18" s="73" t="str">
        <f aca="false">IF($B18="","",ROUND(Employees!R15*MAX(0,1-G18/'Basic Details'!$C$23),0))</f>
        <v/>
      </c>
      <c r="J18" s="73" t="str">
        <f aca="false">IF($B18="","",ROUND(Employees!S15*MAX(0,1-G18/'Basic Details'!$C$23),0))</f>
        <v/>
      </c>
      <c r="K18" s="73" t="str">
        <f aca="false">IF($B18="","",ROUND(Employees!T15*MAX(0,1-G18/'Basic Details'!$C$23),0))</f>
        <v/>
      </c>
      <c r="L18" s="73" t="str">
        <f aca="false">IF($B18="","",IF('Basic Details'!$C$9="Yes",ROUND(Attendance!AN18*E18/'Basic Details'!$C$23,0),0))</f>
        <v/>
      </c>
      <c r="M18" s="74"/>
      <c r="N18" s="73" t="str">
        <f aca="false">IF($B18="","",ROUND(N(M18)*E18/'Basic Details'!$C$23/'Basic Details'!$C$18*'Basic Details'!$C$17,0))</f>
        <v/>
      </c>
      <c r="O18" s="75"/>
      <c r="P18" s="73" t="str">
        <f aca="false">IF($B18="","",SUM(I18:L18)+N18+N(O18))</f>
        <v/>
      </c>
      <c r="Q18" s="73" t="str">
        <f aca="false">IF($B18="","",IF(Employees!J15="Yes",ROUND(IF('Basic Details'!$C$13="Yes",MIN(I18,'Basic Details'!$C$12),I18)*'Basic Details'!$C$10,0),0))</f>
        <v/>
      </c>
      <c r="R18" s="73" t="str">
        <f aca="false">IF($B18="","",IF(AND(Employees!K15="Yes",E18&lt;='Basic Details'!$C$16),ROUNDUP((P18-N(O18))*'Basic Details'!$C$14,0),0))</f>
        <v/>
      </c>
      <c r="S18" s="73" t="str">
        <f aca="false">IF($B18="","",IF(P18&gt;0,N(Employees!L15),0))</f>
        <v/>
      </c>
      <c r="T18" s="75"/>
      <c r="U18" s="75"/>
      <c r="V18" s="75"/>
      <c r="W18" s="73" t="str">
        <f aca="false">IF($B18="","",Q18+R18+S18+N(T18)+N(U18)+N(V18))</f>
        <v/>
      </c>
      <c r="X18" s="76" t="str">
        <f aca="false">IF($B18="","",P18-W18)</f>
        <v/>
      </c>
      <c r="Y18" s="73" t="str">
        <f aca="false">IF($B18="","",IF(Employees!J15="Yes",ROUND(IF('Basic Details'!$C$13="Yes",MIN(I18,'Basic Details'!$C$12),I18)*'Basic Details'!$C$11,0),0))</f>
        <v/>
      </c>
      <c r="Z18" s="73" t="str">
        <f aca="false">IF($B18="","",IF(AND(Employees!K15="Yes",E18&lt;='Basic Details'!$C$16),ROUNDUP((P18-N(O18))*'Basic Details'!$C$15,0),0))</f>
        <v/>
      </c>
      <c r="AA18" s="73" t="str">
        <f aca="false">IF($B18="","",P18+Y18+Z18)</f>
        <v/>
      </c>
    </row>
    <row r="19" customFormat="false" ht="18" hidden="false" customHeight="true" outlineLevel="0" collapsed="false">
      <c r="A19" s="71" t="str">
        <f aca="false">IF(B19="","",ROW()-7)</f>
        <v/>
      </c>
      <c r="B19" s="71" t="str">
        <f aca="false">IF(Employees!B16="","",Employees!B16)</f>
        <v/>
      </c>
      <c r="C19" s="72" t="str">
        <f aca="false">IF(Employees!C16="","",Employees!C16)</f>
        <v/>
      </c>
      <c r="D19" s="72" t="str">
        <f aca="false">IF(Employees!D16="","",Employees!D16)</f>
        <v/>
      </c>
      <c r="E19" s="73" t="str">
        <f aca="false">IF($B19="","",Employees!G16)</f>
        <v/>
      </c>
      <c r="F19" s="71" t="str">
        <f aca="false">IF($B19="","",'Basic Details'!$C$22)</f>
        <v/>
      </c>
      <c r="G19" s="63" t="str">
        <f aca="false">IF($B19="","",Attendance!AP19)</f>
        <v/>
      </c>
      <c r="H19" s="63" t="str">
        <f aca="false">IF($B19="","",Attendance!AQ19)</f>
        <v/>
      </c>
      <c r="I19" s="73" t="str">
        <f aca="false">IF($B19="","",ROUND(Employees!R16*MAX(0,1-G19/'Basic Details'!$C$23),0))</f>
        <v/>
      </c>
      <c r="J19" s="73" t="str">
        <f aca="false">IF($B19="","",ROUND(Employees!S16*MAX(0,1-G19/'Basic Details'!$C$23),0))</f>
        <v/>
      </c>
      <c r="K19" s="73" t="str">
        <f aca="false">IF($B19="","",ROUND(Employees!T16*MAX(0,1-G19/'Basic Details'!$C$23),0))</f>
        <v/>
      </c>
      <c r="L19" s="73" t="str">
        <f aca="false">IF($B19="","",IF('Basic Details'!$C$9="Yes",ROUND(Attendance!AN19*E19/'Basic Details'!$C$23,0),0))</f>
        <v/>
      </c>
      <c r="M19" s="74"/>
      <c r="N19" s="73" t="str">
        <f aca="false">IF($B19="","",ROUND(N(M19)*E19/'Basic Details'!$C$23/'Basic Details'!$C$18*'Basic Details'!$C$17,0))</f>
        <v/>
      </c>
      <c r="O19" s="75"/>
      <c r="P19" s="73" t="str">
        <f aca="false">IF($B19="","",SUM(I19:L19)+N19+N(O19))</f>
        <v/>
      </c>
      <c r="Q19" s="73" t="str">
        <f aca="false">IF($B19="","",IF(Employees!J16="Yes",ROUND(IF('Basic Details'!$C$13="Yes",MIN(I19,'Basic Details'!$C$12),I19)*'Basic Details'!$C$10,0),0))</f>
        <v/>
      </c>
      <c r="R19" s="73" t="str">
        <f aca="false">IF($B19="","",IF(AND(Employees!K16="Yes",E19&lt;='Basic Details'!$C$16),ROUNDUP((P19-N(O19))*'Basic Details'!$C$14,0),0))</f>
        <v/>
      </c>
      <c r="S19" s="73" t="str">
        <f aca="false">IF($B19="","",IF(P19&gt;0,N(Employees!L16),0))</f>
        <v/>
      </c>
      <c r="T19" s="75"/>
      <c r="U19" s="75"/>
      <c r="V19" s="75"/>
      <c r="W19" s="73" t="str">
        <f aca="false">IF($B19="","",Q19+R19+S19+N(T19)+N(U19)+N(V19))</f>
        <v/>
      </c>
      <c r="X19" s="76" t="str">
        <f aca="false">IF($B19="","",P19-W19)</f>
        <v/>
      </c>
      <c r="Y19" s="73" t="str">
        <f aca="false">IF($B19="","",IF(Employees!J16="Yes",ROUND(IF('Basic Details'!$C$13="Yes",MIN(I19,'Basic Details'!$C$12),I19)*'Basic Details'!$C$11,0),0))</f>
        <v/>
      </c>
      <c r="Z19" s="73" t="str">
        <f aca="false">IF($B19="","",IF(AND(Employees!K16="Yes",E19&lt;='Basic Details'!$C$16),ROUNDUP((P19-N(O19))*'Basic Details'!$C$15,0),0))</f>
        <v/>
      </c>
      <c r="AA19" s="73" t="str">
        <f aca="false">IF($B19="","",P19+Y19+Z19)</f>
        <v/>
      </c>
    </row>
    <row r="20" customFormat="false" ht="18" hidden="false" customHeight="true" outlineLevel="0" collapsed="false">
      <c r="A20" s="71" t="str">
        <f aca="false">IF(B20="","",ROW()-7)</f>
        <v/>
      </c>
      <c r="B20" s="71" t="str">
        <f aca="false">IF(Employees!B17="","",Employees!B17)</f>
        <v/>
      </c>
      <c r="C20" s="72" t="str">
        <f aca="false">IF(Employees!C17="","",Employees!C17)</f>
        <v/>
      </c>
      <c r="D20" s="72" t="str">
        <f aca="false">IF(Employees!D17="","",Employees!D17)</f>
        <v/>
      </c>
      <c r="E20" s="73" t="str">
        <f aca="false">IF($B20="","",Employees!G17)</f>
        <v/>
      </c>
      <c r="F20" s="71" t="str">
        <f aca="false">IF($B20="","",'Basic Details'!$C$22)</f>
        <v/>
      </c>
      <c r="G20" s="63" t="str">
        <f aca="false">IF($B20="","",Attendance!AP20)</f>
        <v/>
      </c>
      <c r="H20" s="63" t="str">
        <f aca="false">IF($B20="","",Attendance!AQ20)</f>
        <v/>
      </c>
      <c r="I20" s="73" t="str">
        <f aca="false">IF($B20="","",ROUND(Employees!R17*MAX(0,1-G20/'Basic Details'!$C$23),0))</f>
        <v/>
      </c>
      <c r="J20" s="73" t="str">
        <f aca="false">IF($B20="","",ROUND(Employees!S17*MAX(0,1-G20/'Basic Details'!$C$23),0))</f>
        <v/>
      </c>
      <c r="K20" s="73" t="str">
        <f aca="false">IF($B20="","",ROUND(Employees!T17*MAX(0,1-G20/'Basic Details'!$C$23),0))</f>
        <v/>
      </c>
      <c r="L20" s="73" t="str">
        <f aca="false">IF($B20="","",IF('Basic Details'!$C$9="Yes",ROUND(Attendance!AN20*E20/'Basic Details'!$C$23,0),0))</f>
        <v/>
      </c>
      <c r="M20" s="74"/>
      <c r="N20" s="73" t="str">
        <f aca="false">IF($B20="","",ROUND(N(M20)*E20/'Basic Details'!$C$23/'Basic Details'!$C$18*'Basic Details'!$C$17,0))</f>
        <v/>
      </c>
      <c r="O20" s="75"/>
      <c r="P20" s="73" t="str">
        <f aca="false">IF($B20="","",SUM(I20:L20)+N20+N(O20))</f>
        <v/>
      </c>
      <c r="Q20" s="73" t="str">
        <f aca="false">IF($B20="","",IF(Employees!J17="Yes",ROUND(IF('Basic Details'!$C$13="Yes",MIN(I20,'Basic Details'!$C$12),I20)*'Basic Details'!$C$10,0),0))</f>
        <v/>
      </c>
      <c r="R20" s="73" t="str">
        <f aca="false">IF($B20="","",IF(AND(Employees!K17="Yes",E20&lt;='Basic Details'!$C$16),ROUNDUP((P20-N(O20))*'Basic Details'!$C$14,0),0))</f>
        <v/>
      </c>
      <c r="S20" s="73" t="str">
        <f aca="false">IF($B20="","",IF(P20&gt;0,N(Employees!L17),0))</f>
        <v/>
      </c>
      <c r="T20" s="75"/>
      <c r="U20" s="75"/>
      <c r="V20" s="75"/>
      <c r="W20" s="73" t="str">
        <f aca="false">IF($B20="","",Q20+R20+S20+N(T20)+N(U20)+N(V20))</f>
        <v/>
      </c>
      <c r="X20" s="76" t="str">
        <f aca="false">IF($B20="","",P20-W20)</f>
        <v/>
      </c>
      <c r="Y20" s="73" t="str">
        <f aca="false">IF($B20="","",IF(Employees!J17="Yes",ROUND(IF('Basic Details'!$C$13="Yes",MIN(I20,'Basic Details'!$C$12),I20)*'Basic Details'!$C$11,0),0))</f>
        <v/>
      </c>
      <c r="Z20" s="73" t="str">
        <f aca="false">IF($B20="","",IF(AND(Employees!K17="Yes",E20&lt;='Basic Details'!$C$16),ROUNDUP((P20-N(O20))*'Basic Details'!$C$15,0),0))</f>
        <v/>
      </c>
      <c r="AA20" s="73" t="str">
        <f aca="false">IF($B20="","",P20+Y20+Z20)</f>
        <v/>
      </c>
    </row>
    <row r="21" customFormat="false" ht="18" hidden="false" customHeight="true" outlineLevel="0" collapsed="false">
      <c r="A21" s="71" t="str">
        <f aca="false">IF(B21="","",ROW()-7)</f>
        <v/>
      </c>
      <c r="B21" s="71" t="str">
        <f aca="false">IF(Employees!B18="","",Employees!B18)</f>
        <v/>
      </c>
      <c r="C21" s="72" t="str">
        <f aca="false">IF(Employees!C18="","",Employees!C18)</f>
        <v/>
      </c>
      <c r="D21" s="72" t="str">
        <f aca="false">IF(Employees!D18="","",Employees!D18)</f>
        <v/>
      </c>
      <c r="E21" s="73" t="str">
        <f aca="false">IF($B21="","",Employees!G18)</f>
        <v/>
      </c>
      <c r="F21" s="71" t="str">
        <f aca="false">IF($B21="","",'Basic Details'!$C$22)</f>
        <v/>
      </c>
      <c r="G21" s="63" t="str">
        <f aca="false">IF($B21="","",Attendance!AP21)</f>
        <v/>
      </c>
      <c r="H21" s="63" t="str">
        <f aca="false">IF($B21="","",Attendance!AQ21)</f>
        <v/>
      </c>
      <c r="I21" s="73" t="str">
        <f aca="false">IF($B21="","",ROUND(Employees!R18*MAX(0,1-G21/'Basic Details'!$C$23),0))</f>
        <v/>
      </c>
      <c r="J21" s="73" t="str">
        <f aca="false">IF($B21="","",ROUND(Employees!S18*MAX(0,1-G21/'Basic Details'!$C$23),0))</f>
        <v/>
      </c>
      <c r="K21" s="73" t="str">
        <f aca="false">IF($B21="","",ROUND(Employees!T18*MAX(0,1-G21/'Basic Details'!$C$23),0))</f>
        <v/>
      </c>
      <c r="L21" s="73" t="str">
        <f aca="false">IF($B21="","",IF('Basic Details'!$C$9="Yes",ROUND(Attendance!AN21*E21/'Basic Details'!$C$23,0),0))</f>
        <v/>
      </c>
      <c r="M21" s="74"/>
      <c r="N21" s="73" t="str">
        <f aca="false">IF($B21="","",ROUND(N(M21)*E21/'Basic Details'!$C$23/'Basic Details'!$C$18*'Basic Details'!$C$17,0))</f>
        <v/>
      </c>
      <c r="O21" s="75"/>
      <c r="P21" s="73" t="str">
        <f aca="false">IF($B21="","",SUM(I21:L21)+N21+N(O21))</f>
        <v/>
      </c>
      <c r="Q21" s="73" t="str">
        <f aca="false">IF($B21="","",IF(Employees!J18="Yes",ROUND(IF('Basic Details'!$C$13="Yes",MIN(I21,'Basic Details'!$C$12),I21)*'Basic Details'!$C$10,0),0))</f>
        <v/>
      </c>
      <c r="R21" s="73" t="str">
        <f aca="false">IF($B21="","",IF(AND(Employees!K18="Yes",E21&lt;='Basic Details'!$C$16),ROUNDUP((P21-N(O21))*'Basic Details'!$C$14,0),0))</f>
        <v/>
      </c>
      <c r="S21" s="73" t="str">
        <f aca="false">IF($B21="","",IF(P21&gt;0,N(Employees!L18),0))</f>
        <v/>
      </c>
      <c r="T21" s="75"/>
      <c r="U21" s="75"/>
      <c r="V21" s="75"/>
      <c r="W21" s="73" t="str">
        <f aca="false">IF($B21="","",Q21+R21+S21+N(T21)+N(U21)+N(V21))</f>
        <v/>
      </c>
      <c r="X21" s="76" t="str">
        <f aca="false">IF($B21="","",P21-W21)</f>
        <v/>
      </c>
      <c r="Y21" s="73" t="str">
        <f aca="false">IF($B21="","",IF(Employees!J18="Yes",ROUND(IF('Basic Details'!$C$13="Yes",MIN(I21,'Basic Details'!$C$12),I21)*'Basic Details'!$C$11,0),0))</f>
        <v/>
      </c>
      <c r="Z21" s="73" t="str">
        <f aca="false">IF($B21="","",IF(AND(Employees!K18="Yes",E21&lt;='Basic Details'!$C$16),ROUNDUP((P21-N(O21))*'Basic Details'!$C$15,0),0))</f>
        <v/>
      </c>
      <c r="AA21" s="73" t="str">
        <f aca="false">IF($B21="","",P21+Y21+Z21)</f>
        <v/>
      </c>
    </row>
    <row r="22" customFormat="false" ht="18" hidden="false" customHeight="true" outlineLevel="0" collapsed="false">
      <c r="A22" s="71" t="str">
        <f aca="false">IF(B22="","",ROW()-7)</f>
        <v/>
      </c>
      <c r="B22" s="71" t="str">
        <f aca="false">IF(Employees!B19="","",Employees!B19)</f>
        <v/>
      </c>
      <c r="C22" s="72" t="str">
        <f aca="false">IF(Employees!C19="","",Employees!C19)</f>
        <v/>
      </c>
      <c r="D22" s="72" t="str">
        <f aca="false">IF(Employees!D19="","",Employees!D19)</f>
        <v/>
      </c>
      <c r="E22" s="73" t="str">
        <f aca="false">IF($B22="","",Employees!G19)</f>
        <v/>
      </c>
      <c r="F22" s="71" t="str">
        <f aca="false">IF($B22="","",'Basic Details'!$C$22)</f>
        <v/>
      </c>
      <c r="G22" s="63" t="str">
        <f aca="false">IF($B22="","",Attendance!AP22)</f>
        <v/>
      </c>
      <c r="H22" s="63" t="str">
        <f aca="false">IF($B22="","",Attendance!AQ22)</f>
        <v/>
      </c>
      <c r="I22" s="73" t="str">
        <f aca="false">IF($B22="","",ROUND(Employees!R19*MAX(0,1-G22/'Basic Details'!$C$23),0))</f>
        <v/>
      </c>
      <c r="J22" s="73" t="str">
        <f aca="false">IF($B22="","",ROUND(Employees!S19*MAX(0,1-G22/'Basic Details'!$C$23),0))</f>
        <v/>
      </c>
      <c r="K22" s="73" t="str">
        <f aca="false">IF($B22="","",ROUND(Employees!T19*MAX(0,1-G22/'Basic Details'!$C$23),0))</f>
        <v/>
      </c>
      <c r="L22" s="73" t="str">
        <f aca="false">IF($B22="","",IF('Basic Details'!$C$9="Yes",ROUND(Attendance!AN22*E22/'Basic Details'!$C$23,0),0))</f>
        <v/>
      </c>
      <c r="M22" s="74"/>
      <c r="N22" s="73" t="str">
        <f aca="false">IF($B22="","",ROUND(N(M22)*E22/'Basic Details'!$C$23/'Basic Details'!$C$18*'Basic Details'!$C$17,0))</f>
        <v/>
      </c>
      <c r="O22" s="75"/>
      <c r="P22" s="73" t="str">
        <f aca="false">IF($B22="","",SUM(I22:L22)+N22+N(O22))</f>
        <v/>
      </c>
      <c r="Q22" s="73" t="str">
        <f aca="false">IF($B22="","",IF(Employees!J19="Yes",ROUND(IF('Basic Details'!$C$13="Yes",MIN(I22,'Basic Details'!$C$12),I22)*'Basic Details'!$C$10,0),0))</f>
        <v/>
      </c>
      <c r="R22" s="73" t="str">
        <f aca="false">IF($B22="","",IF(AND(Employees!K19="Yes",E22&lt;='Basic Details'!$C$16),ROUNDUP((P22-N(O22))*'Basic Details'!$C$14,0),0))</f>
        <v/>
      </c>
      <c r="S22" s="73" t="str">
        <f aca="false">IF($B22="","",IF(P22&gt;0,N(Employees!L19),0))</f>
        <v/>
      </c>
      <c r="T22" s="75"/>
      <c r="U22" s="75"/>
      <c r="V22" s="75"/>
      <c r="W22" s="73" t="str">
        <f aca="false">IF($B22="","",Q22+R22+S22+N(T22)+N(U22)+N(V22))</f>
        <v/>
      </c>
      <c r="X22" s="76" t="str">
        <f aca="false">IF($B22="","",P22-W22)</f>
        <v/>
      </c>
      <c r="Y22" s="73" t="str">
        <f aca="false">IF($B22="","",IF(Employees!J19="Yes",ROUND(IF('Basic Details'!$C$13="Yes",MIN(I22,'Basic Details'!$C$12),I22)*'Basic Details'!$C$11,0),0))</f>
        <v/>
      </c>
      <c r="Z22" s="73" t="str">
        <f aca="false">IF($B22="","",IF(AND(Employees!K19="Yes",E22&lt;='Basic Details'!$C$16),ROUNDUP((P22-N(O22))*'Basic Details'!$C$15,0),0))</f>
        <v/>
      </c>
      <c r="AA22" s="73" t="str">
        <f aca="false">IF($B22="","",P22+Y22+Z22)</f>
        <v/>
      </c>
    </row>
    <row r="23" customFormat="false" ht="18" hidden="false" customHeight="true" outlineLevel="0" collapsed="false">
      <c r="A23" s="71" t="str">
        <f aca="false">IF(B23="","",ROW()-7)</f>
        <v/>
      </c>
      <c r="B23" s="71" t="str">
        <f aca="false">IF(Employees!B20="","",Employees!B20)</f>
        <v/>
      </c>
      <c r="C23" s="72" t="str">
        <f aca="false">IF(Employees!C20="","",Employees!C20)</f>
        <v/>
      </c>
      <c r="D23" s="72" t="str">
        <f aca="false">IF(Employees!D20="","",Employees!D20)</f>
        <v/>
      </c>
      <c r="E23" s="73" t="str">
        <f aca="false">IF($B23="","",Employees!G20)</f>
        <v/>
      </c>
      <c r="F23" s="71" t="str">
        <f aca="false">IF($B23="","",'Basic Details'!$C$22)</f>
        <v/>
      </c>
      <c r="G23" s="63" t="str">
        <f aca="false">IF($B23="","",Attendance!AP23)</f>
        <v/>
      </c>
      <c r="H23" s="63" t="str">
        <f aca="false">IF($B23="","",Attendance!AQ23)</f>
        <v/>
      </c>
      <c r="I23" s="73" t="str">
        <f aca="false">IF($B23="","",ROUND(Employees!R20*MAX(0,1-G23/'Basic Details'!$C$23),0))</f>
        <v/>
      </c>
      <c r="J23" s="73" t="str">
        <f aca="false">IF($B23="","",ROUND(Employees!S20*MAX(0,1-G23/'Basic Details'!$C$23),0))</f>
        <v/>
      </c>
      <c r="K23" s="73" t="str">
        <f aca="false">IF($B23="","",ROUND(Employees!T20*MAX(0,1-G23/'Basic Details'!$C$23),0))</f>
        <v/>
      </c>
      <c r="L23" s="73" t="str">
        <f aca="false">IF($B23="","",IF('Basic Details'!$C$9="Yes",ROUND(Attendance!AN23*E23/'Basic Details'!$C$23,0),0))</f>
        <v/>
      </c>
      <c r="M23" s="74"/>
      <c r="N23" s="73" t="str">
        <f aca="false">IF($B23="","",ROUND(N(M23)*E23/'Basic Details'!$C$23/'Basic Details'!$C$18*'Basic Details'!$C$17,0))</f>
        <v/>
      </c>
      <c r="O23" s="75"/>
      <c r="P23" s="73" t="str">
        <f aca="false">IF($B23="","",SUM(I23:L23)+N23+N(O23))</f>
        <v/>
      </c>
      <c r="Q23" s="73" t="str">
        <f aca="false">IF($B23="","",IF(Employees!J20="Yes",ROUND(IF('Basic Details'!$C$13="Yes",MIN(I23,'Basic Details'!$C$12),I23)*'Basic Details'!$C$10,0),0))</f>
        <v/>
      </c>
      <c r="R23" s="73" t="str">
        <f aca="false">IF($B23="","",IF(AND(Employees!K20="Yes",E23&lt;='Basic Details'!$C$16),ROUNDUP((P23-N(O23))*'Basic Details'!$C$14,0),0))</f>
        <v/>
      </c>
      <c r="S23" s="73" t="str">
        <f aca="false">IF($B23="","",IF(P23&gt;0,N(Employees!L20),0))</f>
        <v/>
      </c>
      <c r="T23" s="75"/>
      <c r="U23" s="75"/>
      <c r="V23" s="75"/>
      <c r="W23" s="73" t="str">
        <f aca="false">IF($B23="","",Q23+R23+S23+N(T23)+N(U23)+N(V23))</f>
        <v/>
      </c>
      <c r="X23" s="76" t="str">
        <f aca="false">IF($B23="","",P23-W23)</f>
        <v/>
      </c>
      <c r="Y23" s="73" t="str">
        <f aca="false">IF($B23="","",IF(Employees!J20="Yes",ROUND(IF('Basic Details'!$C$13="Yes",MIN(I23,'Basic Details'!$C$12),I23)*'Basic Details'!$C$11,0),0))</f>
        <v/>
      </c>
      <c r="Z23" s="73" t="str">
        <f aca="false">IF($B23="","",IF(AND(Employees!K20="Yes",E23&lt;='Basic Details'!$C$16),ROUNDUP((P23-N(O23))*'Basic Details'!$C$15,0),0))</f>
        <v/>
      </c>
      <c r="AA23" s="73" t="str">
        <f aca="false">IF($B23="","",P23+Y23+Z23)</f>
        <v/>
      </c>
    </row>
    <row r="24" customFormat="false" ht="18" hidden="false" customHeight="true" outlineLevel="0" collapsed="false">
      <c r="A24" s="71" t="str">
        <f aca="false">IF(B24="","",ROW()-7)</f>
        <v/>
      </c>
      <c r="B24" s="71" t="str">
        <f aca="false">IF(Employees!B21="","",Employees!B21)</f>
        <v/>
      </c>
      <c r="C24" s="72" t="str">
        <f aca="false">IF(Employees!C21="","",Employees!C21)</f>
        <v/>
      </c>
      <c r="D24" s="72" t="str">
        <f aca="false">IF(Employees!D21="","",Employees!D21)</f>
        <v/>
      </c>
      <c r="E24" s="73" t="str">
        <f aca="false">IF($B24="","",Employees!G21)</f>
        <v/>
      </c>
      <c r="F24" s="71" t="str">
        <f aca="false">IF($B24="","",'Basic Details'!$C$22)</f>
        <v/>
      </c>
      <c r="G24" s="63" t="str">
        <f aca="false">IF($B24="","",Attendance!AP24)</f>
        <v/>
      </c>
      <c r="H24" s="63" t="str">
        <f aca="false">IF($B24="","",Attendance!AQ24)</f>
        <v/>
      </c>
      <c r="I24" s="73" t="str">
        <f aca="false">IF($B24="","",ROUND(Employees!R21*MAX(0,1-G24/'Basic Details'!$C$23),0))</f>
        <v/>
      </c>
      <c r="J24" s="73" t="str">
        <f aca="false">IF($B24="","",ROUND(Employees!S21*MAX(0,1-G24/'Basic Details'!$C$23),0))</f>
        <v/>
      </c>
      <c r="K24" s="73" t="str">
        <f aca="false">IF($B24="","",ROUND(Employees!T21*MAX(0,1-G24/'Basic Details'!$C$23),0))</f>
        <v/>
      </c>
      <c r="L24" s="73" t="str">
        <f aca="false">IF($B24="","",IF('Basic Details'!$C$9="Yes",ROUND(Attendance!AN24*E24/'Basic Details'!$C$23,0),0))</f>
        <v/>
      </c>
      <c r="M24" s="74"/>
      <c r="N24" s="73" t="str">
        <f aca="false">IF($B24="","",ROUND(N(M24)*E24/'Basic Details'!$C$23/'Basic Details'!$C$18*'Basic Details'!$C$17,0))</f>
        <v/>
      </c>
      <c r="O24" s="75"/>
      <c r="P24" s="73" t="str">
        <f aca="false">IF($B24="","",SUM(I24:L24)+N24+N(O24))</f>
        <v/>
      </c>
      <c r="Q24" s="73" t="str">
        <f aca="false">IF($B24="","",IF(Employees!J21="Yes",ROUND(IF('Basic Details'!$C$13="Yes",MIN(I24,'Basic Details'!$C$12),I24)*'Basic Details'!$C$10,0),0))</f>
        <v/>
      </c>
      <c r="R24" s="73" t="str">
        <f aca="false">IF($B24="","",IF(AND(Employees!K21="Yes",E24&lt;='Basic Details'!$C$16),ROUNDUP((P24-N(O24))*'Basic Details'!$C$14,0),0))</f>
        <v/>
      </c>
      <c r="S24" s="73" t="str">
        <f aca="false">IF($B24="","",IF(P24&gt;0,N(Employees!L21),0))</f>
        <v/>
      </c>
      <c r="T24" s="75"/>
      <c r="U24" s="75"/>
      <c r="V24" s="75"/>
      <c r="W24" s="73" t="str">
        <f aca="false">IF($B24="","",Q24+R24+S24+N(T24)+N(U24)+N(V24))</f>
        <v/>
      </c>
      <c r="X24" s="76" t="str">
        <f aca="false">IF($B24="","",P24-W24)</f>
        <v/>
      </c>
      <c r="Y24" s="73" t="str">
        <f aca="false">IF($B24="","",IF(Employees!J21="Yes",ROUND(IF('Basic Details'!$C$13="Yes",MIN(I24,'Basic Details'!$C$12),I24)*'Basic Details'!$C$11,0),0))</f>
        <v/>
      </c>
      <c r="Z24" s="73" t="str">
        <f aca="false">IF($B24="","",IF(AND(Employees!K21="Yes",E24&lt;='Basic Details'!$C$16),ROUNDUP((P24-N(O24))*'Basic Details'!$C$15,0),0))</f>
        <v/>
      </c>
      <c r="AA24" s="73" t="str">
        <f aca="false">IF($B24="","",P24+Y24+Z24)</f>
        <v/>
      </c>
    </row>
    <row r="25" customFormat="false" ht="18" hidden="false" customHeight="true" outlineLevel="0" collapsed="false">
      <c r="A25" s="71" t="str">
        <f aca="false">IF(B25="","",ROW()-7)</f>
        <v/>
      </c>
      <c r="B25" s="71" t="str">
        <f aca="false">IF(Employees!B22="","",Employees!B22)</f>
        <v/>
      </c>
      <c r="C25" s="72" t="str">
        <f aca="false">IF(Employees!C22="","",Employees!C22)</f>
        <v/>
      </c>
      <c r="D25" s="72" t="str">
        <f aca="false">IF(Employees!D22="","",Employees!D22)</f>
        <v/>
      </c>
      <c r="E25" s="73" t="str">
        <f aca="false">IF($B25="","",Employees!G22)</f>
        <v/>
      </c>
      <c r="F25" s="71" t="str">
        <f aca="false">IF($B25="","",'Basic Details'!$C$22)</f>
        <v/>
      </c>
      <c r="G25" s="63" t="str">
        <f aca="false">IF($B25="","",Attendance!AP25)</f>
        <v/>
      </c>
      <c r="H25" s="63" t="str">
        <f aca="false">IF($B25="","",Attendance!AQ25)</f>
        <v/>
      </c>
      <c r="I25" s="73" t="str">
        <f aca="false">IF($B25="","",ROUND(Employees!R22*MAX(0,1-G25/'Basic Details'!$C$23),0))</f>
        <v/>
      </c>
      <c r="J25" s="73" t="str">
        <f aca="false">IF($B25="","",ROUND(Employees!S22*MAX(0,1-G25/'Basic Details'!$C$23),0))</f>
        <v/>
      </c>
      <c r="K25" s="73" t="str">
        <f aca="false">IF($B25="","",ROUND(Employees!T22*MAX(0,1-G25/'Basic Details'!$C$23),0))</f>
        <v/>
      </c>
      <c r="L25" s="73" t="str">
        <f aca="false">IF($B25="","",IF('Basic Details'!$C$9="Yes",ROUND(Attendance!AN25*E25/'Basic Details'!$C$23,0),0))</f>
        <v/>
      </c>
      <c r="M25" s="74"/>
      <c r="N25" s="73" t="str">
        <f aca="false">IF($B25="","",ROUND(N(M25)*E25/'Basic Details'!$C$23/'Basic Details'!$C$18*'Basic Details'!$C$17,0))</f>
        <v/>
      </c>
      <c r="O25" s="75"/>
      <c r="P25" s="73" t="str">
        <f aca="false">IF($B25="","",SUM(I25:L25)+N25+N(O25))</f>
        <v/>
      </c>
      <c r="Q25" s="73" t="str">
        <f aca="false">IF($B25="","",IF(Employees!J22="Yes",ROUND(IF('Basic Details'!$C$13="Yes",MIN(I25,'Basic Details'!$C$12),I25)*'Basic Details'!$C$10,0),0))</f>
        <v/>
      </c>
      <c r="R25" s="73" t="str">
        <f aca="false">IF($B25="","",IF(AND(Employees!K22="Yes",E25&lt;='Basic Details'!$C$16),ROUNDUP((P25-N(O25))*'Basic Details'!$C$14,0),0))</f>
        <v/>
      </c>
      <c r="S25" s="73" t="str">
        <f aca="false">IF($B25="","",IF(P25&gt;0,N(Employees!L22),0))</f>
        <v/>
      </c>
      <c r="T25" s="75"/>
      <c r="U25" s="75"/>
      <c r="V25" s="75"/>
      <c r="W25" s="73" t="str">
        <f aca="false">IF($B25="","",Q25+R25+S25+N(T25)+N(U25)+N(V25))</f>
        <v/>
      </c>
      <c r="X25" s="76" t="str">
        <f aca="false">IF($B25="","",P25-W25)</f>
        <v/>
      </c>
      <c r="Y25" s="73" t="str">
        <f aca="false">IF($B25="","",IF(Employees!J22="Yes",ROUND(IF('Basic Details'!$C$13="Yes",MIN(I25,'Basic Details'!$C$12),I25)*'Basic Details'!$C$11,0),0))</f>
        <v/>
      </c>
      <c r="Z25" s="73" t="str">
        <f aca="false">IF($B25="","",IF(AND(Employees!K22="Yes",E25&lt;='Basic Details'!$C$16),ROUNDUP((P25-N(O25))*'Basic Details'!$C$15,0),0))</f>
        <v/>
      </c>
      <c r="AA25" s="73" t="str">
        <f aca="false">IF($B25="","",P25+Y25+Z25)</f>
        <v/>
      </c>
    </row>
    <row r="26" customFormat="false" ht="18" hidden="false" customHeight="true" outlineLevel="0" collapsed="false">
      <c r="A26" s="71" t="str">
        <f aca="false">IF(B26="","",ROW()-7)</f>
        <v/>
      </c>
      <c r="B26" s="71" t="str">
        <f aca="false">IF(Employees!B23="","",Employees!B23)</f>
        <v/>
      </c>
      <c r="C26" s="72" t="str">
        <f aca="false">IF(Employees!C23="","",Employees!C23)</f>
        <v/>
      </c>
      <c r="D26" s="72" t="str">
        <f aca="false">IF(Employees!D23="","",Employees!D23)</f>
        <v/>
      </c>
      <c r="E26" s="73" t="str">
        <f aca="false">IF($B26="","",Employees!G23)</f>
        <v/>
      </c>
      <c r="F26" s="71" t="str">
        <f aca="false">IF($B26="","",'Basic Details'!$C$22)</f>
        <v/>
      </c>
      <c r="G26" s="63" t="str">
        <f aca="false">IF($B26="","",Attendance!AP26)</f>
        <v/>
      </c>
      <c r="H26" s="63" t="str">
        <f aca="false">IF($B26="","",Attendance!AQ26)</f>
        <v/>
      </c>
      <c r="I26" s="73" t="str">
        <f aca="false">IF($B26="","",ROUND(Employees!R23*MAX(0,1-G26/'Basic Details'!$C$23),0))</f>
        <v/>
      </c>
      <c r="J26" s="73" t="str">
        <f aca="false">IF($B26="","",ROUND(Employees!S23*MAX(0,1-G26/'Basic Details'!$C$23),0))</f>
        <v/>
      </c>
      <c r="K26" s="73" t="str">
        <f aca="false">IF($B26="","",ROUND(Employees!T23*MAX(0,1-G26/'Basic Details'!$C$23),0))</f>
        <v/>
      </c>
      <c r="L26" s="73" t="str">
        <f aca="false">IF($B26="","",IF('Basic Details'!$C$9="Yes",ROUND(Attendance!AN26*E26/'Basic Details'!$C$23,0),0))</f>
        <v/>
      </c>
      <c r="M26" s="74"/>
      <c r="N26" s="73" t="str">
        <f aca="false">IF($B26="","",ROUND(N(M26)*E26/'Basic Details'!$C$23/'Basic Details'!$C$18*'Basic Details'!$C$17,0))</f>
        <v/>
      </c>
      <c r="O26" s="75"/>
      <c r="P26" s="73" t="str">
        <f aca="false">IF($B26="","",SUM(I26:L26)+N26+N(O26))</f>
        <v/>
      </c>
      <c r="Q26" s="73" t="str">
        <f aca="false">IF($B26="","",IF(Employees!J23="Yes",ROUND(IF('Basic Details'!$C$13="Yes",MIN(I26,'Basic Details'!$C$12),I26)*'Basic Details'!$C$10,0),0))</f>
        <v/>
      </c>
      <c r="R26" s="73" t="str">
        <f aca="false">IF($B26="","",IF(AND(Employees!K23="Yes",E26&lt;='Basic Details'!$C$16),ROUNDUP((P26-N(O26))*'Basic Details'!$C$14,0),0))</f>
        <v/>
      </c>
      <c r="S26" s="73" t="str">
        <f aca="false">IF($B26="","",IF(P26&gt;0,N(Employees!L23),0))</f>
        <v/>
      </c>
      <c r="T26" s="75"/>
      <c r="U26" s="75"/>
      <c r="V26" s="75"/>
      <c r="W26" s="73" t="str">
        <f aca="false">IF($B26="","",Q26+R26+S26+N(T26)+N(U26)+N(V26))</f>
        <v/>
      </c>
      <c r="X26" s="76" t="str">
        <f aca="false">IF($B26="","",P26-W26)</f>
        <v/>
      </c>
      <c r="Y26" s="73" t="str">
        <f aca="false">IF($B26="","",IF(Employees!J23="Yes",ROUND(IF('Basic Details'!$C$13="Yes",MIN(I26,'Basic Details'!$C$12),I26)*'Basic Details'!$C$11,0),0))</f>
        <v/>
      </c>
      <c r="Z26" s="73" t="str">
        <f aca="false">IF($B26="","",IF(AND(Employees!K23="Yes",E26&lt;='Basic Details'!$C$16),ROUNDUP((P26-N(O26))*'Basic Details'!$C$15,0),0))</f>
        <v/>
      </c>
      <c r="AA26" s="73" t="str">
        <f aca="false">IF($B26="","",P26+Y26+Z26)</f>
        <v/>
      </c>
    </row>
    <row r="27" customFormat="false" ht="18" hidden="false" customHeight="true" outlineLevel="0" collapsed="false">
      <c r="A27" s="71" t="str">
        <f aca="false">IF(B27="","",ROW()-7)</f>
        <v/>
      </c>
      <c r="B27" s="71" t="str">
        <f aca="false">IF(Employees!B24="","",Employees!B24)</f>
        <v/>
      </c>
      <c r="C27" s="72" t="str">
        <f aca="false">IF(Employees!C24="","",Employees!C24)</f>
        <v/>
      </c>
      <c r="D27" s="72" t="str">
        <f aca="false">IF(Employees!D24="","",Employees!D24)</f>
        <v/>
      </c>
      <c r="E27" s="73" t="str">
        <f aca="false">IF($B27="","",Employees!G24)</f>
        <v/>
      </c>
      <c r="F27" s="71" t="str">
        <f aca="false">IF($B27="","",'Basic Details'!$C$22)</f>
        <v/>
      </c>
      <c r="G27" s="63" t="str">
        <f aca="false">IF($B27="","",Attendance!AP27)</f>
        <v/>
      </c>
      <c r="H27" s="63" t="str">
        <f aca="false">IF($B27="","",Attendance!AQ27)</f>
        <v/>
      </c>
      <c r="I27" s="73" t="str">
        <f aca="false">IF($B27="","",ROUND(Employees!R24*MAX(0,1-G27/'Basic Details'!$C$23),0))</f>
        <v/>
      </c>
      <c r="J27" s="73" t="str">
        <f aca="false">IF($B27="","",ROUND(Employees!S24*MAX(0,1-G27/'Basic Details'!$C$23),0))</f>
        <v/>
      </c>
      <c r="K27" s="73" t="str">
        <f aca="false">IF($B27="","",ROUND(Employees!T24*MAX(0,1-G27/'Basic Details'!$C$23),0))</f>
        <v/>
      </c>
      <c r="L27" s="73" t="str">
        <f aca="false">IF($B27="","",IF('Basic Details'!$C$9="Yes",ROUND(Attendance!AN27*E27/'Basic Details'!$C$23,0),0))</f>
        <v/>
      </c>
      <c r="M27" s="74"/>
      <c r="N27" s="73" t="str">
        <f aca="false">IF($B27="","",ROUND(N(M27)*E27/'Basic Details'!$C$23/'Basic Details'!$C$18*'Basic Details'!$C$17,0))</f>
        <v/>
      </c>
      <c r="O27" s="75"/>
      <c r="P27" s="73" t="str">
        <f aca="false">IF($B27="","",SUM(I27:L27)+N27+N(O27))</f>
        <v/>
      </c>
      <c r="Q27" s="73" t="str">
        <f aca="false">IF($B27="","",IF(Employees!J24="Yes",ROUND(IF('Basic Details'!$C$13="Yes",MIN(I27,'Basic Details'!$C$12),I27)*'Basic Details'!$C$10,0),0))</f>
        <v/>
      </c>
      <c r="R27" s="73" t="str">
        <f aca="false">IF($B27="","",IF(AND(Employees!K24="Yes",E27&lt;='Basic Details'!$C$16),ROUNDUP((P27-N(O27))*'Basic Details'!$C$14,0),0))</f>
        <v/>
      </c>
      <c r="S27" s="73" t="str">
        <f aca="false">IF($B27="","",IF(P27&gt;0,N(Employees!L24),0))</f>
        <v/>
      </c>
      <c r="T27" s="75"/>
      <c r="U27" s="75"/>
      <c r="V27" s="75"/>
      <c r="W27" s="73" t="str">
        <f aca="false">IF($B27="","",Q27+R27+S27+N(T27)+N(U27)+N(V27))</f>
        <v/>
      </c>
      <c r="X27" s="76" t="str">
        <f aca="false">IF($B27="","",P27-W27)</f>
        <v/>
      </c>
      <c r="Y27" s="73" t="str">
        <f aca="false">IF($B27="","",IF(Employees!J24="Yes",ROUND(IF('Basic Details'!$C$13="Yes",MIN(I27,'Basic Details'!$C$12),I27)*'Basic Details'!$C$11,0),0))</f>
        <v/>
      </c>
      <c r="Z27" s="73" t="str">
        <f aca="false">IF($B27="","",IF(AND(Employees!K24="Yes",E27&lt;='Basic Details'!$C$16),ROUNDUP((P27-N(O27))*'Basic Details'!$C$15,0),0))</f>
        <v/>
      </c>
      <c r="AA27" s="73" t="str">
        <f aca="false">IF($B27="","",P27+Y27+Z27)</f>
        <v/>
      </c>
    </row>
    <row r="28" customFormat="false" ht="18" hidden="false" customHeight="true" outlineLevel="0" collapsed="false">
      <c r="A28" s="71" t="str">
        <f aca="false">IF(B28="","",ROW()-7)</f>
        <v/>
      </c>
      <c r="B28" s="71" t="str">
        <f aca="false">IF(Employees!B25="","",Employees!B25)</f>
        <v/>
      </c>
      <c r="C28" s="72" t="str">
        <f aca="false">IF(Employees!C25="","",Employees!C25)</f>
        <v/>
      </c>
      <c r="D28" s="72" t="str">
        <f aca="false">IF(Employees!D25="","",Employees!D25)</f>
        <v/>
      </c>
      <c r="E28" s="73" t="str">
        <f aca="false">IF($B28="","",Employees!G25)</f>
        <v/>
      </c>
      <c r="F28" s="71" t="str">
        <f aca="false">IF($B28="","",'Basic Details'!$C$22)</f>
        <v/>
      </c>
      <c r="G28" s="63" t="str">
        <f aca="false">IF($B28="","",Attendance!AP28)</f>
        <v/>
      </c>
      <c r="H28" s="63" t="str">
        <f aca="false">IF($B28="","",Attendance!AQ28)</f>
        <v/>
      </c>
      <c r="I28" s="73" t="str">
        <f aca="false">IF($B28="","",ROUND(Employees!R25*MAX(0,1-G28/'Basic Details'!$C$23),0))</f>
        <v/>
      </c>
      <c r="J28" s="73" t="str">
        <f aca="false">IF($B28="","",ROUND(Employees!S25*MAX(0,1-G28/'Basic Details'!$C$23),0))</f>
        <v/>
      </c>
      <c r="K28" s="73" t="str">
        <f aca="false">IF($B28="","",ROUND(Employees!T25*MAX(0,1-G28/'Basic Details'!$C$23),0))</f>
        <v/>
      </c>
      <c r="L28" s="73" t="str">
        <f aca="false">IF($B28="","",IF('Basic Details'!$C$9="Yes",ROUND(Attendance!AN28*E28/'Basic Details'!$C$23,0),0))</f>
        <v/>
      </c>
      <c r="M28" s="74"/>
      <c r="N28" s="73" t="str">
        <f aca="false">IF($B28="","",ROUND(N(M28)*E28/'Basic Details'!$C$23/'Basic Details'!$C$18*'Basic Details'!$C$17,0))</f>
        <v/>
      </c>
      <c r="O28" s="75"/>
      <c r="P28" s="73" t="str">
        <f aca="false">IF($B28="","",SUM(I28:L28)+N28+N(O28))</f>
        <v/>
      </c>
      <c r="Q28" s="73" t="str">
        <f aca="false">IF($B28="","",IF(Employees!J25="Yes",ROUND(IF('Basic Details'!$C$13="Yes",MIN(I28,'Basic Details'!$C$12),I28)*'Basic Details'!$C$10,0),0))</f>
        <v/>
      </c>
      <c r="R28" s="73" t="str">
        <f aca="false">IF($B28="","",IF(AND(Employees!K25="Yes",E28&lt;='Basic Details'!$C$16),ROUNDUP((P28-N(O28))*'Basic Details'!$C$14,0),0))</f>
        <v/>
      </c>
      <c r="S28" s="73" t="str">
        <f aca="false">IF($B28="","",IF(P28&gt;0,N(Employees!L25),0))</f>
        <v/>
      </c>
      <c r="T28" s="75"/>
      <c r="U28" s="75"/>
      <c r="V28" s="75"/>
      <c r="W28" s="73" t="str">
        <f aca="false">IF($B28="","",Q28+R28+S28+N(T28)+N(U28)+N(V28))</f>
        <v/>
      </c>
      <c r="X28" s="76" t="str">
        <f aca="false">IF($B28="","",P28-W28)</f>
        <v/>
      </c>
      <c r="Y28" s="73" t="str">
        <f aca="false">IF($B28="","",IF(Employees!J25="Yes",ROUND(IF('Basic Details'!$C$13="Yes",MIN(I28,'Basic Details'!$C$12),I28)*'Basic Details'!$C$11,0),0))</f>
        <v/>
      </c>
      <c r="Z28" s="73" t="str">
        <f aca="false">IF($B28="","",IF(AND(Employees!K25="Yes",E28&lt;='Basic Details'!$C$16),ROUNDUP((P28-N(O28))*'Basic Details'!$C$15,0),0))</f>
        <v/>
      </c>
      <c r="AA28" s="73" t="str">
        <f aca="false">IF($B28="","",P28+Y28+Z28)</f>
        <v/>
      </c>
    </row>
    <row r="29" customFormat="false" ht="18" hidden="false" customHeight="true" outlineLevel="0" collapsed="false">
      <c r="A29" s="71" t="str">
        <f aca="false">IF(B29="","",ROW()-7)</f>
        <v/>
      </c>
      <c r="B29" s="71" t="str">
        <f aca="false">IF(Employees!B26="","",Employees!B26)</f>
        <v/>
      </c>
      <c r="C29" s="72" t="str">
        <f aca="false">IF(Employees!C26="","",Employees!C26)</f>
        <v/>
      </c>
      <c r="D29" s="72" t="str">
        <f aca="false">IF(Employees!D26="","",Employees!D26)</f>
        <v/>
      </c>
      <c r="E29" s="73" t="str">
        <f aca="false">IF($B29="","",Employees!G26)</f>
        <v/>
      </c>
      <c r="F29" s="71" t="str">
        <f aca="false">IF($B29="","",'Basic Details'!$C$22)</f>
        <v/>
      </c>
      <c r="G29" s="63" t="str">
        <f aca="false">IF($B29="","",Attendance!AP29)</f>
        <v/>
      </c>
      <c r="H29" s="63" t="str">
        <f aca="false">IF($B29="","",Attendance!AQ29)</f>
        <v/>
      </c>
      <c r="I29" s="73" t="str">
        <f aca="false">IF($B29="","",ROUND(Employees!R26*MAX(0,1-G29/'Basic Details'!$C$23),0))</f>
        <v/>
      </c>
      <c r="J29" s="73" t="str">
        <f aca="false">IF($B29="","",ROUND(Employees!S26*MAX(0,1-G29/'Basic Details'!$C$23),0))</f>
        <v/>
      </c>
      <c r="K29" s="73" t="str">
        <f aca="false">IF($B29="","",ROUND(Employees!T26*MAX(0,1-G29/'Basic Details'!$C$23),0))</f>
        <v/>
      </c>
      <c r="L29" s="73" t="str">
        <f aca="false">IF($B29="","",IF('Basic Details'!$C$9="Yes",ROUND(Attendance!AN29*E29/'Basic Details'!$C$23,0),0))</f>
        <v/>
      </c>
      <c r="M29" s="74"/>
      <c r="N29" s="73" t="str">
        <f aca="false">IF($B29="","",ROUND(N(M29)*E29/'Basic Details'!$C$23/'Basic Details'!$C$18*'Basic Details'!$C$17,0))</f>
        <v/>
      </c>
      <c r="O29" s="75"/>
      <c r="P29" s="73" t="str">
        <f aca="false">IF($B29="","",SUM(I29:L29)+N29+N(O29))</f>
        <v/>
      </c>
      <c r="Q29" s="73" t="str">
        <f aca="false">IF($B29="","",IF(Employees!J26="Yes",ROUND(IF('Basic Details'!$C$13="Yes",MIN(I29,'Basic Details'!$C$12),I29)*'Basic Details'!$C$10,0),0))</f>
        <v/>
      </c>
      <c r="R29" s="73" t="str">
        <f aca="false">IF($B29="","",IF(AND(Employees!K26="Yes",E29&lt;='Basic Details'!$C$16),ROUNDUP((P29-N(O29))*'Basic Details'!$C$14,0),0))</f>
        <v/>
      </c>
      <c r="S29" s="73" t="str">
        <f aca="false">IF($B29="","",IF(P29&gt;0,N(Employees!L26),0))</f>
        <v/>
      </c>
      <c r="T29" s="75"/>
      <c r="U29" s="75"/>
      <c r="V29" s="75"/>
      <c r="W29" s="73" t="str">
        <f aca="false">IF($B29="","",Q29+R29+S29+N(T29)+N(U29)+N(V29))</f>
        <v/>
      </c>
      <c r="X29" s="76" t="str">
        <f aca="false">IF($B29="","",P29-W29)</f>
        <v/>
      </c>
      <c r="Y29" s="73" t="str">
        <f aca="false">IF($B29="","",IF(Employees!J26="Yes",ROUND(IF('Basic Details'!$C$13="Yes",MIN(I29,'Basic Details'!$C$12),I29)*'Basic Details'!$C$11,0),0))</f>
        <v/>
      </c>
      <c r="Z29" s="73" t="str">
        <f aca="false">IF($B29="","",IF(AND(Employees!K26="Yes",E29&lt;='Basic Details'!$C$16),ROUNDUP((P29-N(O29))*'Basic Details'!$C$15,0),0))</f>
        <v/>
      </c>
      <c r="AA29" s="73" t="str">
        <f aca="false">IF($B29="","",P29+Y29+Z29)</f>
        <v/>
      </c>
    </row>
    <row r="30" customFormat="false" ht="18" hidden="false" customHeight="true" outlineLevel="0" collapsed="false">
      <c r="A30" s="71" t="str">
        <f aca="false">IF(B30="","",ROW()-7)</f>
        <v/>
      </c>
      <c r="B30" s="71" t="str">
        <f aca="false">IF(Employees!B27="","",Employees!B27)</f>
        <v/>
      </c>
      <c r="C30" s="72" t="str">
        <f aca="false">IF(Employees!C27="","",Employees!C27)</f>
        <v/>
      </c>
      <c r="D30" s="72" t="str">
        <f aca="false">IF(Employees!D27="","",Employees!D27)</f>
        <v/>
      </c>
      <c r="E30" s="73" t="str">
        <f aca="false">IF($B30="","",Employees!G27)</f>
        <v/>
      </c>
      <c r="F30" s="71" t="str">
        <f aca="false">IF($B30="","",'Basic Details'!$C$22)</f>
        <v/>
      </c>
      <c r="G30" s="63" t="str">
        <f aca="false">IF($B30="","",Attendance!AP30)</f>
        <v/>
      </c>
      <c r="H30" s="63" t="str">
        <f aca="false">IF($B30="","",Attendance!AQ30)</f>
        <v/>
      </c>
      <c r="I30" s="73" t="str">
        <f aca="false">IF($B30="","",ROUND(Employees!R27*MAX(0,1-G30/'Basic Details'!$C$23),0))</f>
        <v/>
      </c>
      <c r="J30" s="73" t="str">
        <f aca="false">IF($B30="","",ROUND(Employees!S27*MAX(0,1-G30/'Basic Details'!$C$23),0))</f>
        <v/>
      </c>
      <c r="K30" s="73" t="str">
        <f aca="false">IF($B30="","",ROUND(Employees!T27*MAX(0,1-G30/'Basic Details'!$C$23),0))</f>
        <v/>
      </c>
      <c r="L30" s="73" t="str">
        <f aca="false">IF($B30="","",IF('Basic Details'!$C$9="Yes",ROUND(Attendance!AN30*E30/'Basic Details'!$C$23,0),0))</f>
        <v/>
      </c>
      <c r="M30" s="74"/>
      <c r="N30" s="73" t="str">
        <f aca="false">IF($B30="","",ROUND(N(M30)*E30/'Basic Details'!$C$23/'Basic Details'!$C$18*'Basic Details'!$C$17,0))</f>
        <v/>
      </c>
      <c r="O30" s="75"/>
      <c r="P30" s="73" t="str">
        <f aca="false">IF($B30="","",SUM(I30:L30)+N30+N(O30))</f>
        <v/>
      </c>
      <c r="Q30" s="73" t="str">
        <f aca="false">IF($B30="","",IF(Employees!J27="Yes",ROUND(IF('Basic Details'!$C$13="Yes",MIN(I30,'Basic Details'!$C$12),I30)*'Basic Details'!$C$10,0),0))</f>
        <v/>
      </c>
      <c r="R30" s="73" t="str">
        <f aca="false">IF($B30="","",IF(AND(Employees!K27="Yes",E30&lt;='Basic Details'!$C$16),ROUNDUP((P30-N(O30))*'Basic Details'!$C$14,0),0))</f>
        <v/>
      </c>
      <c r="S30" s="73" t="str">
        <f aca="false">IF($B30="","",IF(P30&gt;0,N(Employees!L27),0))</f>
        <v/>
      </c>
      <c r="T30" s="75"/>
      <c r="U30" s="75"/>
      <c r="V30" s="75"/>
      <c r="W30" s="73" t="str">
        <f aca="false">IF($B30="","",Q30+R30+S30+N(T30)+N(U30)+N(V30))</f>
        <v/>
      </c>
      <c r="X30" s="76" t="str">
        <f aca="false">IF($B30="","",P30-W30)</f>
        <v/>
      </c>
      <c r="Y30" s="73" t="str">
        <f aca="false">IF($B30="","",IF(Employees!J27="Yes",ROUND(IF('Basic Details'!$C$13="Yes",MIN(I30,'Basic Details'!$C$12),I30)*'Basic Details'!$C$11,0),0))</f>
        <v/>
      </c>
      <c r="Z30" s="73" t="str">
        <f aca="false">IF($B30="","",IF(AND(Employees!K27="Yes",E30&lt;='Basic Details'!$C$16),ROUNDUP((P30-N(O30))*'Basic Details'!$C$15,0),0))</f>
        <v/>
      </c>
      <c r="AA30" s="73" t="str">
        <f aca="false">IF($B30="","",P30+Y30+Z30)</f>
        <v/>
      </c>
    </row>
    <row r="31" customFormat="false" ht="18" hidden="false" customHeight="true" outlineLevel="0" collapsed="false">
      <c r="A31" s="71" t="str">
        <f aca="false">IF(B31="","",ROW()-7)</f>
        <v/>
      </c>
      <c r="B31" s="71" t="str">
        <f aca="false">IF(Employees!B28="","",Employees!B28)</f>
        <v/>
      </c>
      <c r="C31" s="72" t="str">
        <f aca="false">IF(Employees!C28="","",Employees!C28)</f>
        <v/>
      </c>
      <c r="D31" s="72" t="str">
        <f aca="false">IF(Employees!D28="","",Employees!D28)</f>
        <v/>
      </c>
      <c r="E31" s="73" t="str">
        <f aca="false">IF($B31="","",Employees!G28)</f>
        <v/>
      </c>
      <c r="F31" s="71" t="str">
        <f aca="false">IF($B31="","",'Basic Details'!$C$22)</f>
        <v/>
      </c>
      <c r="G31" s="63" t="str">
        <f aca="false">IF($B31="","",Attendance!AP31)</f>
        <v/>
      </c>
      <c r="H31" s="63" t="str">
        <f aca="false">IF($B31="","",Attendance!AQ31)</f>
        <v/>
      </c>
      <c r="I31" s="73" t="str">
        <f aca="false">IF($B31="","",ROUND(Employees!R28*MAX(0,1-G31/'Basic Details'!$C$23),0))</f>
        <v/>
      </c>
      <c r="J31" s="73" t="str">
        <f aca="false">IF($B31="","",ROUND(Employees!S28*MAX(0,1-G31/'Basic Details'!$C$23),0))</f>
        <v/>
      </c>
      <c r="K31" s="73" t="str">
        <f aca="false">IF($B31="","",ROUND(Employees!T28*MAX(0,1-G31/'Basic Details'!$C$23),0))</f>
        <v/>
      </c>
      <c r="L31" s="73" t="str">
        <f aca="false">IF($B31="","",IF('Basic Details'!$C$9="Yes",ROUND(Attendance!AN31*E31/'Basic Details'!$C$23,0),0))</f>
        <v/>
      </c>
      <c r="M31" s="74"/>
      <c r="N31" s="73" t="str">
        <f aca="false">IF($B31="","",ROUND(N(M31)*E31/'Basic Details'!$C$23/'Basic Details'!$C$18*'Basic Details'!$C$17,0))</f>
        <v/>
      </c>
      <c r="O31" s="75"/>
      <c r="P31" s="73" t="str">
        <f aca="false">IF($B31="","",SUM(I31:L31)+N31+N(O31))</f>
        <v/>
      </c>
      <c r="Q31" s="73" t="str">
        <f aca="false">IF($B31="","",IF(Employees!J28="Yes",ROUND(IF('Basic Details'!$C$13="Yes",MIN(I31,'Basic Details'!$C$12),I31)*'Basic Details'!$C$10,0),0))</f>
        <v/>
      </c>
      <c r="R31" s="73" t="str">
        <f aca="false">IF($B31="","",IF(AND(Employees!K28="Yes",E31&lt;='Basic Details'!$C$16),ROUNDUP((P31-N(O31))*'Basic Details'!$C$14,0),0))</f>
        <v/>
      </c>
      <c r="S31" s="73" t="str">
        <f aca="false">IF($B31="","",IF(P31&gt;0,N(Employees!L28),0))</f>
        <v/>
      </c>
      <c r="T31" s="75"/>
      <c r="U31" s="75"/>
      <c r="V31" s="75"/>
      <c r="W31" s="73" t="str">
        <f aca="false">IF($B31="","",Q31+R31+S31+N(T31)+N(U31)+N(V31))</f>
        <v/>
      </c>
      <c r="X31" s="76" t="str">
        <f aca="false">IF($B31="","",P31-W31)</f>
        <v/>
      </c>
      <c r="Y31" s="73" t="str">
        <f aca="false">IF($B31="","",IF(Employees!J28="Yes",ROUND(IF('Basic Details'!$C$13="Yes",MIN(I31,'Basic Details'!$C$12),I31)*'Basic Details'!$C$11,0),0))</f>
        <v/>
      </c>
      <c r="Z31" s="73" t="str">
        <f aca="false">IF($B31="","",IF(AND(Employees!K28="Yes",E31&lt;='Basic Details'!$C$16),ROUNDUP((P31-N(O31))*'Basic Details'!$C$15,0),0))</f>
        <v/>
      </c>
      <c r="AA31" s="73" t="str">
        <f aca="false">IF($B31="","",P31+Y31+Z31)</f>
        <v/>
      </c>
    </row>
    <row r="32" customFormat="false" ht="18" hidden="false" customHeight="true" outlineLevel="0" collapsed="false">
      <c r="A32" s="71" t="str">
        <f aca="false">IF(B32="","",ROW()-7)</f>
        <v/>
      </c>
      <c r="B32" s="71" t="str">
        <f aca="false">IF(Employees!B29="","",Employees!B29)</f>
        <v/>
      </c>
      <c r="C32" s="72" t="str">
        <f aca="false">IF(Employees!C29="","",Employees!C29)</f>
        <v/>
      </c>
      <c r="D32" s="72" t="str">
        <f aca="false">IF(Employees!D29="","",Employees!D29)</f>
        <v/>
      </c>
      <c r="E32" s="73" t="str">
        <f aca="false">IF($B32="","",Employees!G29)</f>
        <v/>
      </c>
      <c r="F32" s="71" t="str">
        <f aca="false">IF($B32="","",'Basic Details'!$C$22)</f>
        <v/>
      </c>
      <c r="G32" s="63" t="str">
        <f aca="false">IF($B32="","",Attendance!AP32)</f>
        <v/>
      </c>
      <c r="H32" s="63" t="str">
        <f aca="false">IF($B32="","",Attendance!AQ32)</f>
        <v/>
      </c>
      <c r="I32" s="73" t="str">
        <f aca="false">IF($B32="","",ROUND(Employees!R29*MAX(0,1-G32/'Basic Details'!$C$23),0))</f>
        <v/>
      </c>
      <c r="J32" s="73" t="str">
        <f aca="false">IF($B32="","",ROUND(Employees!S29*MAX(0,1-G32/'Basic Details'!$C$23),0))</f>
        <v/>
      </c>
      <c r="K32" s="73" t="str">
        <f aca="false">IF($B32="","",ROUND(Employees!T29*MAX(0,1-G32/'Basic Details'!$C$23),0))</f>
        <v/>
      </c>
      <c r="L32" s="73" t="str">
        <f aca="false">IF($B32="","",IF('Basic Details'!$C$9="Yes",ROUND(Attendance!AN32*E32/'Basic Details'!$C$23,0),0))</f>
        <v/>
      </c>
      <c r="M32" s="74"/>
      <c r="N32" s="73" t="str">
        <f aca="false">IF($B32="","",ROUND(N(M32)*E32/'Basic Details'!$C$23/'Basic Details'!$C$18*'Basic Details'!$C$17,0))</f>
        <v/>
      </c>
      <c r="O32" s="75"/>
      <c r="P32" s="73" t="str">
        <f aca="false">IF($B32="","",SUM(I32:L32)+N32+N(O32))</f>
        <v/>
      </c>
      <c r="Q32" s="73" t="str">
        <f aca="false">IF($B32="","",IF(Employees!J29="Yes",ROUND(IF('Basic Details'!$C$13="Yes",MIN(I32,'Basic Details'!$C$12),I32)*'Basic Details'!$C$10,0),0))</f>
        <v/>
      </c>
      <c r="R32" s="73" t="str">
        <f aca="false">IF($B32="","",IF(AND(Employees!K29="Yes",E32&lt;='Basic Details'!$C$16),ROUNDUP((P32-N(O32))*'Basic Details'!$C$14,0),0))</f>
        <v/>
      </c>
      <c r="S32" s="73" t="str">
        <f aca="false">IF($B32="","",IF(P32&gt;0,N(Employees!L29),0))</f>
        <v/>
      </c>
      <c r="T32" s="75"/>
      <c r="U32" s="75"/>
      <c r="V32" s="75"/>
      <c r="W32" s="73" t="str">
        <f aca="false">IF($B32="","",Q32+R32+S32+N(T32)+N(U32)+N(V32))</f>
        <v/>
      </c>
      <c r="X32" s="76" t="str">
        <f aca="false">IF($B32="","",P32-W32)</f>
        <v/>
      </c>
      <c r="Y32" s="73" t="str">
        <f aca="false">IF($B32="","",IF(Employees!J29="Yes",ROUND(IF('Basic Details'!$C$13="Yes",MIN(I32,'Basic Details'!$C$12),I32)*'Basic Details'!$C$11,0),0))</f>
        <v/>
      </c>
      <c r="Z32" s="73" t="str">
        <f aca="false">IF($B32="","",IF(AND(Employees!K29="Yes",E32&lt;='Basic Details'!$C$16),ROUNDUP((P32-N(O32))*'Basic Details'!$C$15,0),0))</f>
        <v/>
      </c>
      <c r="AA32" s="73" t="str">
        <f aca="false">IF($B32="","",P32+Y32+Z32)</f>
        <v/>
      </c>
    </row>
    <row r="33" customFormat="false" ht="18" hidden="false" customHeight="true" outlineLevel="0" collapsed="false">
      <c r="A33" s="71" t="str">
        <f aca="false">IF(B33="","",ROW()-7)</f>
        <v/>
      </c>
      <c r="B33" s="71" t="str">
        <f aca="false">IF(Employees!B30="","",Employees!B30)</f>
        <v/>
      </c>
      <c r="C33" s="72" t="str">
        <f aca="false">IF(Employees!C30="","",Employees!C30)</f>
        <v/>
      </c>
      <c r="D33" s="72" t="str">
        <f aca="false">IF(Employees!D30="","",Employees!D30)</f>
        <v/>
      </c>
      <c r="E33" s="73" t="str">
        <f aca="false">IF($B33="","",Employees!G30)</f>
        <v/>
      </c>
      <c r="F33" s="71" t="str">
        <f aca="false">IF($B33="","",'Basic Details'!$C$22)</f>
        <v/>
      </c>
      <c r="G33" s="63" t="str">
        <f aca="false">IF($B33="","",Attendance!AP33)</f>
        <v/>
      </c>
      <c r="H33" s="63" t="str">
        <f aca="false">IF($B33="","",Attendance!AQ33)</f>
        <v/>
      </c>
      <c r="I33" s="73" t="str">
        <f aca="false">IF($B33="","",ROUND(Employees!R30*MAX(0,1-G33/'Basic Details'!$C$23),0))</f>
        <v/>
      </c>
      <c r="J33" s="73" t="str">
        <f aca="false">IF($B33="","",ROUND(Employees!S30*MAX(0,1-G33/'Basic Details'!$C$23),0))</f>
        <v/>
      </c>
      <c r="K33" s="73" t="str">
        <f aca="false">IF($B33="","",ROUND(Employees!T30*MAX(0,1-G33/'Basic Details'!$C$23),0))</f>
        <v/>
      </c>
      <c r="L33" s="73" t="str">
        <f aca="false">IF($B33="","",IF('Basic Details'!$C$9="Yes",ROUND(Attendance!AN33*E33/'Basic Details'!$C$23,0),0))</f>
        <v/>
      </c>
      <c r="M33" s="74"/>
      <c r="N33" s="73" t="str">
        <f aca="false">IF($B33="","",ROUND(N(M33)*E33/'Basic Details'!$C$23/'Basic Details'!$C$18*'Basic Details'!$C$17,0))</f>
        <v/>
      </c>
      <c r="O33" s="75"/>
      <c r="P33" s="73" t="str">
        <f aca="false">IF($B33="","",SUM(I33:L33)+N33+N(O33))</f>
        <v/>
      </c>
      <c r="Q33" s="73" t="str">
        <f aca="false">IF($B33="","",IF(Employees!J30="Yes",ROUND(IF('Basic Details'!$C$13="Yes",MIN(I33,'Basic Details'!$C$12),I33)*'Basic Details'!$C$10,0),0))</f>
        <v/>
      </c>
      <c r="R33" s="73" t="str">
        <f aca="false">IF($B33="","",IF(AND(Employees!K30="Yes",E33&lt;='Basic Details'!$C$16),ROUNDUP((P33-N(O33))*'Basic Details'!$C$14,0),0))</f>
        <v/>
      </c>
      <c r="S33" s="73" t="str">
        <f aca="false">IF($B33="","",IF(P33&gt;0,N(Employees!L30),0))</f>
        <v/>
      </c>
      <c r="T33" s="75"/>
      <c r="U33" s="75"/>
      <c r="V33" s="75"/>
      <c r="W33" s="73" t="str">
        <f aca="false">IF($B33="","",Q33+R33+S33+N(T33)+N(U33)+N(V33))</f>
        <v/>
      </c>
      <c r="X33" s="76" t="str">
        <f aca="false">IF($B33="","",P33-W33)</f>
        <v/>
      </c>
      <c r="Y33" s="73" t="str">
        <f aca="false">IF($B33="","",IF(Employees!J30="Yes",ROUND(IF('Basic Details'!$C$13="Yes",MIN(I33,'Basic Details'!$C$12),I33)*'Basic Details'!$C$11,0),0))</f>
        <v/>
      </c>
      <c r="Z33" s="73" t="str">
        <f aca="false">IF($B33="","",IF(AND(Employees!K30="Yes",E33&lt;='Basic Details'!$C$16),ROUNDUP((P33-N(O33))*'Basic Details'!$C$15,0),0))</f>
        <v/>
      </c>
      <c r="AA33" s="73" t="str">
        <f aca="false">IF($B33="","",P33+Y33+Z33)</f>
        <v/>
      </c>
    </row>
    <row r="34" customFormat="false" ht="18" hidden="false" customHeight="true" outlineLevel="0" collapsed="false">
      <c r="A34" s="71" t="str">
        <f aca="false">IF(B34="","",ROW()-7)</f>
        <v/>
      </c>
      <c r="B34" s="71" t="str">
        <f aca="false">IF(Employees!B31="","",Employees!B31)</f>
        <v/>
      </c>
      <c r="C34" s="72" t="str">
        <f aca="false">IF(Employees!C31="","",Employees!C31)</f>
        <v/>
      </c>
      <c r="D34" s="72" t="str">
        <f aca="false">IF(Employees!D31="","",Employees!D31)</f>
        <v/>
      </c>
      <c r="E34" s="73" t="str">
        <f aca="false">IF($B34="","",Employees!G31)</f>
        <v/>
      </c>
      <c r="F34" s="71" t="str">
        <f aca="false">IF($B34="","",'Basic Details'!$C$22)</f>
        <v/>
      </c>
      <c r="G34" s="63" t="str">
        <f aca="false">IF($B34="","",Attendance!AP34)</f>
        <v/>
      </c>
      <c r="H34" s="63" t="str">
        <f aca="false">IF($B34="","",Attendance!AQ34)</f>
        <v/>
      </c>
      <c r="I34" s="73" t="str">
        <f aca="false">IF($B34="","",ROUND(Employees!R31*MAX(0,1-G34/'Basic Details'!$C$23),0))</f>
        <v/>
      </c>
      <c r="J34" s="73" t="str">
        <f aca="false">IF($B34="","",ROUND(Employees!S31*MAX(0,1-G34/'Basic Details'!$C$23),0))</f>
        <v/>
      </c>
      <c r="K34" s="73" t="str">
        <f aca="false">IF($B34="","",ROUND(Employees!T31*MAX(0,1-G34/'Basic Details'!$C$23),0))</f>
        <v/>
      </c>
      <c r="L34" s="73" t="str">
        <f aca="false">IF($B34="","",IF('Basic Details'!$C$9="Yes",ROUND(Attendance!AN34*E34/'Basic Details'!$C$23,0),0))</f>
        <v/>
      </c>
      <c r="M34" s="74"/>
      <c r="N34" s="73" t="str">
        <f aca="false">IF($B34="","",ROUND(N(M34)*E34/'Basic Details'!$C$23/'Basic Details'!$C$18*'Basic Details'!$C$17,0))</f>
        <v/>
      </c>
      <c r="O34" s="75"/>
      <c r="P34" s="73" t="str">
        <f aca="false">IF($B34="","",SUM(I34:L34)+N34+N(O34))</f>
        <v/>
      </c>
      <c r="Q34" s="73" t="str">
        <f aca="false">IF($B34="","",IF(Employees!J31="Yes",ROUND(IF('Basic Details'!$C$13="Yes",MIN(I34,'Basic Details'!$C$12),I34)*'Basic Details'!$C$10,0),0))</f>
        <v/>
      </c>
      <c r="R34" s="73" t="str">
        <f aca="false">IF($B34="","",IF(AND(Employees!K31="Yes",E34&lt;='Basic Details'!$C$16),ROUNDUP((P34-N(O34))*'Basic Details'!$C$14,0),0))</f>
        <v/>
      </c>
      <c r="S34" s="73" t="str">
        <f aca="false">IF($B34="","",IF(P34&gt;0,N(Employees!L31),0))</f>
        <v/>
      </c>
      <c r="T34" s="75"/>
      <c r="U34" s="75"/>
      <c r="V34" s="75"/>
      <c r="W34" s="73" t="str">
        <f aca="false">IF($B34="","",Q34+R34+S34+N(T34)+N(U34)+N(V34))</f>
        <v/>
      </c>
      <c r="X34" s="76" t="str">
        <f aca="false">IF($B34="","",P34-W34)</f>
        <v/>
      </c>
      <c r="Y34" s="73" t="str">
        <f aca="false">IF($B34="","",IF(Employees!J31="Yes",ROUND(IF('Basic Details'!$C$13="Yes",MIN(I34,'Basic Details'!$C$12),I34)*'Basic Details'!$C$11,0),0))</f>
        <v/>
      </c>
      <c r="Z34" s="73" t="str">
        <f aca="false">IF($B34="","",IF(AND(Employees!K31="Yes",E34&lt;='Basic Details'!$C$16),ROUNDUP((P34-N(O34))*'Basic Details'!$C$15,0),0))</f>
        <v/>
      </c>
      <c r="AA34" s="73" t="str">
        <f aca="false">IF($B34="","",P34+Y34+Z34)</f>
        <v/>
      </c>
    </row>
    <row r="35" customFormat="false" ht="18" hidden="false" customHeight="true" outlineLevel="0" collapsed="false">
      <c r="A35" s="71" t="str">
        <f aca="false">IF(B35="","",ROW()-7)</f>
        <v/>
      </c>
      <c r="B35" s="71" t="str">
        <f aca="false">IF(Employees!B32="","",Employees!B32)</f>
        <v/>
      </c>
      <c r="C35" s="72" t="str">
        <f aca="false">IF(Employees!C32="","",Employees!C32)</f>
        <v/>
      </c>
      <c r="D35" s="72" t="str">
        <f aca="false">IF(Employees!D32="","",Employees!D32)</f>
        <v/>
      </c>
      <c r="E35" s="73" t="str">
        <f aca="false">IF($B35="","",Employees!G32)</f>
        <v/>
      </c>
      <c r="F35" s="71" t="str">
        <f aca="false">IF($B35="","",'Basic Details'!$C$22)</f>
        <v/>
      </c>
      <c r="G35" s="63" t="str">
        <f aca="false">IF($B35="","",Attendance!AP35)</f>
        <v/>
      </c>
      <c r="H35" s="63" t="str">
        <f aca="false">IF($B35="","",Attendance!AQ35)</f>
        <v/>
      </c>
      <c r="I35" s="73" t="str">
        <f aca="false">IF($B35="","",ROUND(Employees!R32*MAX(0,1-G35/'Basic Details'!$C$23),0))</f>
        <v/>
      </c>
      <c r="J35" s="73" t="str">
        <f aca="false">IF($B35="","",ROUND(Employees!S32*MAX(0,1-G35/'Basic Details'!$C$23),0))</f>
        <v/>
      </c>
      <c r="K35" s="73" t="str">
        <f aca="false">IF($B35="","",ROUND(Employees!T32*MAX(0,1-G35/'Basic Details'!$C$23),0))</f>
        <v/>
      </c>
      <c r="L35" s="73" t="str">
        <f aca="false">IF($B35="","",IF('Basic Details'!$C$9="Yes",ROUND(Attendance!AN35*E35/'Basic Details'!$C$23,0),0))</f>
        <v/>
      </c>
      <c r="M35" s="74"/>
      <c r="N35" s="73" t="str">
        <f aca="false">IF($B35="","",ROUND(N(M35)*E35/'Basic Details'!$C$23/'Basic Details'!$C$18*'Basic Details'!$C$17,0))</f>
        <v/>
      </c>
      <c r="O35" s="75"/>
      <c r="P35" s="73" t="str">
        <f aca="false">IF($B35="","",SUM(I35:L35)+N35+N(O35))</f>
        <v/>
      </c>
      <c r="Q35" s="73" t="str">
        <f aca="false">IF($B35="","",IF(Employees!J32="Yes",ROUND(IF('Basic Details'!$C$13="Yes",MIN(I35,'Basic Details'!$C$12),I35)*'Basic Details'!$C$10,0),0))</f>
        <v/>
      </c>
      <c r="R35" s="73" t="str">
        <f aca="false">IF($B35="","",IF(AND(Employees!K32="Yes",E35&lt;='Basic Details'!$C$16),ROUNDUP((P35-N(O35))*'Basic Details'!$C$14,0),0))</f>
        <v/>
      </c>
      <c r="S35" s="73" t="str">
        <f aca="false">IF($B35="","",IF(P35&gt;0,N(Employees!L32),0))</f>
        <v/>
      </c>
      <c r="T35" s="75"/>
      <c r="U35" s="75"/>
      <c r="V35" s="75"/>
      <c r="W35" s="73" t="str">
        <f aca="false">IF($B35="","",Q35+R35+S35+N(T35)+N(U35)+N(V35))</f>
        <v/>
      </c>
      <c r="X35" s="76" t="str">
        <f aca="false">IF($B35="","",P35-W35)</f>
        <v/>
      </c>
      <c r="Y35" s="73" t="str">
        <f aca="false">IF($B35="","",IF(Employees!J32="Yes",ROUND(IF('Basic Details'!$C$13="Yes",MIN(I35,'Basic Details'!$C$12),I35)*'Basic Details'!$C$11,0),0))</f>
        <v/>
      </c>
      <c r="Z35" s="73" t="str">
        <f aca="false">IF($B35="","",IF(AND(Employees!K32="Yes",E35&lt;='Basic Details'!$C$16),ROUNDUP((P35-N(O35))*'Basic Details'!$C$15,0),0))</f>
        <v/>
      </c>
      <c r="AA35" s="73" t="str">
        <f aca="false">IF($B35="","",P35+Y35+Z35)</f>
        <v/>
      </c>
    </row>
    <row r="36" customFormat="false" ht="18" hidden="false" customHeight="true" outlineLevel="0" collapsed="false">
      <c r="A36" s="71" t="str">
        <f aca="false">IF(B36="","",ROW()-7)</f>
        <v/>
      </c>
      <c r="B36" s="71" t="str">
        <f aca="false">IF(Employees!B33="","",Employees!B33)</f>
        <v/>
      </c>
      <c r="C36" s="72" t="str">
        <f aca="false">IF(Employees!C33="","",Employees!C33)</f>
        <v/>
      </c>
      <c r="D36" s="72" t="str">
        <f aca="false">IF(Employees!D33="","",Employees!D33)</f>
        <v/>
      </c>
      <c r="E36" s="73" t="str">
        <f aca="false">IF($B36="","",Employees!G33)</f>
        <v/>
      </c>
      <c r="F36" s="71" t="str">
        <f aca="false">IF($B36="","",'Basic Details'!$C$22)</f>
        <v/>
      </c>
      <c r="G36" s="63" t="str">
        <f aca="false">IF($B36="","",Attendance!AP36)</f>
        <v/>
      </c>
      <c r="H36" s="63" t="str">
        <f aca="false">IF($B36="","",Attendance!AQ36)</f>
        <v/>
      </c>
      <c r="I36" s="73" t="str">
        <f aca="false">IF($B36="","",ROUND(Employees!R33*MAX(0,1-G36/'Basic Details'!$C$23),0))</f>
        <v/>
      </c>
      <c r="J36" s="73" t="str">
        <f aca="false">IF($B36="","",ROUND(Employees!S33*MAX(0,1-G36/'Basic Details'!$C$23),0))</f>
        <v/>
      </c>
      <c r="K36" s="73" t="str">
        <f aca="false">IF($B36="","",ROUND(Employees!T33*MAX(0,1-G36/'Basic Details'!$C$23),0))</f>
        <v/>
      </c>
      <c r="L36" s="73" t="str">
        <f aca="false">IF($B36="","",IF('Basic Details'!$C$9="Yes",ROUND(Attendance!AN36*E36/'Basic Details'!$C$23,0),0))</f>
        <v/>
      </c>
      <c r="M36" s="74"/>
      <c r="N36" s="73" t="str">
        <f aca="false">IF($B36="","",ROUND(N(M36)*E36/'Basic Details'!$C$23/'Basic Details'!$C$18*'Basic Details'!$C$17,0))</f>
        <v/>
      </c>
      <c r="O36" s="75"/>
      <c r="P36" s="73" t="str">
        <f aca="false">IF($B36="","",SUM(I36:L36)+N36+N(O36))</f>
        <v/>
      </c>
      <c r="Q36" s="73" t="str">
        <f aca="false">IF($B36="","",IF(Employees!J33="Yes",ROUND(IF('Basic Details'!$C$13="Yes",MIN(I36,'Basic Details'!$C$12),I36)*'Basic Details'!$C$10,0),0))</f>
        <v/>
      </c>
      <c r="R36" s="73" t="str">
        <f aca="false">IF($B36="","",IF(AND(Employees!K33="Yes",E36&lt;='Basic Details'!$C$16),ROUNDUP((P36-N(O36))*'Basic Details'!$C$14,0),0))</f>
        <v/>
      </c>
      <c r="S36" s="73" t="str">
        <f aca="false">IF($B36="","",IF(P36&gt;0,N(Employees!L33),0))</f>
        <v/>
      </c>
      <c r="T36" s="75"/>
      <c r="U36" s="75"/>
      <c r="V36" s="75"/>
      <c r="W36" s="73" t="str">
        <f aca="false">IF($B36="","",Q36+R36+S36+N(T36)+N(U36)+N(V36))</f>
        <v/>
      </c>
      <c r="X36" s="76" t="str">
        <f aca="false">IF($B36="","",P36-W36)</f>
        <v/>
      </c>
      <c r="Y36" s="73" t="str">
        <f aca="false">IF($B36="","",IF(Employees!J33="Yes",ROUND(IF('Basic Details'!$C$13="Yes",MIN(I36,'Basic Details'!$C$12),I36)*'Basic Details'!$C$11,0),0))</f>
        <v/>
      </c>
      <c r="Z36" s="73" t="str">
        <f aca="false">IF($B36="","",IF(AND(Employees!K33="Yes",E36&lt;='Basic Details'!$C$16),ROUNDUP((P36-N(O36))*'Basic Details'!$C$15,0),0))</f>
        <v/>
      </c>
      <c r="AA36" s="73" t="str">
        <f aca="false">IF($B36="","",P36+Y36+Z36)</f>
        <v/>
      </c>
    </row>
    <row r="37" customFormat="false" ht="18" hidden="false" customHeight="true" outlineLevel="0" collapsed="false">
      <c r="A37" s="71" t="str">
        <f aca="false">IF(B37="","",ROW()-7)</f>
        <v/>
      </c>
      <c r="B37" s="71" t="str">
        <f aca="false">IF(Employees!B34="","",Employees!B34)</f>
        <v/>
      </c>
      <c r="C37" s="72" t="str">
        <f aca="false">IF(Employees!C34="","",Employees!C34)</f>
        <v/>
      </c>
      <c r="D37" s="72" t="str">
        <f aca="false">IF(Employees!D34="","",Employees!D34)</f>
        <v/>
      </c>
      <c r="E37" s="73" t="str">
        <f aca="false">IF($B37="","",Employees!G34)</f>
        <v/>
      </c>
      <c r="F37" s="71" t="str">
        <f aca="false">IF($B37="","",'Basic Details'!$C$22)</f>
        <v/>
      </c>
      <c r="G37" s="63" t="str">
        <f aca="false">IF($B37="","",Attendance!AP37)</f>
        <v/>
      </c>
      <c r="H37" s="63" t="str">
        <f aca="false">IF($B37="","",Attendance!AQ37)</f>
        <v/>
      </c>
      <c r="I37" s="73" t="str">
        <f aca="false">IF($B37="","",ROUND(Employees!R34*MAX(0,1-G37/'Basic Details'!$C$23),0))</f>
        <v/>
      </c>
      <c r="J37" s="73" t="str">
        <f aca="false">IF($B37="","",ROUND(Employees!S34*MAX(0,1-G37/'Basic Details'!$C$23),0))</f>
        <v/>
      </c>
      <c r="K37" s="73" t="str">
        <f aca="false">IF($B37="","",ROUND(Employees!T34*MAX(0,1-G37/'Basic Details'!$C$23),0))</f>
        <v/>
      </c>
      <c r="L37" s="73" t="str">
        <f aca="false">IF($B37="","",IF('Basic Details'!$C$9="Yes",ROUND(Attendance!AN37*E37/'Basic Details'!$C$23,0),0))</f>
        <v/>
      </c>
      <c r="M37" s="74"/>
      <c r="N37" s="73" t="str">
        <f aca="false">IF($B37="","",ROUND(N(M37)*E37/'Basic Details'!$C$23/'Basic Details'!$C$18*'Basic Details'!$C$17,0))</f>
        <v/>
      </c>
      <c r="O37" s="75"/>
      <c r="P37" s="73" t="str">
        <f aca="false">IF($B37="","",SUM(I37:L37)+N37+N(O37))</f>
        <v/>
      </c>
      <c r="Q37" s="73" t="str">
        <f aca="false">IF($B37="","",IF(Employees!J34="Yes",ROUND(IF('Basic Details'!$C$13="Yes",MIN(I37,'Basic Details'!$C$12),I37)*'Basic Details'!$C$10,0),0))</f>
        <v/>
      </c>
      <c r="R37" s="73" t="str">
        <f aca="false">IF($B37="","",IF(AND(Employees!K34="Yes",E37&lt;='Basic Details'!$C$16),ROUNDUP((P37-N(O37))*'Basic Details'!$C$14,0),0))</f>
        <v/>
      </c>
      <c r="S37" s="73" t="str">
        <f aca="false">IF($B37="","",IF(P37&gt;0,N(Employees!L34),0))</f>
        <v/>
      </c>
      <c r="T37" s="75"/>
      <c r="U37" s="75"/>
      <c r="V37" s="75"/>
      <c r="W37" s="73" t="str">
        <f aca="false">IF($B37="","",Q37+R37+S37+N(T37)+N(U37)+N(V37))</f>
        <v/>
      </c>
      <c r="X37" s="76" t="str">
        <f aca="false">IF($B37="","",P37-W37)</f>
        <v/>
      </c>
      <c r="Y37" s="73" t="str">
        <f aca="false">IF($B37="","",IF(Employees!J34="Yes",ROUND(IF('Basic Details'!$C$13="Yes",MIN(I37,'Basic Details'!$C$12),I37)*'Basic Details'!$C$11,0),0))</f>
        <v/>
      </c>
      <c r="Z37" s="73" t="str">
        <f aca="false">IF($B37="","",IF(AND(Employees!K34="Yes",E37&lt;='Basic Details'!$C$16),ROUNDUP((P37-N(O37))*'Basic Details'!$C$15,0),0))</f>
        <v/>
      </c>
      <c r="AA37" s="73" t="str">
        <f aca="false">IF($B37="","",P37+Y37+Z37)</f>
        <v/>
      </c>
    </row>
    <row r="38" customFormat="false" ht="18" hidden="false" customHeight="true" outlineLevel="0" collapsed="false">
      <c r="A38" s="71" t="str">
        <f aca="false">IF(B38="","",ROW()-7)</f>
        <v/>
      </c>
      <c r="B38" s="71" t="str">
        <f aca="false">IF(Employees!B35="","",Employees!B35)</f>
        <v/>
      </c>
      <c r="C38" s="72" t="str">
        <f aca="false">IF(Employees!C35="","",Employees!C35)</f>
        <v/>
      </c>
      <c r="D38" s="72" t="str">
        <f aca="false">IF(Employees!D35="","",Employees!D35)</f>
        <v/>
      </c>
      <c r="E38" s="73" t="str">
        <f aca="false">IF($B38="","",Employees!G35)</f>
        <v/>
      </c>
      <c r="F38" s="71" t="str">
        <f aca="false">IF($B38="","",'Basic Details'!$C$22)</f>
        <v/>
      </c>
      <c r="G38" s="63" t="str">
        <f aca="false">IF($B38="","",Attendance!AP38)</f>
        <v/>
      </c>
      <c r="H38" s="63" t="str">
        <f aca="false">IF($B38="","",Attendance!AQ38)</f>
        <v/>
      </c>
      <c r="I38" s="73" t="str">
        <f aca="false">IF($B38="","",ROUND(Employees!R35*MAX(0,1-G38/'Basic Details'!$C$23),0))</f>
        <v/>
      </c>
      <c r="J38" s="73" t="str">
        <f aca="false">IF($B38="","",ROUND(Employees!S35*MAX(0,1-G38/'Basic Details'!$C$23),0))</f>
        <v/>
      </c>
      <c r="K38" s="73" t="str">
        <f aca="false">IF($B38="","",ROUND(Employees!T35*MAX(0,1-G38/'Basic Details'!$C$23),0))</f>
        <v/>
      </c>
      <c r="L38" s="73" t="str">
        <f aca="false">IF($B38="","",IF('Basic Details'!$C$9="Yes",ROUND(Attendance!AN38*E38/'Basic Details'!$C$23,0),0))</f>
        <v/>
      </c>
      <c r="M38" s="74"/>
      <c r="N38" s="73" t="str">
        <f aca="false">IF($B38="","",ROUND(N(M38)*E38/'Basic Details'!$C$23/'Basic Details'!$C$18*'Basic Details'!$C$17,0))</f>
        <v/>
      </c>
      <c r="O38" s="75"/>
      <c r="P38" s="73" t="str">
        <f aca="false">IF($B38="","",SUM(I38:L38)+N38+N(O38))</f>
        <v/>
      </c>
      <c r="Q38" s="73" t="str">
        <f aca="false">IF($B38="","",IF(Employees!J35="Yes",ROUND(IF('Basic Details'!$C$13="Yes",MIN(I38,'Basic Details'!$C$12),I38)*'Basic Details'!$C$10,0),0))</f>
        <v/>
      </c>
      <c r="R38" s="73" t="str">
        <f aca="false">IF($B38="","",IF(AND(Employees!K35="Yes",E38&lt;='Basic Details'!$C$16),ROUNDUP((P38-N(O38))*'Basic Details'!$C$14,0),0))</f>
        <v/>
      </c>
      <c r="S38" s="73" t="str">
        <f aca="false">IF($B38="","",IF(P38&gt;0,N(Employees!L35),0))</f>
        <v/>
      </c>
      <c r="T38" s="75"/>
      <c r="U38" s="75"/>
      <c r="V38" s="75"/>
      <c r="W38" s="73" t="str">
        <f aca="false">IF($B38="","",Q38+R38+S38+N(T38)+N(U38)+N(V38))</f>
        <v/>
      </c>
      <c r="X38" s="76" t="str">
        <f aca="false">IF($B38="","",P38-W38)</f>
        <v/>
      </c>
      <c r="Y38" s="73" t="str">
        <f aca="false">IF($B38="","",IF(Employees!J35="Yes",ROUND(IF('Basic Details'!$C$13="Yes",MIN(I38,'Basic Details'!$C$12),I38)*'Basic Details'!$C$11,0),0))</f>
        <v/>
      </c>
      <c r="Z38" s="73" t="str">
        <f aca="false">IF($B38="","",IF(AND(Employees!K35="Yes",E38&lt;='Basic Details'!$C$16),ROUNDUP((P38-N(O38))*'Basic Details'!$C$15,0),0))</f>
        <v/>
      </c>
      <c r="AA38" s="73" t="str">
        <f aca="false">IF($B38="","",P38+Y38+Z38)</f>
        <v/>
      </c>
    </row>
    <row r="39" customFormat="false" ht="18" hidden="false" customHeight="true" outlineLevel="0" collapsed="false">
      <c r="A39" s="71" t="str">
        <f aca="false">IF(B39="","",ROW()-7)</f>
        <v/>
      </c>
      <c r="B39" s="71" t="str">
        <f aca="false">IF(Employees!B36="","",Employees!B36)</f>
        <v/>
      </c>
      <c r="C39" s="72" t="str">
        <f aca="false">IF(Employees!C36="","",Employees!C36)</f>
        <v/>
      </c>
      <c r="D39" s="72" t="str">
        <f aca="false">IF(Employees!D36="","",Employees!D36)</f>
        <v/>
      </c>
      <c r="E39" s="73" t="str">
        <f aca="false">IF($B39="","",Employees!G36)</f>
        <v/>
      </c>
      <c r="F39" s="71" t="str">
        <f aca="false">IF($B39="","",'Basic Details'!$C$22)</f>
        <v/>
      </c>
      <c r="G39" s="63" t="str">
        <f aca="false">IF($B39="","",Attendance!AP39)</f>
        <v/>
      </c>
      <c r="H39" s="63" t="str">
        <f aca="false">IF($B39="","",Attendance!AQ39)</f>
        <v/>
      </c>
      <c r="I39" s="73" t="str">
        <f aca="false">IF($B39="","",ROUND(Employees!R36*MAX(0,1-G39/'Basic Details'!$C$23),0))</f>
        <v/>
      </c>
      <c r="J39" s="73" t="str">
        <f aca="false">IF($B39="","",ROUND(Employees!S36*MAX(0,1-G39/'Basic Details'!$C$23),0))</f>
        <v/>
      </c>
      <c r="K39" s="73" t="str">
        <f aca="false">IF($B39="","",ROUND(Employees!T36*MAX(0,1-G39/'Basic Details'!$C$23),0))</f>
        <v/>
      </c>
      <c r="L39" s="73" t="str">
        <f aca="false">IF($B39="","",IF('Basic Details'!$C$9="Yes",ROUND(Attendance!AN39*E39/'Basic Details'!$C$23,0),0))</f>
        <v/>
      </c>
      <c r="M39" s="74"/>
      <c r="N39" s="73" t="str">
        <f aca="false">IF($B39="","",ROUND(N(M39)*E39/'Basic Details'!$C$23/'Basic Details'!$C$18*'Basic Details'!$C$17,0))</f>
        <v/>
      </c>
      <c r="O39" s="75"/>
      <c r="P39" s="73" t="str">
        <f aca="false">IF($B39="","",SUM(I39:L39)+N39+N(O39))</f>
        <v/>
      </c>
      <c r="Q39" s="73" t="str">
        <f aca="false">IF($B39="","",IF(Employees!J36="Yes",ROUND(IF('Basic Details'!$C$13="Yes",MIN(I39,'Basic Details'!$C$12),I39)*'Basic Details'!$C$10,0),0))</f>
        <v/>
      </c>
      <c r="R39" s="73" t="str">
        <f aca="false">IF($B39="","",IF(AND(Employees!K36="Yes",E39&lt;='Basic Details'!$C$16),ROUNDUP((P39-N(O39))*'Basic Details'!$C$14,0),0))</f>
        <v/>
      </c>
      <c r="S39" s="73" t="str">
        <f aca="false">IF($B39="","",IF(P39&gt;0,N(Employees!L36),0))</f>
        <v/>
      </c>
      <c r="T39" s="75"/>
      <c r="U39" s="75"/>
      <c r="V39" s="75"/>
      <c r="W39" s="73" t="str">
        <f aca="false">IF($B39="","",Q39+R39+S39+N(T39)+N(U39)+N(V39))</f>
        <v/>
      </c>
      <c r="X39" s="76" t="str">
        <f aca="false">IF($B39="","",P39-W39)</f>
        <v/>
      </c>
      <c r="Y39" s="73" t="str">
        <f aca="false">IF($B39="","",IF(Employees!J36="Yes",ROUND(IF('Basic Details'!$C$13="Yes",MIN(I39,'Basic Details'!$C$12),I39)*'Basic Details'!$C$11,0),0))</f>
        <v/>
      </c>
      <c r="Z39" s="73" t="str">
        <f aca="false">IF($B39="","",IF(AND(Employees!K36="Yes",E39&lt;='Basic Details'!$C$16),ROUNDUP((P39-N(O39))*'Basic Details'!$C$15,0),0))</f>
        <v/>
      </c>
      <c r="AA39" s="73" t="str">
        <f aca="false">IF($B39="","",P39+Y39+Z39)</f>
        <v/>
      </c>
    </row>
    <row r="40" customFormat="false" ht="18" hidden="false" customHeight="true" outlineLevel="0" collapsed="false">
      <c r="A40" s="71" t="str">
        <f aca="false">IF(B40="","",ROW()-7)</f>
        <v/>
      </c>
      <c r="B40" s="71" t="str">
        <f aca="false">IF(Employees!B37="","",Employees!B37)</f>
        <v/>
      </c>
      <c r="C40" s="72" t="str">
        <f aca="false">IF(Employees!C37="","",Employees!C37)</f>
        <v/>
      </c>
      <c r="D40" s="72" t="str">
        <f aca="false">IF(Employees!D37="","",Employees!D37)</f>
        <v/>
      </c>
      <c r="E40" s="73" t="str">
        <f aca="false">IF($B40="","",Employees!G37)</f>
        <v/>
      </c>
      <c r="F40" s="71" t="str">
        <f aca="false">IF($B40="","",'Basic Details'!$C$22)</f>
        <v/>
      </c>
      <c r="G40" s="63" t="str">
        <f aca="false">IF($B40="","",Attendance!AP40)</f>
        <v/>
      </c>
      <c r="H40" s="63" t="str">
        <f aca="false">IF($B40="","",Attendance!AQ40)</f>
        <v/>
      </c>
      <c r="I40" s="73" t="str">
        <f aca="false">IF($B40="","",ROUND(Employees!R37*MAX(0,1-G40/'Basic Details'!$C$23),0))</f>
        <v/>
      </c>
      <c r="J40" s="73" t="str">
        <f aca="false">IF($B40="","",ROUND(Employees!S37*MAX(0,1-G40/'Basic Details'!$C$23),0))</f>
        <v/>
      </c>
      <c r="K40" s="73" t="str">
        <f aca="false">IF($B40="","",ROUND(Employees!T37*MAX(0,1-G40/'Basic Details'!$C$23),0))</f>
        <v/>
      </c>
      <c r="L40" s="73" t="str">
        <f aca="false">IF($B40="","",IF('Basic Details'!$C$9="Yes",ROUND(Attendance!AN40*E40/'Basic Details'!$C$23,0),0))</f>
        <v/>
      </c>
      <c r="M40" s="74"/>
      <c r="N40" s="73" t="str">
        <f aca="false">IF($B40="","",ROUND(N(M40)*E40/'Basic Details'!$C$23/'Basic Details'!$C$18*'Basic Details'!$C$17,0))</f>
        <v/>
      </c>
      <c r="O40" s="75"/>
      <c r="P40" s="73" t="str">
        <f aca="false">IF($B40="","",SUM(I40:L40)+N40+N(O40))</f>
        <v/>
      </c>
      <c r="Q40" s="73" t="str">
        <f aca="false">IF($B40="","",IF(Employees!J37="Yes",ROUND(IF('Basic Details'!$C$13="Yes",MIN(I40,'Basic Details'!$C$12),I40)*'Basic Details'!$C$10,0),0))</f>
        <v/>
      </c>
      <c r="R40" s="73" t="str">
        <f aca="false">IF($B40="","",IF(AND(Employees!K37="Yes",E40&lt;='Basic Details'!$C$16),ROUNDUP((P40-N(O40))*'Basic Details'!$C$14,0),0))</f>
        <v/>
      </c>
      <c r="S40" s="73" t="str">
        <f aca="false">IF($B40="","",IF(P40&gt;0,N(Employees!L37),0))</f>
        <v/>
      </c>
      <c r="T40" s="75"/>
      <c r="U40" s="75"/>
      <c r="V40" s="75"/>
      <c r="W40" s="73" t="str">
        <f aca="false">IF($B40="","",Q40+R40+S40+N(T40)+N(U40)+N(V40))</f>
        <v/>
      </c>
      <c r="X40" s="76" t="str">
        <f aca="false">IF($B40="","",P40-W40)</f>
        <v/>
      </c>
      <c r="Y40" s="73" t="str">
        <f aca="false">IF($B40="","",IF(Employees!J37="Yes",ROUND(IF('Basic Details'!$C$13="Yes",MIN(I40,'Basic Details'!$C$12),I40)*'Basic Details'!$C$11,0),0))</f>
        <v/>
      </c>
      <c r="Z40" s="73" t="str">
        <f aca="false">IF($B40="","",IF(AND(Employees!K37="Yes",E40&lt;='Basic Details'!$C$16),ROUNDUP((P40-N(O40))*'Basic Details'!$C$15,0),0))</f>
        <v/>
      </c>
      <c r="AA40" s="73" t="str">
        <f aca="false">IF($B40="","",P40+Y40+Z40)</f>
        <v/>
      </c>
    </row>
    <row r="41" customFormat="false" ht="18" hidden="false" customHeight="true" outlineLevel="0" collapsed="false">
      <c r="A41" s="71" t="str">
        <f aca="false">IF(B41="","",ROW()-7)</f>
        <v/>
      </c>
      <c r="B41" s="71" t="str">
        <f aca="false">IF(Employees!B38="","",Employees!B38)</f>
        <v/>
      </c>
      <c r="C41" s="72" t="str">
        <f aca="false">IF(Employees!C38="","",Employees!C38)</f>
        <v/>
      </c>
      <c r="D41" s="72" t="str">
        <f aca="false">IF(Employees!D38="","",Employees!D38)</f>
        <v/>
      </c>
      <c r="E41" s="73" t="str">
        <f aca="false">IF($B41="","",Employees!G38)</f>
        <v/>
      </c>
      <c r="F41" s="71" t="str">
        <f aca="false">IF($B41="","",'Basic Details'!$C$22)</f>
        <v/>
      </c>
      <c r="G41" s="63" t="str">
        <f aca="false">IF($B41="","",Attendance!AP41)</f>
        <v/>
      </c>
      <c r="H41" s="63" t="str">
        <f aca="false">IF($B41="","",Attendance!AQ41)</f>
        <v/>
      </c>
      <c r="I41" s="73" t="str">
        <f aca="false">IF($B41="","",ROUND(Employees!R38*MAX(0,1-G41/'Basic Details'!$C$23),0))</f>
        <v/>
      </c>
      <c r="J41" s="73" t="str">
        <f aca="false">IF($B41="","",ROUND(Employees!S38*MAX(0,1-G41/'Basic Details'!$C$23),0))</f>
        <v/>
      </c>
      <c r="K41" s="73" t="str">
        <f aca="false">IF($B41="","",ROUND(Employees!T38*MAX(0,1-G41/'Basic Details'!$C$23),0))</f>
        <v/>
      </c>
      <c r="L41" s="73" t="str">
        <f aca="false">IF($B41="","",IF('Basic Details'!$C$9="Yes",ROUND(Attendance!AN41*E41/'Basic Details'!$C$23,0),0))</f>
        <v/>
      </c>
      <c r="M41" s="74"/>
      <c r="N41" s="73" t="str">
        <f aca="false">IF($B41="","",ROUND(N(M41)*E41/'Basic Details'!$C$23/'Basic Details'!$C$18*'Basic Details'!$C$17,0))</f>
        <v/>
      </c>
      <c r="O41" s="75"/>
      <c r="P41" s="73" t="str">
        <f aca="false">IF($B41="","",SUM(I41:L41)+N41+N(O41))</f>
        <v/>
      </c>
      <c r="Q41" s="73" t="str">
        <f aca="false">IF($B41="","",IF(Employees!J38="Yes",ROUND(IF('Basic Details'!$C$13="Yes",MIN(I41,'Basic Details'!$C$12),I41)*'Basic Details'!$C$10,0),0))</f>
        <v/>
      </c>
      <c r="R41" s="73" t="str">
        <f aca="false">IF($B41="","",IF(AND(Employees!K38="Yes",E41&lt;='Basic Details'!$C$16),ROUNDUP((P41-N(O41))*'Basic Details'!$C$14,0),0))</f>
        <v/>
      </c>
      <c r="S41" s="73" t="str">
        <f aca="false">IF($B41="","",IF(P41&gt;0,N(Employees!L38),0))</f>
        <v/>
      </c>
      <c r="T41" s="75"/>
      <c r="U41" s="75"/>
      <c r="V41" s="75"/>
      <c r="W41" s="73" t="str">
        <f aca="false">IF($B41="","",Q41+R41+S41+N(T41)+N(U41)+N(V41))</f>
        <v/>
      </c>
      <c r="X41" s="76" t="str">
        <f aca="false">IF($B41="","",P41-W41)</f>
        <v/>
      </c>
      <c r="Y41" s="73" t="str">
        <f aca="false">IF($B41="","",IF(Employees!J38="Yes",ROUND(IF('Basic Details'!$C$13="Yes",MIN(I41,'Basic Details'!$C$12),I41)*'Basic Details'!$C$11,0),0))</f>
        <v/>
      </c>
      <c r="Z41" s="73" t="str">
        <f aca="false">IF($B41="","",IF(AND(Employees!K38="Yes",E41&lt;='Basic Details'!$C$16),ROUNDUP((P41-N(O41))*'Basic Details'!$C$15,0),0))</f>
        <v/>
      </c>
      <c r="AA41" s="73" t="str">
        <f aca="false">IF($B41="","",P41+Y41+Z41)</f>
        <v/>
      </c>
    </row>
    <row r="42" customFormat="false" ht="18" hidden="false" customHeight="true" outlineLevel="0" collapsed="false">
      <c r="A42" s="71" t="str">
        <f aca="false">IF(B42="","",ROW()-7)</f>
        <v/>
      </c>
      <c r="B42" s="71" t="str">
        <f aca="false">IF(Employees!B39="","",Employees!B39)</f>
        <v/>
      </c>
      <c r="C42" s="72" t="str">
        <f aca="false">IF(Employees!C39="","",Employees!C39)</f>
        <v/>
      </c>
      <c r="D42" s="72" t="str">
        <f aca="false">IF(Employees!D39="","",Employees!D39)</f>
        <v/>
      </c>
      <c r="E42" s="73" t="str">
        <f aca="false">IF($B42="","",Employees!G39)</f>
        <v/>
      </c>
      <c r="F42" s="71" t="str">
        <f aca="false">IF($B42="","",'Basic Details'!$C$22)</f>
        <v/>
      </c>
      <c r="G42" s="63" t="str">
        <f aca="false">IF($B42="","",Attendance!AP42)</f>
        <v/>
      </c>
      <c r="H42" s="63" t="str">
        <f aca="false">IF($B42="","",Attendance!AQ42)</f>
        <v/>
      </c>
      <c r="I42" s="73" t="str">
        <f aca="false">IF($B42="","",ROUND(Employees!R39*MAX(0,1-G42/'Basic Details'!$C$23),0))</f>
        <v/>
      </c>
      <c r="J42" s="73" t="str">
        <f aca="false">IF($B42="","",ROUND(Employees!S39*MAX(0,1-G42/'Basic Details'!$C$23),0))</f>
        <v/>
      </c>
      <c r="K42" s="73" t="str">
        <f aca="false">IF($B42="","",ROUND(Employees!T39*MAX(0,1-G42/'Basic Details'!$C$23),0))</f>
        <v/>
      </c>
      <c r="L42" s="73" t="str">
        <f aca="false">IF($B42="","",IF('Basic Details'!$C$9="Yes",ROUND(Attendance!AN42*E42/'Basic Details'!$C$23,0),0))</f>
        <v/>
      </c>
      <c r="M42" s="74"/>
      <c r="N42" s="73" t="str">
        <f aca="false">IF($B42="","",ROUND(N(M42)*E42/'Basic Details'!$C$23/'Basic Details'!$C$18*'Basic Details'!$C$17,0))</f>
        <v/>
      </c>
      <c r="O42" s="75"/>
      <c r="P42" s="73" t="str">
        <f aca="false">IF($B42="","",SUM(I42:L42)+N42+N(O42))</f>
        <v/>
      </c>
      <c r="Q42" s="73" t="str">
        <f aca="false">IF($B42="","",IF(Employees!J39="Yes",ROUND(IF('Basic Details'!$C$13="Yes",MIN(I42,'Basic Details'!$C$12),I42)*'Basic Details'!$C$10,0),0))</f>
        <v/>
      </c>
      <c r="R42" s="73" t="str">
        <f aca="false">IF($B42="","",IF(AND(Employees!K39="Yes",E42&lt;='Basic Details'!$C$16),ROUNDUP((P42-N(O42))*'Basic Details'!$C$14,0),0))</f>
        <v/>
      </c>
      <c r="S42" s="73" t="str">
        <f aca="false">IF($B42="","",IF(P42&gt;0,N(Employees!L39),0))</f>
        <v/>
      </c>
      <c r="T42" s="75"/>
      <c r="U42" s="75"/>
      <c r="V42" s="75"/>
      <c r="W42" s="73" t="str">
        <f aca="false">IF($B42="","",Q42+R42+S42+N(T42)+N(U42)+N(V42))</f>
        <v/>
      </c>
      <c r="X42" s="76" t="str">
        <f aca="false">IF($B42="","",P42-W42)</f>
        <v/>
      </c>
      <c r="Y42" s="73" t="str">
        <f aca="false">IF($B42="","",IF(Employees!J39="Yes",ROUND(IF('Basic Details'!$C$13="Yes",MIN(I42,'Basic Details'!$C$12),I42)*'Basic Details'!$C$11,0),0))</f>
        <v/>
      </c>
      <c r="Z42" s="73" t="str">
        <f aca="false">IF($B42="","",IF(AND(Employees!K39="Yes",E42&lt;='Basic Details'!$C$16),ROUNDUP((P42-N(O42))*'Basic Details'!$C$15,0),0))</f>
        <v/>
      </c>
      <c r="AA42" s="73" t="str">
        <f aca="false">IF($B42="","",P42+Y42+Z42)</f>
        <v/>
      </c>
    </row>
    <row r="43" customFormat="false" ht="18" hidden="false" customHeight="true" outlineLevel="0" collapsed="false">
      <c r="A43" s="71" t="str">
        <f aca="false">IF(B43="","",ROW()-7)</f>
        <v/>
      </c>
      <c r="B43" s="71" t="str">
        <f aca="false">IF(Employees!B40="","",Employees!B40)</f>
        <v/>
      </c>
      <c r="C43" s="72" t="str">
        <f aca="false">IF(Employees!C40="","",Employees!C40)</f>
        <v/>
      </c>
      <c r="D43" s="72" t="str">
        <f aca="false">IF(Employees!D40="","",Employees!D40)</f>
        <v/>
      </c>
      <c r="E43" s="73" t="str">
        <f aca="false">IF($B43="","",Employees!G40)</f>
        <v/>
      </c>
      <c r="F43" s="71" t="str">
        <f aca="false">IF($B43="","",'Basic Details'!$C$22)</f>
        <v/>
      </c>
      <c r="G43" s="63" t="str">
        <f aca="false">IF($B43="","",Attendance!AP43)</f>
        <v/>
      </c>
      <c r="H43" s="63" t="str">
        <f aca="false">IF($B43="","",Attendance!AQ43)</f>
        <v/>
      </c>
      <c r="I43" s="73" t="str">
        <f aca="false">IF($B43="","",ROUND(Employees!R40*MAX(0,1-G43/'Basic Details'!$C$23),0))</f>
        <v/>
      </c>
      <c r="J43" s="73" t="str">
        <f aca="false">IF($B43="","",ROUND(Employees!S40*MAX(0,1-G43/'Basic Details'!$C$23),0))</f>
        <v/>
      </c>
      <c r="K43" s="73" t="str">
        <f aca="false">IF($B43="","",ROUND(Employees!T40*MAX(0,1-G43/'Basic Details'!$C$23),0))</f>
        <v/>
      </c>
      <c r="L43" s="73" t="str">
        <f aca="false">IF($B43="","",IF('Basic Details'!$C$9="Yes",ROUND(Attendance!AN43*E43/'Basic Details'!$C$23,0),0))</f>
        <v/>
      </c>
      <c r="M43" s="74"/>
      <c r="N43" s="73" t="str">
        <f aca="false">IF($B43="","",ROUND(N(M43)*E43/'Basic Details'!$C$23/'Basic Details'!$C$18*'Basic Details'!$C$17,0))</f>
        <v/>
      </c>
      <c r="O43" s="75"/>
      <c r="P43" s="73" t="str">
        <f aca="false">IF($B43="","",SUM(I43:L43)+N43+N(O43))</f>
        <v/>
      </c>
      <c r="Q43" s="73" t="str">
        <f aca="false">IF($B43="","",IF(Employees!J40="Yes",ROUND(IF('Basic Details'!$C$13="Yes",MIN(I43,'Basic Details'!$C$12),I43)*'Basic Details'!$C$10,0),0))</f>
        <v/>
      </c>
      <c r="R43" s="73" t="str">
        <f aca="false">IF($B43="","",IF(AND(Employees!K40="Yes",E43&lt;='Basic Details'!$C$16),ROUNDUP((P43-N(O43))*'Basic Details'!$C$14,0),0))</f>
        <v/>
      </c>
      <c r="S43" s="73" t="str">
        <f aca="false">IF($B43="","",IF(P43&gt;0,N(Employees!L40),0))</f>
        <v/>
      </c>
      <c r="T43" s="75"/>
      <c r="U43" s="75"/>
      <c r="V43" s="75"/>
      <c r="W43" s="73" t="str">
        <f aca="false">IF($B43="","",Q43+R43+S43+N(T43)+N(U43)+N(V43))</f>
        <v/>
      </c>
      <c r="X43" s="76" t="str">
        <f aca="false">IF($B43="","",P43-W43)</f>
        <v/>
      </c>
      <c r="Y43" s="73" t="str">
        <f aca="false">IF($B43="","",IF(Employees!J40="Yes",ROUND(IF('Basic Details'!$C$13="Yes",MIN(I43,'Basic Details'!$C$12),I43)*'Basic Details'!$C$11,0),0))</f>
        <v/>
      </c>
      <c r="Z43" s="73" t="str">
        <f aca="false">IF($B43="","",IF(AND(Employees!K40="Yes",E43&lt;='Basic Details'!$C$16),ROUNDUP((P43-N(O43))*'Basic Details'!$C$15,0),0))</f>
        <v/>
      </c>
      <c r="AA43" s="73" t="str">
        <f aca="false">IF($B43="","",P43+Y43+Z43)</f>
        <v/>
      </c>
    </row>
    <row r="44" customFormat="false" ht="18" hidden="false" customHeight="true" outlineLevel="0" collapsed="false">
      <c r="A44" s="71" t="str">
        <f aca="false">IF(B44="","",ROW()-7)</f>
        <v/>
      </c>
      <c r="B44" s="71" t="str">
        <f aca="false">IF(Employees!B41="","",Employees!B41)</f>
        <v/>
      </c>
      <c r="C44" s="72" t="str">
        <f aca="false">IF(Employees!C41="","",Employees!C41)</f>
        <v/>
      </c>
      <c r="D44" s="72" t="str">
        <f aca="false">IF(Employees!D41="","",Employees!D41)</f>
        <v/>
      </c>
      <c r="E44" s="73" t="str">
        <f aca="false">IF($B44="","",Employees!G41)</f>
        <v/>
      </c>
      <c r="F44" s="71" t="str">
        <f aca="false">IF($B44="","",'Basic Details'!$C$22)</f>
        <v/>
      </c>
      <c r="G44" s="63" t="str">
        <f aca="false">IF($B44="","",Attendance!AP44)</f>
        <v/>
      </c>
      <c r="H44" s="63" t="str">
        <f aca="false">IF($B44="","",Attendance!AQ44)</f>
        <v/>
      </c>
      <c r="I44" s="73" t="str">
        <f aca="false">IF($B44="","",ROUND(Employees!R41*MAX(0,1-G44/'Basic Details'!$C$23),0))</f>
        <v/>
      </c>
      <c r="J44" s="73" t="str">
        <f aca="false">IF($B44="","",ROUND(Employees!S41*MAX(0,1-G44/'Basic Details'!$C$23),0))</f>
        <v/>
      </c>
      <c r="K44" s="73" t="str">
        <f aca="false">IF($B44="","",ROUND(Employees!T41*MAX(0,1-G44/'Basic Details'!$C$23),0))</f>
        <v/>
      </c>
      <c r="L44" s="73" t="str">
        <f aca="false">IF($B44="","",IF('Basic Details'!$C$9="Yes",ROUND(Attendance!AN44*E44/'Basic Details'!$C$23,0),0))</f>
        <v/>
      </c>
      <c r="M44" s="74"/>
      <c r="N44" s="73" t="str">
        <f aca="false">IF($B44="","",ROUND(N(M44)*E44/'Basic Details'!$C$23/'Basic Details'!$C$18*'Basic Details'!$C$17,0))</f>
        <v/>
      </c>
      <c r="O44" s="75"/>
      <c r="P44" s="73" t="str">
        <f aca="false">IF($B44="","",SUM(I44:L44)+N44+N(O44))</f>
        <v/>
      </c>
      <c r="Q44" s="73" t="str">
        <f aca="false">IF($B44="","",IF(Employees!J41="Yes",ROUND(IF('Basic Details'!$C$13="Yes",MIN(I44,'Basic Details'!$C$12),I44)*'Basic Details'!$C$10,0),0))</f>
        <v/>
      </c>
      <c r="R44" s="73" t="str">
        <f aca="false">IF($B44="","",IF(AND(Employees!K41="Yes",E44&lt;='Basic Details'!$C$16),ROUNDUP((P44-N(O44))*'Basic Details'!$C$14,0),0))</f>
        <v/>
      </c>
      <c r="S44" s="73" t="str">
        <f aca="false">IF($B44="","",IF(P44&gt;0,N(Employees!L41),0))</f>
        <v/>
      </c>
      <c r="T44" s="75"/>
      <c r="U44" s="75"/>
      <c r="V44" s="75"/>
      <c r="W44" s="73" t="str">
        <f aca="false">IF($B44="","",Q44+R44+S44+N(T44)+N(U44)+N(V44))</f>
        <v/>
      </c>
      <c r="X44" s="76" t="str">
        <f aca="false">IF($B44="","",P44-W44)</f>
        <v/>
      </c>
      <c r="Y44" s="73" t="str">
        <f aca="false">IF($B44="","",IF(Employees!J41="Yes",ROUND(IF('Basic Details'!$C$13="Yes",MIN(I44,'Basic Details'!$C$12),I44)*'Basic Details'!$C$11,0),0))</f>
        <v/>
      </c>
      <c r="Z44" s="73" t="str">
        <f aca="false">IF($B44="","",IF(AND(Employees!K41="Yes",E44&lt;='Basic Details'!$C$16),ROUNDUP((P44-N(O44))*'Basic Details'!$C$15,0),0))</f>
        <v/>
      </c>
      <c r="AA44" s="73" t="str">
        <f aca="false">IF($B44="","",P44+Y44+Z44)</f>
        <v/>
      </c>
    </row>
    <row r="45" customFormat="false" ht="18" hidden="false" customHeight="true" outlineLevel="0" collapsed="false">
      <c r="A45" s="71" t="str">
        <f aca="false">IF(B45="","",ROW()-7)</f>
        <v/>
      </c>
      <c r="B45" s="71" t="str">
        <f aca="false">IF(Employees!B42="","",Employees!B42)</f>
        <v/>
      </c>
      <c r="C45" s="72" t="str">
        <f aca="false">IF(Employees!C42="","",Employees!C42)</f>
        <v/>
      </c>
      <c r="D45" s="72" t="str">
        <f aca="false">IF(Employees!D42="","",Employees!D42)</f>
        <v/>
      </c>
      <c r="E45" s="73" t="str">
        <f aca="false">IF($B45="","",Employees!G42)</f>
        <v/>
      </c>
      <c r="F45" s="71" t="str">
        <f aca="false">IF($B45="","",'Basic Details'!$C$22)</f>
        <v/>
      </c>
      <c r="G45" s="63" t="str">
        <f aca="false">IF($B45="","",Attendance!AP45)</f>
        <v/>
      </c>
      <c r="H45" s="63" t="str">
        <f aca="false">IF($B45="","",Attendance!AQ45)</f>
        <v/>
      </c>
      <c r="I45" s="73" t="str">
        <f aca="false">IF($B45="","",ROUND(Employees!R42*MAX(0,1-G45/'Basic Details'!$C$23),0))</f>
        <v/>
      </c>
      <c r="J45" s="73" t="str">
        <f aca="false">IF($B45="","",ROUND(Employees!S42*MAX(0,1-G45/'Basic Details'!$C$23),0))</f>
        <v/>
      </c>
      <c r="K45" s="73" t="str">
        <f aca="false">IF($B45="","",ROUND(Employees!T42*MAX(0,1-G45/'Basic Details'!$C$23),0))</f>
        <v/>
      </c>
      <c r="L45" s="73" t="str">
        <f aca="false">IF($B45="","",IF('Basic Details'!$C$9="Yes",ROUND(Attendance!AN45*E45/'Basic Details'!$C$23,0),0))</f>
        <v/>
      </c>
      <c r="M45" s="74"/>
      <c r="N45" s="73" t="str">
        <f aca="false">IF($B45="","",ROUND(N(M45)*E45/'Basic Details'!$C$23/'Basic Details'!$C$18*'Basic Details'!$C$17,0))</f>
        <v/>
      </c>
      <c r="O45" s="75"/>
      <c r="P45" s="73" t="str">
        <f aca="false">IF($B45="","",SUM(I45:L45)+N45+N(O45))</f>
        <v/>
      </c>
      <c r="Q45" s="73" t="str">
        <f aca="false">IF($B45="","",IF(Employees!J42="Yes",ROUND(IF('Basic Details'!$C$13="Yes",MIN(I45,'Basic Details'!$C$12),I45)*'Basic Details'!$C$10,0),0))</f>
        <v/>
      </c>
      <c r="R45" s="73" t="str">
        <f aca="false">IF($B45="","",IF(AND(Employees!K42="Yes",E45&lt;='Basic Details'!$C$16),ROUNDUP((P45-N(O45))*'Basic Details'!$C$14,0),0))</f>
        <v/>
      </c>
      <c r="S45" s="73" t="str">
        <f aca="false">IF($B45="","",IF(P45&gt;0,N(Employees!L42),0))</f>
        <v/>
      </c>
      <c r="T45" s="75"/>
      <c r="U45" s="75"/>
      <c r="V45" s="75"/>
      <c r="W45" s="73" t="str">
        <f aca="false">IF($B45="","",Q45+R45+S45+N(T45)+N(U45)+N(V45))</f>
        <v/>
      </c>
      <c r="X45" s="76" t="str">
        <f aca="false">IF($B45="","",P45-W45)</f>
        <v/>
      </c>
      <c r="Y45" s="73" t="str">
        <f aca="false">IF($B45="","",IF(Employees!J42="Yes",ROUND(IF('Basic Details'!$C$13="Yes",MIN(I45,'Basic Details'!$C$12),I45)*'Basic Details'!$C$11,0),0))</f>
        <v/>
      </c>
      <c r="Z45" s="73" t="str">
        <f aca="false">IF($B45="","",IF(AND(Employees!K42="Yes",E45&lt;='Basic Details'!$C$16),ROUNDUP((P45-N(O45))*'Basic Details'!$C$15,0),0))</f>
        <v/>
      </c>
      <c r="AA45" s="73" t="str">
        <f aca="false">IF($B45="","",P45+Y45+Z45)</f>
        <v/>
      </c>
    </row>
    <row r="46" customFormat="false" ht="18" hidden="false" customHeight="true" outlineLevel="0" collapsed="false">
      <c r="A46" s="71" t="str">
        <f aca="false">IF(B46="","",ROW()-7)</f>
        <v/>
      </c>
      <c r="B46" s="71" t="str">
        <f aca="false">IF(Employees!B43="","",Employees!B43)</f>
        <v/>
      </c>
      <c r="C46" s="72" t="str">
        <f aca="false">IF(Employees!C43="","",Employees!C43)</f>
        <v/>
      </c>
      <c r="D46" s="72" t="str">
        <f aca="false">IF(Employees!D43="","",Employees!D43)</f>
        <v/>
      </c>
      <c r="E46" s="73" t="str">
        <f aca="false">IF($B46="","",Employees!G43)</f>
        <v/>
      </c>
      <c r="F46" s="71" t="str">
        <f aca="false">IF($B46="","",'Basic Details'!$C$22)</f>
        <v/>
      </c>
      <c r="G46" s="63" t="str">
        <f aca="false">IF($B46="","",Attendance!AP46)</f>
        <v/>
      </c>
      <c r="H46" s="63" t="str">
        <f aca="false">IF($B46="","",Attendance!AQ46)</f>
        <v/>
      </c>
      <c r="I46" s="73" t="str">
        <f aca="false">IF($B46="","",ROUND(Employees!R43*MAX(0,1-G46/'Basic Details'!$C$23),0))</f>
        <v/>
      </c>
      <c r="J46" s="73" t="str">
        <f aca="false">IF($B46="","",ROUND(Employees!S43*MAX(0,1-G46/'Basic Details'!$C$23),0))</f>
        <v/>
      </c>
      <c r="K46" s="73" t="str">
        <f aca="false">IF($B46="","",ROUND(Employees!T43*MAX(0,1-G46/'Basic Details'!$C$23),0))</f>
        <v/>
      </c>
      <c r="L46" s="73" t="str">
        <f aca="false">IF($B46="","",IF('Basic Details'!$C$9="Yes",ROUND(Attendance!AN46*E46/'Basic Details'!$C$23,0),0))</f>
        <v/>
      </c>
      <c r="M46" s="74"/>
      <c r="N46" s="73" t="str">
        <f aca="false">IF($B46="","",ROUND(N(M46)*E46/'Basic Details'!$C$23/'Basic Details'!$C$18*'Basic Details'!$C$17,0))</f>
        <v/>
      </c>
      <c r="O46" s="75"/>
      <c r="P46" s="73" t="str">
        <f aca="false">IF($B46="","",SUM(I46:L46)+N46+N(O46))</f>
        <v/>
      </c>
      <c r="Q46" s="73" t="str">
        <f aca="false">IF($B46="","",IF(Employees!J43="Yes",ROUND(IF('Basic Details'!$C$13="Yes",MIN(I46,'Basic Details'!$C$12),I46)*'Basic Details'!$C$10,0),0))</f>
        <v/>
      </c>
      <c r="R46" s="73" t="str">
        <f aca="false">IF($B46="","",IF(AND(Employees!K43="Yes",E46&lt;='Basic Details'!$C$16),ROUNDUP((P46-N(O46))*'Basic Details'!$C$14,0),0))</f>
        <v/>
      </c>
      <c r="S46" s="73" t="str">
        <f aca="false">IF($B46="","",IF(P46&gt;0,N(Employees!L43),0))</f>
        <v/>
      </c>
      <c r="T46" s="75"/>
      <c r="U46" s="75"/>
      <c r="V46" s="75"/>
      <c r="W46" s="73" t="str">
        <f aca="false">IF($B46="","",Q46+R46+S46+N(T46)+N(U46)+N(V46))</f>
        <v/>
      </c>
      <c r="X46" s="76" t="str">
        <f aca="false">IF($B46="","",P46-W46)</f>
        <v/>
      </c>
      <c r="Y46" s="73" t="str">
        <f aca="false">IF($B46="","",IF(Employees!J43="Yes",ROUND(IF('Basic Details'!$C$13="Yes",MIN(I46,'Basic Details'!$C$12),I46)*'Basic Details'!$C$11,0),0))</f>
        <v/>
      </c>
      <c r="Z46" s="73" t="str">
        <f aca="false">IF($B46="","",IF(AND(Employees!K43="Yes",E46&lt;='Basic Details'!$C$16),ROUNDUP((P46-N(O46))*'Basic Details'!$C$15,0),0))</f>
        <v/>
      </c>
      <c r="AA46" s="73" t="str">
        <f aca="false">IF($B46="","",P46+Y46+Z46)</f>
        <v/>
      </c>
    </row>
    <row r="47" customFormat="false" ht="18" hidden="false" customHeight="true" outlineLevel="0" collapsed="false">
      <c r="A47" s="71" t="str">
        <f aca="false">IF(B47="","",ROW()-7)</f>
        <v/>
      </c>
      <c r="B47" s="71" t="str">
        <f aca="false">IF(Employees!B44="","",Employees!B44)</f>
        <v/>
      </c>
      <c r="C47" s="72" t="str">
        <f aca="false">IF(Employees!C44="","",Employees!C44)</f>
        <v/>
      </c>
      <c r="D47" s="72" t="str">
        <f aca="false">IF(Employees!D44="","",Employees!D44)</f>
        <v/>
      </c>
      <c r="E47" s="73" t="str">
        <f aca="false">IF($B47="","",Employees!G44)</f>
        <v/>
      </c>
      <c r="F47" s="71" t="str">
        <f aca="false">IF($B47="","",'Basic Details'!$C$22)</f>
        <v/>
      </c>
      <c r="G47" s="63" t="str">
        <f aca="false">IF($B47="","",Attendance!AP47)</f>
        <v/>
      </c>
      <c r="H47" s="63" t="str">
        <f aca="false">IF($B47="","",Attendance!AQ47)</f>
        <v/>
      </c>
      <c r="I47" s="73" t="str">
        <f aca="false">IF($B47="","",ROUND(Employees!R44*MAX(0,1-G47/'Basic Details'!$C$23),0))</f>
        <v/>
      </c>
      <c r="J47" s="73" t="str">
        <f aca="false">IF($B47="","",ROUND(Employees!S44*MAX(0,1-G47/'Basic Details'!$C$23),0))</f>
        <v/>
      </c>
      <c r="K47" s="73" t="str">
        <f aca="false">IF($B47="","",ROUND(Employees!T44*MAX(0,1-G47/'Basic Details'!$C$23),0))</f>
        <v/>
      </c>
      <c r="L47" s="73" t="str">
        <f aca="false">IF($B47="","",IF('Basic Details'!$C$9="Yes",ROUND(Attendance!AN47*E47/'Basic Details'!$C$23,0),0))</f>
        <v/>
      </c>
      <c r="M47" s="74"/>
      <c r="N47" s="73" t="str">
        <f aca="false">IF($B47="","",ROUND(N(M47)*E47/'Basic Details'!$C$23/'Basic Details'!$C$18*'Basic Details'!$C$17,0))</f>
        <v/>
      </c>
      <c r="O47" s="75"/>
      <c r="P47" s="73" t="str">
        <f aca="false">IF($B47="","",SUM(I47:L47)+N47+N(O47))</f>
        <v/>
      </c>
      <c r="Q47" s="73" t="str">
        <f aca="false">IF($B47="","",IF(Employees!J44="Yes",ROUND(IF('Basic Details'!$C$13="Yes",MIN(I47,'Basic Details'!$C$12),I47)*'Basic Details'!$C$10,0),0))</f>
        <v/>
      </c>
      <c r="R47" s="73" t="str">
        <f aca="false">IF($B47="","",IF(AND(Employees!K44="Yes",E47&lt;='Basic Details'!$C$16),ROUNDUP((P47-N(O47))*'Basic Details'!$C$14,0),0))</f>
        <v/>
      </c>
      <c r="S47" s="73" t="str">
        <f aca="false">IF($B47="","",IF(P47&gt;0,N(Employees!L44),0))</f>
        <v/>
      </c>
      <c r="T47" s="75"/>
      <c r="U47" s="75"/>
      <c r="V47" s="75"/>
      <c r="W47" s="73" t="str">
        <f aca="false">IF($B47="","",Q47+R47+S47+N(T47)+N(U47)+N(V47))</f>
        <v/>
      </c>
      <c r="X47" s="76" t="str">
        <f aca="false">IF($B47="","",P47-W47)</f>
        <v/>
      </c>
      <c r="Y47" s="73" t="str">
        <f aca="false">IF($B47="","",IF(Employees!J44="Yes",ROUND(IF('Basic Details'!$C$13="Yes",MIN(I47,'Basic Details'!$C$12),I47)*'Basic Details'!$C$11,0),0))</f>
        <v/>
      </c>
      <c r="Z47" s="73" t="str">
        <f aca="false">IF($B47="","",IF(AND(Employees!K44="Yes",E47&lt;='Basic Details'!$C$16),ROUNDUP((P47-N(O47))*'Basic Details'!$C$15,0),0))</f>
        <v/>
      </c>
      <c r="AA47" s="73" t="str">
        <f aca="false">IF($B47="","",P47+Y47+Z47)</f>
        <v/>
      </c>
    </row>
    <row r="48" customFormat="false" ht="18" hidden="false" customHeight="true" outlineLevel="0" collapsed="false">
      <c r="A48" s="71" t="str">
        <f aca="false">IF(B48="","",ROW()-7)</f>
        <v/>
      </c>
      <c r="B48" s="71" t="str">
        <f aca="false">IF(Employees!B45="","",Employees!B45)</f>
        <v/>
      </c>
      <c r="C48" s="72" t="str">
        <f aca="false">IF(Employees!C45="","",Employees!C45)</f>
        <v/>
      </c>
      <c r="D48" s="72" t="str">
        <f aca="false">IF(Employees!D45="","",Employees!D45)</f>
        <v/>
      </c>
      <c r="E48" s="73" t="str">
        <f aca="false">IF($B48="","",Employees!G45)</f>
        <v/>
      </c>
      <c r="F48" s="71" t="str">
        <f aca="false">IF($B48="","",'Basic Details'!$C$22)</f>
        <v/>
      </c>
      <c r="G48" s="63" t="str">
        <f aca="false">IF($B48="","",Attendance!AP48)</f>
        <v/>
      </c>
      <c r="H48" s="63" t="str">
        <f aca="false">IF($B48="","",Attendance!AQ48)</f>
        <v/>
      </c>
      <c r="I48" s="73" t="str">
        <f aca="false">IF($B48="","",ROUND(Employees!R45*MAX(0,1-G48/'Basic Details'!$C$23),0))</f>
        <v/>
      </c>
      <c r="J48" s="73" t="str">
        <f aca="false">IF($B48="","",ROUND(Employees!S45*MAX(0,1-G48/'Basic Details'!$C$23),0))</f>
        <v/>
      </c>
      <c r="K48" s="73" t="str">
        <f aca="false">IF($B48="","",ROUND(Employees!T45*MAX(0,1-G48/'Basic Details'!$C$23),0))</f>
        <v/>
      </c>
      <c r="L48" s="73" t="str">
        <f aca="false">IF($B48="","",IF('Basic Details'!$C$9="Yes",ROUND(Attendance!AN48*E48/'Basic Details'!$C$23,0),0))</f>
        <v/>
      </c>
      <c r="M48" s="74"/>
      <c r="N48" s="73" t="str">
        <f aca="false">IF($B48="","",ROUND(N(M48)*E48/'Basic Details'!$C$23/'Basic Details'!$C$18*'Basic Details'!$C$17,0))</f>
        <v/>
      </c>
      <c r="O48" s="75"/>
      <c r="P48" s="73" t="str">
        <f aca="false">IF($B48="","",SUM(I48:L48)+N48+N(O48))</f>
        <v/>
      </c>
      <c r="Q48" s="73" t="str">
        <f aca="false">IF($B48="","",IF(Employees!J45="Yes",ROUND(IF('Basic Details'!$C$13="Yes",MIN(I48,'Basic Details'!$C$12),I48)*'Basic Details'!$C$10,0),0))</f>
        <v/>
      </c>
      <c r="R48" s="73" t="str">
        <f aca="false">IF($B48="","",IF(AND(Employees!K45="Yes",E48&lt;='Basic Details'!$C$16),ROUNDUP((P48-N(O48))*'Basic Details'!$C$14,0),0))</f>
        <v/>
      </c>
      <c r="S48" s="73" t="str">
        <f aca="false">IF($B48="","",IF(P48&gt;0,N(Employees!L45),0))</f>
        <v/>
      </c>
      <c r="T48" s="75"/>
      <c r="U48" s="75"/>
      <c r="V48" s="75"/>
      <c r="W48" s="73" t="str">
        <f aca="false">IF($B48="","",Q48+R48+S48+N(T48)+N(U48)+N(V48))</f>
        <v/>
      </c>
      <c r="X48" s="76" t="str">
        <f aca="false">IF($B48="","",P48-W48)</f>
        <v/>
      </c>
      <c r="Y48" s="73" t="str">
        <f aca="false">IF($B48="","",IF(Employees!J45="Yes",ROUND(IF('Basic Details'!$C$13="Yes",MIN(I48,'Basic Details'!$C$12),I48)*'Basic Details'!$C$11,0),0))</f>
        <v/>
      </c>
      <c r="Z48" s="73" t="str">
        <f aca="false">IF($B48="","",IF(AND(Employees!K45="Yes",E48&lt;='Basic Details'!$C$16),ROUNDUP((P48-N(O48))*'Basic Details'!$C$15,0),0))</f>
        <v/>
      </c>
      <c r="AA48" s="73" t="str">
        <f aca="false">IF($B48="","",P48+Y48+Z48)</f>
        <v/>
      </c>
    </row>
    <row r="49" customFormat="false" ht="18" hidden="false" customHeight="true" outlineLevel="0" collapsed="false">
      <c r="A49" s="71" t="str">
        <f aca="false">IF(B49="","",ROW()-7)</f>
        <v/>
      </c>
      <c r="B49" s="71" t="str">
        <f aca="false">IF(Employees!B46="","",Employees!B46)</f>
        <v/>
      </c>
      <c r="C49" s="72" t="str">
        <f aca="false">IF(Employees!C46="","",Employees!C46)</f>
        <v/>
      </c>
      <c r="D49" s="72" t="str">
        <f aca="false">IF(Employees!D46="","",Employees!D46)</f>
        <v/>
      </c>
      <c r="E49" s="73" t="str">
        <f aca="false">IF($B49="","",Employees!G46)</f>
        <v/>
      </c>
      <c r="F49" s="71" t="str">
        <f aca="false">IF($B49="","",'Basic Details'!$C$22)</f>
        <v/>
      </c>
      <c r="G49" s="63" t="str">
        <f aca="false">IF($B49="","",Attendance!AP49)</f>
        <v/>
      </c>
      <c r="H49" s="63" t="str">
        <f aca="false">IF($B49="","",Attendance!AQ49)</f>
        <v/>
      </c>
      <c r="I49" s="73" t="str">
        <f aca="false">IF($B49="","",ROUND(Employees!R46*MAX(0,1-G49/'Basic Details'!$C$23),0))</f>
        <v/>
      </c>
      <c r="J49" s="73" t="str">
        <f aca="false">IF($B49="","",ROUND(Employees!S46*MAX(0,1-G49/'Basic Details'!$C$23),0))</f>
        <v/>
      </c>
      <c r="K49" s="73" t="str">
        <f aca="false">IF($B49="","",ROUND(Employees!T46*MAX(0,1-G49/'Basic Details'!$C$23),0))</f>
        <v/>
      </c>
      <c r="L49" s="73" t="str">
        <f aca="false">IF($B49="","",IF('Basic Details'!$C$9="Yes",ROUND(Attendance!AN49*E49/'Basic Details'!$C$23,0),0))</f>
        <v/>
      </c>
      <c r="M49" s="74"/>
      <c r="N49" s="73" t="str">
        <f aca="false">IF($B49="","",ROUND(N(M49)*E49/'Basic Details'!$C$23/'Basic Details'!$C$18*'Basic Details'!$C$17,0))</f>
        <v/>
      </c>
      <c r="O49" s="75"/>
      <c r="P49" s="73" t="str">
        <f aca="false">IF($B49="","",SUM(I49:L49)+N49+N(O49))</f>
        <v/>
      </c>
      <c r="Q49" s="73" t="str">
        <f aca="false">IF($B49="","",IF(Employees!J46="Yes",ROUND(IF('Basic Details'!$C$13="Yes",MIN(I49,'Basic Details'!$C$12),I49)*'Basic Details'!$C$10,0),0))</f>
        <v/>
      </c>
      <c r="R49" s="73" t="str">
        <f aca="false">IF($B49="","",IF(AND(Employees!K46="Yes",E49&lt;='Basic Details'!$C$16),ROUNDUP((P49-N(O49))*'Basic Details'!$C$14,0),0))</f>
        <v/>
      </c>
      <c r="S49" s="73" t="str">
        <f aca="false">IF($B49="","",IF(P49&gt;0,N(Employees!L46),0))</f>
        <v/>
      </c>
      <c r="T49" s="75"/>
      <c r="U49" s="75"/>
      <c r="V49" s="75"/>
      <c r="W49" s="73" t="str">
        <f aca="false">IF($B49="","",Q49+R49+S49+N(T49)+N(U49)+N(V49))</f>
        <v/>
      </c>
      <c r="X49" s="76" t="str">
        <f aca="false">IF($B49="","",P49-W49)</f>
        <v/>
      </c>
      <c r="Y49" s="73" t="str">
        <f aca="false">IF($B49="","",IF(Employees!J46="Yes",ROUND(IF('Basic Details'!$C$13="Yes",MIN(I49,'Basic Details'!$C$12),I49)*'Basic Details'!$C$11,0),0))</f>
        <v/>
      </c>
      <c r="Z49" s="73" t="str">
        <f aca="false">IF($B49="","",IF(AND(Employees!K46="Yes",E49&lt;='Basic Details'!$C$16),ROUNDUP((P49-N(O49))*'Basic Details'!$C$15,0),0))</f>
        <v/>
      </c>
      <c r="AA49" s="73" t="str">
        <f aca="false">IF($B49="","",P49+Y49+Z49)</f>
        <v/>
      </c>
    </row>
    <row r="50" customFormat="false" ht="18" hidden="false" customHeight="true" outlineLevel="0" collapsed="false">
      <c r="A50" s="71" t="str">
        <f aca="false">IF(B50="","",ROW()-7)</f>
        <v/>
      </c>
      <c r="B50" s="71" t="str">
        <f aca="false">IF(Employees!B47="","",Employees!B47)</f>
        <v/>
      </c>
      <c r="C50" s="72" t="str">
        <f aca="false">IF(Employees!C47="","",Employees!C47)</f>
        <v/>
      </c>
      <c r="D50" s="72" t="str">
        <f aca="false">IF(Employees!D47="","",Employees!D47)</f>
        <v/>
      </c>
      <c r="E50" s="73" t="str">
        <f aca="false">IF($B50="","",Employees!G47)</f>
        <v/>
      </c>
      <c r="F50" s="71" t="str">
        <f aca="false">IF($B50="","",'Basic Details'!$C$22)</f>
        <v/>
      </c>
      <c r="G50" s="63" t="str">
        <f aca="false">IF($B50="","",Attendance!AP50)</f>
        <v/>
      </c>
      <c r="H50" s="63" t="str">
        <f aca="false">IF($B50="","",Attendance!AQ50)</f>
        <v/>
      </c>
      <c r="I50" s="73" t="str">
        <f aca="false">IF($B50="","",ROUND(Employees!R47*MAX(0,1-G50/'Basic Details'!$C$23),0))</f>
        <v/>
      </c>
      <c r="J50" s="73" t="str">
        <f aca="false">IF($B50="","",ROUND(Employees!S47*MAX(0,1-G50/'Basic Details'!$C$23),0))</f>
        <v/>
      </c>
      <c r="K50" s="73" t="str">
        <f aca="false">IF($B50="","",ROUND(Employees!T47*MAX(0,1-G50/'Basic Details'!$C$23),0))</f>
        <v/>
      </c>
      <c r="L50" s="73" t="str">
        <f aca="false">IF($B50="","",IF('Basic Details'!$C$9="Yes",ROUND(Attendance!AN50*E50/'Basic Details'!$C$23,0),0))</f>
        <v/>
      </c>
      <c r="M50" s="74"/>
      <c r="N50" s="73" t="str">
        <f aca="false">IF($B50="","",ROUND(N(M50)*E50/'Basic Details'!$C$23/'Basic Details'!$C$18*'Basic Details'!$C$17,0))</f>
        <v/>
      </c>
      <c r="O50" s="75"/>
      <c r="P50" s="73" t="str">
        <f aca="false">IF($B50="","",SUM(I50:L50)+N50+N(O50))</f>
        <v/>
      </c>
      <c r="Q50" s="73" t="str">
        <f aca="false">IF($B50="","",IF(Employees!J47="Yes",ROUND(IF('Basic Details'!$C$13="Yes",MIN(I50,'Basic Details'!$C$12),I50)*'Basic Details'!$C$10,0),0))</f>
        <v/>
      </c>
      <c r="R50" s="73" t="str">
        <f aca="false">IF($B50="","",IF(AND(Employees!K47="Yes",E50&lt;='Basic Details'!$C$16),ROUNDUP((P50-N(O50))*'Basic Details'!$C$14,0),0))</f>
        <v/>
      </c>
      <c r="S50" s="73" t="str">
        <f aca="false">IF($B50="","",IF(P50&gt;0,N(Employees!L47),0))</f>
        <v/>
      </c>
      <c r="T50" s="75"/>
      <c r="U50" s="75"/>
      <c r="V50" s="75"/>
      <c r="W50" s="73" t="str">
        <f aca="false">IF($B50="","",Q50+R50+S50+N(T50)+N(U50)+N(V50))</f>
        <v/>
      </c>
      <c r="X50" s="76" t="str">
        <f aca="false">IF($B50="","",P50-W50)</f>
        <v/>
      </c>
      <c r="Y50" s="73" t="str">
        <f aca="false">IF($B50="","",IF(Employees!J47="Yes",ROUND(IF('Basic Details'!$C$13="Yes",MIN(I50,'Basic Details'!$C$12),I50)*'Basic Details'!$C$11,0),0))</f>
        <v/>
      </c>
      <c r="Z50" s="73" t="str">
        <f aca="false">IF($B50="","",IF(AND(Employees!K47="Yes",E50&lt;='Basic Details'!$C$16),ROUNDUP((P50-N(O50))*'Basic Details'!$C$15,0),0))</f>
        <v/>
      </c>
      <c r="AA50" s="73" t="str">
        <f aca="false">IF($B50="","",P50+Y50+Z50)</f>
        <v/>
      </c>
    </row>
    <row r="51" customFormat="false" ht="18" hidden="false" customHeight="true" outlineLevel="0" collapsed="false">
      <c r="A51" s="71" t="str">
        <f aca="false">IF(B51="","",ROW()-7)</f>
        <v/>
      </c>
      <c r="B51" s="71" t="str">
        <f aca="false">IF(Employees!B48="","",Employees!B48)</f>
        <v/>
      </c>
      <c r="C51" s="72" t="str">
        <f aca="false">IF(Employees!C48="","",Employees!C48)</f>
        <v/>
      </c>
      <c r="D51" s="72" t="str">
        <f aca="false">IF(Employees!D48="","",Employees!D48)</f>
        <v/>
      </c>
      <c r="E51" s="73" t="str">
        <f aca="false">IF($B51="","",Employees!G48)</f>
        <v/>
      </c>
      <c r="F51" s="71" t="str">
        <f aca="false">IF($B51="","",'Basic Details'!$C$22)</f>
        <v/>
      </c>
      <c r="G51" s="63" t="str">
        <f aca="false">IF($B51="","",Attendance!AP51)</f>
        <v/>
      </c>
      <c r="H51" s="63" t="str">
        <f aca="false">IF($B51="","",Attendance!AQ51)</f>
        <v/>
      </c>
      <c r="I51" s="73" t="str">
        <f aca="false">IF($B51="","",ROUND(Employees!R48*MAX(0,1-G51/'Basic Details'!$C$23),0))</f>
        <v/>
      </c>
      <c r="J51" s="73" t="str">
        <f aca="false">IF($B51="","",ROUND(Employees!S48*MAX(0,1-G51/'Basic Details'!$C$23),0))</f>
        <v/>
      </c>
      <c r="K51" s="73" t="str">
        <f aca="false">IF($B51="","",ROUND(Employees!T48*MAX(0,1-G51/'Basic Details'!$C$23),0))</f>
        <v/>
      </c>
      <c r="L51" s="73" t="str">
        <f aca="false">IF($B51="","",IF('Basic Details'!$C$9="Yes",ROUND(Attendance!AN51*E51/'Basic Details'!$C$23,0),0))</f>
        <v/>
      </c>
      <c r="M51" s="74"/>
      <c r="N51" s="73" t="str">
        <f aca="false">IF($B51="","",ROUND(N(M51)*E51/'Basic Details'!$C$23/'Basic Details'!$C$18*'Basic Details'!$C$17,0))</f>
        <v/>
      </c>
      <c r="O51" s="75"/>
      <c r="P51" s="73" t="str">
        <f aca="false">IF($B51="","",SUM(I51:L51)+N51+N(O51))</f>
        <v/>
      </c>
      <c r="Q51" s="73" t="str">
        <f aca="false">IF($B51="","",IF(Employees!J48="Yes",ROUND(IF('Basic Details'!$C$13="Yes",MIN(I51,'Basic Details'!$C$12),I51)*'Basic Details'!$C$10,0),0))</f>
        <v/>
      </c>
      <c r="R51" s="73" t="str">
        <f aca="false">IF($B51="","",IF(AND(Employees!K48="Yes",E51&lt;='Basic Details'!$C$16),ROUNDUP((P51-N(O51))*'Basic Details'!$C$14,0),0))</f>
        <v/>
      </c>
      <c r="S51" s="73" t="str">
        <f aca="false">IF($B51="","",IF(P51&gt;0,N(Employees!L48),0))</f>
        <v/>
      </c>
      <c r="T51" s="75"/>
      <c r="U51" s="75"/>
      <c r="V51" s="75"/>
      <c r="W51" s="73" t="str">
        <f aca="false">IF($B51="","",Q51+R51+S51+N(T51)+N(U51)+N(V51))</f>
        <v/>
      </c>
      <c r="X51" s="76" t="str">
        <f aca="false">IF($B51="","",P51-W51)</f>
        <v/>
      </c>
      <c r="Y51" s="73" t="str">
        <f aca="false">IF($B51="","",IF(Employees!J48="Yes",ROUND(IF('Basic Details'!$C$13="Yes",MIN(I51,'Basic Details'!$C$12),I51)*'Basic Details'!$C$11,0),0))</f>
        <v/>
      </c>
      <c r="Z51" s="73" t="str">
        <f aca="false">IF($B51="","",IF(AND(Employees!K48="Yes",E51&lt;='Basic Details'!$C$16),ROUNDUP((P51-N(O51))*'Basic Details'!$C$15,0),0))</f>
        <v/>
      </c>
      <c r="AA51" s="73" t="str">
        <f aca="false">IF($B51="","",P51+Y51+Z51)</f>
        <v/>
      </c>
    </row>
    <row r="52" customFormat="false" ht="18" hidden="false" customHeight="true" outlineLevel="0" collapsed="false">
      <c r="A52" s="71" t="str">
        <f aca="false">IF(B52="","",ROW()-7)</f>
        <v/>
      </c>
      <c r="B52" s="71" t="str">
        <f aca="false">IF(Employees!B49="","",Employees!B49)</f>
        <v/>
      </c>
      <c r="C52" s="72" t="str">
        <f aca="false">IF(Employees!C49="","",Employees!C49)</f>
        <v/>
      </c>
      <c r="D52" s="72" t="str">
        <f aca="false">IF(Employees!D49="","",Employees!D49)</f>
        <v/>
      </c>
      <c r="E52" s="73" t="str">
        <f aca="false">IF($B52="","",Employees!G49)</f>
        <v/>
      </c>
      <c r="F52" s="71" t="str">
        <f aca="false">IF($B52="","",'Basic Details'!$C$22)</f>
        <v/>
      </c>
      <c r="G52" s="63" t="str">
        <f aca="false">IF($B52="","",Attendance!AP52)</f>
        <v/>
      </c>
      <c r="H52" s="63" t="str">
        <f aca="false">IF($B52="","",Attendance!AQ52)</f>
        <v/>
      </c>
      <c r="I52" s="73" t="str">
        <f aca="false">IF($B52="","",ROUND(Employees!R49*MAX(0,1-G52/'Basic Details'!$C$23),0))</f>
        <v/>
      </c>
      <c r="J52" s="73" t="str">
        <f aca="false">IF($B52="","",ROUND(Employees!S49*MAX(0,1-G52/'Basic Details'!$C$23),0))</f>
        <v/>
      </c>
      <c r="K52" s="73" t="str">
        <f aca="false">IF($B52="","",ROUND(Employees!T49*MAX(0,1-G52/'Basic Details'!$C$23),0))</f>
        <v/>
      </c>
      <c r="L52" s="73" t="str">
        <f aca="false">IF($B52="","",IF('Basic Details'!$C$9="Yes",ROUND(Attendance!AN52*E52/'Basic Details'!$C$23,0),0))</f>
        <v/>
      </c>
      <c r="M52" s="74"/>
      <c r="N52" s="73" t="str">
        <f aca="false">IF($B52="","",ROUND(N(M52)*E52/'Basic Details'!$C$23/'Basic Details'!$C$18*'Basic Details'!$C$17,0))</f>
        <v/>
      </c>
      <c r="O52" s="75"/>
      <c r="P52" s="73" t="str">
        <f aca="false">IF($B52="","",SUM(I52:L52)+N52+N(O52))</f>
        <v/>
      </c>
      <c r="Q52" s="73" t="str">
        <f aca="false">IF($B52="","",IF(Employees!J49="Yes",ROUND(IF('Basic Details'!$C$13="Yes",MIN(I52,'Basic Details'!$C$12),I52)*'Basic Details'!$C$10,0),0))</f>
        <v/>
      </c>
      <c r="R52" s="73" t="str">
        <f aca="false">IF($B52="","",IF(AND(Employees!K49="Yes",E52&lt;='Basic Details'!$C$16),ROUNDUP((P52-N(O52))*'Basic Details'!$C$14,0),0))</f>
        <v/>
      </c>
      <c r="S52" s="73" t="str">
        <f aca="false">IF($B52="","",IF(P52&gt;0,N(Employees!L49),0))</f>
        <v/>
      </c>
      <c r="T52" s="75"/>
      <c r="U52" s="75"/>
      <c r="V52" s="75"/>
      <c r="W52" s="73" t="str">
        <f aca="false">IF($B52="","",Q52+R52+S52+N(T52)+N(U52)+N(V52))</f>
        <v/>
      </c>
      <c r="X52" s="76" t="str">
        <f aca="false">IF($B52="","",P52-W52)</f>
        <v/>
      </c>
      <c r="Y52" s="73" t="str">
        <f aca="false">IF($B52="","",IF(Employees!J49="Yes",ROUND(IF('Basic Details'!$C$13="Yes",MIN(I52,'Basic Details'!$C$12),I52)*'Basic Details'!$C$11,0),0))</f>
        <v/>
      </c>
      <c r="Z52" s="73" t="str">
        <f aca="false">IF($B52="","",IF(AND(Employees!K49="Yes",E52&lt;='Basic Details'!$C$16),ROUNDUP((P52-N(O52))*'Basic Details'!$C$15,0),0))</f>
        <v/>
      </c>
      <c r="AA52" s="73" t="str">
        <f aca="false">IF($B52="","",P52+Y52+Z52)</f>
        <v/>
      </c>
    </row>
    <row r="53" customFormat="false" ht="18" hidden="false" customHeight="true" outlineLevel="0" collapsed="false">
      <c r="A53" s="71" t="str">
        <f aca="false">IF(B53="","",ROW()-7)</f>
        <v/>
      </c>
      <c r="B53" s="71" t="str">
        <f aca="false">IF(Employees!B50="","",Employees!B50)</f>
        <v/>
      </c>
      <c r="C53" s="72" t="str">
        <f aca="false">IF(Employees!C50="","",Employees!C50)</f>
        <v/>
      </c>
      <c r="D53" s="72" t="str">
        <f aca="false">IF(Employees!D50="","",Employees!D50)</f>
        <v/>
      </c>
      <c r="E53" s="73" t="str">
        <f aca="false">IF($B53="","",Employees!G50)</f>
        <v/>
      </c>
      <c r="F53" s="71" t="str">
        <f aca="false">IF($B53="","",'Basic Details'!$C$22)</f>
        <v/>
      </c>
      <c r="G53" s="63" t="str">
        <f aca="false">IF($B53="","",Attendance!AP53)</f>
        <v/>
      </c>
      <c r="H53" s="63" t="str">
        <f aca="false">IF($B53="","",Attendance!AQ53)</f>
        <v/>
      </c>
      <c r="I53" s="73" t="str">
        <f aca="false">IF($B53="","",ROUND(Employees!R50*MAX(0,1-G53/'Basic Details'!$C$23),0))</f>
        <v/>
      </c>
      <c r="J53" s="73" t="str">
        <f aca="false">IF($B53="","",ROUND(Employees!S50*MAX(0,1-G53/'Basic Details'!$C$23),0))</f>
        <v/>
      </c>
      <c r="K53" s="73" t="str">
        <f aca="false">IF($B53="","",ROUND(Employees!T50*MAX(0,1-G53/'Basic Details'!$C$23),0))</f>
        <v/>
      </c>
      <c r="L53" s="73" t="str">
        <f aca="false">IF($B53="","",IF('Basic Details'!$C$9="Yes",ROUND(Attendance!AN53*E53/'Basic Details'!$C$23,0),0))</f>
        <v/>
      </c>
      <c r="M53" s="74"/>
      <c r="N53" s="73" t="str">
        <f aca="false">IF($B53="","",ROUND(N(M53)*E53/'Basic Details'!$C$23/'Basic Details'!$C$18*'Basic Details'!$C$17,0))</f>
        <v/>
      </c>
      <c r="O53" s="75"/>
      <c r="P53" s="73" t="str">
        <f aca="false">IF($B53="","",SUM(I53:L53)+N53+N(O53))</f>
        <v/>
      </c>
      <c r="Q53" s="73" t="str">
        <f aca="false">IF($B53="","",IF(Employees!J50="Yes",ROUND(IF('Basic Details'!$C$13="Yes",MIN(I53,'Basic Details'!$C$12),I53)*'Basic Details'!$C$10,0),0))</f>
        <v/>
      </c>
      <c r="R53" s="73" t="str">
        <f aca="false">IF($B53="","",IF(AND(Employees!K50="Yes",E53&lt;='Basic Details'!$C$16),ROUNDUP((P53-N(O53))*'Basic Details'!$C$14,0),0))</f>
        <v/>
      </c>
      <c r="S53" s="73" t="str">
        <f aca="false">IF($B53="","",IF(P53&gt;0,N(Employees!L50),0))</f>
        <v/>
      </c>
      <c r="T53" s="75"/>
      <c r="U53" s="75"/>
      <c r="V53" s="75"/>
      <c r="W53" s="73" t="str">
        <f aca="false">IF($B53="","",Q53+R53+S53+N(T53)+N(U53)+N(V53))</f>
        <v/>
      </c>
      <c r="X53" s="76" t="str">
        <f aca="false">IF($B53="","",P53-W53)</f>
        <v/>
      </c>
      <c r="Y53" s="73" t="str">
        <f aca="false">IF($B53="","",IF(Employees!J50="Yes",ROUND(IF('Basic Details'!$C$13="Yes",MIN(I53,'Basic Details'!$C$12),I53)*'Basic Details'!$C$11,0),0))</f>
        <v/>
      </c>
      <c r="Z53" s="73" t="str">
        <f aca="false">IF($B53="","",IF(AND(Employees!K50="Yes",E53&lt;='Basic Details'!$C$16),ROUNDUP((P53-N(O53))*'Basic Details'!$C$15,0),0))</f>
        <v/>
      </c>
      <c r="AA53" s="73" t="str">
        <f aca="false">IF($B53="","",P53+Y53+Z53)</f>
        <v/>
      </c>
    </row>
    <row r="54" customFormat="false" ht="18" hidden="false" customHeight="true" outlineLevel="0" collapsed="false">
      <c r="A54" s="71" t="str">
        <f aca="false">IF(B54="","",ROW()-7)</f>
        <v/>
      </c>
      <c r="B54" s="71" t="str">
        <f aca="false">IF(Employees!B51="","",Employees!B51)</f>
        <v/>
      </c>
      <c r="C54" s="72" t="str">
        <f aca="false">IF(Employees!C51="","",Employees!C51)</f>
        <v/>
      </c>
      <c r="D54" s="72" t="str">
        <f aca="false">IF(Employees!D51="","",Employees!D51)</f>
        <v/>
      </c>
      <c r="E54" s="73" t="str">
        <f aca="false">IF($B54="","",Employees!G51)</f>
        <v/>
      </c>
      <c r="F54" s="71" t="str">
        <f aca="false">IF($B54="","",'Basic Details'!$C$22)</f>
        <v/>
      </c>
      <c r="G54" s="63" t="str">
        <f aca="false">IF($B54="","",Attendance!AP54)</f>
        <v/>
      </c>
      <c r="H54" s="63" t="str">
        <f aca="false">IF($B54="","",Attendance!AQ54)</f>
        <v/>
      </c>
      <c r="I54" s="73" t="str">
        <f aca="false">IF($B54="","",ROUND(Employees!R51*MAX(0,1-G54/'Basic Details'!$C$23),0))</f>
        <v/>
      </c>
      <c r="J54" s="73" t="str">
        <f aca="false">IF($B54="","",ROUND(Employees!S51*MAX(0,1-G54/'Basic Details'!$C$23),0))</f>
        <v/>
      </c>
      <c r="K54" s="73" t="str">
        <f aca="false">IF($B54="","",ROUND(Employees!T51*MAX(0,1-G54/'Basic Details'!$C$23),0))</f>
        <v/>
      </c>
      <c r="L54" s="73" t="str">
        <f aca="false">IF($B54="","",IF('Basic Details'!$C$9="Yes",ROUND(Attendance!AN54*E54/'Basic Details'!$C$23,0),0))</f>
        <v/>
      </c>
      <c r="M54" s="74"/>
      <c r="N54" s="73" t="str">
        <f aca="false">IF($B54="","",ROUND(N(M54)*E54/'Basic Details'!$C$23/'Basic Details'!$C$18*'Basic Details'!$C$17,0))</f>
        <v/>
      </c>
      <c r="O54" s="75"/>
      <c r="P54" s="73" t="str">
        <f aca="false">IF($B54="","",SUM(I54:L54)+N54+N(O54))</f>
        <v/>
      </c>
      <c r="Q54" s="73" t="str">
        <f aca="false">IF($B54="","",IF(Employees!J51="Yes",ROUND(IF('Basic Details'!$C$13="Yes",MIN(I54,'Basic Details'!$C$12),I54)*'Basic Details'!$C$10,0),0))</f>
        <v/>
      </c>
      <c r="R54" s="73" t="str">
        <f aca="false">IF($B54="","",IF(AND(Employees!K51="Yes",E54&lt;='Basic Details'!$C$16),ROUNDUP((P54-N(O54))*'Basic Details'!$C$14,0),0))</f>
        <v/>
      </c>
      <c r="S54" s="73" t="str">
        <f aca="false">IF($B54="","",IF(P54&gt;0,N(Employees!L51),0))</f>
        <v/>
      </c>
      <c r="T54" s="75"/>
      <c r="U54" s="75"/>
      <c r="V54" s="75"/>
      <c r="W54" s="73" t="str">
        <f aca="false">IF($B54="","",Q54+R54+S54+N(T54)+N(U54)+N(V54))</f>
        <v/>
      </c>
      <c r="X54" s="76" t="str">
        <f aca="false">IF($B54="","",P54-W54)</f>
        <v/>
      </c>
      <c r="Y54" s="73" t="str">
        <f aca="false">IF($B54="","",IF(Employees!J51="Yes",ROUND(IF('Basic Details'!$C$13="Yes",MIN(I54,'Basic Details'!$C$12),I54)*'Basic Details'!$C$11,0),0))</f>
        <v/>
      </c>
      <c r="Z54" s="73" t="str">
        <f aca="false">IF($B54="","",IF(AND(Employees!K51="Yes",E54&lt;='Basic Details'!$C$16),ROUNDUP((P54-N(O54))*'Basic Details'!$C$15,0),0))</f>
        <v/>
      </c>
      <c r="AA54" s="73" t="str">
        <f aca="false">IF($B54="","",P54+Y54+Z54)</f>
        <v/>
      </c>
    </row>
    <row r="55" customFormat="false" ht="18" hidden="false" customHeight="true" outlineLevel="0" collapsed="false">
      <c r="A55" s="71" t="str">
        <f aca="false">IF(B55="","",ROW()-7)</f>
        <v/>
      </c>
      <c r="B55" s="71" t="str">
        <f aca="false">IF(Employees!B52="","",Employees!B52)</f>
        <v/>
      </c>
      <c r="C55" s="72" t="str">
        <f aca="false">IF(Employees!C52="","",Employees!C52)</f>
        <v/>
      </c>
      <c r="D55" s="72" t="str">
        <f aca="false">IF(Employees!D52="","",Employees!D52)</f>
        <v/>
      </c>
      <c r="E55" s="73" t="str">
        <f aca="false">IF($B55="","",Employees!G52)</f>
        <v/>
      </c>
      <c r="F55" s="71" t="str">
        <f aca="false">IF($B55="","",'Basic Details'!$C$22)</f>
        <v/>
      </c>
      <c r="G55" s="63" t="str">
        <f aca="false">IF($B55="","",Attendance!AP55)</f>
        <v/>
      </c>
      <c r="H55" s="63" t="str">
        <f aca="false">IF($B55="","",Attendance!AQ55)</f>
        <v/>
      </c>
      <c r="I55" s="73" t="str">
        <f aca="false">IF($B55="","",ROUND(Employees!R52*MAX(0,1-G55/'Basic Details'!$C$23),0))</f>
        <v/>
      </c>
      <c r="J55" s="73" t="str">
        <f aca="false">IF($B55="","",ROUND(Employees!S52*MAX(0,1-G55/'Basic Details'!$C$23),0))</f>
        <v/>
      </c>
      <c r="K55" s="73" t="str">
        <f aca="false">IF($B55="","",ROUND(Employees!T52*MAX(0,1-G55/'Basic Details'!$C$23),0))</f>
        <v/>
      </c>
      <c r="L55" s="73" t="str">
        <f aca="false">IF($B55="","",IF('Basic Details'!$C$9="Yes",ROUND(Attendance!AN55*E55/'Basic Details'!$C$23,0),0))</f>
        <v/>
      </c>
      <c r="M55" s="74"/>
      <c r="N55" s="73" t="str">
        <f aca="false">IF($B55="","",ROUND(N(M55)*E55/'Basic Details'!$C$23/'Basic Details'!$C$18*'Basic Details'!$C$17,0))</f>
        <v/>
      </c>
      <c r="O55" s="75"/>
      <c r="P55" s="73" t="str">
        <f aca="false">IF($B55="","",SUM(I55:L55)+N55+N(O55))</f>
        <v/>
      </c>
      <c r="Q55" s="73" t="str">
        <f aca="false">IF($B55="","",IF(Employees!J52="Yes",ROUND(IF('Basic Details'!$C$13="Yes",MIN(I55,'Basic Details'!$C$12),I55)*'Basic Details'!$C$10,0),0))</f>
        <v/>
      </c>
      <c r="R55" s="73" t="str">
        <f aca="false">IF($B55="","",IF(AND(Employees!K52="Yes",E55&lt;='Basic Details'!$C$16),ROUNDUP((P55-N(O55))*'Basic Details'!$C$14,0),0))</f>
        <v/>
      </c>
      <c r="S55" s="73" t="str">
        <f aca="false">IF($B55="","",IF(P55&gt;0,N(Employees!L52),0))</f>
        <v/>
      </c>
      <c r="T55" s="75"/>
      <c r="U55" s="75"/>
      <c r="V55" s="75"/>
      <c r="W55" s="73" t="str">
        <f aca="false">IF($B55="","",Q55+R55+S55+N(T55)+N(U55)+N(V55))</f>
        <v/>
      </c>
      <c r="X55" s="76" t="str">
        <f aca="false">IF($B55="","",P55-W55)</f>
        <v/>
      </c>
      <c r="Y55" s="73" t="str">
        <f aca="false">IF($B55="","",IF(Employees!J52="Yes",ROUND(IF('Basic Details'!$C$13="Yes",MIN(I55,'Basic Details'!$C$12),I55)*'Basic Details'!$C$11,0),0))</f>
        <v/>
      </c>
      <c r="Z55" s="73" t="str">
        <f aca="false">IF($B55="","",IF(AND(Employees!K52="Yes",E55&lt;='Basic Details'!$C$16),ROUNDUP((P55-N(O55))*'Basic Details'!$C$15,0),0))</f>
        <v/>
      </c>
      <c r="AA55" s="73" t="str">
        <f aca="false">IF($B55="","",P55+Y55+Z55)</f>
        <v/>
      </c>
    </row>
    <row r="56" customFormat="false" ht="18" hidden="false" customHeight="true" outlineLevel="0" collapsed="false">
      <c r="A56" s="71" t="str">
        <f aca="false">IF(B56="","",ROW()-7)</f>
        <v/>
      </c>
      <c r="B56" s="71" t="str">
        <f aca="false">IF(Employees!B53="","",Employees!B53)</f>
        <v/>
      </c>
      <c r="C56" s="72" t="str">
        <f aca="false">IF(Employees!C53="","",Employees!C53)</f>
        <v/>
      </c>
      <c r="D56" s="72" t="str">
        <f aca="false">IF(Employees!D53="","",Employees!D53)</f>
        <v/>
      </c>
      <c r="E56" s="73" t="str">
        <f aca="false">IF($B56="","",Employees!G53)</f>
        <v/>
      </c>
      <c r="F56" s="71" t="str">
        <f aca="false">IF($B56="","",'Basic Details'!$C$22)</f>
        <v/>
      </c>
      <c r="G56" s="63" t="str">
        <f aca="false">IF($B56="","",Attendance!AP56)</f>
        <v/>
      </c>
      <c r="H56" s="63" t="str">
        <f aca="false">IF($B56="","",Attendance!AQ56)</f>
        <v/>
      </c>
      <c r="I56" s="73" t="str">
        <f aca="false">IF($B56="","",ROUND(Employees!R53*MAX(0,1-G56/'Basic Details'!$C$23),0))</f>
        <v/>
      </c>
      <c r="J56" s="73" t="str">
        <f aca="false">IF($B56="","",ROUND(Employees!S53*MAX(0,1-G56/'Basic Details'!$C$23),0))</f>
        <v/>
      </c>
      <c r="K56" s="73" t="str">
        <f aca="false">IF($B56="","",ROUND(Employees!T53*MAX(0,1-G56/'Basic Details'!$C$23),0))</f>
        <v/>
      </c>
      <c r="L56" s="73" t="str">
        <f aca="false">IF($B56="","",IF('Basic Details'!$C$9="Yes",ROUND(Attendance!AN56*E56/'Basic Details'!$C$23,0),0))</f>
        <v/>
      </c>
      <c r="M56" s="74"/>
      <c r="N56" s="73" t="str">
        <f aca="false">IF($B56="","",ROUND(N(M56)*E56/'Basic Details'!$C$23/'Basic Details'!$C$18*'Basic Details'!$C$17,0))</f>
        <v/>
      </c>
      <c r="O56" s="75"/>
      <c r="P56" s="73" t="str">
        <f aca="false">IF($B56="","",SUM(I56:L56)+N56+N(O56))</f>
        <v/>
      </c>
      <c r="Q56" s="73" t="str">
        <f aca="false">IF($B56="","",IF(Employees!J53="Yes",ROUND(IF('Basic Details'!$C$13="Yes",MIN(I56,'Basic Details'!$C$12),I56)*'Basic Details'!$C$10,0),0))</f>
        <v/>
      </c>
      <c r="R56" s="73" t="str">
        <f aca="false">IF($B56="","",IF(AND(Employees!K53="Yes",E56&lt;='Basic Details'!$C$16),ROUNDUP((P56-N(O56))*'Basic Details'!$C$14,0),0))</f>
        <v/>
      </c>
      <c r="S56" s="73" t="str">
        <f aca="false">IF($B56="","",IF(P56&gt;0,N(Employees!L53),0))</f>
        <v/>
      </c>
      <c r="T56" s="75"/>
      <c r="U56" s="75"/>
      <c r="V56" s="75"/>
      <c r="W56" s="73" t="str">
        <f aca="false">IF($B56="","",Q56+R56+S56+N(T56)+N(U56)+N(V56))</f>
        <v/>
      </c>
      <c r="X56" s="76" t="str">
        <f aca="false">IF($B56="","",P56-W56)</f>
        <v/>
      </c>
      <c r="Y56" s="73" t="str">
        <f aca="false">IF($B56="","",IF(Employees!J53="Yes",ROUND(IF('Basic Details'!$C$13="Yes",MIN(I56,'Basic Details'!$C$12),I56)*'Basic Details'!$C$11,0),0))</f>
        <v/>
      </c>
      <c r="Z56" s="73" t="str">
        <f aca="false">IF($B56="","",IF(AND(Employees!K53="Yes",E56&lt;='Basic Details'!$C$16),ROUNDUP((P56-N(O56))*'Basic Details'!$C$15,0),0))</f>
        <v/>
      </c>
      <c r="AA56" s="73" t="str">
        <f aca="false">IF($B56="","",P56+Y56+Z56)</f>
        <v/>
      </c>
    </row>
    <row r="57" customFormat="false" ht="18" hidden="false" customHeight="true" outlineLevel="0" collapsed="false">
      <c r="A57" s="71" t="str">
        <f aca="false">IF(B57="","",ROW()-7)</f>
        <v/>
      </c>
      <c r="B57" s="71" t="str">
        <f aca="false">IF(Employees!B54="","",Employees!B54)</f>
        <v/>
      </c>
      <c r="C57" s="72" t="str">
        <f aca="false">IF(Employees!C54="","",Employees!C54)</f>
        <v/>
      </c>
      <c r="D57" s="72" t="str">
        <f aca="false">IF(Employees!D54="","",Employees!D54)</f>
        <v/>
      </c>
      <c r="E57" s="73" t="str">
        <f aca="false">IF($B57="","",Employees!G54)</f>
        <v/>
      </c>
      <c r="F57" s="71" t="str">
        <f aca="false">IF($B57="","",'Basic Details'!$C$22)</f>
        <v/>
      </c>
      <c r="G57" s="63" t="str">
        <f aca="false">IF($B57="","",Attendance!AP57)</f>
        <v/>
      </c>
      <c r="H57" s="63" t="str">
        <f aca="false">IF($B57="","",Attendance!AQ57)</f>
        <v/>
      </c>
      <c r="I57" s="73" t="str">
        <f aca="false">IF($B57="","",ROUND(Employees!R54*MAX(0,1-G57/'Basic Details'!$C$23),0))</f>
        <v/>
      </c>
      <c r="J57" s="73" t="str">
        <f aca="false">IF($B57="","",ROUND(Employees!S54*MAX(0,1-G57/'Basic Details'!$C$23),0))</f>
        <v/>
      </c>
      <c r="K57" s="73" t="str">
        <f aca="false">IF($B57="","",ROUND(Employees!T54*MAX(0,1-G57/'Basic Details'!$C$23),0))</f>
        <v/>
      </c>
      <c r="L57" s="73" t="str">
        <f aca="false">IF($B57="","",IF('Basic Details'!$C$9="Yes",ROUND(Attendance!AN57*E57/'Basic Details'!$C$23,0),0))</f>
        <v/>
      </c>
      <c r="M57" s="74"/>
      <c r="N57" s="73" t="str">
        <f aca="false">IF($B57="","",ROUND(N(M57)*E57/'Basic Details'!$C$23/'Basic Details'!$C$18*'Basic Details'!$C$17,0))</f>
        <v/>
      </c>
      <c r="O57" s="75"/>
      <c r="P57" s="73" t="str">
        <f aca="false">IF($B57="","",SUM(I57:L57)+N57+N(O57))</f>
        <v/>
      </c>
      <c r="Q57" s="73" t="str">
        <f aca="false">IF($B57="","",IF(Employees!J54="Yes",ROUND(IF('Basic Details'!$C$13="Yes",MIN(I57,'Basic Details'!$C$12),I57)*'Basic Details'!$C$10,0),0))</f>
        <v/>
      </c>
      <c r="R57" s="73" t="str">
        <f aca="false">IF($B57="","",IF(AND(Employees!K54="Yes",E57&lt;='Basic Details'!$C$16),ROUNDUP((P57-N(O57))*'Basic Details'!$C$14,0),0))</f>
        <v/>
      </c>
      <c r="S57" s="73" t="str">
        <f aca="false">IF($B57="","",IF(P57&gt;0,N(Employees!L54),0))</f>
        <v/>
      </c>
      <c r="T57" s="75"/>
      <c r="U57" s="75"/>
      <c r="V57" s="75"/>
      <c r="W57" s="73" t="str">
        <f aca="false">IF($B57="","",Q57+R57+S57+N(T57)+N(U57)+N(V57))</f>
        <v/>
      </c>
      <c r="X57" s="76" t="str">
        <f aca="false">IF($B57="","",P57-W57)</f>
        <v/>
      </c>
      <c r="Y57" s="73" t="str">
        <f aca="false">IF($B57="","",IF(Employees!J54="Yes",ROUND(IF('Basic Details'!$C$13="Yes",MIN(I57,'Basic Details'!$C$12),I57)*'Basic Details'!$C$11,0),0))</f>
        <v/>
      </c>
      <c r="Z57" s="73" t="str">
        <f aca="false">IF($B57="","",IF(AND(Employees!K54="Yes",E57&lt;='Basic Details'!$C$16),ROUNDUP((P57-N(O57))*'Basic Details'!$C$15,0),0))</f>
        <v/>
      </c>
      <c r="AA57" s="73" t="str">
        <f aca="false">IF($B57="","",P57+Y57+Z57)</f>
        <v/>
      </c>
    </row>
    <row r="58" customFormat="false" ht="15" hidden="false" customHeight="false" outlineLevel="0" collapsed="false">
      <c r="A58" s="77"/>
      <c r="B58" s="77"/>
      <c r="C58" s="37" t="s">
        <v>197</v>
      </c>
      <c r="D58" s="77"/>
      <c r="E58" s="78" t="n">
        <f aca="false">SUM(E8:E57)</f>
        <v>124500</v>
      </c>
      <c r="F58" s="77"/>
      <c r="G58" s="79" t="n">
        <f aca="false">SUM(G8:G57)</f>
        <v>5</v>
      </c>
      <c r="H58" s="79" t="n">
        <f aca="false">SUM(H8:H57)</f>
        <v>181</v>
      </c>
      <c r="I58" s="78" t="n">
        <f aca="false">SUM(I8:I57)</f>
        <v>60927</v>
      </c>
      <c r="J58" s="78" t="n">
        <f aca="false">SUM(J8:J57)</f>
        <v>24371</v>
      </c>
      <c r="K58" s="78" t="n">
        <f aca="false">SUM(K8:K57)</f>
        <v>36556</v>
      </c>
      <c r="L58" s="78" t="n">
        <f aca="false">SUM(L8:L57)</f>
        <v>1032</v>
      </c>
      <c r="M58" s="79" t="n">
        <f aca="false">SUM(M8:M57)</f>
        <v>6</v>
      </c>
      <c r="N58" s="78" t="n">
        <f aca="false">SUM(N8:N57)</f>
        <v>895</v>
      </c>
      <c r="O58" s="78" t="n">
        <f aca="false">SUM(O8:O57)</f>
        <v>1000</v>
      </c>
      <c r="P58" s="78" t="n">
        <f aca="false">SUM(P8:P57)</f>
        <v>124781</v>
      </c>
      <c r="Q58" s="78" t="n">
        <f aca="false">SUM(Q8:Q57)</f>
        <v>6321</v>
      </c>
      <c r="R58" s="78" t="n">
        <f aca="false">SUM(R8:R57)</f>
        <v>479</v>
      </c>
      <c r="S58" s="78" t="n">
        <f aca="false">SUM(S8:S57)</f>
        <v>400</v>
      </c>
      <c r="T58" s="78" t="n">
        <f aca="false">SUM(T8:T57)</f>
        <v>0</v>
      </c>
      <c r="U58" s="78" t="n">
        <f aca="false">SUM(U8:U57)</f>
        <v>2000</v>
      </c>
      <c r="V58" s="78" t="n">
        <f aca="false">SUM(V8:V57)</f>
        <v>0</v>
      </c>
      <c r="W58" s="78" t="n">
        <f aca="false">SUM(W8:W57)</f>
        <v>9200</v>
      </c>
      <c r="X58" s="78" t="n">
        <f aca="false">SUM(X8:X57)</f>
        <v>115581</v>
      </c>
      <c r="Y58" s="78" t="n">
        <f aca="false">SUM(Y8:Y57)</f>
        <v>6321</v>
      </c>
      <c r="Z58" s="78" t="n">
        <f aca="false">SUM(Z8:Z57)</f>
        <v>2075</v>
      </c>
      <c r="AA58" s="78" t="n">
        <f aca="false">SUM(AA8:AA57)</f>
        <v>133177</v>
      </c>
    </row>
  </sheetData>
  <mergeCells count="34">
    <mergeCell ref="A2:AA2"/>
    <mergeCell ref="A3:AA3"/>
    <mergeCell ref="A5:D5"/>
    <mergeCell ref="E5:H5"/>
    <mergeCell ref="I5:P5"/>
    <mergeCell ref="Q5:W5"/>
    <mergeCell ref="Y5:AA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2"/>
    <col collapsed="false" customWidth="true" hidden="false" outlineLevel="0" max="6" min="6" style="0" width="20"/>
    <col collapsed="false" customWidth="true" hidden="false" outlineLevel="0" max="7" min="7" style="0" width="2"/>
  </cols>
  <sheetData>
    <row r="1" customFormat="false" ht="15" hidden="false" customHeight="false" outlineLevel="0" collapsed="false">
      <c r="A1" s="15" t="s">
        <v>20</v>
      </c>
    </row>
    <row r="2" customFormat="false" ht="15" hidden="false" customHeight="true" outlineLevel="0" collapsed="false">
      <c r="B2" s="80" t="s">
        <v>198</v>
      </c>
      <c r="C2" s="25" t="s">
        <v>129</v>
      </c>
      <c r="E2" s="81" t="s">
        <v>199</v>
      </c>
      <c r="F2" s="81"/>
      <c r="H2" s="82" t="n">
        <f aca="false">IFERROR(MATCH($C$2,'Salary Sheet'!$B$8:$B$57,0),0)</f>
        <v>2</v>
      </c>
    </row>
    <row r="4" customFormat="false" ht="33.75" hidden="false" customHeight="true" outlineLevel="0" collapsed="false">
      <c r="B4" s="1" t="str">
        <f aca="false">'Basic Details'!C3</f>
        <v>Xplore Excel Pvt. Ltd.</v>
      </c>
      <c r="C4" s="1"/>
      <c r="D4" s="1"/>
      <c r="E4" s="1"/>
      <c r="F4" s="1"/>
    </row>
    <row r="5" customFormat="false" ht="15" hidden="false" customHeight="false" outlineLevel="0" collapsed="false">
      <c r="B5" s="83" t="str">
        <f aca="false">'Basic Details'!C4</f>
        <v>Your Office Address, City, State - PIN</v>
      </c>
      <c r="C5" s="83"/>
      <c r="D5" s="83"/>
      <c r="E5" s="83"/>
      <c r="F5" s="83"/>
    </row>
    <row r="6" customFormat="false" ht="24" hidden="false" customHeight="true" outlineLevel="0" collapsed="false">
      <c r="B6" s="84" t="str">
        <f aca="false">"SALARY SLIP FOR THE MONTH OF "&amp;UPPER('Basic Details'!C24)</f>
        <v>SALARY SLIP FOR THE MONTH OF OCTOBER 2026</v>
      </c>
      <c r="C6" s="84"/>
      <c r="D6" s="84"/>
      <c r="E6" s="84"/>
      <c r="F6" s="84"/>
    </row>
    <row r="8" customFormat="false" ht="15" hidden="false" customHeight="true" outlineLevel="0" collapsed="false">
      <c r="B8" s="85" t="s">
        <v>200</v>
      </c>
      <c r="C8" s="72" t="str">
        <f aca="false">IF($H$2=0,"",INDEX('Salary Sheet'!$B$8:$B$57,$H$2))</f>
        <v>XE002</v>
      </c>
      <c r="D8" s="86" t="s">
        <v>104</v>
      </c>
      <c r="E8" s="86"/>
      <c r="F8" s="72" t="str">
        <f aca="false">IF($H$2=0,"",INDEX('Salary Sheet'!$C$8:$C$57,$H$2))</f>
        <v>Simran Kaur</v>
      </c>
    </row>
    <row r="9" customFormat="false" ht="15" hidden="false" customHeight="true" outlineLevel="0" collapsed="false">
      <c r="B9" s="85" t="s">
        <v>105</v>
      </c>
      <c r="C9" s="72" t="str">
        <f aca="false">IF($H$2=0,"",INDEX(Employees!$D$5:$D$54,$H$2)&amp;"")</f>
        <v>Sales Executive</v>
      </c>
      <c r="D9" s="86" t="s">
        <v>106</v>
      </c>
      <c r="E9" s="86"/>
      <c r="F9" s="72" t="str">
        <f aca="false">IF($H$2=0,"",INDEX(Employees!$E$5:$E$54,$H$2)&amp;"")</f>
        <v>Sales</v>
      </c>
    </row>
    <row r="10" customFormat="false" ht="15" hidden="false" customHeight="true" outlineLevel="0" collapsed="false">
      <c r="B10" s="85" t="s">
        <v>107</v>
      </c>
      <c r="C10" s="87" t="n">
        <f aca="false">IF($H$2=0,"",INDEX(Employees!$F$5:$F$54,$H$2))</f>
        <v>44757</v>
      </c>
      <c r="D10" s="86" t="s">
        <v>118</v>
      </c>
      <c r="E10" s="86"/>
      <c r="F10" s="72" t="str">
        <f aca="false">IF($H$2=0,"",INDEX(Employees!$Q$5:$Q$54,$H$2)&amp;"")</f>
        <v/>
      </c>
    </row>
    <row r="11" customFormat="false" ht="15" hidden="false" customHeight="true" outlineLevel="0" collapsed="false">
      <c r="B11" s="85" t="s">
        <v>114</v>
      </c>
      <c r="C11" s="72" t="str">
        <f aca="false">IF($H$2=0,"",INDEX(Employees!$M$5:$M$54,$H$2)&amp;"")</f>
        <v/>
      </c>
      <c r="D11" s="86" t="s">
        <v>115</v>
      </c>
      <c r="E11" s="86"/>
      <c r="F11" s="72" t="str">
        <f aca="false">IF($H$2=0,"",INDEX(Employees!$N$5:$N$54,$H$2)&amp;"")</f>
        <v/>
      </c>
    </row>
    <row r="12" customFormat="false" ht="15" hidden="false" customHeight="true" outlineLevel="0" collapsed="false">
      <c r="B12" s="85" t="s">
        <v>116</v>
      </c>
      <c r="C12" s="72" t="str">
        <f aca="false">IF($H$2=0,"",INDEX(Employees!$O$5:$O$54,$H$2)&amp;"")</f>
        <v>PNB</v>
      </c>
      <c r="D12" s="86" t="s">
        <v>117</v>
      </c>
      <c r="E12" s="86"/>
      <c r="F12" s="72" t="str">
        <f aca="false">IF($H$2=0,"",INDEX(Employees!$P$5:$P$54,$H$2)&amp;"")</f>
        <v/>
      </c>
    </row>
    <row r="13" customFormat="false" ht="15" hidden="false" customHeight="true" outlineLevel="0" collapsed="false">
      <c r="B13" s="85" t="s">
        <v>178</v>
      </c>
      <c r="C13" s="72" t="n">
        <f aca="false">IF($H$2=0,"",INDEX('Salary Sheet'!$F$8:$F$57,$H$2))</f>
        <v>31</v>
      </c>
      <c r="D13" s="86" t="s">
        <v>169</v>
      </c>
      <c r="E13" s="86"/>
      <c r="F13" s="88" t="n">
        <f aca="false">IF($H$2=0,"",INDEX('Salary Sheet'!$H$8:$H$57,$H$2))</f>
        <v>29.5</v>
      </c>
    </row>
    <row r="14" customFormat="false" ht="15" hidden="false" customHeight="true" outlineLevel="0" collapsed="false">
      <c r="B14" s="85" t="s">
        <v>168</v>
      </c>
      <c r="C14" s="88" t="n">
        <f aca="false">IF($H$2=0,"",INDEX('Salary Sheet'!$G$8:$G$57,$H$2))</f>
        <v>1.5</v>
      </c>
      <c r="D14" s="86" t="s">
        <v>201</v>
      </c>
      <c r="E14" s="86"/>
      <c r="F14" s="89" t="n">
        <f aca="false">IF($H$2=0,"",INDEX('Salary Sheet'!$E$8:$E$57,$H$2))</f>
        <v>18500</v>
      </c>
    </row>
    <row r="16" customFormat="false" ht="15" hidden="false" customHeight="true" outlineLevel="0" collapsed="false">
      <c r="B16" s="37" t="s">
        <v>202</v>
      </c>
      <c r="C16" s="37" t="s">
        <v>203</v>
      </c>
      <c r="D16" s="68" t="s">
        <v>204</v>
      </c>
      <c r="E16" s="68"/>
      <c r="F16" s="90" t="s">
        <v>203</v>
      </c>
    </row>
    <row r="17" customFormat="false" ht="15" hidden="false" customHeight="true" outlineLevel="0" collapsed="false">
      <c r="B17" s="72" t="s">
        <v>179</v>
      </c>
      <c r="C17" s="73" t="n">
        <f aca="false">N(IF($H$2=0,0,INDEX('Salary Sheet'!$I$8:$I$57,$H$2)))</f>
        <v>8802</v>
      </c>
      <c r="D17" s="91" t="s">
        <v>205</v>
      </c>
      <c r="E17" s="91"/>
      <c r="F17" s="73" t="n">
        <f aca="false">N(IF($H$2=0,0,INDEX('Salary Sheet'!$Q$8:$Q$57,$H$2)))</f>
        <v>1056</v>
      </c>
    </row>
    <row r="18" customFormat="false" ht="15" hidden="false" customHeight="true" outlineLevel="0" collapsed="false">
      <c r="B18" s="72" t="s">
        <v>206</v>
      </c>
      <c r="C18" s="73" t="n">
        <f aca="false">N(IF($H$2=0,0,INDEX('Salary Sheet'!$J$8:$J$57,$H$2)))</f>
        <v>3521</v>
      </c>
      <c r="D18" s="91" t="s">
        <v>207</v>
      </c>
      <c r="E18" s="91"/>
      <c r="F18" s="73" t="n">
        <f aca="false">N(IF($H$2=0,0,INDEX('Salary Sheet'!$R$8:$R$57,$H$2)))</f>
        <v>139</v>
      </c>
    </row>
    <row r="19" customFormat="false" ht="15" hidden="false" customHeight="true" outlineLevel="0" collapsed="false">
      <c r="B19" s="72" t="s">
        <v>181</v>
      </c>
      <c r="C19" s="73" t="n">
        <f aca="false">N(IF($H$2=0,0,INDEX('Salary Sheet'!$K$8:$K$57,$H$2)))</f>
        <v>5281</v>
      </c>
      <c r="D19" s="91" t="s">
        <v>189</v>
      </c>
      <c r="E19" s="91"/>
      <c r="F19" s="73" t="n">
        <f aca="false">N(IF($H$2=0,0,INDEX('Salary Sheet'!$S$8:$S$57,$H$2)))</f>
        <v>0</v>
      </c>
    </row>
    <row r="20" customFormat="false" ht="15" hidden="false" customHeight="true" outlineLevel="0" collapsed="false">
      <c r="B20" s="72" t="s">
        <v>182</v>
      </c>
      <c r="C20" s="73" t="n">
        <f aca="false">N(IF($H$2=0,0,INDEX('Salary Sheet'!$L$8:$L$57,$H$2)))</f>
        <v>0</v>
      </c>
      <c r="D20" s="91" t="s">
        <v>208</v>
      </c>
      <c r="E20" s="91"/>
      <c r="F20" s="73" t="n">
        <f aca="false">N(IF($H$2=0,0,INDEX('Salary Sheet'!$T$8:$T$57,$H$2)))</f>
        <v>0</v>
      </c>
    </row>
    <row r="21" customFormat="false" ht="15" hidden="false" customHeight="true" outlineLevel="0" collapsed="false">
      <c r="B21" s="72" t="s">
        <v>184</v>
      </c>
      <c r="C21" s="73" t="n">
        <f aca="false">N(IF($H$2=0,0,INDEX('Salary Sheet'!$N$8:$N$57,$H$2)))</f>
        <v>895</v>
      </c>
      <c r="D21" s="91" t="s">
        <v>191</v>
      </c>
      <c r="E21" s="91"/>
      <c r="F21" s="73" t="n">
        <f aca="false">N(IF($H$2=0,0,INDEX('Salary Sheet'!$U$8:$U$57,$H$2)))</f>
        <v>0</v>
      </c>
    </row>
    <row r="22" customFormat="false" ht="15" hidden="false" customHeight="true" outlineLevel="0" collapsed="false">
      <c r="B22" s="72" t="s">
        <v>185</v>
      </c>
      <c r="C22" s="73" t="n">
        <f aca="false">N(IF($H$2=0,0,INDEX('Salary Sheet'!$O$8:$O$57,$H$2)))</f>
        <v>0</v>
      </c>
      <c r="D22" s="91" t="s">
        <v>192</v>
      </c>
      <c r="E22" s="91"/>
      <c r="F22" s="73" t="n">
        <f aca="false">N(IF($H$2=0,0,INDEX('Salary Sheet'!$V$8:$V$57,$H$2)))</f>
        <v>0</v>
      </c>
    </row>
    <row r="23" customFormat="false" ht="15" hidden="false" customHeight="true" outlineLevel="0" collapsed="false">
      <c r="B23" s="92" t="s">
        <v>186</v>
      </c>
      <c r="C23" s="93" t="n">
        <f aca="false">SUM(C17:C22)</f>
        <v>18499</v>
      </c>
      <c r="D23" s="94" t="s">
        <v>8</v>
      </c>
      <c r="E23" s="94"/>
      <c r="F23" s="95" t="n">
        <f aca="false">SUM(F17:F22)</f>
        <v>1195</v>
      </c>
    </row>
    <row r="25" customFormat="false" ht="15" hidden="false" customHeight="true" outlineLevel="0" collapsed="false">
      <c r="B25" s="96" t="s">
        <v>209</v>
      </c>
      <c r="C25" s="96"/>
      <c r="D25" s="96"/>
      <c r="E25" s="96"/>
      <c r="F25" s="97" t="n">
        <f aca="false">N(IF($H$2=0,0,INDEX('Salary Sheet'!$Y$8:$Y$57,$H$2)))+N(IF($H$2=0,0,INDEX('Salary Sheet'!$Z$8:$Z$57,$H$2)))</f>
        <v>1658</v>
      </c>
    </row>
    <row r="27" customFormat="false" ht="25.5" hidden="false" customHeight="true" outlineLevel="0" collapsed="false">
      <c r="B27" s="98" t="s">
        <v>210</v>
      </c>
      <c r="C27" s="98"/>
      <c r="D27" s="98"/>
      <c r="E27" s="98"/>
      <c r="F27" s="99" t="n">
        <f aca="false">C23-F23</f>
        <v>17304</v>
      </c>
    </row>
    <row r="28" customFormat="false" ht="21.75" hidden="false" customHeight="true" outlineLevel="0" collapsed="false">
      <c r="B28" s="100" t="str">
        <f aca="false">Lists!J8</f>
        <v>Rupees Seventeen Thousand Three Hundred and Four Only</v>
      </c>
      <c r="C28" s="100"/>
      <c r="D28" s="100"/>
      <c r="E28" s="100"/>
      <c r="F28" s="100"/>
    </row>
    <row r="31" customFormat="false" ht="15" hidden="false" customHeight="false" outlineLevel="0" collapsed="false">
      <c r="B31" s="101"/>
      <c r="F31" s="101"/>
    </row>
    <row r="32" customFormat="false" ht="15" hidden="false" customHeight="false" outlineLevel="0" collapsed="false">
      <c r="B32" s="102" t="s">
        <v>211</v>
      </c>
      <c r="F32" s="102" t="s">
        <v>212</v>
      </c>
    </row>
    <row r="34" customFormat="false" ht="15" hidden="false" customHeight="true" outlineLevel="0" collapsed="false">
      <c r="B34" s="103" t="s">
        <v>213</v>
      </c>
      <c r="C34" s="103"/>
      <c r="D34" s="103"/>
      <c r="E34" s="103"/>
      <c r="F34" s="103"/>
    </row>
    <row r="35" customFormat="false" ht="15" hidden="false" customHeight="true" outlineLevel="0" collapsed="false">
      <c r="B35" s="104" t="s">
        <v>214</v>
      </c>
      <c r="C35" s="104"/>
      <c r="D35" s="104"/>
      <c r="E35" s="104"/>
      <c r="F35" s="104"/>
    </row>
  </sheetData>
  <mergeCells count="24">
    <mergeCell ref="E2:F2"/>
    <mergeCell ref="B4:F4"/>
    <mergeCell ref="B5:F5"/>
    <mergeCell ref="B6:F6"/>
    <mergeCell ref="D8:E8"/>
    <mergeCell ref="D9:E9"/>
    <mergeCell ref="D10:E10"/>
    <mergeCell ref="D11:E11"/>
    <mergeCell ref="D12:E12"/>
    <mergeCell ref="D13:E13"/>
    <mergeCell ref="D14:E14"/>
    <mergeCell ref="D16:E16"/>
    <mergeCell ref="D17:E17"/>
    <mergeCell ref="D18:E18"/>
    <mergeCell ref="D19:E19"/>
    <mergeCell ref="D20:E20"/>
    <mergeCell ref="D21:E21"/>
    <mergeCell ref="D22:E22"/>
    <mergeCell ref="D23:E23"/>
    <mergeCell ref="B25:E25"/>
    <mergeCell ref="B27:E27"/>
    <mergeCell ref="B28:F28"/>
    <mergeCell ref="B34:F34"/>
    <mergeCell ref="B35:F35"/>
  </mergeCells>
  <dataValidations count="1">
    <dataValidation allowBlank="false" errorStyle="stop" operator="between" showDropDown="false" showErrorMessage="false" showInputMessage="false" sqref="C2" type="list">
      <formula1>Employees!$B$5:$B$54</formula1>
      <formula2>0</formula2>
    </dataValidation>
  </dataValidations>
  <hyperlinks>
    <hyperlink ref="A1" r:id="rId1" location="'Dashboard'!A1" display="◄ BACK TO DASHBOARD"/>
    <hyperlink ref="B35" r:id="rId2" display="Free template by xplorexcel.com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1:J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05" t="s">
        <v>215</v>
      </c>
      <c r="B1" s="105" t="s">
        <v>216</v>
      </c>
      <c r="C1" s="105" t="s">
        <v>60</v>
      </c>
      <c r="D1" s="105" t="s">
        <v>217</v>
      </c>
      <c r="E1" s="105" t="s">
        <v>218</v>
      </c>
      <c r="F1" s="105" t="s">
        <v>219</v>
      </c>
      <c r="G1" s="105" t="s">
        <v>220</v>
      </c>
      <c r="I1" s="105" t="s">
        <v>221</v>
      </c>
    </row>
    <row r="2" customFormat="false" ht="15" hidden="false" customHeight="false" outlineLevel="0" collapsed="false">
      <c r="A2" s="0" t="s">
        <v>222</v>
      </c>
      <c r="B2" s="0" t="s">
        <v>152</v>
      </c>
      <c r="C2" s="0" t="s">
        <v>61</v>
      </c>
      <c r="D2" s="0" t="s">
        <v>64</v>
      </c>
      <c r="E2" s="0" t="s">
        <v>67</v>
      </c>
      <c r="F2" s="0" t="n">
        <v>0</v>
      </c>
      <c r="G2" s="0" t="s">
        <v>223</v>
      </c>
      <c r="I2" s="0" t="s">
        <v>224</v>
      </c>
      <c r="J2" s="0" t="n">
        <f aca="false">INT(MAX(0,N('Salary Slip'!F27)))</f>
        <v>17304</v>
      </c>
    </row>
    <row r="3" customFormat="false" ht="15" hidden="false" customHeight="false" outlineLevel="0" collapsed="false">
      <c r="A3" s="0" t="s">
        <v>225</v>
      </c>
      <c r="B3" s="0" t="s">
        <v>154</v>
      </c>
      <c r="C3" s="0" t="s">
        <v>226</v>
      </c>
      <c r="D3" s="0" t="s">
        <v>227</v>
      </c>
      <c r="E3" s="0" t="s">
        <v>127</v>
      </c>
      <c r="F3" s="0" t="n">
        <v>1</v>
      </c>
      <c r="G3" s="0" t="s">
        <v>228</v>
      </c>
      <c r="I3" s="0" t="s">
        <v>229</v>
      </c>
      <c r="J3" s="0" t="n">
        <f aca="false">INT(J2/10000000)</f>
        <v>0</v>
      </c>
    </row>
    <row r="4" customFormat="false" ht="15" hidden="false" customHeight="false" outlineLevel="0" collapsed="false">
      <c r="A4" s="0" t="s">
        <v>230</v>
      </c>
      <c r="B4" s="0" t="s">
        <v>156</v>
      </c>
      <c r="C4" s="0" t="s">
        <v>231</v>
      </c>
      <c r="D4" s="0" t="s">
        <v>232</v>
      </c>
      <c r="F4" s="0" t="n">
        <v>2</v>
      </c>
      <c r="G4" s="0" t="s">
        <v>233</v>
      </c>
      <c r="I4" s="0" t="s">
        <v>234</v>
      </c>
      <c r="J4" s="0" t="n">
        <f aca="false">INT(MOD(J2,10000000)/100000)</f>
        <v>0</v>
      </c>
    </row>
    <row r="5" customFormat="false" ht="15" hidden="false" customHeight="false" outlineLevel="0" collapsed="false">
      <c r="A5" s="0" t="s">
        <v>235</v>
      </c>
      <c r="B5" s="0" t="s">
        <v>158</v>
      </c>
      <c r="C5" s="0" t="s">
        <v>236</v>
      </c>
      <c r="F5" s="0" t="n">
        <v>3</v>
      </c>
      <c r="G5" s="0" t="s">
        <v>237</v>
      </c>
      <c r="I5" s="0" t="s">
        <v>238</v>
      </c>
      <c r="J5" s="0" t="n">
        <f aca="false">INT(MOD(J2,100000)/1000)</f>
        <v>17</v>
      </c>
    </row>
    <row r="6" customFormat="false" ht="15" hidden="false" customHeight="false" outlineLevel="0" collapsed="false">
      <c r="A6" s="0" t="s">
        <v>239</v>
      </c>
      <c r="F6" s="0" t="n">
        <v>4</v>
      </c>
      <c r="G6" s="0" t="s">
        <v>240</v>
      </c>
      <c r="I6" s="0" t="s">
        <v>241</v>
      </c>
      <c r="J6" s="0" t="n">
        <f aca="false">INT(MOD(J2,1000)/100)</f>
        <v>3</v>
      </c>
    </row>
    <row r="7" customFormat="false" ht="15" hidden="false" customHeight="false" outlineLevel="0" collapsed="false">
      <c r="A7" s="0" t="s">
        <v>242</v>
      </c>
      <c r="F7" s="0" t="n">
        <v>5</v>
      </c>
      <c r="G7" s="0" t="s">
        <v>243</v>
      </c>
      <c r="I7" s="0" t="s">
        <v>244</v>
      </c>
      <c r="J7" s="0" t="n">
        <f aca="false">MOD(J2,100)</f>
        <v>4</v>
      </c>
    </row>
    <row r="8" customFormat="false" ht="15" hidden="false" customHeight="false" outlineLevel="0" collapsed="false">
      <c r="A8" s="0" t="s">
        <v>245</v>
      </c>
      <c r="F8" s="0" t="n">
        <v>6</v>
      </c>
      <c r="G8" s="0" t="s">
        <v>246</v>
      </c>
      <c r="I8" s="0" t="s">
        <v>220</v>
      </c>
      <c r="J8" s="0" t="str">
        <f aca="false">IF(J2=0,"Rupees Zero Only","Rupees "&amp;TRIM(IF(J3&gt;0,VLOOKUP(J3,$F$2:$G$101,2,FALSE())&amp;" Crore ","")&amp;IF(J4&gt;0,VLOOKUP(J4,$F$2:$G$101,2,FALSE())&amp;" Lakh ","")&amp;IF(J5&gt;0,VLOOKUP(J5,$F$2:$G$101,2,FALSE())&amp;" Thousand ","")&amp;IF(J6&gt;0,VLOOKUP(J6,$F$2:$G$101,2,FALSE())&amp;" Hundred ","")&amp;IF(J7&gt;0,IF(J2&gt;99,"and ","")&amp;VLOOKUP(J7,$F$2:$G$101,2,FALSE()),""))&amp;" Only")</f>
        <v>Rupees Seventeen Thousand Three Hundred and Four Only</v>
      </c>
    </row>
    <row r="9" customFormat="false" ht="15" hidden="false" customHeight="false" outlineLevel="0" collapsed="false">
      <c r="A9" s="0" t="s">
        <v>247</v>
      </c>
      <c r="F9" s="0" t="n">
        <v>7</v>
      </c>
      <c r="G9" s="0" t="s">
        <v>248</v>
      </c>
    </row>
    <row r="10" customFormat="false" ht="15" hidden="false" customHeight="false" outlineLevel="0" collapsed="false">
      <c r="A10" s="0" t="s">
        <v>249</v>
      </c>
      <c r="F10" s="0" t="n">
        <v>8</v>
      </c>
      <c r="G10" s="0" t="s">
        <v>250</v>
      </c>
    </row>
    <row r="11" customFormat="false" ht="15" hidden="false" customHeight="false" outlineLevel="0" collapsed="false">
      <c r="A11" s="0" t="s">
        <v>56</v>
      </c>
      <c r="F11" s="0" t="n">
        <v>9</v>
      </c>
      <c r="G11" s="0" t="s">
        <v>251</v>
      </c>
    </row>
    <row r="12" customFormat="false" ht="15" hidden="false" customHeight="false" outlineLevel="0" collapsed="false">
      <c r="A12" s="0" t="s">
        <v>252</v>
      </c>
      <c r="F12" s="0" t="n">
        <v>10</v>
      </c>
      <c r="G12" s="0" t="s">
        <v>253</v>
      </c>
    </row>
    <row r="13" customFormat="false" ht="15" hidden="false" customHeight="false" outlineLevel="0" collapsed="false">
      <c r="A13" s="0" t="s">
        <v>254</v>
      </c>
      <c r="F13" s="0" t="n">
        <v>11</v>
      </c>
      <c r="G13" s="0" t="s">
        <v>255</v>
      </c>
    </row>
    <row r="14" customFormat="false" ht="15" hidden="false" customHeight="false" outlineLevel="0" collapsed="false">
      <c r="F14" s="0" t="n">
        <v>12</v>
      </c>
      <c r="G14" s="0" t="s">
        <v>256</v>
      </c>
    </row>
    <row r="15" customFormat="false" ht="15" hidden="false" customHeight="false" outlineLevel="0" collapsed="false">
      <c r="F15" s="0" t="n">
        <v>13</v>
      </c>
      <c r="G15" s="0" t="s">
        <v>257</v>
      </c>
    </row>
    <row r="16" customFormat="false" ht="15" hidden="false" customHeight="false" outlineLevel="0" collapsed="false">
      <c r="F16" s="0" t="n">
        <v>14</v>
      </c>
      <c r="G16" s="0" t="s">
        <v>258</v>
      </c>
    </row>
    <row r="17" customFormat="false" ht="15" hidden="false" customHeight="false" outlineLevel="0" collapsed="false">
      <c r="F17" s="0" t="n">
        <v>15</v>
      </c>
      <c r="G17" s="0" t="s">
        <v>259</v>
      </c>
    </row>
    <row r="18" customFormat="false" ht="15" hidden="false" customHeight="false" outlineLevel="0" collapsed="false">
      <c r="F18" s="0" t="n">
        <v>16</v>
      </c>
      <c r="G18" s="0" t="s">
        <v>260</v>
      </c>
    </row>
    <row r="19" customFormat="false" ht="15" hidden="false" customHeight="false" outlineLevel="0" collapsed="false">
      <c r="F19" s="0" t="n">
        <v>17</v>
      </c>
      <c r="G19" s="0" t="s">
        <v>261</v>
      </c>
    </row>
    <row r="20" customFormat="false" ht="15" hidden="false" customHeight="false" outlineLevel="0" collapsed="false">
      <c r="F20" s="0" t="n">
        <v>18</v>
      </c>
      <c r="G20" s="0" t="s">
        <v>262</v>
      </c>
    </row>
    <row r="21" customFormat="false" ht="15" hidden="false" customHeight="false" outlineLevel="0" collapsed="false">
      <c r="F21" s="0" t="n">
        <v>19</v>
      </c>
      <c r="G21" s="0" t="s">
        <v>263</v>
      </c>
    </row>
    <row r="22" customFormat="false" ht="15" hidden="false" customHeight="false" outlineLevel="0" collapsed="false">
      <c r="F22" s="0" t="n">
        <v>20</v>
      </c>
      <c r="G22" s="0" t="s">
        <v>264</v>
      </c>
    </row>
    <row r="23" customFormat="false" ht="15" hidden="false" customHeight="false" outlineLevel="0" collapsed="false">
      <c r="F23" s="0" t="n">
        <v>21</v>
      </c>
      <c r="G23" s="0" t="s">
        <v>265</v>
      </c>
    </row>
    <row r="24" customFormat="false" ht="15" hidden="false" customHeight="false" outlineLevel="0" collapsed="false">
      <c r="F24" s="0" t="n">
        <v>22</v>
      </c>
      <c r="G24" s="0" t="s">
        <v>266</v>
      </c>
    </row>
    <row r="25" customFormat="false" ht="15" hidden="false" customHeight="false" outlineLevel="0" collapsed="false">
      <c r="F25" s="0" t="n">
        <v>23</v>
      </c>
      <c r="G25" s="0" t="s">
        <v>267</v>
      </c>
    </row>
    <row r="26" customFormat="false" ht="15" hidden="false" customHeight="false" outlineLevel="0" collapsed="false">
      <c r="F26" s="0" t="n">
        <v>24</v>
      </c>
      <c r="G26" s="0" t="s">
        <v>268</v>
      </c>
    </row>
    <row r="27" customFormat="false" ht="15" hidden="false" customHeight="false" outlineLevel="0" collapsed="false">
      <c r="F27" s="0" t="n">
        <v>25</v>
      </c>
      <c r="G27" s="0" t="s">
        <v>269</v>
      </c>
    </row>
    <row r="28" customFormat="false" ht="15" hidden="false" customHeight="false" outlineLevel="0" collapsed="false">
      <c r="F28" s="0" t="n">
        <v>26</v>
      </c>
      <c r="G28" s="0" t="s">
        <v>270</v>
      </c>
    </row>
    <row r="29" customFormat="false" ht="15" hidden="false" customHeight="false" outlineLevel="0" collapsed="false">
      <c r="F29" s="0" t="n">
        <v>27</v>
      </c>
      <c r="G29" s="0" t="s">
        <v>271</v>
      </c>
    </row>
    <row r="30" customFormat="false" ht="15" hidden="false" customHeight="false" outlineLevel="0" collapsed="false">
      <c r="F30" s="0" t="n">
        <v>28</v>
      </c>
      <c r="G30" s="0" t="s">
        <v>272</v>
      </c>
    </row>
    <row r="31" customFormat="false" ht="15" hidden="false" customHeight="false" outlineLevel="0" collapsed="false">
      <c r="F31" s="0" t="n">
        <v>29</v>
      </c>
      <c r="G31" s="0" t="s">
        <v>273</v>
      </c>
    </row>
    <row r="32" customFormat="false" ht="15" hidden="false" customHeight="false" outlineLevel="0" collapsed="false">
      <c r="F32" s="0" t="n">
        <v>30</v>
      </c>
      <c r="G32" s="0" t="s">
        <v>274</v>
      </c>
    </row>
    <row r="33" customFormat="false" ht="15" hidden="false" customHeight="false" outlineLevel="0" collapsed="false">
      <c r="F33" s="0" t="n">
        <v>31</v>
      </c>
      <c r="G33" s="0" t="s">
        <v>275</v>
      </c>
    </row>
    <row r="34" customFormat="false" ht="15" hidden="false" customHeight="false" outlineLevel="0" collapsed="false">
      <c r="F34" s="0" t="n">
        <v>32</v>
      </c>
      <c r="G34" s="0" t="s">
        <v>276</v>
      </c>
    </row>
    <row r="35" customFormat="false" ht="15" hidden="false" customHeight="false" outlineLevel="0" collapsed="false">
      <c r="F35" s="0" t="n">
        <v>33</v>
      </c>
      <c r="G35" s="0" t="s">
        <v>277</v>
      </c>
    </row>
    <row r="36" customFormat="false" ht="15" hidden="false" customHeight="false" outlineLevel="0" collapsed="false">
      <c r="F36" s="0" t="n">
        <v>34</v>
      </c>
      <c r="G36" s="0" t="s">
        <v>278</v>
      </c>
    </row>
    <row r="37" customFormat="false" ht="15" hidden="false" customHeight="false" outlineLevel="0" collapsed="false">
      <c r="F37" s="0" t="n">
        <v>35</v>
      </c>
      <c r="G37" s="0" t="s">
        <v>279</v>
      </c>
    </row>
    <row r="38" customFormat="false" ht="15" hidden="false" customHeight="false" outlineLevel="0" collapsed="false">
      <c r="F38" s="0" t="n">
        <v>36</v>
      </c>
      <c r="G38" s="0" t="s">
        <v>280</v>
      </c>
    </row>
    <row r="39" customFormat="false" ht="15" hidden="false" customHeight="false" outlineLevel="0" collapsed="false">
      <c r="F39" s="0" t="n">
        <v>37</v>
      </c>
      <c r="G39" s="0" t="s">
        <v>281</v>
      </c>
    </row>
    <row r="40" customFormat="false" ht="15" hidden="false" customHeight="false" outlineLevel="0" collapsed="false">
      <c r="F40" s="0" t="n">
        <v>38</v>
      </c>
      <c r="G40" s="0" t="s">
        <v>282</v>
      </c>
    </row>
    <row r="41" customFormat="false" ht="15" hidden="false" customHeight="false" outlineLevel="0" collapsed="false">
      <c r="F41" s="0" t="n">
        <v>39</v>
      </c>
      <c r="G41" s="0" t="s">
        <v>283</v>
      </c>
    </row>
    <row r="42" customFormat="false" ht="15" hidden="false" customHeight="false" outlineLevel="0" collapsed="false">
      <c r="F42" s="0" t="n">
        <v>40</v>
      </c>
      <c r="G42" s="0" t="s">
        <v>284</v>
      </c>
    </row>
    <row r="43" customFormat="false" ht="15" hidden="false" customHeight="false" outlineLevel="0" collapsed="false">
      <c r="F43" s="0" t="n">
        <v>41</v>
      </c>
      <c r="G43" s="0" t="s">
        <v>285</v>
      </c>
    </row>
    <row r="44" customFormat="false" ht="15" hidden="false" customHeight="false" outlineLevel="0" collapsed="false">
      <c r="F44" s="0" t="n">
        <v>42</v>
      </c>
      <c r="G44" s="0" t="s">
        <v>286</v>
      </c>
    </row>
    <row r="45" customFormat="false" ht="15" hidden="false" customHeight="false" outlineLevel="0" collapsed="false">
      <c r="F45" s="0" t="n">
        <v>43</v>
      </c>
      <c r="G45" s="0" t="s">
        <v>287</v>
      </c>
    </row>
    <row r="46" customFormat="false" ht="15" hidden="false" customHeight="false" outlineLevel="0" collapsed="false">
      <c r="F46" s="0" t="n">
        <v>44</v>
      </c>
      <c r="G46" s="0" t="s">
        <v>288</v>
      </c>
    </row>
    <row r="47" customFormat="false" ht="15" hidden="false" customHeight="false" outlineLevel="0" collapsed="false">
      <c r="F47" s="0" t="n">
        <v>45</v>
      </c>
      <c r="G47" s="0" t="s">
        <v>289</v>
      </c>
    </row>
    <row r="48" customFormat="false" ht="15" hidden="false" customHeight="false" outlineLevel="0" collapsed="false">
      <c r="F48" s="0" t="n">
        <v>46</v>
      </c>
      <c r="G48" s="0" t="s">
        <v>290</v>
      </c>
    </row>
    <row r="49" customFormat="false" ht="15" hidden="false" customHeight="false" outlineLevel="0" collapsed="false">
      <c r="F49" s="0" t="n">
        <v>47</v>
      </c>
      <c r="G49" s="0" t="s">
        <v>291</v>
      </c>
    </row>
    <row r="50" customFormat="false" ht="15" hidden="false" customHeight="false" outlineLevel="0" collapsed="false">
      <c r="F50" s="0" t="n">
        <v>48</v>
      </c>
      <c r="G50" s="0" t="s">
        <v>292</v>
      </c>
    </row>
    <row r="51" customFormat="false" ht="15" hidden="false" customHeight="false" outlineLevel="0" collapsed="false">
      <c r="F51" s="0" t="n">
        <v>49</v>
      </c>
      <c r="G51" s="0" t="s">
        <v>293</v>
      </c>
    </row>
    <row r="52" customFormat="false" ht="15" hidden="false" customHeight="false" outlineLevel="0" collapsed="false">
      <c r="F52" s="0" t="n">
        <v>50</v>
      </c>
      <c r="G52" s="0" t="s">
        <v>294</v>
      </c>
    </row>
    <row r="53" customFormat="false" ht="15" hidden="false" customHeight="false" outlineLevel="0" collapsed="false">
      <c r="F53" s="0" t="n">
        <v>51</v>
      </c>
      <c r="G53" s="0" t="s">
        <v>295</v>
      </c>
    </row>
    <row r="54" customFormat="false" ht="15" hidden="false" customHeight="false" outlineLevel="0" collapsed="false">
      <c r="F54" s="0" t="n">
        <v>52</v>
      </c>
      <c r="G54" s="0" t="s">
        <v>296</v>
      </c>
    </row>
    <row r="55" customFormat="false" ht="15" hidden="false" customHeight="false" outlineLevel="0" collapsed="false">
      <c r="F55" s="0" t="n">
        <v>53</v>
      </c>
      <c r="G55" s="0" t="s">
        <v>297</v>
      </c>
    </row>
    <row r="56" customFormat="false" ht="15" hidden="false" customHeight="false" outlineLevel="0" collapsed="false">
      <c r="F56" s="0" t="n">
        <v>54</v>
      </c>
      <c r="G56" s="0" t="s">
        <v>298</v>
      </c>
    </row>
    <row r="57" customFormat="false" ht="15" hidden="false" customHeight="false" outlineLevel="0" collapsed="false">
      <c r="F57" s="0" t="n">
        <v>55</v>
      </c>
      <c r="G57" s="0" t="s">
        <v>299</v>
      </c>
    </row>
    <row r="58" customFormat="false" ht="15" hidden="false" customHeight="false" outlineLevel="0" collapsed="false">
      <c r="F58" s="0" t="n">
        <v>56</v>
      </c>
      <c r="G58" s="0" t="s">
        <v>300</v>
      </c>
    </row>
    <row r="59" customFormat="false" ht="15" hidden="false" customHeight="false" outlineLevel="0" collapsed="false">
      <c r="F59" s="0" t="n">
        <v>57</v>
      </c>
      <c r="G59" s="0" t="s">
        <v>301</v>
      </c>
    </row>
    <row r="60" customFormat="false" ht="15" hidden="false" customHeight="false" outlineLevel="0" collapsed="false">
      <c r="F60" s="0" t="n">
        <v>58</v>
      </c>
      <c r="G60" s="0" t="s">
        <v>302</v>
      </c>
    </row>
    <row r="61" customFormat="false" ht="15" hidden="false" customHeight="false" outlineLevel="0" collapsed="false">
      <c r="F61" s="0" t="n">
        <v>59</v>
      </c>
      <c r="G61" s="0" t="s">
        <v>303</v>
      </c>
    </row>
    <row r="62" customFormat="false" ht="15" hidden="false" customHeight="false" outlineLevel="0" collapsed="false">
      <c r="F62" s="0" t="n">
        <v>60</v>
      </c>
      <c r="G62" s="0" t="s">
        <v>304</v>
      </c>
    </row>
    <row r="63" customFormat="false" ht="15" hidden="false" customHeight="false" outlineLevel="0" collapsed="false">
      <c r="F63" s="0" t="n">
        <v>61</v>
      </c>
      <c r="G63" s="0" t="s">
        <v>305</v>
      </c>
    </row>
    <row r="64" customFormat="false" ht="15" hidden="false" customHeight="false" outlineLevel="0" collapsed="false">
      <c r="F64" s="0" t="n">
        <v>62</v>
      </c>
      <c r="G64" s="0" t="s">
        <v>306</v>
      </c>
    </row>
    <row r="65" customFormat="false" ht="15" hidden="false" customHeight="false" outlineLevel="0" collapsed="false">
      <c r="F65" s="0" t="n">
        <v>63</v>
      </c>
      <c r="G65" s="0" t="s">
        <v>307</v>
      </c>
    </row>
    <row r="66" customFormat="false" ht="15" hidden="false" customHeight="false" outlineLevel="0" collapsed="false">
      <c r="F66" s="0" t="n">
        <v>64</v>
      </c>
      <c r="G66" s="0" t="s">
        <v>308</v>
      </c>
    </row>
    <row r="67" customFormat="false" ht="15" hidden="false" customHeight="false" outlineLevel="0" collapsed="false">
      <c r="F67" s="0" t="n">
        <v>65</v>
      </c>
      <c r="G67" s="0" t="s">
        <v>309</v>
      </c>
    </row>
    <row r="68" customFormat="false" ht="15" hidden="false" customHeight="false" outlineLevel="0" collapsed="false">
      <c r="F68" s="0" t="n">
        <v>66</v>
      </c>
      <c r="G68" s="0" t="s">
        <v>310</v>
      </c>
    </row>
    <row r="69" customFormat="false" ht="15" hidden="false" customHeight="false" outlineLevel="0" collapsed="false">
      <c r="F69" s="0" t="n">
        <v>67</v>
      </c>
      <c r="G69" s="0" t="s">
        <v>311</v>
      </c>
    </row>
    <row r="70" customFormat="false" ht="15" hidden="false" customHeight="false" outlineLevel="0" collapsed="false">
      <c r="F70" s="0" t="n">
        <v>68</v>
      </c>
      <c r="G70" s="0" t="s">
        <v>312</v>
      </c>
    </row>
    <row r="71" customFormat="false" ht="15" hidden="false" customHeight="false" outlineLevel="0" collapsed="false">
      <c r="F71" s="0" t="n">
        <v>69</v>
      </c>
      <c r="G71" s="0" t="s">
        <v>313</v>
      </c>
    </row>
    <row r="72" customFormat="false" ht="15" hidden="false" customHeight="false" outlineLevel="0" collapsed="false">
      <c r="F72" s="0" t="n">
        <v>70</v>
      </c>
      <c r="G72" s="0" t="s">
        <v>314</v>
      </c>
    </row>
    <row r="73" customFormat="false" ht="15" hidden="false" customHeight="false" outlineLevel="0" collapsed="false">
      <c r="F73" s="0" t="n">
        <v>71</v>
      </c>
      <c r="G73" s="0" t="s">
        <v>315</v>
      </c>
    </row>
    <row r="74" customFormat="false" ht="15" hidden="false" customHeight="false" outlineLevel="0" collapsed="false">
      <c r="F74" s="0" t="n">
        <v>72</v>
      </c>
      <c r="G74" s="0" t="s">
        <v>316</v>
      </c>
    </row>
    <row r="75" customFormat="false" ht="15" hidden="false" customHeight="false" outlineLevel="0" collapsed="false">
      <c r="F75" s="0" t="n">
        <v>73</v>
      </c>
      <c r="G75" s="0" t="s">
        <v>317</v>
      </c>
    </row>
    <row r="76" customFormat="false" ht="15" hidden="false" customHeight="false" outlineLevel="0" collapsed="false">
      <c r="F76" s="0" t="n">
        <v>74</v>
      </c>
      <c r="G76" s="0" t="s">
        <v>318</v>
      </c>
    </row>
    <row r="77" customFormat="false" ht="15" hidden="false" customHeight="false" outlineLevel="0" collapsed="false">
      <c r="F77" s="0" t="n">
        <v>75</v>
      </c>
      <c r="G77" s="0" t="s">
        <v>319</v>
      </c>
    </row>
    <row r="78" customFormat="false" ht="15" hidden="false" customHeight="false" outlineLevel="0" collapsed="false">
      <c r="F78" s="0" t="n">
        <v>76</v>
      </c>
      <c r="G78" s="0" t="s">
        <v>320</v>
      </c>
    </row>
    <row r="79" customFormat="false" ht="15" hidden="false" customHeight="false" outlineLevel="0" collapsed="false">
      <c r="F79" s="0" t="n">
        <v>77</v>
      </c>
      <c r="G79" s="0" t="s">
        <v>321</v>
      </c>
    </row>
    <row r="80" customFormat="false" ht="15" hidden="false" customHeight="false" outlineLevel="0" collapsed="false">
      <c r="F80" s="0" t="n">
        <v>78</v>
      </c>
      <c r="G80" s="0" t="s">
        <v>322</v>
      </c>
    </row>
    <row r="81" customFormat="false" ht="15" hidden="false" customHeight="false" outlineLevel="0" collapsed="false">
      <c r="F81" s="0" t="n">
        <v>79</v>
      </c>
      <c r="G81" s="0" t="s">
        <v>323</v>
      </c>
    </row>
    <row r="82" customFormat="false" ht="15" hidden="false" customHeight="false" outlineLevel="0" collapsed="false">
      <c r="F82" s="0" t="n">
        <v>80</v>
      </c>
      <c r="G82" s="0" t="s">
        <v>324</v>
      </c>
    </row>
    <row r="83" customFormat="false" ht="15" hidden="false" customHeight="false" outlineLevel="0" collapsed="false">
      <c r="F83" s="0" t="n">
        <v>81</v>
      </c>
      <c r="G83" s="0" t="s">
        <v>325</v>
      </c>
    </row>
    <row r="84" customFormat="false" ht="15" hidden="false" customHeight="false" outlineLevel="0" collapsed="false">
      <c r="F84" s="0" t="n">
        <v>82</v>
      </c>
      <c r="G84" s="0" t="s">
        <v>326</v>
      </c>
    </row>
    <row r="85" customFormat="false" ht="15" hidden="false" customHeight="false" outlineLevel="0" collapsed="false">
      <c r="F85" s="0" t="n">
        <v>83</v>
      </c>
      <c r="G85" s="0" t="s">
        <v>327</v>
      </c>
    </row>
    <row r="86" customFormat="false" ht="15" hidden="false" customHeight="false" outlineLevel="0" collapsed="false">
      <c r="F86" s="0" t="n">
        <v>84</v>
      </c>
      <c r="G86" s="0" t="s">
        <v>328</v>
      </c>
    </row>
    <row r="87" customFormat="false" ht="15" hidden="false" customHeight="false" outlineLevel="0" collapsed="false">
      <c r="F87" s="0" t="n">
        <v>85</v>
      </c>
      <c r="G87" s="0" t="s">
        <v>329</v>
      </c>
    </row>
    <row r="88" customFormat="false" ht="15" hidden="false" customHeight="false" outlineLevel="0" collapsed="false">
      <c r="F88" s="0" t="n">
        <v>86</v>
      </c>
      <c r="G88" s="0" t="s">
        <v>330</v>
      </c>
    </row>
    <row r="89" customFormat="false" ht="15" hidden="false" customHeight="false" outlineLevel="0" collapsed="false">
      <c r="F89" s="0" t="n">
        <v>87</v>
      </c>
      <c r="G89" s="0" t="s">
        <v>331</v>
      </c>
    </row>
    <row r="90" customFormat="false" ht="15" hidden="false" customHeight="false" outlineLevel="0" collapsed="false">
      <c r="F90" s="0" t="n">
        <v>88</v>
      </c>
      <c r="G90" s="0" t="s">
        <v>332</v>
      </c>
    </row>
    <row r="91" customFormat="false" ht="15" hidden="false" customHeight="false" outlineLevel="0" collapsed="false">
      <c r="F91" s="0" t="n">
        <v>89</v>
      </c>
      <c r="G91" s="0" t="s">
        <v>333</v>
      </c>
    </row>
    <row r="92" customFormat="false" ht="15" hidden="false" customHeight="false" outlineLevel="0" collapsed="false">
      <c r="F92" s="0" t="n">
        <v>90</v>
      </c>
      <c r="G92" s="0" t="s">
        <v>334</v>
      </c>
    </row>
    <row r="93" customFormat="false" ht="15" hidden="false" customHeight="false" outlineLevel="0" collapsed="false">
      <c r="F93" s="0" t="n">
        <v>91</v>
      </c>
      <c r="G93" s="0" t="s">
        <v>335</v>
      </c>
    </row>
    <row r="94" customFormat="false" ht="15" hidden="false" customHeight="false" outlineLevel="0" collapsed="false">
      <c r="F94" s="0" t="n">
        <v>92</v>
      </c>
      <c r="G94" s="0" t="s">
        <v>336</v>
      </c>
    </row>
    <row r="95" customFormat="false" ht="15" hidden="false" customHeight="false" outlineLevel="0" collapsed="false">
      <c r="F95" s="0" t="n">
        <v>93</v>
      </c>
      <c r="G95" s="0" t="s">
        <v>337</v>
      </c>
    </row>
    <row r="96" customFormat="false" ht="15" hidden="false" customHeight="false" outlineLevel="0" collapsed="false">
      <c r="F96" s="0" t="n">
        <v>94</v>
      </c>
      <c r="G96" s="0" t="s">
        <v>338</v>
      </c>
    </row>
    <row r="97" customFormat="false" ht="15" hidden="false" customHeight="false" outlineLevel="0" collapsed="false">
      <c r="F97" s="0" t="n">
        <v>95</v>
      </c>
      <c r="G97" s="0" t="s">
        <v>339</v>
      </c>
    </row>
    <row r="98" customFormat="false" ht="15" hidden="false" customHeight="false" outlineLevel="0" collapsed="false">
      <c r="F98" s="0" t="n">
        <v>96</v>
      </c>
      <c r="G98" s="0" t="s">
        <v>340</v>
      </c>
    </row>
    <row r="99" customFormat="false" ht="15" hidden="false" customHeight="false" outlineLevel="0" collapsed="false">
      <c r="F99" s="0" t="n">
        <v>97</v>
      </c>
      <c r="G99" s="0" t="s">
        <v>341</v>
      </c>
    </row>
    <row r="100" customFormat="false" ht="15" hidden="false" customHeight="false" outlineLevel="0" collapsed="false">
      <c r="F100" s="0" t="n">
        <v>98</v>
      </c>
      <c r="G100" s="0" t="s">
        <v>342</v>
      </c>
    </row>
    <row r="101" customFormat="false" ht="15" hidden="false" customHeight="false" outlineLevel="0" collapsed="false">
      <c r="F101" s="0" t="n">
        <v>99</v>
      </c>
      <c r="G101" s="0" t="s">
        <v>343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2026-09-30T14:02:33Z</dcterms:created>
  <dc:creator>Xplorexcel.com</dc:creator>
  <dc:description/>
  <dc:language>en-US</dc:language>
  <cp:lastModifiedBy/>
  <dcterms:modified xsi:type="dcterms:W3CDTF">2026-09-30T14:02:34Z</dcterms:modified>
  <cp:revision>0</cp:revision>
  <dc:subject/>
  <dc:title>Attendance and Salary Sheet with Salary Slip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