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md89B8rMFYLkxAXs7uUzHNnatgCSWvZ8RewXMQ9mQEiPGhHc0k/8EWxah4sDlbqrwQ2h8QmsM4vmNJ4b0CR3QA==" workbookSaltValue="LEF4qkCztWzDjeNZHAEIPA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Setup" sheetId="3" state="visible" r:id="rId5"/>
    <sheet name="Cash Book" sheetId="4" state="visible" r:id="rId6"/>
    <sheet name="Bank Statement" sheetId="5" state="visible" r:id="rId7"/>
    <sheet name="Reconciling Items" sheetId="6" state="visible" r:id="rId8"/>
    <sheet name="BRS" sheetId="7" state="visible" r:id="rId9"/>
    <sheet name="Lists" sheetId="8" state="hidden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<sst xmlns="http://schemas.openxmlformats.org/spreadsheetml/2006/main" count="185" uniqueCount="157">
  <si>
    <t xml:space="preserve">Bank Reconciliation Statement</t>
  </si>
  <si>
    <t xml:space="preserve">GO TO SHEET</t>
  </si>
  <si>
    <t xml:space="preserve">POSITION</t>
  </si>
  <si>
    <t xml:space="preserve">Amount (₹)</t>
  </si>
  <si>
    <t xml:space="preserve">Bank, period, closing balances</t>
  </si>
  <si>
    <t xml:space="preserve">Balance as per cash book</t>
  </si>
  <si>
    <t xml:space="preserve">Not presented</t>
  </si>
  <si>
    <t xml:space="preserve">Your bank-column entries</t>
  </si>
  <si>
    <t xml:space="preserve">Balance as per bank statement</t>
  </si>
  <si>
    <t xml:space="preserve">Not credited</t>
  </si>
  <si>
    <t xml:space="preserve">Paste from bank download</t>
  </si>
  <si>
    <t xml:space="preserve">Cash book entries matched</t>
  </si>
  <si>
    <t xml:space="preserve">Bank credits</t>
  </si>
  <si>
    <t xml:space="preserve">Everything that didn't match</t>
  </si>
  <si>
    <t xml:space="preserve">Cheques not yet presented</t>
  </si>
  <si>
    <t xml:space="preserve">Bank debits</t>
  </si>
  <si>
    <t xml:space="preserve">Printable statement</t>
  </si>
  <si>
    <t xml:space="preserve">Deposits not yet credited</t>
  </si>
  <si>
    <t xml:space="preserve">Features &amp; steps</t>
  </si>
  <si>
    <t xml:space="preserve">Bank-only entries to record (total)</t>
  </si>
  <si>
    <t xml:space="preserve">Difference</t>
  </si>
  <si>
    <t xml:space="preserve">Checks</t>
  </si>
  <si>
    <t xml:space="preserve">Designed by</t>
  </si>
  <si>
    <t xml:space="preserve">Check out our templates @ xplorexcel.com</t>
  </si>
  <si>
    <t xml:space="preserve">◄ BACK TO DASHBOARD</t>
  </si>
  <si>
    <t xml:space="preserve">Features of Bank Reconciliation Statement 1.0 in Microsoft Excel :-</t>
  </si>
  <si>
    <t xml:space="preserve">Life-time free – no macros, works in Excel 2010+, Excel for Mac and Google Sheets</t>
  </si>
  <si>
    <t xml:space="preserve">Cash Book sheet (bank column) and Bank Statement sheet for up to 500 entries each – paste straight from your bank's Excel / CSV download</t>
  </si>
  <si>
    <t xml:space="preserve">Automatic matching: first by cheque / UTR number and amount, then by amount within a date window you choose</t>
  </si>
  <si>
    <t xml:space="preserve">Handles repeated amounts – two payments of the same value are paired in date order</t>
  </si>
  <si>
    <t xml:space="preserve">Reconciling Items sheet: cheques not presented, deposits not credited, bank credits and debits not in your books</t>
  </si>
  <si>
    <t xml:space="preserve">Printable BRS in the standard two-part format, with adjusted cash book balance and difference check</t>
  </si>
  <si>
    <t xml:space="preserve">Error checks: missing dates, both columns filled, cheque number used twice, bank balance that does not follow</t>
  </si>
  <si>
    <t xml:space="preserve">Dashboard with matched entries, reconciling items, a 30-day follow-up alert and a chart</t>
  </si>
  <si>
    <t xml:space="preserve">How to use it (5 steps)</t>
  </si>
  <si>
    <t xml:space="preserve">Step 1</t>
  </si>
  <si>
    <t xml:space="preserve">Setup – bank name, period, and the closing balance as per your cash book and as per the bank statement.</t>
  </si>
  <si>
    <t xml:space="preserve">Step 2</t>
  </si>
  <si>
    <t xml:space="preserve">Cash Book – enter (or paste) the bank-column entries of your cash book for the period, plus last month's uncleared cheques with their original dates.</t>
  </si>
  <si>
    <t xml:space="preserve">Step 3</t>
  </si>
  <si>
    <t xml:space="preserve">Bank Statement – paste date, narration, cheque / ref no., withdrawal, deposit and balance from your bank statement.</t>
  </si>
  <si>
    <t xml:space="preserve">Step 4</t>
  </si>
  <si>
    <t xml:space="preserve">Reconciling Items – review what did not match. Record bank charges, interest, ECS and direct deposits in your cash book.</t>
  </si>
  <si>
    <t xml:space="preserve">Step 5</t>
  </si>
  <si>
    <t xml:space="preserve">BRS – print or save as PDF. The difference must be zero; if not, the checks on the Dashboard show where to look.</t>
  </si>
  <si>
    <t xml:space="preserve">Matching rule: entries with the same cheque / UTR number and amount match regardless of date. Entries without a common number match by amount when the dates are within the window in Setup (default ±10 days).</t>
  </si>
  <si>
    <t xml:space="preserve">Want the cash book, bank book, ledgers and GST returns built for you? See XploreBooks – GST Accounting &amp; Inventory in Excel on xplorexcel.com.</t>
  </si>
  <si>
    <t xml:space="preserve">Business, bank account &amp; balances</t>
  </si>
  <si>
    <t xml:space="preserve">Business name</t>
  </si>
  <si>
    <t xml:space="preserve">Xplore Electricals</t>
  </si>
  <si>
    <t xml:space="preserve">Bank name</t>
  </si>
  <si>
    <t xml:space="preserve">State Bank of India</t>
  </si>
  <si>
    <t xml:space="preserve">Account no. (last 4 digits)</t>
  </si>
  <si>
    <t xml:space="preserve">XXXX 4521</t>
  </si>
  <si>
    <t xml:space="preserve">Statement period from</t>
  </si>
  <si>
    <t xml:space="preserve">Reconcile as on (period to)</t>
  </si>
  <si>
    <t xml:space="preserve">Closing balance as per CASH BOOK (₹)</t>
  </si>
  <si>
    <t xml:space="preserve">Closing balance as per BANK STATEMENT (₹)</t>
  </si>
  <si>
    <t xml:space="preserve">Date window for matching (± days)</t>
  </si>
  <si>
    <t xml:space="preserve">Balances: enter money in the bank as a positive number. If the account is overdrawn (OD / CC), enter it as negative. Last month's uncleared cheques: enter them again on the Cash Book sheet with their original dates – they will match when they appear on this month's statement. Date window: an entry with no cheque / reference number is matched by amount only if the bank date is within this many days of the cash book date.</t>
  </si>
  <si>
    <t xml:space="preserve">Cash book – bank column</t>
  </si>
  <si>
    <t xml:space="preserve">Enter every entry of your cash book's BANK column (or bank account ledger) for the period. Deposit = money into the bank; Payment = money out of the bank. Cheque / UTR numbers help the matching but are optional.</t>
  </si>
  <si>
    <t xml:space="preserve">#</t>
  </si>
  <si>
    <t xml:space="preserve">Date</t>
  </si>
  <si>
    <t xml:space="preserve">Voucher no.</t>
  </si>
  <si>
    <t xml:space="preserve">Particulars</t>
  </si>
  <si>
    <t xml:space="preserve">Cheque / UTR no.</t>
  </si>
  <si>
    <t xml:space="preserve">Deposit (₹)</t>
  </si>
  <si>
    <t xml:space="preserve">Payment (₹)</t>
  </si>
  <si>
    <t xml:space="preserve">Status</t>
  </si>
  <si>
    <t xml:space="preserve">Bank row #</t>
  </si>
  <si>
    <t xml:space="preserve">Days gap</t>
  </si>
  <si>
    <t xml:space="preserve">Check</t>
  </si>
  <si>
    <t xml:space="preserve">R/101</t>
  </si>
  <si>
    <t xml:space="preserve">Cash deposited</t>
  </si>
  <si>
    <t xml:space="preserve">P/201</t>
  </si>
  <si>
    <t xml:space="preserve">Punjab Cables – cheque</t>
  </si>
  <si>
    <t xml:space="preserve">000781</t>
  </si>
  <si>
    <t xml:space="preserve">R/102</t>
  </si>
  <si>
    <t xml:space="preserve">Verma Traders – cheque received</t>
  </si>
  <si>
    <t xml:space="preserve">456123</t>
  </si>
  <si>
    <t xml:space="preserve">P/202</t>
  </si>
  <si>
    <t xml:space="preserve">Shop rent – UPI</t>
  </si>
  <si>
    <t xml:space="preserve">P/203</t>
  </si>
  <si>
    <t xml:space="preserve">Wire House Pvt Ltd – RTGS</t>
  </si>
  <si>
    <t xml:space="preserve">SBINR52026091012</t>
  </si>
  <si>
    <t xml:space="preserve">R/103</t>
  </si>
  <si>
    <t xml:space="preserve">P/204</t>
  </si>
  <si>
    <t xml:space="preserve">Electricity bill – PSPCL</t>
  </si>
  <si>
    <t xml:space="preserve">P/205</t>
  </si>
  <si>
    <t xml:space="preserve">Kaur Packaging – UPI</t>
  </si>
  <si>
    <t xml:space="preserve">R/104</t>
  </si>
  <si>
    <t xml:space="preserve">Sharma Electricals – NEFT received</t>
  </si>
  <si>
    <t xml:space="preserve">P/206</t>
  </si>
  <si>
    <t xml:space="preserve">Staff salary – cheque</t>
  </si>
  <si>
    <t xml:space="preserve">000782</t>
  </si>
  <si>
    <t xml:space="preserve">R/105</t>
  </si>
  <si>
    <t xml:space="preserve">P/207</t>
  </si>
  <si>
    <t xml:space="preserve">GST payment – Sep</t>
  </si>
  <si>
    <t xml:space="preserve">P/208</t>
  </si>
  <si>
    <t xml:space="preserve">Delhi Switchgear – cheque</t>
  </si>
  <si>
    <t xml:space="preserve">000783</t>
  </si>
  <si>
    <t xml:space="preserve">P/209</t>
  </si>
  <si>
    <t xml:space="preserve">Sharma Lighting Co. – cheque</t>
  </si>
  <si>
    <t xml:space="preserve">000784</t>
  </si>
  <si>
    <t xml:space="preserve">R/106</t>
  </si>
  <si>
    <t xml:space="preserve">Gill Electricals – cheque deposited</t>
  </si>
  <si>
    <t xml:space="preserve">456789</t>
  </si>
  <si>
    <t xml:space="preserve">R/107</t>
  </si>
  <si>
    <t xml:space="preserve">Bank statement</t>
  </si>
  <si>
    <t xml:space="preserve">Copy the entries from your bank statement (Excel / CSV download or passbook) into the yellow columns. Withdrawal = debit, Deposit = credit. The Balance column is optional – if filled, every row is checked so pasting mistakes show up.</t>
  </si>
  <si>
    <t xml:space="preserve">Description / narration</t>
  </si>
  <si>
    <t xml:space="preserve">Cheque / ref no.</t>
  </si>
  <si>
    <t xml:space="preserve">Withdrawal (₹)</t>
  </si>
  <si>
    <t xml:space="preserve">Balance (₹)</t>
  </si>
  <si>
    <t xml:space="preserve">Cash book row #</t>
  </si>
  <si>
    <t xml:space="preserve">CASH DEPOSIT – BRANCH</t>
  </si>
  <si>
    <t xml:space="preserve">CHQ PAID – 000781 PUNJAB CABLES</t>
  </si>
  <si>
    <t xml:space="preserve">CLG CHQ 456123 VERMA TRADERS</t>
  </si>
  <si>
    <t xml:space="preserve">UPI/DR/626012345/RENT</t>
  </si>
  <si>
    <t xml:space="preserve">NEFT CR – BAJWA BUILDERS</t>
  </si>
  <si>
    <t xml:space="preserve">RTGS DR – WIRE HOUSE PVT LTD</t>
  </si>
  <si>
    <t xml:space="preserve">NACH DR – HDFC LOAN EMI</t>
  </si>
  <si>
    <t xml:space="preserve">BILLDESK – PSPCL</t>
  </si>
  <si>
    <t xml:space="preserve">UPI/DR/626098765/KAUR PACK</t>
  </si>
  <si>
    <t xml:space="preserve">NEFT CR – SHARMA ELECTRICALS</t>
  </si>
  <si>
    <t xml:space="preserve">CHQ PAID – 000782</t>
  </si>
  <si>
    <t xml:space="preserve">GST CHALLAN – CPIN 2609</t>
  </si>
  <si>
    <t xml:space="preserve">SMS ALERT CHARGES</t>
  </si>
  <si>
    <t xml:space="preserve">SERVICE CHARGES INCL GST</t>
  </si>
  <si>
    <t xml:space="preserve">INTEREST CREDIT</t>
  </si>
  <si>
    <t xml:space="preserve">Reconciling items – everything that did not match</t>
  </si>
  <si>
    <t xml:space="preserve">Listed automatically, grouped by type. Types 3 and 4 are entries the bank made that are not in your books yet: record them in your cash book (interest, charges, ECS / NACH, direct deposits).</t>
  </si>
  <si>
    <t xml:space="preserve">Items</t>
  </si>
  <si>
    <t xml:space="preserve">Type</t>
  </si>
  <si>
    <t xml:space="preserve">Cheque / ref</t>
  </si>
  <si>
    <t xml:space="preserve">Effect on BRS</t>
  </si>
  <si>
    <t xml:space="preserve">What to do</t>
  </si>
  <si>
    <t xml:space="preserve">PART A – Correct the cash book</t>
  </si>
  <si>
    <t xml:space="preserve">Adjusted (corrected) cash book balance</t>
  </si>
  <si>
    <t xml:space="preserve">PART B – Reconcile with the bank statement</t>
  </si>
  <si>
    <t xml:space="preserve">Adjusted cash book balance</t>
  </si>
  <si>
    <t xml:space="preserve">Balance as per bank statement – calculated</t>
  </si>
  <si>
    <t xml:space="preserve">Balance as per bank statement – actual (from Setup)</t>
  </si>
  <si>
    <t xml:space="preserve">Difference (should be zero)</t>
  </si>
  <si>
    <t xml:space="preserve">Details of every item: see the Reconciling Items sheet.</t>
  </si>
  <si>
    <t xml:space="preserve">Prepared by: ____________________</t>
  </si>
  <si>
    <t xml:space="preserve">Checked by: ____________________</t>
  </si>
  <si>
    <t xml:space="preserve">Cheques issued, not yet presented</t>
  </si>
  <si>
    <t xml:space="preserve">Add</t>
  </si>
  <si>
    <t xml:space="preserve">Wait – clears when the bank presents it</t>
  </si>
  <si>
    <t xml:space="preserve">Deposited, not yet credited by bank</t>
  </si>
  <si>
    <t xml:space="preserve">Less</t>
  </si>
  <si>
    <t xml:space="preserve">Follow up if not credited in 3 working days</t>
  </si>
  <si>
    <t xml:space="preserve">Credited by bank, not in cash book</t>
  </si>
  <si>
    <t xml:space="preserve">Record in cash book</t>
  </si>
  <si>
    <t xml:space="preserve">Debited by bank, not in cash book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</si>
</sst>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##,##0.00;\(###,##0.00\);\-"/>
    <numFmt numFmtId="166" formatCode="###,##0"/>
    <numFmt numFmtId="167" formatCode="@"/>
    <numFmt numFmtId="168" formatCode="dd\ mmm\ yyyy"/>
    <numFmt numFmtId="169" formatCode="0"/>
    <numFmt numFmtId="170" formatCode="General"/>
    <numFmt numFmtId="171" formatCode="dd\-mmm\-yy"/>
    <numFmt numFmtId="172" formatCode="0;\-0;0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sz val="8"/>
      <color rgb="FFBFBFBF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9"/>
      <color rgb="FF7F7F7F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6"/>
      <color rgb="FF002060"/>
      <name val="Cambria"/>
      <family val="0"/>
      <charset val="1"/>
    </font>
    <font>
      <b val="true"/>
      <sz val="14"/>
      <color rgb="FFFFFFFF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sz val="11"/>
      <color rgb="FF000000"/>
      <name val="Cambria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BF8F00"/>
        <bgColor rgb="FF808000"/>
      </patternFill>
    </fill>
    <fill>
      <patternFill patternType="solid">
        <fgColor rgb="FF002060"/>
        <bgColor rgb="FF000080"/>
      </patternFill>
    </fill>
    <fill>
      <patternFill patternType="solid">
        <fgColor rgb="FFE2EFDA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1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applyProtection="true" numFmtId="164" fontId="5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7" fontId="5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5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5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5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1" fontId="28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7" fontId="28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8" fillId="6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5" fontId="28" fillId="6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>
          <bgColor rgb="FF006838"/>
        </patternFill>
      </fill>
    </dxf>
    <dxf>
      <fill>
        <patternFill>
          <bgColor rgb="FFC00000"/>
        </patternFill>
      </fill>
    </dxf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838"/>
      </font>
    </dxf>
    <dxf>
      <font>
        <b val="1"/>
        <color rgb="FF9C5700"/>
      </font>
      <fill>
        <patternFill>
          <bgColor rgb="FFFFEB9C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A6A6A6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EB9C"/>
      <rgbColor rgb="FF99CCFF"/>
      <rgbColor rgb="FFFCE4D6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666699"/>
      <rgbColor rgb="FF878787"/>
      <rgbColor rgb="FF002060"/>
      <rgbColor rgb="FF20AD9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Reconciling items (₹)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Dashboard!J8</c:f>
              <c:strCache>
                <c:ptCount val="1"/>
                <c:pt idx="0">
                  <c:v>Amount (₹)</c:v>
                </c:pt>
              </c:strCache>
            </c:strRef>
          </c:tx>
          <c:spPr>
            <a:solidFill>
              <a:srgbClr val="00206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Dashboard!$I$9:$I$12</c:f>
              <c:strCache>
                <c:ptCount val="4"/>
                <c:pt idx="0">
                  <c:v>Not presented</c:v>
                </c:pt>
                <c:pt idx="1">
                  <c:v>Not credited</c:v>
                </c:pt>
                <c:pt idx="2">
                  <c:v>Bank credits</c:v>
                </c:pt>
                <c:pt idx="3">
                  <c:v>Bank debits</c:v>
                </c:pt>
              </c:strCache>
            </c:strRef>
          </c:cat>
          <c:val>
            <c:numRef>
              <c:f>Dashboard!$J$9:$J$12</c:f>
              <c:numCache>
                <c:formatCode>General</c:formatCode>
                <c:ptCount val="4"/>
                <c:pt idx="0">
                  <c:v>30120</c:v>
                </c:pt>
                <c:pt idx="1">
                  <c:v>15340</c:v>
                </c:pt>
                <c:pt idx="2">
                  <c:v>9852</c:v>
                </c:pt>
                <c:pt idx="3">
                  <c:v>11503.7</c:v>
                </c:pt>
              </c:numCache>
            </c:numRef>
          </c:val>
        </c:ser>
        <c:gapWidth val="150"/>
        <c:overlap val="0"/>
        <c:axId val="44309315"/>
        <c:axId val="22876219"/>
      </c:barChart>
      <c:catAx>
        <c:axId val="443093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876219"/>
        <c:crosses val="autoZero"/>
        <c:auto val="1"/>
        <c:lblAlgn val="ctr"/>
        <c:lblOffset val="100"/>
        <c:noMultiLvlLbl val="0"/>
      </c:catAx>
      <c:valAx>
        <c:axId val="22876219"/>
        <c:scaling>
          <c:orientation val="minMax"/>
        </c:scaling>
        <c:delete val="0"/>
        <c:axPos val="l"/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309315"/>
        <c:crosses val="autoZero"/>
        <c:crossBetween val="between"/>
      </c:valAx>
      <c:spPr>
        <a:noFill/>
        <a:ln w="0">
          <a:noFill/>
        </a:ln>
      </c:spPr>
    </c:plotArea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25</xdr:row>
      <xdr:rowOff>0</xdr:rowOff>
    </xdr:from>
    <xdr:to>
      <xdr:col>5</xdr:col>
      <xdr:colOff>856080</xdr:colOff>
      <xdr:row>39</xdr:row>
      <xdr:rowOff>32760</xdr:rowOff>
    </xdr:to>
    <xdr:graphicFrame>
      <xdr:nvGraphicFramePr>
        <xdr:cNvPr id="0" name="Chart 1"/>
        <xdr:cNvGraphicFramePr/>
      </xdr:nvGraphicFramePr>
      <xdr:xfrm>
        <a:off x="141120" y="6124680"/>
        <a:ext cx="71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1142640</xdr:colOff>
      <xdr:row>43</xdr:row>
      <xdr:rowOff>190080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6484680" y="936324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15</xdr:row>
      <xdr:rowOff>315720</xdr:rowOff>
    </xdr:from>
    <xdr:to>
      <xdr:col>1</xdr:col>
      <xdr:colOff>1904760</xdr:colOff>
      <xdr:row>18</xdr:row>
      <xdr:rowOff>212760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423000" y="400068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26</xdr:row>
      <xdr:rowOff>130680</xdr:rowOff>
    </xdr:from>
    <xdr:to>
      <xdr:col>1</xdr:col>
      <xdr:colOff>1142640</xdr:colOff>
      <xdr:row>28</xdr:row>
      <xdr:rowOff>130320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211320" y="642924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Bank%20Reconciliation%20Statement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Bank%20Reconciliation%20Statement%201.0%20by%20Xplorexcel.com.xlsx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Bank%20Reconciliation%20Statement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Bank%20Reconciliation%20Statement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Bank%20Reconciliation%20Statement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Bank%20Reconciliation%20Statement%201.0%20by%20Xplorexcel.com.xlsx" TargetMode="External"/><Relationship Id="rId2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J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4"/>
    <col collapsed="false" customWidth="true" hidden="false" outlineLevel="0" max="5" min="5" style="0" width="36"/>
    <col collapsed="false" customWidth="true" hidden="false" outlineLevel="0" max="6" min="6" style="0" width="18"/>
    <col collapsed="false" customWidth="true" hidden="false" outlineLevel="0" max="7" min="7" style="0" width="4"/>
    <col collapsed="false" customWidth="true" hidden="true" outlineLevel="0" max="10" min="9" style="0" width="13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Setup!$C$4&amp;"  •  "&amp;Setup!$C$5&amp;"  •  as on "&amp;TEXT(Setup!$C$8,"dd mmm yyyy")</f>
        <v>Xplore Electricals  •  State Bank of India  •  as on 30 Sep 2026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  <c r="J8" s="4" t="s">
        <v>3</v>
      </c>
    </row>
    <row r="9" customFormat="false" ht="24" hidden="false" customHeight="true" outlineLevel="0" collapsed="false">
      <c r="B9" s="5" t="str">
        <f aca="false">HYPERLINK("#'Setup'!A1","1. Setup  ►")</f>
        <v>1. Setup  ►</v>
      </c>
      <c r="C9" s="6" t="s">
        <v>4</v>
      </c>
      <c r="E9" s="7" t="s">
        <v>5</v>
      </c>
      <c r="F9" s="8" t="n">
        <f aca="false">Setup!$C$9</f>
        <v>130154</v>
      </c>
      <c r="I9" s="9" t="s">
        <v>6</v>
      </c>
      <c r="J9" s="9" t="n">
        <f aca="false">ABS(BRS!C14)</f>
        <v>30120</v>
      </c>
    </row>
    <row r="10" customFormat="false" ht="24" hidden="false" customHeight="true" outlineLevel="0" collapsed="false">
      <c r="B10" s="5" t="str">
        <f aca="false">HYPERLINK("#'Cash Book'!A1","2. Cash Book  ►")</f>
        <v>2. Cash Book  ►</v>
      </c>
      <c r="C10" s="6" t="s">
        <v>7</v>
      </c>
      <c r="E10" s="7" t="s">
        <v>8</v>
      </c>
      <c r="F10" s="8" t="n">
        <f aca="false">Setup!$C$10</f>
        <v>143282.3</v>
      </c>
      <c r="I10" s="9" t="s">
        <v>9</v>
      </c>
      <c r="J10" s="9" t="n">
        <f aca="false">ABS(BRS!C15)</f>
        <v>15340</v>
      </c>
    </row>
    <row r="11" customFormat="false" ht="24" hidden="false" customHeight="true" outlineLevel="0" collapsed="false">
      <c r="B11" s="5" t="str">
        <f aca="false">HYPERLINK("#'Bank Statement'!A1","3. Bank Statement  ►")</f>
        <v>3. Bank Statement  ►</v>
      </c>
      <c r="C11" s="6" t="s">
        <v>10</v>
      </c>
      <c r="E11" s="7" t="s">
        <v>11</v>
      </c>
      <c r="F11" s="10" t="str">
        <f aca="false">COUNTIF('Cash Book'!$H$8:$H$507,"✔*")&amp;" of "&amp;COUNT('Cash Book'!$W$8:$W$507)-COUNTIF('Cash Book'!$W$8:$W$507,0)&amp;""</f>
        <v>13 of 16</v>
      </c>
      <c r="I11" s="9" t="s">
        <v>12</v>
      </c>
      <c r="J11" s="9" t="n">
        <f aca="false">ABS(BRS!C8)</f>
        <v>9852</v>
      </c>
    </row>
    <row r="12" customFormat="false" ht="24" hidden="false" customHeight="true" outlineLevel="0" collapsed="false">
      <c r="B12" s="5" t="str">
        <f aca="false">HYPERLINK("#'Reconciling Items'!A1","4. Reconciling Items  ►")</f>
        <v>4. Reconciling Items  ►</v>
      </c>
      <c r="C12" s="6" t="s">
        <v>13</v>
      </c>
      <c r="E12" s="7" t="s">
        <v>14</v>
      </c>
      <c r="F12" s="8" t="n">
        <f aca="false">BRS!C14</f>
        <v>30120</v>
      </c>
      <c r="I12" s="9" t="s">
        <v>15</v>
      </c>
      <c r="J12" s="9" t="n">
        <f aca="false">ABS(BRS!C9)</f>
        <v>11503.7</v>
      </c>
    </row>
    <row r="13" customFormat="false" ht="24" hidden="false" customHeight="true" outlineLevel="0" collapsed="false">
      <c r="B13" s="5" t="str">
        <f aca="false">HYPERLINK("#'BRS'!A1","5. BRS  ►")</f>
        <v>5. BRS  ►</v>
      </c>
      <c r="C13" s="6" t="s">
        <v>16</v>
      </c>
      <c r="E13" s="7" t="s">
        <v>17</v>
      </c>
      <c r="F13" s="8" t="n">
        <f aca="false">-BRS!C15</f>
        <v>15340</v>
      </c>
    </row>
    <row r="14" customFormat="false" ht="24" hidden="false" customHeight="true" outlineLevel="0" collapsed="false">
      <c r="B14" s="5" t="str">
        <f aca="false">HYPERLINK("#'About Workbook'!A1","How to use  ►")</f>
        <v>How to use  ►</v>
      </c>
      <c r="C14" s="6" t="s">
        <v>18</v>
      </c>
      <c r="E14" s="7" t="s">
        <v>19</v>
      </c>
      <c r="F14" s="8" t="n">
        <f aca="false">BRS!C8-BRS!C9</f>
        <v>21355.7</v>
      </c>
    </row>
    <row r="15" customFormat="false" ht="24" hidden="false" customHeight="true" outlineLevel="0" collapsed="false">
      <c r="E15" s="7" t="s">
        <v>20</v>
      </c>
      <c r="F15" s="11" t="n">
        <f aca="false">BRS!D18</f>
        <v>0</v>
      </c>
    </row>
    <row r="17" customFormat="false" ht="30" hidden="false" customHeight="true" outlineLevel="0" collapsed="false">
      <c r="B17" s="12" t="str">
        <f aca="false">BRS!B20</f>
        <v>✔ RECONCILED – bank statement agrees with the cash book</v>
      </c>
      <c r="C17" s="12"/>
      <c r="D17" s="12"/>
      <c r="E17" s="12"/>
      <c r="F17" s="12"/>
    </row>
    <row r="19" customFormat="false" ht="15" hidden="false" customHeight="false" outlineLevel="0" collapsed="false">
      <c r="B19" s="13" t="s">
        <v>21</v>
      </c>
    </row>
    <row r="20" customFormat="false" ht="15" hidden="false" customHeight="false" outlineLevel="0" collapsed="false">
      <c r="B20" s="14" t="str">
        <f aca="false">IF(COUNTIF('Cash Book'!$K$8:$K$507,"⚠*")&gt;0,"⚠ "&amp;COUNTIF('Cash Book'!$K$8:$K$507,"⚠*")&amp;" cash book row(s) need attention.","✔ Cash book rows are complete.")</f>
        <v>✔ Cash book rows are complete.</v>
      </c>
      <c r="C20" s="14"/>
      <c r="D20" s="14"/>
      <c r="E20" s="14"/>
      <c r="F20" s="14"/>
    </row>
    <row r="21" customFormat="false" ht="15" hidden="false" customHeight="false" outlineLevel="0" collapsed="false">
      <c r="B21" s="14" t="str">
        <f aca="false">IF(COUNTIF('Bank Statement'!$J$8:$J$507,"⚠*")&gt;0,"⚠ "&amp;COUNTIF('Bank Statement'!$J$8:$J$507,"⚠*")&amp;" bank statement row(s) need attention.","✔ Bank statement rows are complete.")</f>
        <v>✔ Bank statement rows are complete.</v>
      </c>
      <c r="C21" s="14"/>
      <c r="D21" s="14"/>
      <c r="E21" s="14"/>
      <c r="F21" s="14"/>
    </row>
    <row r="22" customFormat="false" ht="15" hidden="false" customHeight="false" outlineLevel="0" collapsed="false">
      <c r="B22" s="14" t="str">
        <f aca="false">IF(OR(Setup!$C$9="",Setup!$C$10=""),"⚠ Enter both closing balances in Setup.","✔ Closing balances entered.")</f>
        <v>✔ Closing balances entered.</v>
      </c>
      <c r="C22" s="14"/>
      <c r="D22" s="14"/>
      <c r="E22" s="14"/>
      <c r="F22" s="14"/>
    </row>
    <row r="23" customFormat="false" ht="15" hidden="false" customHeight="false" outlineLevel="0" collapsed="false">
      <c r="B23" s="14" t="str">
        <f aca="false">IF(COUNTIFS('Cash Book'!$V$8:$V$507,"&gt;=100000",'Cash Book'!$B$8:$B$507,"&lt;"&amp;(Setup!$C$8-30))&gt;0,"⚠ "&amp;COUNTIFS('Cash Book'!$V$8:$V$507,"&gt;=100000",'Cash Book'!$B$8:$B$507,"&lt;"&amp;(Setup!$C$8-30))&amp;" item(s) older than 30 days still not cleared – follow up.","✔ No item older than 30 days.")</f>
        <v>✔ No item older than 30 days.</v>
      </c>
      <c r="C23" s="14"/>
      <c r="D23" s="14"/>
      <c r="E23" s="14"/>
      <c r="F23" s="14"/>
    </row>
    <row r="43" customFormat="false" ht="15" hidden="false" customHeight="false" outlineLevel="0" collapsed="false">
      <c r="E43" s="15" t="s">
        <v>22</v>
      </c>
    </row>
    <row r="46" customFormat="false" ht="15" hidden="false" customHeight="false" outlineLevel="0" collapsed="false">
      <c r="F46" s="16" t="s">
        <v>23</v>
      </c>
    </row>
  </sheetData>
  <sheetProtection sheet="1" objects="1" scenarios="1" formatColumns="0" formatRows="0" algorithmName="SHA-512" hashValue="YHkB4cVRPDEuaXYVqjfyij5NIfZJRInET7yCaUcLMSSvWYhctl6zPmy5K8zSkeYODa3X4tsgScua5Z2DbxlEyg==" saltValue="l4B4vyChvwE1utLdFmq6Ag==" spinCount="100000"/>
  <mergeCells count="7">
    <mergeCell ref="B5:F5"/>
    <mergeCell ref="B6:F6"/>
    <mergeCell ref="B17:F17"/>
    <mergeCell ref="B20:F20"/>
    <mergeCell ref="B21:F21"/>
    <mergeCell ref="B22:F22"/>
    <mergeCell ref="B23:F23"/>
  </mergeCells>
  <conditionalFormatting sqref="B17">
    <cfRule type="expression" priority="2" aboveAverage="0" equalAverage="0" bottom="0" percent="0" rank="0" text="" dxfId="0">
      <formula>ABS(BRS!$D$18)&lt;0.01</formula>
    </cfRule>
    <cfRule type="expression" priority="3" aboveAverage="0" equalAverage="0" bottom="0" percent="0" rank="0" text="" dxfId="1">
      <formula>ABS(BRS!$D$18)&gt;=0.01</formula>
    </cfRule>
  </conditionalFormatting>
  <hyperlinks>
    <hyperlink ref="F46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7" t="s">
        <v>24</v>
      </c>
    </row>
    <row r="2" customFormat="false" ht="22.05" hidden="false" customHeight="false" outlineLevel="0" collapsed="false">
      <c r="A2" s="18" t="s">
        <v>25</v>
      </c>
    </row>
    <row r="3" customFormat="false" ht="15" hidden="false" customHeight="false" outlineLevel="0" collapsed="false">
      <c r="A3" s="19" t="n">
        <v>1</v>
      </c>
      <c r="B3" s="20" t="s">
        <v>26</v>
      </c>
    </row>
    <row r="4" customFormat="false" ht="28.35" hidden="false" customHeight="false" outlineLevel="0" collapsed="false">
      <c r="A4" s="19" t="n">
        <v>2</v>
      </c>
      <c r="B4" s="20" t="s">
        <v>27</v>
      </c>
    </row>
    <row r="5" customFormat="false" ht="28.35" hidden="false" customHeight="false" outlineLevel="0" collapsed="false">
      <c r="A5" s="19" t="n">
        <v>3</v>
      </c>
      <c r="B5" s="20" t="s">
        <v>28</v>
      </c>
    </row>
    <row r="6" customFormat="false" ht="15" hidden="false" customHeight="false" outlineLevel="0" collapsed="false">
      <c r="A6" s="19" t="n">
        <v>4</v>
      </c>
      <c r="B6" s="20" t="s">
        <v>29</v>
      </c>
    </row>
    <row r="7" customFormat="false" ht="28.35" hidden="false" customHeight="false" outlineLevel="0" collapsed="false">
      <c r="A7" s="19" t="n">
        <v>5</v>
      </c>
      <c r="B7" s="20" t="s">
        <v>30</v>
      </c>
    </row>
    <row r="8" customFormat="false" ht="15" hidden="false" customHeight="false" outlineLevel="0" collapsed="false">
      <c r="A8" s="19" t="n">
        <v>6</v>
      </c>
      <c r="B8" s="20" t="s">
        <v>31</v>
      </c>
    </row>
    <row r="9" customFormat="false" ht="15" hidden="false" customHeight="false" outlineLevel="0" collapsed="false">
      <c r="A9" s="19" t="n">
        <v>7</v>
      </c>
      <c r="B9" s="20" t="s">
        <v>32</v>
      </c>
    </row>
    <row r="10" customFormat="false" ht="15" hidden="false" customHeight="false" outlineLevel="0" collapsed="false">
      <c r="A10" s="19" t="n">
        <v>8</v>
      </c>
      <c r="B10" s="20" t="s">
        <v>33</v>
      </c>
    </row>
    <row r="12" customFormat="false" ht="19.7" hidden="false" customHeight="false" outlineLevel="0" collapsed="false">
      <c r="A12" s="21" t="s">
        <v>34</v>
      </c>
      <c r="B12" s="21"/>
    </row>
    <row r="13" customFormat="false" ht="15" hidden="false" customHeight="false" outlineLevel="0" collapsed="false">
      <c r="A13" s="22" t="s">
        <v>35</v>
      </c>
      <c r="B13" s="23" t="s">
        <v>36</v>
      </c>
    </row>
    <row r="14" customFormat="false" ht="28.35" hidden="false" customHeight="false" outlineLevel="0" collapsed="false">
      <c r="A14" s="22" t="s">
        <v>37</v>
      </c>
      <c r="B14" s="23" t="s">
        <v>38</v>
      </c>
    </row>
    <row r="15" customFormat="false" ht="15" hidden="false" customHeight="false" outlineLevel="0" collapsed="false">
      <c r="A15" s="22" t="s">
        <v>39</v>
      </c>
      <c r="B15" s="23" t="s">
        <v>40</v>
      </c>
    </row>
    <row r="16" customFormat="false" ht="28.35" hidden="false" customHeight="false" outlineLevel="0" collapsed="false">
      <c r="A16" s="22" t="s">
        <v>41</v>
      </c>
      <c r="B16" s="23" t="s">
        <v>42</v>
      </c>
    </row>
    <row r="17" customFormat="false" ht="15" hidden="false" customHeight="false" outlineLevel="0" collapsed="false">
      <c r="A17" s="22" t="s">
        <v>43</v>
      </c>
      <c r="B17" s="23" t="s">
        <v>44</v>
      </c>
    </row>
    <row r="19" customFormat="false" ht="23.85" hidden="false" customHeight="false" outlineLevel="0" collapsed="false">
      <c r="B19" s="24" t="s">
        <v>45</v>
      </c>
    </row>
    <row r="20" customFormat="false" ht="23.85" hidden="false" customHeight="false" outlineLevel="0" collapsed="false">
      <c r="B20" s="25" t="s">
        <v>46</v>
      </c>
    </row>
  </sheetData>
  <sheetProtection sheet="1" objects="1" scenarios="1" formatColumns="0" formatRows="0" algorithmName="SHA-512" hashValue="QXwOxIwEBEgJr8Is4Jh58+3QxICEjWGlneN5XRk4UORjbcFR6ZD5GR0VFY3UDtCIjsS/ST6OcZx1XU/kaWyrgA==" saltValue="um8SGJx57Kq1cqzkbGz0Jg==" spinCount="100000"/>
  <mergeCells count="1">
    <mergeCell ref="A12:B12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22"/>
    <col collapsed="false" customWidth="true" hidden="false" outlineLevel="0" max="4" min="4" style="0" width="18"/>
  </cols>
  <sheetData>
    <row r="1" customFormat="false" ht="15" hidden="false" customHeight="false" outlineLevel="0" collapsed="false">
      <c r="A1" s="17" t="s">
        <v>24</v>
      </c>
    </row>
    <row r="2" customFormat="false" ht="31.5" hidden="false" customHeight="true" outlineLevel="0" collapsed="false">
      <c r="A2" s="26" t="s">
        <v>47</v>
      </c>
      <c r="B2" s="26"/>
      <c r="C2" s="26"/>
      <c r="D2" s="26"/>
    </row>
    <row r="4" customFormat="false" ht="21.75" hidden="false" customHeight="true" outlineLevel="0" collapsed="false">
      <c r="A4" s="27" t="s">
        <v>48</v>
      </c>
      <c r="B4" s="27"/>
      <c r="C4" s="65" t="s">
        <v>49</v>
      </c>
    </row>
    <row r="5" customFormat="false" ht="21.75" hidden="false" customHeight="true" outlineLevel="0" collapsed="false">
      <c r="A5" s="27" t="s">
        <v>50</v>
      </c>
      <c r="B5" s="27"/>
      <c r="C5" s="65" t="s">
        <v>51</v>
      </c>
    </row>
    <row r="6" customFormat="false" ht="21.75" hidden="false" customHeight="true" outlineLevel="0" collapsed="false">
      <c r="A6" s="27" t="s">
        <v>52</v>
      </c>
      <c r="B6" s="27"/>
      <c r="C6" s="66" t="s">
        <v>53</v>
      </c>
    </row>
    <row r="7" customFormat="false" ht="21.75" hidden="false" customHeight="true" outlineLevel="0" collapsed="false">
      <c r="A7" s="27" t="s">
        <v>54</v>
      </c>
      <c r="B7" s="27"/>
      <c r="C7" s="67" t="n">
        <v>46266</v>
      </c>
    </row>
    <row r="8" customFormat="false" ht="21.75" hidden="false" customHeight="true" outlineLevel="0" collapsed="false">
      <c r="A8" s="27" t="s">
        <v>55</v>
      </c>
      <c r="B8" s="27"/>
      <c r="C8" s="67" t="n">
        <v>46295</v>
      </c>
    </row>
    <row r="9" customFormat="false" ht="21.75" hidden="false" customHeight="true" outlineLevel="0" collapsed="false">
      <c r="A9" s="27" t="s">
        <v>56</v>
      </c>
      <c r="B9" s="27"/>
      <c r="C9" s="68" t="n">
        <v>130154</v>
      </c>
    </row>
    <row r="10" customFormat="false" ht="21.75" hidden="false" customHeight="true" outlineLevel="0" collapsed="false">
      <c r="A10" s="27" t="s">
        <v>57</v>
      </c>
      <c r="B10" s="27"/>
      <c r="C10" s="68" t="n">
        <v>143282.3</v>
      </c>
    </row>
    <row r="11" customFormat="false" ht="21.75" hidden="false" customHeight="true" outlineLevel="0" collapsed="false">
      <c r="A11" s="27" t="s">
        <v>58</v>
      </c>
      <c r="B11" s="27"/>
      <c r="C11" s="69" t="n">
        <v>10</v>
      </c>
    </row>
    <row r="13" customFormat="false" ht="15" hidden="false" customHeight="true" outlineLevel="0" collapsed="false">
      <c r="A13" s="33" t="s">
        <v>59</v>
      </c>
      <c r="B13" s="33"/>
      <c r="C13" s="33"/>
      <c r="D13" s="33"/>
    </row>
    <row r="14" customFormat="false" ht="15" hidden="false" customHeight="false" outlineLevel="0" collapsed="false">
      <c r="A14" s="33"/>
      <c r="B14" s="33"/>
      <c r="C14" s="33"/>
      <c r="D14" s="33"/>
    </row>
    <row r="15" customFormat="false" ht="15" hidden="false" customHeight="false" outlineLevel="0" collapsed="false">
      <c r="A15" s="33"/>
      <c r="B15" s="33"/>
      <c r="C15" s="33"/>
      <c r="D15" s="33"/>
    </row>
    <row r="16" customFormat="false" ht="15" hidden="false" customHeight="false" outlineLevel="0" collapsed="false">
      <c r="A16" s="33"/>
      <c r="B16" s="33"/>
      <c r="C16" s="33"/>
      <c r="D16" s="33"/>
    </row>
    <row r="17" customFormat="false" ht="15" hidden="false" customHeight="false" outlineLevel="0" collapsed="false">
      <c r="A17" s="33"/>
      <c r="B17" s="33"/>
      <c r="C17" s="33"/>
      <c r="D17" s="33"/>
    </row>
  </sheetData>
  <sheetProtection sheet="1" objects="1" scenarios="1" formatColumns="0" formatRows="0" algorithmName="SHA-512" hashValue="5pYNgoZjqSXi9aFb3v+KgwZcXImDMUEU+GK7IvbjdeErL0ObJOjG8EmlO3/wVQLnti9oq/WL2hsgn0HfW6Oxjg==" saltValue="SDo+499p3xfPxWUIsj9Wvg==" spinCount="100000"/>
  <mergeCells count="10">
    <mergeCell ref="A2:D2"/>
    <mergeCell ref="A4:B4"/>
    <mergeCell ref="A5:B5"/>
    <mergeCell ref="A6:B6"/>
    <mergeCell ref="A7:B7"/>
    <mergeCell ref="A8:B8"/>
    <mergeCell ref="A9:B9"/>
    <mergeCell ref="A10:B10"/>
    <mergeCell ref="A11:B11"/>
    <mergeCell ref="A13:D17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W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3" min="2" style="0" width="10"/>
    <col collapsed="false" customWidth="true" hidden="false" outlineLevel="0" max="4" min="4" style="0" width="32"/>
    <col collapsed="false" customWidth="true" hidden="false" outlineLevel="0" max="5" min="5" style="0" width="19"/>
    <col collapsed="false" customWidth="true" hidden="false" outlineLevel="0" max="7" min="6" style="0" width="14"/>
    <col collapsed="false" customWidth="true" hidden="false" outlineLevel="0" max="8" min="8" style="0" width="17"/>
    <col collapsed="false" customWidth="true" hidden="false" outlineLevel="0" max="10" min="9" style="0" width="7"/>
    <col collapsed="false" customWidth="true" hidden="false" outlineLevel="0" max="11" min="11" style="0" width="16"/>
    <col collapsed="false" customWidth="true" hidden="true" outlineLevel="0" max="23" min="13" style="0" width="13"/>
  </cols>
  <sheetData>
    <row r="1" customFormat="false" ht="15" hidden="false" customHeight="false" outlineLevel="0" collapsed="false">
      <c r="A1" s="17" t="s">
        <v>24</v>
      </c>
    </row>
    <row r="2" customFormat="false" ht="30" hidden="false" customHeight="true" outlineLevel="0" collapsed="false">
      <c r="A2" s="34" t="s">
        <v>60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customFormat="false" ht="30" hidden="false" customHeight="true" outlineLevel="0" collapsed="false">
      <c r="A3" s="33" t="s">
        <v>61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7" customFormat="false" ht="36" hidden="false" customHeight="true" outlineLevel="0" collapsed="false">
      <c r="A7" s="35" t="s">
        <v>62</v>
      </c>
      <c r="B7" s="36" t="s">
        <v>63</v>
      </c>
      <c r="C7" s="36" t="s">
        <v>64</v>
      </c>
      <c r="D7" s="36" t="s">
        <v>65</v>
      </c>
      <c r="E7" s="36" t="s">
        <v>66</v>
      </c>
      <c r="F7" s="36" t="s">
        <v>67</v>
      </c>
      <c r="G7" s="36" t="s">
        <v>68</v>
      </c>
      <c r="H7" s="35" t="s">
        <v>69</v>
      </c>
      <c r="I7" s="35" t="s">
        <v>70</v>
      </c>
      <c r="J7" s="35" t="s">
        <v>71</v>
      </c>
      <c r="K7" s="35" t="s">
        <v>72</v>
      </c>
    </row>
    <row r="8" customFormat="false" ht="15" hidden="false" customHeight="false" outlineLevel="0" collapsed="false">
      <c r="A8" s="37" t="n">
        <f aca="false">IF(M8="","",ROW()-7)</f>
        <v>1</v>
      </c>
      <c r="B8" s="70" t="n">
        <v>46267</v>
      </c>
      <c r="C8" s="71" t="s">
        <v>73</v>
      </c>
      <c r="D8" s="72" t="s">
        <v>74</v>
      </c>
      <c r="E8" s="71"/>
      <c r="F8" s="73" t="n">
        <v>40000</v>
      </c>
      <c r="G8" s="73"/>
      <c r="H8" s="42" t="str">
        <f aca="false">IF(M8="","",IF(U8&gt;0,"✔ Matched",IF(M8="OUT","Not yet presented","Not yet credited")))</f>
        <v>✔ Matched</v>
      </c>
      <c r="I8" s="43" t="n">
        <f aca="false">IF(N(U8)&gt;0,U8,"")</f>
        <v>1</v>
      </c>
      <c r="J8" s="44" t="n">
        <f aca="false">IF(N(U8)&gt;0,T8,"")</f>
        <v>0</v>
      </c>
      <c r="K8" s="45" t="str">
        <f aca="false">IF(AND(M8="",B8="",D8=""),"",IF(AND(N(F8)&gt;0,N(G8)&gt;0),"⚠ Fill deposit OR payment",IF(M8="","⚠ Enter amount",IF(B8="","⚠ Enter date",IF(AND(Setup!$C$8&lt;&gt;"",B8&gt;Setup!$C$8),"⚠ Date after period",IF(AND(O8&lt;&gt;"",COUNTIF($O$8:$O$507,O8)&gt;1),"⚠ Cheque no. used twice","✔"))))))</f>
        <v>✔</v>
      </c>
      <c r="M8" s="9" t="str">
        <f aca="false">IF(N(F8)&gt;0,"IN",IF(N(G8)&gt;0,"OUT",""))</f>
        <v>IN</v>
      </c>
      <c r="N8" s="9" t="str">
        <f aca="false">IF(M8="","",M8&amp;"|"&amp;TEXT(ROUND(N(F8)+N(G8),2),"0.00"))</f>
        <v>IN|40000.00</v>
      </c>
      <c r="O8" s="9" t="str">
        <f aca="false">IF(OR(N8="",TRIM(E8&amp;"")=""),"",N8&amp;"|"&amp;UPPER(TRIM(E8&amp;"")))</f>
        <v/>
      </c>
      <c r="P8" s="9" t="n">
        <f aca="false">IF(O8="",0,IFERROR(MATCH(O8,'Bank Statement'!$O$8:$O$507,0),0))</f>
        <v>0</v>
      </c>
      <c r="Q8" s="9" t="str">
        <f aca="false">IF(OR(N8="",P8&gt;0),"",N8&amp;"#"&amp;COUNTIFS($N$8:N8,N8,$P$8:P8,0))</f>
        <v>IN|40000.00#1</v>
      </c>
      <c r="R8" s="9" t="n">
        <f aca="false">IF(Q8="",0,IFERROR(MATCH(Q8,'Bank Statement'!$Q$8:$Q$507,0),0))</f>
        <v>1</v>
      </c>
      <c r="S8" s="9" t="n">
        <f aca="false">IF(P8&gt;0,P8,R8)</f>
        <v>1</v>
      </c>
      <c r="T8" s="9" t="n">
        <f aca="false">IF(OR(S8=0,B8=""),"",INDEX('Bank Statement'!$B$8:$B$507,S8)-B8)</f>
        <v>0</v>
      </c>
      <c r="U8" s="9" t="n">
        <f aca="false">IF(S8=0,0,IF(P8&gt;0,S8,IF(AND(ISNUMBER(T8),ABS(N(T8))&lt;=Setup!$C$11),S8,0)))</f>
        <v>1</v>
      </c>
      <c r="V8" s="9" t="str">
        <f aca="false">IF(AND(N8&lt;&gt;"",U8=0),IF(M8="OUT",1,2)*100000+ROW(),"")</f>
        <v/>
      </c>
      <c r="W8" s="9" t="n">
        <f aca="false">N(F8)+N(G8)</f>
        <v>40000</v>
      </c>
    </row>
    <row r="9" customFormat="false" ht="15" hidden="false" customHeight="false" outlineLevel="0" collapsed="false">
      <c r="A9" s="37" t="n">
        <f aca="false">IF(M9="","",ROW()-7)</f>
        <v>2</v>
      </c>
      <c r="B9" s="70" t="n">
        <v>46268</v>
      </c>
      <c r="C9" s="71" t="s">
        <v>75</v>
      </c>
      <c r="D9" s="72" t="s">
        <v>76</v>
      </c>
      <c r="E9" s="71" t="s">
        <v>77</v>
      </c>
      <c r="F9" s="73"/>
      <c r="G9" s="73" t="n">
        <v>20000</v>
      </c>
      <c r="H9" s="42" t="str">
        <f aca="false">IF(M9="","",IF(U9&gt;0,"✔ Matched",IF(M9="OUT","Not yet presented","Not yet credited")))</f>
        <v>✔ Matched</v>
      </c>
      <c r="I9" s="43" t="n">
        <f aca="false">IF(N(U9)&gt;0,U9,"")</f>
        <v>2</v>
      </c>
      <c r="J9" s="44" t="n">
        <f aca="false">IF(N(U9)&gt;0,T9,"")</f>
        <v>3</v>
      </c>
      <c r="K9" s="45" t="str">
        <f aca="false">IF(AND(M9="",B9="",D9=""),"",IF(AND(N(F9)&gt;0,N(G9)&gt;0),"⚠ Fill deposit OR payment",IF(M9="","⚠ Enter amount",IF(B9="","⚠ Enter date",IF(AND(Setup!$C$8&lt;&gt;"",B9&gt;Setup!$C$8),"⚠ Date after period",IF(AND(O9&lt;&gt;"",COUNTIF($O$8:$O$507,O9)&gt;1),"⚠ Cheque no. used twice","✔"))))))</f>
        <v>✔</v>
      </c>
      <c r="M9" s="9" t="str">
        <f aca="false">IF(N(F9)&gt;0,"IN",IF(N(G9)&gt;0,"OUT",""))</f>
        <v>OUT</v>
      </c>
      <c r="N9" s="9" t="str">
        <f aca="false">IF(M9="","",M9&amp;"|"&amp;TEXT(ROUND(N(F9)+N(G9),2),"0.00"))</f>
        <v>OUT|20000.00</v>
      </c>
      <c r="O9" s="9" t="str">
        <f aca="false">IF(OR(N9="",TRIM(E9&amp;"")=""),"",N9&amp;"|"&amp;UPPER(TRIM(E9&amp;"")))</f>
        <v>OUT|20000.00|000781</v>
      </c>
      <c r="P9" s="9" t="n">
        <f aca="false">IF(O9="",0,IFERROR(MATCH(O9,'Bank Statement'!$O$8:$O$507,0),0))</f>
        <v>2</v>
      </c>
      <c r="Q9" s="9" t="str">
        <f aca="false">IF(OR(N9="",P9&gt;0),"",N9&amp;"#"&amp;COUNTIFS($N$8:N9,N9,$P$8:P9,0))</f>
        <v/>
      </c>
      <c r="R9" s="9" t="n">
        <f aca="false">IF(Q9="",0,IFERROR(MATCH(Q9,'Bank Statement'!$Q$8:$Q$507,0),0))</f>
        <v>0</v>
      </c>
      <c r="S9" s="9" t="n">
        <f aca="false">IF(P9&gt;0,P9,R9)</f>
        <v>2</v>
      </c>
      <c r="T9" s="9" t="n">
        <f aca="false">IF(OR(S9=0,B9=""),"",INDEX('Bank Statement'!$B$8:$B$507,S9)-B9)</f>
        <v>3</v>
      </c>
      <c r="U9" s="9" t="n">
        <f aca="false">IF(S9=0,0,IF(P9&gt;0,S9,IF(AND(ISNUMBER(T9),ABS(N(T9))&lt;=Setup!$C$11),S9,0)))</f>
        <v>2</v>
      </c>
      <c r="V9" s="9" t="str">
        <f aca="false">IF(AND(N9&lt;&gt;"",U9=0),IF(M9="OUT",1,2)*100000+ROW(),"")</f>
        <v/>
      </c>
      <c r="W9" s="9" t="n">
        <f aca="false">N(F9)+N(G9)</f>
        <v>20000</v>
      </c>
    </row>
    <row r="10" customFormat="false" ht="15" hidden="false" customHeight="false" outlineLevel="0" collapsed="false">
      <c r="A10" s="37" t="n">
        <f aca="false">IF(M10="","",ROW()-7)</f>
        <v>3</v>
      </c>
      <c r="B10" s="70" t="n">
        <v>46270</v>
      </c>
      <c r="C10" s="71" t="s">
        <v>78</v>
      </c>
      <c r="D10" s="72" t="s">
        <v>79</v>
      </c>
      <c r="E10" s="71" t="s">
        <v>80</v>
      </c>
      <c r="F10" s="73" t="n">
        <v>18500</v>
      </c>
      <c r="G10" s="73"/>
      <c r="H10" s="42" t="str">
        <f aca="false">IF(M10="","",IF(U10&gt;0,"✔ Matched",IF(M10="OUT","Not yet presented","Not yet credited")))</f>
        <v>✔ Matched</v>
      </c>
      <c r="I10" s="43" t="n">
        <f aca="false">IF(N(U10)&gt;0,U10,"")</f>
        <v>3</v>
      </c>
      <c r="J10" s="44" t="n">
        <f aca="false">IF(N(U10)&gt;0,T10,"")</f>
        <v>2</v>
      </c>
      <c r="K10" s="45" t="str">
        <f aca="false">IF(AND(M10="",B10="",D10=""),"",IF(AND(N(F10)&gt;0,N(G10)&gt;0),"⚠ Fill deposit OR payment",IF(M10="","⚠ Enter amount",IF(B10="","⚠ Enter date",IF(AND(Setup!$C$8&lt;&gt;"",B10&gt;Setup!$C$8),"⚠ Date after period",IF(AND(O10&lt;&gt;"",COUNTIF($O$8:$O$507,O10)&gt;1),"⚠ Cheque no. used twice","✔"))))))</f>
        <v>✔</v>
      </c>
      <c r="M10" s="9" t="str">
        <f aca="false">IF(N(F10)&gt;0,"IN",IF(N(G10)&gt;0,"OUT",""))</f>
        <v>IN</v>
      </c>
      <c r="N10" s="9" t="str">
        <f aca="false">IF(M10="","",M10&amp;"|"&amp;TEXT(ROUND(N(F10)+N(G10),2),"0.00"))</f>
        <v>IN|18500.00</v>
      </c>
      <c r="O10" s="9" t="str">
        <f aca="false">IF(OR(N10="",TRIM(E10&amp;"")=""),"",N10&amp;"|"&amp;UPPER(TRIM(E10&amp;"")))</f>
        <v>IN|18500.00|456123</v>
      </c>
      <c r="P10" s="9" t="n">
        <f aca="false">IF(O10="",0,IFERROR(MATCH(O10,'Bank Statement'!$O$8:$O$507,0),0))</f>
        <v>3</v>
      </c>
      <c r="Q10" s="9" t="str">
        <f aca="false">IF(OR(N10="",P10&gt;0),"",N10&amp;"#"&amp;COUNTIFS($N$8:N10,N10,$P$8:P10,0))</f>
        <v/>
      </c>
      <c r="R10" s="9" t="n">
        <f aca="false">IF(Q10="",0,IFERROR(MATCH(Q10,'Bank Statement'!$Q$8:$Q$507,0),0))</f>
        <v>0</v>
      </c>
      <c r="S10" s="9" t="n">
        <f aca="false">IF(P10&gt;0,P10,R10)</f>
        <v>3</v>
      </c>
      <c r="T10" s="9" t="n">
        <f aca="false">IF(OR(S10=0,B10=""),"",INDEX('Bank Statement'!$B$8:$B$507,S10)-B10)</f>
        <v>2</v>
      </c>
      <c r="U10" s="9" t="n">
        <f aca="false">IF(S10=0,0,IF(P10&gt;0,S10,IF(AND(ISNUMBER(T10),ABS(N(T10))&lt;=Setup!$C$11),S10,0)))</f>
        <v>3</v>
      </c>
      <c r="V10" s="9" t="str">
        <f aca="false">IF(AND(N10&lt;&gt;"",U10=0),IF(M10="OUT",1,2)*100000+ROW(),"")</f>
        <v/>
      </c>
      <c r="W10" s="9" t="n">
        <f aca="false">N(F10)+N(G10)</f>
        <v>18500</v>
      </c>
    </row>
    <row r="11" customFormat="false" ht="15" hidden="false" customHeight="false" outlineLevel="0" collapsed="false">
      <c r="A11" s="37" t="n">
        <f aca="false">IF(M11="","",ROW()-7)</f>
        <v>4</v>
      </c>
      <c r="B11" s="70" t="n">
        <v>46272</v>
      </c>
      <c r="C11" s="71" t="s">
        <v>81</v>
      </c>
      <c r="D11" s="72" t="s">
        <v>82</v>
      </c>
      <c r="E11" s="71"/>
      <c r="F11" s="73"/>
      <c r="G11" s="73" t="n">
        <v>15000</v>
      </c>
      <c r="H11" s="42" t="str">
        <f aca="false">IF(M11="","",IF(U11&gt;0,"✔ Matched",IF(M11="OUT","Not yet presented","Not yet credited")))</f>
        <v>✔ Matched</v>
      </c>
      <c r="I11" s="43" t="n">
        <f aca="false">IF(N(U11)&gt;0,U11,"")</f>
        <v>4</v>
      </c>
      <c r="J11" s="44" t="n">
        <f aca="false">IF(N(U11)&gt;0,T11,"")</f>
        <v>0</v>
      </c>
      <c r="K11" s="45" t="str">
        <f aca="false">IF(AND(M11="",B11="",D11=""),"",IF(AND(N(F11)&gt;0,N(G11)&gt;0),"⚠ Fill deposit OR payment",IF(M11="","⚠ Enter amount",IF(B11="","⚠ Enter date",IF(AND(Setup!$C$8&lt;&gt;"",B11&gt;Setup!$C$8),"⚠ Date after period",IF(AND(O11&lt;&gt;"",COUNTIF($O$8:$O$507,O11)&gt;1),"⚠ Cheque no. used twice","✔"))))))</f>
        <v>✔</v>
      </c>
      <c r="M11" s="9" t="str">
        <f aca="false">IF(N(F11)&gt;0,"IN",IF(N(G11)&gt;0,"OUT",""))</f>
        <v>OUT</v>
      </c>
      <c r="N11" s="9" t="str">
        <f aca="false">IF(M11="","",M11&amp;"|"&amp;TEXT(ROUND(N(F11)+N(G11),2),"0.00"))</f>
        <v>OUT|15000.00</v>
      </c>
      <c r="O11" s="9" t="str">
        <f aca="false">IF(OR(N11="",TRIM(E11&amp;"")=""),"",N11&amp;"|"&amp;UPPER(TRIM(E11&amp;"")))</f>
        <v/>
      </c>
      <c r="P11" s="9" t="n">
        <f aca="false">IF(O11="",0,IFERROR(MATCH(O11,'Bank Statement'!$O$8:$O$507,0),0))</f>
        <v>0</v>
      </c>
      <c r="Q11" s="9" t="str">
        <f aca="false">IF(OR(N11="",P11&gt;0),"",N11&amp;"#"&amp;COUNTIFS($N$8:N11,N11,$P$8:P11,0))</f>
        <v>OUT|15000.00#1</v>
      </c>
      <c r="R11" s="9" t="n">
        <f aca="false">IF(Q11="",0,IFERROR(MATCH(Q11,'Bank Statement'!$Q$8:$Q$507,0),0))</f>
        <v>4</v>
      </c>
      <c r="S11" s="9" t="n">
        <f aca="false">IF(P11&gt;0,P11,R11)</f>
        <v>4</v>
      </c>
      <c r="T11" s="9" t="n">
        <f aca="false">IF(OR(S11=0,B11=""),"",INDEX('Bank Statement'!$B$8:$B$507,S11)-B11)</f>
        <v>0</v>
      </c>
      <c r="U11" s="9" t="n">
        <f aca="false">IF(S11=0,0,IF(P11&gt;0,S11,IF(AND(ISNUMBER(T11),ABS(N(T11))&lt;=Setup!$C$11),S11,0)))</f>
        <v>4</v>
      </c>
      <c r="V11" s="9" t="str">
        <f aca="false">IF(AND(N11&lt;&gt;"",U11=0),IF(M11="OUT",1,2)*100000+ROW(),"")</f>
        <v/>
      </c>
      <c r="W11" s="9" t="n">
        <f aca="false">N(F11)+N(G11)</f>
        <v>15000</v>
      </c>
    </row>
    <row r="12" customFormat="false" ht="15" hidden="false" customHeight="false" outlineLevel="0" collapsed="false">
      <c r="A12" s="37" t="n">
        <f aca="false">IF(M12="","",ROW()-7)</f>
        <v>5</v>
      </c>
      <c r="B12" s="70" t="n">
        <v>46275</v>
      </c>
      <c r="C12" s="71" t="s">
        <v>83</v>
      </c>
      <c r="D12" s="72" t="s">
        <v>84</v>
      </c>
      <c r="E12" s="71" t="s">
        <v>85</v>
      </c>
      <c r="F12" s="73"/>
      <c r="G12" s="73" t="n">
        <v>44516</v>
      </c>
      <c r="H12" s="42" t="str">
        <f aca="false">IF(M12="","",IF(U12&gt;0,"✔ Matched",IF(M12="OUT","Not yet presented","Not yet credited")))</f>
        <v>✔ Matched</v>
      </c>
      <c r="I12" s="43" t="n">
        <f aca="false">IF(N(U12)&gt;0,U12,"")</f>
        <v>6</v>
      </c>
      <c r="J12" s="44" t="n">
        <f aca="false">IF(N(U12)&gt;0,T12,"")</f>
        <v>0</v>
      </c>
      <c r="K12" s="45" t="str">
        <f aca="false">IF(AND(M12="",B12="",D12=""),"",IF(AND(N(F12)&gt;0,N(G12)&gt;0),"⚠ Fill deposit OR payment",IF(M12="","⚠ Enter amount",IF(B12="","⚠ Enter date",IF(AND(Setup!$C$8&lt;&gt;"",B12&gt;Setup!$C$8),"⚠ Date after period",IF(AND(O12&lt;&gt;"",COUNTIF($O$8:$O$507,O12)&gt;1),"⚠ Cheque no. used twice","✔"))))))</f>
        <v>✔</v>
      </c>
      <c r="M12" s="9" t="str">
        <f aca="false">IF(N(F12)&gt;0,"IN",IF(N(G12)&gt;0,"OUT",""))</f>
        <v>OUT</v>
      </c>
      <c r="N12" s="9" t="str">
        <f aca="false">IF(M12="","",M12&amp;"|"&amp;TEXT(ROUND(N(F12)+N(G12),2),"0.00"))</f>
        <v>OUT|44516.00</v>
      </c>
      <c r="O12" s="9" t="str">
        <f aca="false">IF(OR(N12="",TRIM(E12&amp;"")=""),"",N12&amp;"|"&amp;UPPER(TRIM(E12&amp;"")))</f>
        <v>OUT|44516.00|SBINR52026091012</v>
      </c>
      <c r="P12" s="9" t="n">
        <f aca="false">IF(O12="",0,IFERROR(MATCH(O12,'Bank Statement'!$O$8:$O$507,0),0))</f>
        <v>6</v>
      </c>
      <c r="Q12" s="9" t="str">
        <f aca="false">IF(OR(N12="",P12&gt;0),"",N12&amp;"#"&amp;COUNTIFS($N$8:N12,N12,$P$8:P12,0))</f>
        <v/>
      </c>
      <c r="R12" s="9" t="n">
        <f aca="false">IF(Q12="",0,IFERROR(MATCH(Q12,'Bank Statement'!$Q$8:$Q$507,0),0))</f>
        <v>0</v>
      </c>
      <c r="S12" s="9" t="n">
        <f aca="false">IF(P12&gt;0,P12,R12)</f>
        <v>6</v>
      </c>
      <c r="T12" s="9" t="n">
        <f aca="false">IF(OR(S12=0,B12=""),"",INDEX('Bank Statement'!$B$8:$B$507,S12)-B12)</f>
        <v>0</v>
      </c>
      <c r="U12" s="9" t="n">
        <f aca="false">IF(S12=0,0,IF(P12&gt;0,S12,IF(AND(ISNUMBER(T12),ABS(N(T12))&lt;=Setup!$C$11),S12,0)))</f>
        <v>6</v>
      </c>
      <c r="V12" s="9" t="str">
        <f aca="false">IF(AND(N12&lt;&gt;"",U12=0),IF(M12="OUT",1,2)*100000+ROW(),"")</f>
        <v/>
      </c>
      <c r="W12" s="9" t="n">
        <f aca="false">N(F12)+N(G12)</f>
        <v>44516</v>
      </c>
    </row>
    <row r="13" customFormat="false" ht="15" hidden="false" customHeight="false" outlineLevel="0" collapsed="false">
      <c r="A13" s="37" t="n">
        <f aca="false">IF(M13="","",ROW()-7)</f>
        <v>6</v>
      </c>
      <c r="B13" s="70" t="n">
        <v>46277</v>
      </c>
      <c r="C13" s="71" t="s">
        <v>86</v>
      </c>
      <c r="D13" s="72" t="s">
        <v>74</v>
      </c>
      <c r="E13" s="71"/>
      <c r="F13" s="73" t="n">
        <v>35000</v>
      </c>
      <c r="G13" s="73"/>
      <c r="H13" s="42" t="str">
        <f aca="false">IF(M13="","",IF(U13&gt;0,"✔ Matched",IF(M13="OUT","Not yet presented","Not yet credited")))</f>
        <v>✔ Matched</v>
      </c>
      <c r="I13" s="43" t="n">
        <f aca="false">IF(N(U13)&gt;0,U13,"")</f>
        <v>8</v>
      </c>
      <c r="J13" s="44" t="n">
        <f aca="false">IF(N(U13)&gt;0,T13,"")</f>
        <v>0</v>
      </c>
      <c r="K13" s="45" t="str">
        <f aca="false">IF(AND(M13="",B13="",D13=""),"",IF(AND(N(F13)&gt;0,N(G13)&gt;0),"⚠ Fill deposit OR payment",IF(M13="","⚠ Enter amount",IF(B13="","⚠ Enter date",IF(AND(Setup!$C$8&lt;&gt;"",B13&gt;Setup!$C$8),"⚠ Date after period",IF(AND(O13&lt;&gt;"",COUNTIF($O$8:$O$507,O13)&gt;1),"⚠ Cheque no. used twice","✔"))))))</f>
        <v>✔</v>
      </c>
      <c r="M13" s="9" t="str">
        <f aca="false">IF(N(F13)&gt;0,"IN",IF(N(G13)&gt;0,"OUT",""))</f>
        <v>IN</v>
      </c>
      <c r="N13" s="9" t="str">
        <f aca="false">IF(M13="","",M13&amp;"|"&amp;TEXT(ROUND(N(F13)+N(G13),2),"0.00"))</f>
        <v>IN|35000.00</v>
      </c>
      <c r="O13" s="9" t="str">
        <f aca="false">IF(OR(N13="",TRIM(E13&amp;"")=""),"",N13&amp;"|"&amp;UPPER(TRIM(E13&amp;"")))</f>
        <v/>
      </c>
      <c r="P13" s="9" t="n">
        <f aca="false">IF(O13="",0,IFERROR(MATCH(O13,'Bank Statement'!$O$8:$O$507,0),0))</f>
        <v>0</v>
      </c>
      <c r="Q13" s="9" t="str">
        <f aca="false">IF(OR(N13="",P13&gt;0),"",N13&amp;"#"&amp;COUNTIFS($N$8:N13,N13,$P$8:P13,0))</f>
        <v>IN|35000.00#1</v>
      </c>
      <c r="R13" s="9" t="n">
        <f aca="false">IF(Q13="",0,IFERROR(MATCH(Q13,'Bank Statement'!$Q$8:$Q$507,0),0))</f>
        <v>8</v>
      </c>
      <c r="S13" s="9" t="n">
        <f aca="false">IF(P13&gt;0,P13,R13)</f>
        <v>8</v>
      </c>
      <c r="T13" s="9" t="n">
        <f aca="false">IF(OR(S13=0,B13=""),"",INDEX('Bank Statement'!$B$8:$B$507,S13)-B13)</f>
        <v>0</v>
      </c>
      <c r="U13" s="9" t="n">
        <f aca="false">IF(S13=0,0,IF(P13&gt;0,S13,IF(AND(ISNUMBER(T13),ABS(N(T13))&lt;=Setup!$C$11),S13,0)))</f>
        <v>8</v>
      </c>
      <c r="V13" s="9" t="str">
        <f aca="false">IF(AND(N13&lt;&gt;"",U13=0),IF(M13="OUT",1,2)*100000+ROW(),"")</f>
        <v/>
      </c>
      <c r="W13" s="9" t="n">
        <f aca="false">N(F13)+N(G13)</f>
        <v>35000</v>
      </c>
    </row>
    <row r="14" customFormat="false" ht="15" hidden="false" customHeight="false" outlineLevel="0" collapsed="false">
      <c r="A14" s="37" t="n">
        <f aca="false">IF(M14="","",ROW()-7)</f>
        <v>7</v>
      </c>
      <c r="B14" s="70" t="n">
        <v>46279</v>
      </c>
      <c r="C14" s="71" t="s">
        <v>87</v>
      </c>
      <c r="D14" s="72" t="s">
        <v>88</v>
      </c>
      <c r="E14" s="71"/>
      <c r="F14" s="73"/>
      <c r="G14" s="73" t="n">
        <v>5900</v>
      </c>
      <c r="H14" s="42" t="str">
        <f aca="false">IF(M14="","",IF(U14&gt;0,"✔ Matched",IF(M14="OUT","Not yet presented","Not yet credited")))</f>
        <v>✔ Matched</v>
      </c>
      <c r="I14" s="43" t="n">
        <f aca="false">IF(N(U14)&gt;0,U14,"")</f>
        <v>9</v>
      </c>
      <c r="J14" s="44" t="n">
        <f aca="false">IF(N(U14)&gt;0,T14,"")</f>
        <v>1</v>
      </c>
      <c r="K14" s="45" t="str">
        <f aca="false">IF(AND(M14="",B14="",D14=""),"",IF(AND(N(F14)&gt;0,N(G14)&gt;0),"⚠ Fill deposit OR payment",IF(M14="","⚠ Enter amount",IF(B14="","⚠ Enter date",IF(AND(Setup!$C$8&lt;&gt;"",B14&gt;Setup!$C$8),"⚠ Date after period",IF(AND(O14&lt;&gt;"",COUNTIF($O$8:$O$507,O14)&gt;1),"⚠ Cheque no. used twice","✔"))))))</f>
        <v>✔</v>
      </c>
      <c r="M14" s="9" t="str">
        <f aca="false">IF(N(F14)&gt;0,"IN",IF(N(G14)&gt;0,"OUT",""))</f>
        <v>OUT</v>
      </c>
      <c r="N14" s="9" t="str">
        <f aca="false">IF(M14="","",M14&amp;"|"&amp;TEXT(ROUND(N(F14)+N(G14),2),"0.00"))</f>
        <v>OUT|5900.00</v>
      </c>
      <c r="O14" s="9" t="str">
        <f aca="false">IF(OR(N14="",TRIM(E14&amp;"")=""),"",N14&amp;"|"&amp;UPPER(TRIM(E14&amp;"")))</f>
        <v/>
      </c>
      <c r="P14" s="9" t="n">
        <f aca="false">IF(O14="",0,IFERROR(MATCH(O14,'Bank Statement'!$O$8:$O$507,0),0))</f>
        <v>0</v>
      </c>
      <c r="Q14" s="9" t="str">
        <f aca="false">IF(OR(N14="",P14&gt;0),"",N14&amp;"#"&amp;COUNTIFS($N$8:N14,N14,$P$8:P14,0))</f>
        <v>OUT|5900.00#1</v>
      </c>
      <c r="R14" s="9" t="n">
        <f aca="false">IF(Q14="",0,IFERROR(MATCH(Q14,'Bank Statement'!$Q$8:$Q$507,0),0))</f>
        <v>9</v>
      </c>
      <c r="S14" s="9" t="n">
        <f aca="false">IF(P14&gt;0,P14,R14)</f>
        <v>9</v>
      </c>
      <c r="T14" s="9" t="n">
        <f aca="false">IF(OR(S14=0,B14=""),"",INDEX('Bank Statement'!$B$8:$B$507,S14)-B14)</f>
        <v>1</v>
      </c>
      <c r="U14" s="9" t="n">
        <f aca="false">IF(S14=0,0,IF(P14&gt;0,S14,IF(AND(ISNUMBER(T14),ABS(N(T14))&lt;=Setup!$C$11),S14,0)))</f>
        <v>9</v>
      </c>
      <c r="V14" s="9" t="str">
        <f aca="false">IF(AND(N14&lt;&gt;"",U14=0),IF(M14="OUT",1,2)*100000+ROW(),"")</f>
        <v/>
      </c>
      <c r="W14" s="9" t="n">
        <f aca="false">N(F14)+N(G14)</f>
        <v>5900</v>
      </c>
    </row>
    <row r="15" customFormat="false" ht="15" hidden="false" customHeight="false" outlineLevel="0" collapsed="false">
      <c r="A15" s="37" t="n">
        <f aca="false">IF(M15="","",ROW()-7)</f>
        <v>8</v>
      </c>
      <c r="B15" s="70" t="n">
        <v>46280</v>
      </c>
      <c r="C15" s="71" t="s">
        <v>89</v>
      </c>
      <c r="D15" s="72" t="s">
        <v>90</v>
      </c>
      <c r="E15" s="71"/>
      <c r="F15" s="73"/>
      <c r="G15" s="73" t="n">
        <v>5900</v>
      </c>
      <c r="H15" s="42" t="str">
        <f aca="false">IF(M15="","",IF(U15&gt;0,"✔ Matched",IF(M15="OUT","Not yet presented","Not yet credited")))</f>
        <v>✔ Matched</v>
      </c>
      <c r="I15" s="43" t="n">
        <f aca="false">IF(N(U15)&gt;0,U15,"")</f>
        <v>10</v>
      </c>
      <c r="J15" s="44" t="n">
        <f aca="false">IF(N(U15)&gt;0,T15,"")</f>
        <v>1</v>
      </c>
      <c r="K15" s="45" t="str">
        <f aca="false">IF(AND(M15="",B15="",D15=""),"",IF(AND(N(F15)&gt;0,N(G15)&gt;0),"⚠ Fill deposit OR payment",IF(M15="","⚠ Enter amount",IF(B15="","⚠ Enter date",IF(AND(Setup!$C$8&lt;&gt;"",B15&gt;Setup!$C$8),"⚠ Date after period",IF(AND(O15&lt;&gt;"",COUNTIF($O$8:$O$507,O15)&gt;1),"⚠ Cheque no. used twice","✔"))))))</f>
        <v>✔</v>
      </c>
      <c r="M15" s="9" t="str">
        <f aca="false">IF(N(F15)&gt;0,"IN",IF(N(G15)&gt;0,"OUT",""))</f>
        <v>OUT</v>
      </c>
      <c r="N15" s="9" t="str">
        <f aca="false">IF(M15="","",M15&amp;"|"&amp;TEXT(ROUND(N(F15)+N(G15),2),"0.00"))</f>
        <v>OUT|5900.00</v>
      </c>
      <c r="O15" s="9" t="str">
        <f aca="false">IF(OR(N15="",TRIM(E15&amp;"")=""),"",N15&amp;"|"&amp;UPPER(TRIM(E15&amp;"")))</f>
        <v/>
      </c>
      <c r="P15" s="9" t="n">
        <f aca="false">IF(O15="",0,IFERROR(MATCH(O15,'Bank Statement'!$O$8:$O$507,0),0))</f>
        <v>0</v>
      </c>
      <c r="Q15" s="9" t="str">
        <f aca="false">IF(OR(N15="",P15&gt;0),"",N15&amp;"#"&amp;COUNTIFS($N$8:N15,N15,$P$8:P15,0))</f>
        <v>OUT|5900.00#2</v>
      </c>
      <c r="R15" s="9" t="n">
        <f aca="false">IF(Q15="",0,IFERROR(MATCH(Q15,'Bank Statement'!$Q$8:$Q$507,0),0))</f>
        <v>10</v>
      </c>
      <c r="S15" s="9" t="n">
        <f aca="false">IF(P15&gt;0,P15,R15)</f>
        <v>10</v>
      </c>
      <c r="T15" s="9" t="n">
        <f aca="false">IF(OR(S15=0,B15=""),"",INDEX('Bank Statement'!$B$8:$B$507,S15)-B15)</f>
        <v>1</v>
      </c>
      <c r="U15" s="9" t="n">
        <f aca="false">IF(S15=0,0,IF(P15&gt;0,S15,IF(AND(ISNUMBER(T15),ABS(N(T15))&lt;=Setup!$C$11),S15,0)))</f>
        <v>10</v>
      </c>
      <c r="V15" s="9" t="str">
        <f aca="false">IF(AND(N15&lt;&gt;"",U15=0),IF(M15="OUT",1,2)*100000+ROW(),"")</f>
        <v/>
      </c>
      <c r="W15" s="9" t="n">
        <f aca="false">N(F15)+N(G15)</f>
        <v>5900</v>
      </c>
    </row>
    <row r="16" customFormat="false" ht="15" hidden="false" customHeight="false" outlineLevel="0" collapsed="false">
      <c r="A16" s="37" t="n">
        <f aca="false">IF(M16="","",ROW()-7)</f>
        <v>9</v>
      </c>
      <c r="B16" s="70" t="n">
        <v>46283</v>
      </c>
      <c r="C16" s="71" t="s">
        <v>91</v>
      </c>
      <c r="D16" s="72" t="s">
        <v>92</v>
      </c>
      <c r="E16" s="71"/>
      <c r="F16" s="73" t="n">
        <v>22400</v>
      </c>
      <c r="G16" s="73"/>
      <c r="H16" s="42" t="str">
        <f aca="false">IF(M16="","",IF(U16&gt;0,"✔ Matched",IF(M16="OUT","Not yet presented","Not yet credited")))</f>
        <v>✔ Matched</v>
      </c>
      <c r="I16" s="43" t="n">
        <f aca="false">IF(N(U16)&gt;0,U16,"")</f>
        <v>11</v>
      </c>
      <c r="J16" s="44" t="n">
        <f aca="false">IF(N(U16)&gt;0,T16,"")</f>
        <v>0</v>
      </c>
      <c r="K16" s="45" t="str">
        <f aca="false">IF(AND(M16="",B16="",D16=""),"",IF(AND(N(F16)&gt;0,N(G16)&gt;0),"⚠ Fill deposit OR payment",IF(M16="","⚠ Enter amount",IF(B16="","⚠ Enter date",IF(AND(Setup!$C$8&lt;&gt;"",B16&gt;Setup!$C$8),"⚠ Date after period",IF(AND(O16&lt;&gt;"",COUNTIF($O$8:$O$507,O16)&gt;1),"⚠ Cheque no. used twice","✔"))))))</f>
        <v>✔</v>
      </c>
      <c r="M16" s="9" t="str">
        <f aca="false">IF(N(F16)&gt;0,"IN",IF(N(G16)&gt;0,"OUT",""))</f>
        <v>IN</v>
      </c>
      <c r="N16" s="9" t="str">
        <f aca="false">IF(M16="","",M16&amp;"|"&amp;TEXT(ROUND(N(F16)+N(G16),2),"0.00"))</f>
        <v>IN|22400.00</v>
      </c>
      <c r="O16" s="9" t="str">
        <f aca="false">IF(OR(N16="",TRIM(E16&amp;"")=""),"",N16&amp;"|"&amp;UPPER(TRIM(E16&amp;"")))</f>
        <v/>
      </c>
      <c r="P16" s="9" t="n">
        <f aca="false">IF(O16="",0,IFERROR(MATCH(O16,'Bank Statement'!$O$8:$O$507,0),0))</f>
        <v>0</v>
      </c>
      <c r="Q16" s="9" t="str">
        <f aca="false">IF(OR(N16="",P16&gt;0),"",N16&amp;"#"&amp;COUNTIFS($N$8:N16,N16,$P$8:P16,0))</f>
        <v>IN|22400.00#1</v>
      </c>
      <c r="R16" s="9" t="n">
        <f aca="false">IF(Q16="",0,IFERROR(MATCH(Q16,'Bank Statement'!$Q$8:$Q$507,0),0))</f>
        <v>11</v>
      </c>
      <c r="S16" s="9" t="n">
        <f aca="false">IF(P16&gt;0,P16,R16)</f>
        <v>11</v>
      </c>
      <c r="T16" s="9" t="n">
        <f aca="false">IF(OR(S16=0,B16=""),"",INDEX('Bank Statement'!$B$8:$B$507,S16)-B16)</f>
        <v>0</v>
      </c>
      <c r="U16" s="9" t="n">
        <f aca="false">IF(S16=0,0,IF(P16&gt;0,S16,IF(AND(ISNUMBER(T16),ABS(N(T16))&lt;=Setup!$C$11),S16,0)))</f>
        <v>11</v>
      </c>
      <c r="V16" s="9" t="str">
        <f aca="false">IF(AND(N16&lt;&gt;"",U16=0),IF(M16="OUT",1,2)*100000+ROW(),"")</f>
        <v/>
      </c>
      <c r="W16" s="9" t="n">
        <f aca="false">N(F16)+N(G16)</f>
        <v>22400</v>
      </c>
    </row>
    <row r="17" customFormat="false" ht="15" hidden="false" customHeight="false" outlineLevel="0" collapsed="false">
      <c r="A17" s="37" t="n">
        <f aca="false">IF(M17="","",ROW()-7)</f>
        <v>10</v>
      </c>
      <c r="B17" s="70" t="n">
        <v>46285</v>
      </c>
      <c r="C17" s="71" t="s">
        <v>93</v>
      </c>
      <c r="D17" s="72" t="s">
        <v>94</v>
      </c>
      <c r="E17" s="71" t="s">
        <v>95</v>
      </c>
      <c r="F17" s="73"/>
      <c r="G17" s="73" t="n">
        <v>32000</v>
      </c>
      <c r="H17" s="42" t="str">
        <f aca="false">IF(M17="","",IF(U17&gt;0,"✔ Matched",IF(M17="OUT","Not yet presented","Not yet credited")))</f>
        <v>✔ Matched</v>
      </c>
      <c r="I17" s="43" t="n">
        <f aca="false">IF(N(U17)&gt;0,U17,"")</f>
        <v>12</v>
      </c>
      <c r="J17" s="44" t="n">
        <f aca="false">IF(N(U17)&gt;0,T17,"")</f>
        <v>2</v>
      </c>
      <c r="K17" s="45" t="str">
        <f aca="false">IF(AND(M17="",B17="",D17=""),"",IF(AND(N(F17)&gt;0,N(G17)&gt;0),"⚠ Fill deposit OR payment",IF(M17="","⚠ Enter amount",IF(B17="","⚠ Enter date",IF(AND(Setup!$C$8&lt;&gt;"",B17&gt;Setup!$C$8),"⚠ Date after period",IF(AND(O17&lt;&gt;"",COUNTIF($O$8:$O$507,O17)&gt;1),"⚠ Cheque no. used twice","✔"))))))</f>
        <v>✔</v>
      </c>
      <c r="M17" s="9" t="str">
        <f aca="false">IF(N(F17)&gt;0,"IN",IF(N(G17)&gt;0,"OUT",""))</f>
        <v>OUT</v>
      </c>
      <c r="N17" s="9" t="str">
        <f aca="false">IF(M17="","",M17&amp;"|"&amp;TEXT(ROUND(N(F17)+N(G17),2),"0.00"))</f>
        <v>OUT|32000.00</v>
      </c>
      <c r="O17" s="9" t="str">
        <f aca="false">IF(OR(N17="",TRIM(E17&amp;"")=""),"",N17&amp;"|"&amp;UPPER(TRIM(E17&amp;"")))</f>
        <v>OUT|32000.00|000782</v>
      </c>
      <c r="P17" s="9" t="n">
        <f aca="false">IF(O17="",0,IFERROR(MATCH(O17,'Bank Statement'!$O$8:$O$507,0),0))</f>
        <v>12</v>
      </c>
      <c r="Q17" s="9" t="str">
        <f aca="false">IF(OR(N17="",P17&gt;0),"",N17&amp;"#"&amp;COUNTIFS($N$8:N17,N17,$P$8:P17,0))</f>
        <v/>
      </c>
      <c r="R17" s="9" t="n">
        <f aca="false">IF(Q17="",0,IFERROR(MATCH(Q17,'Bank Statement'!$Q$8:$Q$507,0),0))</f>
        <v>0</v>
      </c>
      <c r="S17" s="9" t="n">
        <f aca="false">IF(P17&gt;0,P17,R17)</f>
        <v>12</v>
      </c>
      <c r="T17" s="9" t="n">
        <f aca="false">IF(OR(S17=0,B17=""),"",INDEX('Bank Statement'!$B$8:$B$507,S17)-B17)</f>
        <v>2</v>
      </c>
      <c r="U17" s="9" t="n">
        <f aca="false">IF(S17=0,0,IF(P17&gt;0,S17,IF(AND(ISNUMBER(T17),ABS(N(T17))&lt;=Setup!$C$11),S17,0)))</f>
        <v>12</v>
      </c>
      <c r="V17" s="9" t="str">
        <f aca="false">IF(AND(N17&lt;&gt;"",U17=0),IF(M17="OUT",1,2)*100000+ROW(),"")</f>
        <v/>
      </c>
      <c r="W17" s="9" t="n">
        <f aca="false">N(F17)+N(G17)</f>
        <v>32000</v>
      </c>
    </row>
    <row r="18" customFormat="false" ht="15" hidden="false" customHeight="false" outlineLevel="0" collapsed="false">
      <c r="A18" s="37" t="n">
        <f aca="false">IF(M18="","",ROW()-7)</f>
        <v>11</v>
      </c>
      <c r="B18" s="70" t="n">
        <v>46287</v>
      </c>
      <c r="C18" s="71" t="s">
        <v>96</v>
      </c>
      <c r="D18" s="72" t="s">
        <v>74</v>
      </c>
      <c r="E18" s="71"/>
      <c r="F18" s="73" t="n">
        <v>28000</v>
      </c>
      <c r="G18" s="73"/>
      <c r="H18" s="42" t="str">
        <f aca="false">IF(M18="","",IF(U18&gt;0,"✔ Matched",IF(M18="OUT","Not yet presented","Not yet credited")))</f>
        <v>✔ Matched</v>
      </c>
      <c r="I18" s="43" t="n">
        <f aca="false">IF(N(U18)&gt;0,U18,"")</f>
        <v>13</v>
      </c>
      <c r="J18" s="44" t="n">
        <f aca="false">IF(N(U18)&gt;0,T18,"")</f>
        <v>0</v>
      </c>
      <c r="K18" s="45" t="str">
        <f aca="false">IF(AND(M18="",B18="",D18=""),"",IF(AND(N(F18)&gt;0,N(G18)&gt;0),"⚠ Fill deposit OR payment",IF(M18="","⚠ Enter amount",IF(B18="","⚠ Enter date",IF(AND(Setup!$C$8&lt;&gt;"",B18&gt;Setup!$C$8),"⚠ Date after period",IF(AND(O18&lt;&gt;"",COUNTIF($O$8:$O$507,O18)&gt;1),"⚠ Cheque no. used twice","✔"))))))</f>
        <v>✔</v>
      </c>
      <c r="M18" s="9" t="str">
        <f aca="false">IF(N(F18)&gt;0,"IN",IF(N(G18)&gt;0,"OUT",""))</f>
        <v>IN</v>
      </c>
      <c r="N18" s="9" t="str">
        <f aca="false">IF(M18="","",M18&amp;"|"&amp;TEXT(ROUND(N(F18)+N(G18),2),"0.00"))</f>
        <v>IN|28000.00</v>
      </c>
      <c r="O18" s="9" t="str">
        <f aca="false">IF(OR(N18="",TRIM(E18&amp;"")=""),"",N18&amp;"|"&amp;UPPER(TRIM(E18&amp;"")))</f>
        <v/>
      </c>
      <c r="P18" s="9" t="n">
        <f aca="false">IF(O18="",0,IFERROR(MATCH(O18,'Bank Statement'!$O$8:$O$507,0),0))</f>
        <v>0</v>
      </c>
      <c r="Q18" s="9" t="str">
        <f aca="false">IF(OR(N18="",P18&gt;0),"",N18&amp;"#"&amp;COUNTIFS($N$8:N18,N18,$P$8:P18,0))</f>
        <v>IN|28000.00#1</v>
      </c>
      <c r="R18" s="9" t="n">
        <f aca="false">IF(Q18="",0,IFERROR(MATCH(Q18,'Bank Statement'!$Q$8:$Q$507,0),0))</f>
        <v>13</v>
      </c>
      <c r="S18" s="9" t="n">
        <f aca="false">IF(P18&gt;0,P18,R18)</f>
        <v>13</v>
      </c>
      <c r="T18" s="9" t="n">
        <f aca="false">IF(OR(S18=0,B18=""),"",INDEX('Bank Statement'!$B$8:$B$507,S18)-B18)</f>
        <v>0</v>
      </c>
      <c r="U18" s="9" t="n">
        <f aca="false">IF(S18=0,0,IF(P18&gt;0,S18,IF(AND(ISNUMBER(T18),ABS(N(T18))&lt;=Setup!$C$11),S18,0)))</f>
        <v>13</v>
      </c>
      <c r="V18" s="9" t="str">
        <f aca="false">IF(AND(N18&lt;&gt;"",U18=0),IF(M18="OUT",1,2)*100000+ROW(),"")</f>
        <v/>
      </c>
      <c r="W18" s="9" t="n">
        <f aca="false">N(F18)+N(G18)</f>
        <v>28000</v>
      </c>
    </row>
    <row r="19" customFormat="false" ht="15" hidden="false" customHeight="false" outlineLevel="0" collapsed="false">
      <c r="A19" s="37" t="n">
        <f aca="false">IF(M19="","",ROW()-7)</f>
        <v>12</v>
      </c>
      <c r="B19" s="70" t="n">
        <v>46289</v>
      </c>
      <c r="C19" s="71" t="s">
        <v>97</v>
      </c>
      <c r="D19" s="72" t="s">
        <v>98</v>
      </c>
      <c r="E19" s="71"/>
      <c r="F19" s="73"/>
      <c r="G19" s="73" t="n">
        <v>12650</v>
      </c>
      <c r="H19" s="42" t="str">
        <f aca="false">IF(M19="","",IF(U19&gt;0,"✔ Matched",IF(M19="OUT","Not yet presented","Not yet credited")))</f>
        <v>✔ Matched</v>
      </c>
      <c r="I19" s="43" t="n">
        <f aca="false">IF(N(U19)&gt;0,U19,"")</f>
        <v>14</v>
      </c>
      <c r="J19" s="44" t="n">
        <f aca="false">IF(N(U19)&gt;0,T19,"")</f>
        <v>0</v>
      </c>
      <c r="K19" s="45" t="str">
        <f aca="false">IF(AND(M19="",B19="",D19=""),"",IF(AND(N(F19)&gt;0,N(G19)&gt;0),"⚠ Fill deposit OR payment",IF(M19="","⚠ Enter amount",IF(B19="","⚠ Enter date",IF(AND(Setup!$C$8&lt;&gt;"",B19&gt;Setup!$C$8),"⚠ Date after period",IF(AND(O19&lt;&gt;"",COUNTIF($O$8:$O$507,O19)&gt;1),"⚠ Cheque no. used twice","✔"))))))</f>
        <v>✔</v>
      </c>
      <c r="M19" s="9" t="str">
        <f aca="false">IF(N(F19)&gt;0,"IN",IF(N(G19)&gt;0,"OUT",""))</f>
        <v>OUT</v>
      </c>
      <c r="N19" s="9" t="str">
        <f aca="false">IF(M19="","",M19&amp;"|"&amp;TEXT(ROUND(N(F19)+N(G19),2),"0.00"))</f>
        <v>OUT|12650.00</v>
      </c>
      <c r="O19" s="9" t="str">
        <f aca="false">IF(OR(N19="",TRIM(E19&amp;"")=""),"",N19&amp;"|"&amp;UPPER(TRIM(E19&amp;"")))</f>
        <v/>
      </c>
      <c r="P19" s="9" t="n">
        <f aca="false">IF(O19="",0,IFERROR(MATCH(O19,'Bank Statement'!$O$8:$O$507,0),0))</f>
        <v>0</v>
      </c>
      <c r="Q19" s="9" t="str">
        <f aca="false">IF(OR(N19="",P19&gt;0),"",N19&amp;"#"&amp;COUNTIFS($N$8:N19,N19,$P$8:P19,0))</f>
        <v>OUT|12650.00#1</v>
      </c>
      <c r="R19" s="9" t="n">
        <f aca="false">IF(Q19="",0,IFERROR(MATCH(Q19,'Bank Statement'!$Q$8:$Q$507,0),0))</f>
        <v>14</v>
      </c>
      <c r="S19" s="9" t="n">
        <f aca="false">IF(P19&gt;0,P19,R19)</f>
        <v>14</v>
      </c>
      <c r="T19" s="9" t="n">
        <f aca="false">IF(OR(S19=0,B19=""),"",INDEX('Bank Statement'!$B$8:$B$507,S19)-B19)</f>
        <v>0</v>
      </c>
      <c r="U19" s="9" t="n">
        <f aca="false">IF(S19=0,0,IF(P19&gt;0,S19,IF(AND(ISNUMBER(T19),ABS(N(T19))&lt;=Setup!$C$11),S19,0)))</f>
        <v>14</v>
      </c>
      <c r="V19" s="9" t="str">
        <f aca="false">IF(AND(N19&lt;&gt;"",U19=0),IF(M19="OUT",1,2)*100000+ROW(),"")</f>
        <v/>
      </c>
      <c r="W19" s="9" t="n">
        <f aca="false">N(F19)+N(G19)</f>
        <v>12650</v>
      </c>
    </row>
    <row r="20" customFormat="false" ht="15" hidden="false" customHeight="false" outlineLevel="0" collapsed="false">
      <c r="A20" s="37" t="n">
        <f aca="false">IF(M20="","",ROW()-7)</f>
        <v>13</v>
      </c>
      <c r="B20" s="70" t="n">
        <v>46291</v>
      </c>
      <c r="C20" s="71" t="s">
        <v>99</v>
      </c>
      <c r="D20" s="72" t="s">
        <v>100</v>
      </c>
      <c r="E20" s="71" t="s">
        <v>101</v>
      </c>
      <c r="F20" s="73"/>
      <c r="G20" s="73" t="n">
        <v>21240</v>
      </c>
      <c r="H20" s="42" t="str">
        <f aca="false">IF(M20="","",IF(U20&gt;0,"✔ Matched",IF(M20="OUT","Not yet presented","Not yet credited")))</f>
        <v>Not yet presented</v>
      </c>
      <c r="I20" s="43" t="str">
        <f aca="false">IF(N(U20)&gt;0,U20,"")</f>
        <v/>
      </c>
      <c r="J20" s="44" t="str">
        <f aca="false">IF(N(U20)&gt;0,T20,"")</f>
        <v/>
      </c>
      <c r="K20" s="45" t="str">
        <f aca="false">IF(AND(M20="",B20="",D20=""),"",IF(AND(N(F20)&gt;0,N(G20)&gt;0),"⚠ Fill deposit OR payment",IF(M20="","⚠ Enter amount",IF(B20="","⚠ Enter date",IF(AND(Setup!$C$8&lt;&gt;"",B20&gt;Setup!$C$8),"⚠ Date after period",IF(AND(O20&lt;&gt;"",COUNTIF($O$8:$O$507,O20)&gt;1),"⚠ Cheque no. used twice","✔"))))))</f>
        <v>✔</v>
      </c>
      <c r="M20" s="9" t="str">
        <f aca="false">IF(N(F20)&gt;0,"IN",IF(N(G20)&gt;0,"OUT",""))</f>
        <v>OUT</v>
      </c>
      <c r="N20" s="9" t="str">
        <f aca="false">IF(M20="","",M20&amp;"|"&amp;TEXT(ROUND(N(F20)+N(G20),2),"0.00"))</f>
        <v>OUT|21240.00</v>
      </c>
      <c r="O20" s="9" t="str">
        <f aca="false">IF(OR(N20="",TRIM(E20&amp;"")=""),"",N20&amp;"|"&amp;UPPER(TRIM(E20&amp;"")))</f>
        <v>OUT|21240.00|000783</v>
      </c>
      <c r="P20" s="9" t="n">
        <f aca="false">IF(O20="",0,IFERROR(MATCH(O20,'Bank Statement'!$O$8:$O$507,0),0))</f>
        <v>0</v>
      </c>
      <c r="Q20" s="9" t="str">
        <f aca="false">IF(OR(N20="",P20&gt;0),"",N20&amp;"#"&amp;COUNTIFS($N$8:N20,N20,$P$8:P20,0))</f>
        <v>OUT|21240.00#1</v>
      </c>
      <c r="R20" s="9" t="n">
        <f aca="false">IF(Q20="",0,IFERROR(MATCH(Q20,'Bank Statement'!$Q$8:$Q$507,0),0))</f>
        <v>0</v>
      </c>
      <c r="S20" s="9" t="n">
        <f aca="false">IF(P20&gt;0,P20,R20)</f>
        <v>0</v>
      </c>
      <c r="T20" s="9" t="str">
        <f aca="false">IF(OR(S20=0,B20=""),"",INDEX('Bank Statement'!$B$8:$B$507,S20)-B20)</f>
        <v/>
      </c>
      <c r="U20" s="9" t="n">
        <f aca="false">IF(S20=0,0,IF(P20&gt;0,S20,IF(AND(ISNUMBER(T20),ABS(N(T20))&lt;=Setup!$C$11),S20,0)))</f>
        <v>0</v>
      </c>
      <c r="V20" s="9" t="n">
        <f aca="false">IF(AND(N20&lt;&gt;"",U20=0),IF(M20="OUT",1,2)*100000+ROW(),"")</f>
        <v>100020</v>
      </c>
      <c r="W20" s="9" t="n">
        <f aca="false">N(F20)+N(G20)</f>
        <v>21240</v>
      </c>
    </row>
    <row r="21" customFormat="false" ht="15" hidden="false" customHeight="false" outlineLevel="0" collapsed="false">
      <c r="A21" s="37" t="n">
        <f aca="false">IF(M21="","",ROW()-7)</f>
        <v>14</v>
      </c>
      <c r="B21" s="70" t="n">
        <v>46293</v>
      </c>
      <c r="C21" s="71" t="s">
        <v>102</v>
      </c>
      <c r="D21" s="72" t="s">
        <v>103</v>
      </c>
      <c r="E21" s="71" t="s">
        <v>104</v>
      </c>
      <c r="F21" s="73"/>
      <c r="G21" s="73" t="n">
        <v>8880</v>
      </c>
      <c r="H21" s="42" t="str">
        <f aca="false">IF(M21="","",IF(U21&gt;0,"✔ Matched",IF(M21="OUT","Not yet presented","Not yet credited")))</f>
        <v>Not yet presented</v>
      </c>
      <c r="I21" s="43" t="str">
        <f aca="false">IF(N(U21)&gt;0,U21,"")</f>
        <v/>
      </c>
      <c r="J21" s="44" t="str">
        <f aca="false">IF(N(U21)&gt;0,T21,"")</f>
        <v/>
      </c>
      <c r="K21" s="45" t="str">
        <f aca="false">IF(AND(M21="",B21="",D21=""),"",IF(AND(N(F21)&gt;0,N(G21)&gt;0),"⚠ Fill deposit OR payment",IF(M21="","⚠ Enter amount",IF(B21="","⚠ Enter date",IF(AND(Setup!$C$8&lt;&gt;"",B21&gt;Setup!$C$8),"⚠ Date after period",IF(AND(O21&lt;&gt;"",COUNTIF($O$8:$O$507,O21)&gt;1),"⚠ Cheque no. used twice","✔"))))))</f>
        <v>✔</v>
      </c>
      <c r="M21" s="9" t="str">
        <f aca="false">IF(N(F21)&gt;0,"IN",IF(N(G21)&gt;0,"OUT",""))</f>
        <v>OUT</v>
      </c>
      <c r="N21" s="9" t="str">
        <f aca="false">IF(M21="","",M21&amp;"|"&amp;TEXT(ROUND(N(F21)+N(G21),2),"0.00"))</f>
        <v>OUT|8880.00</v>
      </c>
      <c r="O21" s="9" t="str">
        <f aca="false">IF(OR(N21="",TRIM(E21&amp;"")=""),"",N21&amp;"|"&amp;UPPER(TRIM(E21&amp;"")))</f>
        <v>OUT|8880.00|000784</v>
      </c>
      <c r="P21" s="9" t="n">
        <f aca="false">IF(O21="",0,IFERROR(MATCH(O21,'Bank Statement'!$O$8:$O$507,0),0))</f>
        <v>0</v>
      </c>
      <c r="Q21" s="9" t="str">
        <f aca="false">IF(OR(N21="",P21&gt;0),"",N21&amp;"#"&amp;COUNTIFS($N$8:N21,N21,$P$8:P21,0))</f>
        <v>OUT|8880.00#1</v>
      </c>
      <c r="R21" s="9" t="n">
        <f aca="false">IF(Q21="",0,IFERROR(MATCH(Q21,'Bank Statement'!$Q$8:$Q$507,0),0))</f>
        <v>0</v>
      </c>
      <c r="S21" s="9" t="n">
        <f aca="false">IF(P21&gt;0,P21,R21)</f>
        <v>0</v>
      </c>
      <c r="T21" s="9" t="str">
        <f aca="false">IF(OR(S21=0,B21=""),"",INDEX('Bank Statement'!$B$8:$B$507,S21)-B21)</f>
        <v/>
      </c>
      <c r="U21" s="9" t="n">
        <f aca="false">IF(S21=0,0,IF(P21&gt;0,S21,IF(AND(ISNUMBER(T21),ABS(N(T21))&lt;=Setup!$C$11),S21,0)))</f>
        <v>0</v>
      </c>
      <c r="V21" s="9" t="n">
        <f aca="false">IF(AND(N21&lt;&gt;"",U21=0),IF(M21="OUT",1,2)*100000+ROW(),"")</f>
        <v>100021</v>
      </c>
      <c r="W21" s="9" t="n">
        <f aca="false">N(F21)+N(G21)</f>
        <v>8880</v>
      </c>
    </row>
    <row r="22" customFormat="false" ht="15" hidden="false" customHeight="false" outlineLevel="0" collapsed="false">
      <c r="A22" s="37" t="n">
        <f aca="false">IF(M22="","",ROW()-7)</f>
        <v>15</v>
      </c>
      <c r="B22" s="70" t="n">
        <v>46294</v>
      </c>
      <c r="C22" s="71" t="s">
        <v>105</v>
      </c>
      <c r="D22" s="72" t="s">
        <v>106</v>
      </c>
      <c r="E22" s="71" t="s">
        <v>107</v>
      </c>
      <c r="F22" s="73" t="n">
        <v>15340</v>
      </c>
      <c r="G22" s="73"/>
      <c r="H22" s="42" t="str">
        <f aca="false">IF(M22="","",IF(U22&gt;0,"✔ Matched",IF(M22="OUT","Not yet presented","Not yet credited")))</f>
        <v>Not yet credited</v>
      </c>
      <c r="I22" s="43" t="str">
        <f aca="false">IF(N(U22)&gt;0,U22,"")</f>
        <v/>
      </c>
      <c r="J22" s="44" t="str">
        <f aca="false">IF(N(U22)&gt;0,T22,"")</f>
        <v/>
      </c>
      <c r="K22" s="45" t="str">
        <f aca="false">IF(AND(M22="",B22="",D22=""),"",IF(AND(N(F22)&gt;0,N(G22)&gt;0),"⚠ Fill deposit OR payment",IF(M22="","⚠ Enter amount",IF(B22="","⚠ Enter date",IF(AND(Setup!$C$8&lt;&gt;"",B22&gt;Setup!$C$8),"⚠ Date after period",IF(AND(O22&lt;&gt;"",COUNTIF($O$8:$O$507,O22)&gt;1),"⚠ Cheque no. used twice","✔"))))))</f>
        <v>✔</v>
      </c>
      <c r="M22" s="9" t="str">
        <f aca="false">IF(N(F22)&gt;0,"IN",IF(N(G22)&gt;0,"OUT",""))</f>
        <v>IN</v>
      </c>
      <c r="N22" s="9" t="str">
        <f aca="false">IF(M22="","",M22&amp;"|"&amp;TEXT(ROUND(N(F22)+N(G22),2),"0.00"))</f>
        <v>IN|15340.00</v>
      </c>
      <c r="O22" s="9" t="str">
        <f aca="false">IF(OR(N22="",TRIM(E22&amp;"")=""),"",N22&amp;"|"&amp;UPPER(TRIM(E22&amp;"")))</f>
        <v>IN|15340.00|456789</v>
      </c>
      <c r="P22" s="9" t="n">
        <f aca="false">IF(O22="",0,IFERROR(MATCH(O22,'Bank Statement'!$O$8:$O$507,0),0))</f>
        <v>0</v>
      </c>
      <c r="Q22" s="9" t="str">
        <f aca="false">IF(OR(N22="",P22&gt;0),"",N22&amp;"#"&amp;COUNTIFS($N$8:N22,N22,$P$8:P22,0))</f>
        <v>IN|15340.00#1</v>
      </c>
      <c r="R22" s="9" t="n">
        <f aca="false">IF(Q22="",0,IFERROR(MATCH(Q22,'Bank Statement'!$Q$8:$Q$507,0),0))</f>
        <v>0</v>
      </c>
      <c r="S22" s="9" t="n">
        <f aca="false">IF(P22&gt;0,P22,R22)</f>
        <v>0</v>
      </c>
      <c r="T22" s="9" t="str">
        <f aca="false">IF(OR(S22=0,B22=""),"",INDEX('Bank Statement'!$B$8:$B$507,S22)-B22)</f>
        <v/>
      </c>
      <c r="U22" s="9" t="n">
        <f aca="false">IF(S22=0,0,IF(P22&gt;0,S22,IF(AND(ISNUMBER(T22),ABS(N(T22))&lt;=Setup!$C$11),S22,0)))</f>
        <v>0</v>
      </c>
      <c r="V22" s="9" t="n">
        <f aca="false">IF(AND(N22&lt;&gt;"",U22=0),IF(M22="OUT",1,2)*100000+ROW(),"")</f>
        <v>200022</v>
      </c>
      <c r="W22" s="9" t="n">
        <f aca="false">N(F22)+N(G22)</f>
        <v>15340</v>
      </c>
    </row>
    <row r="23" customFormat="false" ht="15" hidden="false" customHeight="false" outlineLevel="0" collapsed="false">
      <c r="A23" s="37" t="n">
        <f aca="false">IF(M23="","",ROW()-7)</f>
        <v>16</v>
      </c>
      <c r="B23" s="70" t="n">
        <v>46295</v>
      </c>
      <c r="C23" s="71" t="s">
        <v>108</v>
      </c>
      <c r="D23" s="72" t="s">
        <v>74</v>
      </c>
      <c r="E23" s="71"/>
      <c r="F23" s="73" t="n">
        <v>12000</v>
      </c>
      <c r="G23" s="73"/>
      <c r="H23" s="42" t="str">
        <f aca="false">IF(M23="","",IF(U23&gt;0,"✔ Matched",IF(M23="OUT","Not yet presented","Not yet credited")))</f>
        <v>✔ Matched</v>
      </c>
      <c r="I23" s="43" t="n">
        <f aca="false">IF(N(U23)&gt;0,U23,"")</f>
        <v>15</v>
      </c>
      <c r="J23" s="44" t="n">
        <f aca="false">IF(N(U23)&gt;0,T23,"")</f>
        <v>0</v>
      </c>
      <c r="K23" s="45" t="str">
        <f aca="false">IF(AND(M23="",B23="",D23=""),"",IF(AND(N(F23)&gt;0,N(G23)&gt;0),"⚠ Fill deposit OR payment",IF(M23="","⚠ Enter amount",IF(B23="","⚠ Enter date",IF(AND(Setup!$C$8&lt;&gt;"",B23&gt;Setup!$C$8),"⚠ Date after period",IF(AND(O23&lt;&gt;"",COUNTIF($O$8:$O$507,O23)&gt;1),"⚠ Cheque no. used twice","✔"))))))</f>
        <v>✔</v>
      </c>
      <c r="M23" s="9" t="str">
        <f aca="false">IF(N(F23)&gt;0,"IN",IF(N(G23)&gt;0,"OUT",""))</f>
        <v>IN</v>
      </c>
      <c r="N23" s="9" t="str">
        <f aca="false">IF(M23="","",M23&amp;"|"&amp;TEXT(ROUND(N(F23)+N(G23),2),"0.00"))</f>
        <v>IN|12000.00</v>
      </c>
      <c r="O23" s="9" t="str">
        <f aca="false">IF(OR(N23="",TRIM(E23&amp;"")=""),"",N23&amp;"|"&amp;UPPER(TRIM(E23&amp;"")))</f>
        <v/>
      </c>
      <c r="P23" s="9" t="n">
        <f aca="false">IF(O23="",0,IFERROR(MATCH(O23,'Bank Statement'!$O$8:$O$507,0),0))</f>
        <v>0</v>
      </c>
      <c r="Q23" s="9" t="str">
        <f aca="false">IF(OR(N23="",P23&gt;0),"",N23&amp;"#"&amp;COUNTIFS($N$8:N23,N23,$P$8:P23,0))</f>
        <v>IN|12000.00#1</v>
      </c>
      <c r="R23" s="9" t="n">
        <f aca="false">IF(Q23="",0,IFERROR(MATCH(Q23,'Bank Statement'!$Q$8:$Q$507,0),0))</f>
        <v>15</v>
      </c>
      <c r="S23" s="9" t="n">
        <f aca="false">IF(P23&gt;0,P23,R23)</f>
        <v>15</v>
      </c>
      <c r="T23" s="9" t="n">
        <f aca="false">IF(OR(S23=0,B23=""),"",INDEX('Bank Statement'!$B$8:$B$507,S23)-B23)</f>
        <v>0</v>
      </c>
      <c r="U23" s="9" t="n">
        <f aca="false">IF(S23=0,0,IF(P23&gt;0,S23,IF(AND(ISNUMBER(T23),ABS(N(T23))&lt;=Setup!$C$11),S23,0)))</f>
        <v>15</v>
      </c>
      <c r="V23" s="9" t="str">
        <f aca="false">IF(AND(N23&lt;&gt;"",U23=0),IF(M23="OUT",1,2)*100000+ROW(),"")</f>
        <v/>
      </c>
      <c r="W23" s="9" t="n">
        <f aca="false">N(F23)+N(G23)</f>
        <v>12000</v>
      </c>
    </row>
    <row r="24" customFormat="false" ht="15" hidden="false" customHeight="false" outlineLevel="0" collapsed="false">
      <c r="A24" s="37" t="str">
        <f aca="false">IF(M24="","",ROW()-7)</f>
        <v/>
      </c>
      <c r="B24" s="70"/>
      <c r="C24" s="71"/>
      <c r="D24" s="72"/>
      <c r="E24" s="71"/>
      <c r="F24" s="73"/>
      <c r="G24" s="73"/>
      <c r="H24" s="42" t="str">
        <f aca="false">IF(M24="","",IF(U24&gt;0,"✔ Matched",IF(M24="OUT","Not yet presented","Not yet credited")))</f>
        <v/>
      </c>
      <c r="I24" s="43" t="str">
        <f aca="false">IF(N(U24)&gt;0,U24,"")</f>
        <v/>
      </c>
      <c r="J24" s="44" t="str">
        <f aca="false">IF(N(U24)&gt;0,T24,"")</f>
        <v/>
      </c>
      <c r="K24" s="45" t="str">
        <f aca="false">IF(AND(M24="",B24="",D24=""),"",IF(AND(N(F24)&gt;0,N(G24)&gt;0),"⚠ Fill deposit OR payment",IF(M24="","⚠ Enter amount",IF(B24="","⚠ Enter date",IF(AND(Setup!$C$8&lt;&gt;"",B24&gt;Setup!$C$8),"⚠ Date after period",IF(AND(O24&lt;&gt;"",COUNTIF($O$8:$O$507,O24)&gt;1),"⚠ Cheque no. used twice","✔"))))))</f>
        <v/>
      </c>
      <c r="M24" s="9" t="str">
        <f aca="false">IF(N(F24)&gt;0,"IN",IF(N(G24)&gt;0,"OUT",""))</f>
        <v/>
      </c>
      <c r="N24" s="9" t="str">
        <f aca="false">IF(M24="","",M24&amp;"|"&amp;TEXT(ROUND(N(F24)+N(G24),2),"0.00"))</f>
        <v/>
      </c>
      <c r="O24" s="9" t="str">
        <f aca="false">IF(OR(N24="",TRIM(E24&amp;"")=""),"",N24&amp;"|"&amp;UPPER(TRIM(E24&amp;"")))</f>
        <v/>
      </c>
      <c r="P24" s="9" t="n">
        <f aca="false">IF(O24="",0,IFERROR(MATCH(O24,'Bank Statement'!$O$8:$O$507,0),0))</f>
        <v>0</v>
      </c>
      <c r="Q24" s="9" t="str">
        <f aca="false">IF(OR(N24="",P24&gt;0),"",N24&amp;"#"&amp;COUNTIFS($N$8:N24,N24,$P$8:P24,0))</f>
        <v/>
      </c>
      <c r="R24" s="9" t="n">
        <f aca="false">IF(Q24="",0,IFERROR(MATCH(Q24,'Bank Statement'!$Q$8:$Q$507,0),0))</f>
        <v>0</v>
      </c>
      <c r="S24" s="9" t="n">
        <f aca="false">IF(P24&gt;0,P24,R24)</f>
        <v>0</v>
      </c>
      <c r="T24" s="9" t="str">
        <f aca="false">IF(OR(S24=0,B24=""),"",INDEX('Bank Statement'!$B$8:$B$507,S24)-B24)</f>
        <v/>
      </c>
      <c r="U24" s="9" t="n">
        <f aca="false">IF(S24=0,0,IF(P24&gt;0,S24,IF(AND(ISNUMBER(T24),ABS(N(T24))&lt;=Setup!$C$11),S24,0)))</f>
        <v>0</v>
      </c>
      <c r="V24" s="9" t="str">
        <f aca="false">IF(AND(N24&lt;&gt;"",U24=0),IF(M24="OUT",1,2)*100000+ROW(),"")</f>
        <v/>
      </c>
      <c r="W24" s="9" t="n">
        <f aca="false">N(F24)+N(G24)</f>
        <v>0</v>
      </c>
    </row>
    <row r="25" customFormat="false" ht="15" hidden="false" customHeight="false" outlineLevel="0" collapsed="false">
      <c r="A25" s="37" t="str">
        <f aca="false">IF(M25="","",ROW()-7)</f>
        <v/>
      </c>
      <c r="B25" s="70"/>
      <c r="C25" s="71"/>
      <c r="D25" s="72"/>
      <c r="E25" s="71"/>
      <c r="F25" s="73"/>
      <c r="G25" s="73"/>
      <c r="H25" s="42" t="str">
        <f aca="false">IF(M25="","",IF(U25&gt;0,"✔ Matched",IF(M25="OUT","Not yet presented","Not yet credited")))</f>
        <v/>
      </c>
      <c r="I25" s="43" t="str">
        <f aca="false">IF(N(U25)&gt;0,U25,"")</f>
        <v/>
      </c>
      <c r="J25" s="44" t="str">
        <f aca="false">IF(N(U25)&gt;0,T25,"")</f>
        <v/>
      </c>
      <c r="K25" s="45" t="str">
        <f aca="false">IF(AND(M25="",B25="",D25=""),"",IF(AND(N(F25)&gt;0,N(G25)&gt;0),"⚠ Fill deposit OR payment",IF(M25="","⚠ Enter amount",IF(B25="","⚠ Enter date",IF(AND(Setup!$C$8&lt;&gt;"",B25&gt;Setup!$C$8),"⚠ Date after period",IF(AND(O25&lt;&gt;"",COUNTIF($O$8:$O$507,O25)&gt;1),"⚠ Cheque no. used twice","✔"))))))</f>
        <v/>
      </c>
      <c r="M25" s="9" t="str">
        <f aca="false">IF(N(F25)&gt;0,"IN",IF(N(G25)&gt;0,"OUT",""))</f>
        <v/>
      </c>
      <c r="N25" s="9" t="str">
        <f aca="false">IF(M25="","",M25&amp;"|"&amp;TEXT(ROUND(N(F25)+N(G25),2),"0.00"))</f>
        <v/>
      </c>
      <c r="O25" s="9" t="str">
        <f aca="false">IF(OR(N25="",TRIM(E25&amp;"")=""),"",N25&amp;"|"&amp;UPPER(TRIM(E25&amp;"")))</f>
        <v/>
      </c>
      <c r="P25" s="9" t="n">
        <f aca="false">IF(O25="",0,IFERROR(MATCH(O25,'Bank Statement'!$O$8:$O$507,0),0))</f>
        <v>0</v>
      </c>
      <c r="Q25" s="9" t="str">
        <f aca="false">IF(OR(N25="",P25&gt;0),"",N25&amp;"#"&amp;COUNTIFS($N$8:N25,N25,$P$8:P25,0))</f>
        <v/>
      </c>
      <c r="R25" s="9" t="n">
        <f aca="false">IF(Q25="",0,IFERROR(MATCH(Q25,'Bank Statement'!$Q$8:$Q$507,0),0))</f>
        <v>0</v>
      </c>
      <c r="S25" s="9" t="n">
        <f aca="false">IF(P25&gt;0,P25,R25)</f>
        <v>0</v>
      </c>
      <c r="T25" s="9" t="str">
        <f aca="false">IF(OR(S25=0,B25=""),"",INDEX('Bank Statement'!$B$8:$B$507,S25)-B25)</f>
        <v/>
      </c>
      <c r="U25" s="9" t="n">
        <f aca="false">IF(S25=0,0,IF(P25&gt;0,S25,IF(AND(ISNUMBER(T25),ABS(N(T25))&lt;=Setup!$C$11),S25,0)))</f>
        <v>0</v>
      </c>
      <c r="V25" s="9" t="str">
        <f aca="false">IF(AND(N25&lt;&gt;"",U25=0),IF(M25="OUT",1,2)*100000+ROW(),"")</f>
        <v/>
      </c>
      <c r="W25" s="9" t="n">
        <f aca="false">N(F25)+N(G25)</f>
        <v>0</v>
      </c>
    </row>
    <row r="26" customFormat="false" ht="15" hidden="false" customHeight="false" outlineLevel="0" collapsed="false">
      <c r="A26" s="37" t="str">
        <f aca="false">IF(M26="","",ROW()-7)</f>
        <v/>
      </c>
      <c r="B26" s="70"/>
      <c r="C26" s="71"/>
      <c r="D26" s="72"/>
      <c r="E26" s="71"/>
      <c r="F26" s="73"/>
      <c r="G26" s="73"/>
      <c r="H26" s="42" t="str">
        <f aca="false">IF(M26="","",IF(U26&gt;0,"✔ Matched",IF(M26="OUT","Not yet presented","Not yet credited")))</f>
        <v/>
      </c>
      <c r="I26" s="43" t="str">
        <f aca="false">IF(N(U26)&gt;0,U26,"")</f>
        <v/>
      </c>
      <c r="J26" s="44" t="str">
        <f aca="false">IF(N(U26)&gt;0,T26,"")</f>
        <v/>
      </c>
      <c r="K26" s="45" t="str">
        <f aca="false">IF(AND(M26="",B26="",D26=""),"",IF(AND(N(F26)&gt;0,N(G26)&gt;0),"⚠ Fill deposit OR payment",IF(M26="","⚠ Enter amount",IF(B26="","⚠ Enter date",IF(AND(Setup!$C$8&lt;&gt;"",B26&gt;Setup!$C$8),"⚠ Date after period",IF(AND(O26&lt;&gt;"",COUNTIF($O$8:$O$507,O26)&gt;1),"⚠ Cheque no. used twice","✔"))))))</f>
        <v/>
      </c>
      <c r="M26" s="9" t="str">
        <f aca="false">IF(N(F26)&gt;0,"IN",IF(N(G26)&gt;0,"OUT",""))</f>
        <v/>
      </c>
      <c r="N26" s="9" t="str">
        <f aca="false">IF(M26="","",M26&amp;"|"&amp;TEXT(ROUND(N(F26)+N(G26),2),"0.00"))</f>
        <v/>
      </c>
      <c r="O26" s="9" t="str">
        <f aca="false">IF(OR(N26="",TRIM(E26&amp;"")=""),"",N26&amp;"|"&amp;UPPER(TRIM(E26&amp;"")))</f>
        <v/>
      </c>
      <c r="P26" s="9" t="n">
        <f aca="false">IF(O26="",0,IFERROR(MATCH(O26,'Bank Statement'!$O$8:$O$507,0),0))</f>
        <v>0</v>
      </c>
      <c r="Q26" s="9" t="str">
        <f aca="false">IF(OR(N26="",P26&gt;0),"",N26&amp;"#"&amp;COUNTIFS($N$8:N26,N26,$P$8:P26,0))</f>
        <v/>
      </c>
      <c r="R26" s="9" t="n">
        <f aca="false">IF(Q26="",0,IFERROR(MATCH(Q26,'Bank Statement'!$Q$8:$Q$507,0),0))</f>
        <v>0</v>
      </c>
      <c r="S26" s="9" t="n">
        <f aca="false">IF(P26&gt;0,P26,R26)</f>
        <v>0</v>
      </c>
      <c r="T26" s="9" t="str">
        <f aca="false">IF(OR(S26=0,B26=""),"",INDEX('Bank Statement'!$B$8:$B$507,S26)-B26)</f>
        <v/>
      </c>
      <c r="U26" s="9" t="n">
        <f aca="false">IF(S26=0,0,IF(P26&gt;0,S26,IF(AND(ISNUMBER(T26),ABS(N(T26))&lt;=Setup!$C$11),S26,0)))</f>
        <v>0</v>
      </c>
      <c r="V26" s="9" t="str">
        <f aca="false">IF(AND(N26&lt;&gt;"",U26=0),IF(M26="OUT",1,2)*100000+ROW(),"")</f>
        <v/>
      </c>
      <c r="W26" s="9" t="n">
        <f aca="false">N(F26)+N(G26)</f>
        <v>0</v>
      </c>
    </row>
    <row r="27" customFormat="false" ht="15" hidden="false" customHeight="false" outlineLevel="0" collapsed="false">
      <c r="A27" s="37" t="str">
        <f aca="false">IF(M27="","",ROW()-7)</f>
        <v/>
      </c>
      <c r="B27" s="70"/>
      <c r="C27" s="71"/>
      <c r="D27" s="72"/>
      <c r="E27" s="71"/>
      <c r="F27" s="73"/>
      <c r="G27" s="73"/>
      <c r="H27" s="42" t="str">
        <f aca="false">IF(M27="","",IF(U27&gt;0,"✔ Matched",IF(M27="OUT","Not yet presented","Not yet credited")))</f>
        <v/>
      </c>
      <c r="I27" s="43" t="str">
        <f aca="false">IF(N(U27)&gt;0,U27,"")</f>
        <v/>
      </c>
      <c r="J27" s="44" t="str">
        <f aca="false">IF(N(U27)&gt;0,T27,"")</f>
        <v/>
      </c>
      <c r="K27" s="45" t="str">
        <f aca="false">IF(AND(M27="",B27="",D27=""),"",IF(AND(N(F27)&gt;0,N(G27)&gt;0),"⚠ Fill deposit OR payment",IF(M27="","⚠ Enter amount",IF(B27="","⚠ Enter date",IF(AND(Setup!$C$8&lt;&gt;"",B27&gt;Setup!$C$8),"⚠ Date after period",IF(AND(O27&lt;&gt;"",COUNTIF($O$8:$O$507,O27)&gt;1),"⚠ Cheque no. used twice","✔"))))))</f>
        <v/>
      </c>
      <c r="M27" s="9" t="str">
        <f aca="false">IF(N(F27)&gt;0,"IN",IF(N(G27)&gt;0,"OUT",""))</f>
        <v/>
      </c>
      <c r="N27" s="9" t="str">
        <f aca="false">IF(M27="","",M27&amp;"|"&amp;TEXT(ROUND(N(F27)+N(G27),2),"0.00"))</f>
        <v/>
      </c>
      <c r="O27" s="9" t="str">
        <f aca="false">IF(OR(N27="",TRIM(E27&amp;"")=""),"",N27&amp;"|"&amp;UPPER(TRIM(E27&amp;"")))</f>
        <v/>
      </c>
      <c r="P27" s="9" t="n">
        <f aca="false">IF(O27="",0,IFERROR(MATCH(O27,'Bank Statement'!$O$8:$O$507,0),0))</f>
        <v>0</v>
      </c>
      <c r="Q27" s="9" t="str">
        <f aca="false">IF(OR(N27="",P27&gt;0),"",N27&amp;"#"&amp;COUNTIFS($N$8:N27,N27,$P$8:P27,0))</f>
        <v/>
      </c>
      <c r="R27" s="9" t="n">
        <f aca="false">IF(Q27="",0,IFERROR(MATCH(Q27,'Bank Statement'!$Q$8:$Q$507,0),0))</f>
        <v>0</v>
      </c>
      <c r="S27" s="9" t="n">
        <f aca="false">IF(P27&gt;0,P27,R27)</f>
        <v>0</v>
      </c>
      <c r="T27" s="9" t="str">
        <f aca="false">IF(OR(S27=0,B27=""),"",INDEX('Bank Statement'!$B$8:$B$507,S27)-B27)</f>
        <v/>
      </c>
      <c r="U27" s="9" t="n">
        <f aca="false">IF(S27=0,0,IF(P27&gt;0,S27,IF(AND(ISNUMBER(T27),ABS(N(T27))&lt;=Setup!$C$11),S27,0)))</f>
        <v>0</v>
      </c>
      <c r="V27" s="9" t="str">
        <f aca="false">IF(AND(N27&lt;&gt;"",U27=0),IF(M27="OUT",1,2)*100000+ROW(),"")</f>
        <v/>
      </c>
      <c r="W27" s="9" t="n">
        <f aca="false">N(F27)+N(G27)</f>
        <v>0</v>
      </c>
    </row>
    <row r="28" customFormat="false" ht="15" hidden="false" customHeight="false" outlineLevel="0" collapsed="false">
      <c r="A28" s="37" t="str">
        <f aca="false">IF(M28="","",ROW()-7)</f>
        <v/>
      </c>
      <c r="B28" s="70"/>
      <c r="C28" s="71"/>
      <c r="D28" s="72"/>
      <c r="E28" s="71"/>
      <c r="F28" s="73"/>
      <c r="G28" s="73"/>
      <c r="H28" s="42" t="str">
        <f aca="false">IF(M28="","",IF(U28&gt;0,"✔ Matched",IF(M28="OUT","Not yet presented","Not yet credited")))</f>
        <v/>
      </c>
      <c r="I28" s="43" t="str">
        <f aca="false">IF(N(U28)&gt;0,U28,"")</f>
        <v/>
      </c>
      <c r="J28" s="44" t="str">
        <f aca="false">IF(N(U28)&gt;0,T28,"")</f>
        <v/>
      </c>
      <c r="K28" s="45" t="str">
        <f aca="false">IF(AND(M28="",B28="",D28=""),"",IF(AND(N(F28)&gt;0,N(G28)&gt;0),"⚠ Fill deposit OR payment",IF(M28="","⚠ Enter amount",IF(B28="","⚠ Enter date",IF(AND(Setup!$C$8&lt;&gt;"",B28&gt;Setup!$C$8),"⚠ Date after period",IF(AND(O28&lt;&gt;"",COUNTIF($O$8:$O$507,O28)&gt;1),"⚠ Cheque no. used twice","✔"))))))</f>
        <v/>
      </c>
      <c r="M28" s="9" t="str">
        <f aca="false">IF(N(F28)&gt;0,"IN",IF(N(G28)&gt;0,"OUT",""))</f>
        <v/>
      </c>
      <c r="N28" s="9" t="str">
        <f aca="false">IF(M28="","",M28&amp;"|"&amp;TEXT(ROUND(N(F28)+N(G28),2),"0.00"))</f>
        <v/>
      </c>
      <c r="O28" s="9" t="str">
        <f aca="false">IF(OR(N28="",TRIM(E28&amp;"")=""),"",N28&amp;"|"&amp;UPPER(TRIM(E28&amp;"")))</f>
        <v/>
      </c>
      <c r="P28" s="9" t="n">
        <f aca="false">IF(O28="",0,IFERROR(MATCH(O28,'Bank Statement'!$O$8:$O$507,0),0))</f>
        <v>0</v>
      </c>
      <c r="Q28" s="9" t="str">
        <f aca="false">IF(OR(N28="",P28&gt;0),"",N28&amp;"#"&amp;COUNTIFS($N$8:N28,N28,$P$8:P28,0))</f>
        <v/>
      </c>
      <c r="R28" s="9" t="n">
        <f aca="false">IF(Q28="",0,IFERROR(MATCH(Q28,'Bank Statement'!$Q$8:$Q$507,0),0))</f>
        <v>0</v>
      </c>
      <c r="S28" s="9" t="n">
        <f aca="false">IF(P28&gt;0,P28,R28)</f>
        <v>0</v>
      </c>
      <c r="T28" s="9" t="str">
        <f aca="false">IF(OR(S28=0,B28=""),"",INDEX('Bank Statement'!$B$8:$B$507,S28)-B28)</f>
        <v/>
      </c>
      <c r="U28" s="9" t="n">
        <f aca="false">IF(S28=0,0,IF(P28&gt;0,S28,IF(AND(ISNUMBER(T28),ABS(N(T28))&lt;=Setup!$C$11),S28,0)))</f>
        <v>0</v>
      </c>
      <c r="V28" s="9" t="str">
        <f aca="false">IF(AND(N28&lt;&gt;"",U28=0),IF(M28="OUT",1,2)*100000+ROW(),"")</f>
        <v/>
      </c>
      <c r="W28" s="9" t="n">
        <f aca="false">N(F28)+N(G28)</f>
        <v>0</v>
      </c>
    </row>
    <row r="29" customFormat="false" ht="15" hidden="false" customHeight="false" outlineLevel="0" collapsed="false">
      <c r="A29" s="37" t="str">
        <f aca="false">IF(M29="","",ROW()-7)</f>
        <v/>
      </c>
      <c r="B29" s="70"/>
      <c r="C29" s="71"/>
      <c r="D29" s="72"/>
      <c r="E29" s="71"/>
      <c r="F29" s="73"/>
      <c r="G29" s="73"/>
      <c r="H29" s="42" t="str">
        <f aca="false">IF(M29="","",IF(U29&gt;0,"✔ Matched",IF(M29="OUT","Not yet presented","Not yet credited")))</f>
        <v/>
      </c>
      <c r="I29" s="43" t="str">
        <f aca="false">IF(N(U29)&gt;0,U29,"")</f>
        <v/>
      </c>
      <c r="J29" s="44" t="str">
        <f aca="false">IF(N(U29)&gt;0,T29,"")</f>
        <v/>
      </c>
      <c r="K29" s="45" t="str">
        <f aca="false">IF(AND(M29="",B29="",D29=""),"",IF(AND(N(F29)&gt;0,N(G29)&gt;0),"⚠ Fill deposit OR payment",IF(M29="","⚠ Enter amount",IF(B29="","⚠ Enter date",IF(AND(Setup!$C$8&lt;&gt;"",B29&gt;Setup!$C$8),"⚠ Date after period",IF(AND(O29&lt;&gt;"",COUNTIF($O$8:$O$507,O29)&gt;1),"⚠ Cheque no. used twice","✔"))))))</f>
        <v/>
      </c>
      <c r="M29" s="9" t="str">
        <f aca="false">IF(N(F29)&gt;0,"IN",IF(N(G29)&gt;0,"OUT",""))</f>
        <v/>
      </c>
      <c r="N29" s="9" t="str">
        <f aca="false">IF(M29="","",M29&amp;"|"&amp;TEXT(ROUND(N(F29)+N(G29),2),"0.00"))</f>
        <v/>
      </c>
      <c r="O29" s="9" t="str">
        <f aca="false">IF(OR(N29="",TRIM(E29&amp;"")=""),"",N29&amp;"|"&amp;UPPER(TRIM(E29&amp;"")))</f>
        <v/>
      </c>
      <c r="P29" s="9" t="n">
        <f aca="false">IF(O29="",0,IFERROR(MATCH(O29,'Bank Statement'!$O$8:$O$507,0),0))</f>
        <v>0</v>
      </c>
      <c r="Q29" s="9" t="str">
        <f aca="false">IF(OR(N29="",P29&gt;0),"",N29&amp;"#"&amp;COUNTIFS($N$8:N29,N29,$P$8:P29,0))</f>
        <v/>
      </c>
      <c r="R29" s="9" t="n">
        <f aca="false">IF(Q29="",0,IFERROR(MATCH(Q29,'Bank Statement'!$Q$8:$Q$507,0),0))</f>
        <v>0</v>
      </c>
      <c r="S29" s="9" t="n">
        <f aca="false">IF(P29&gt;0,P29,R29)</f>
        <v>0</v>
      </c>
      <c r="T29" s="9" t="str">
        <f aca="false">IF(OR(S29=0,B29=""),"",INDEX('Bank Statement'!$B$8:$B$507,S29)-B29)</f>
        <v/>
      </c>
      <c r="U29" s="9" t="n">
        <f aca="false">IF(S29=0,0,IF(P29&gt;0,S29,IF(AND(ISNUMBER(T29),ABS(N(T29))&lt;=Setup!$C$11),S29,0)))</f>
        <v>0</v>
      </c>
      <c r="V29" s="9" t="str">
        <f aca="false">IF(AND(N29&lt;&gt;"",U29=0),IF(M29="OUT",1,2)*100000+ROW(),"")</f>
        <v/>
      </c>
      <c r="W29" s="9" t="n">
        <f aca="false">N(F29)+N(G29)</f>
        <v>0</v>
      </c>
    </row>
    <row r="30" customFormat="false" ht="15" hidden="false" customHeight="false" outlineLevel="0" collapsed="false">
      <c r="A30" s="37" t="str">
        <f aca="false">IF(M30="","",ROW()-7)</f>
        <v/>
      </c>
      <c r="B30" s="70"/>
      <c r="C30" s="71"/>
      <c r="D30" s="72"/>
      <c r="E30" s="71"/>
      <c r="F30" s="73"/>
      <c r="G30" s="73"/>
      <c r="H30" s="42" t="str">
        <f aca="false">IF(M30="","",IF(U30&gt;0,"✔ Matched",IF(M30="OUT","Not yet presented","Not yet credited")))</f>
        <v/>
      </c>
      <c r="I30" s="43" t="str">
        <f aca="false">IF(N(U30)&gt;0,U30,"")</f>
        <v/>
      </c>
      <c r="J30" s="44" t="str">
        <f aca="false">IF(N(U30)&gt;0,T30,"")</f>
        <v/>
      </c>
      <c r="K30" s="45" t="str">
        <f aca="false">IF(AND(M30="",B30="",D30=""),"",IF(AND(N(F30)&gt;0,N(G30)&gt;0),"⚠ Fill deposit OR payment",IF(M30="","⚠ Enter amount",IF(B30="","⚠ Enter date",IF(AND(Setup!$C$8&lt;&gt;"",B30&gt;Setup!$C$8),"⚠ Date after period",IF(AND(O30&lt;&gt;"",COUNTIF($O$8:$O$507,O30)&gt;1),"⚠ Cheque no. used twice","✔"))))))</f>
        <v/>
      </c>
      <c r="M30" s="9" t="str">
        <f aca="false">IF(N(F30)&gt;0,"IN",IF(N(G30)&gt;0,"OUT",""))</f>
        <v/>
      </c>
      <c r="N30" s="9" t="str">
        <f aca="false">IF(M30="","",M30&amp;"|"&amp;TEXT(ROUND(N(F30)+N(G30),2),"0.00"))</f>
        <v/>
      </c>
      <c r="O30" s="9" t="str">
        <f aca="false">IF(OR(N30="",TRIM(E30&amp;"")=""),"",N30&amp;"|"&amp;UPPER(TRIM(E30&amp;"")))</f>
        <v/>
      </c>
      <c r="P30" s="9" t="n">
        <f aca="false">IF(O30="",0,IFERROR(MATCH(O30,'Bank Statement'!$O$8:$O$507,0),0))</f>
        <v>0</v>
      </c>
      <c r="Q30" s="9" t="str">
        <f aca="false">IF(OR(N30="",P30&gt;0),"",N30&amp;"#"&amp;COUNTIFS($N$8:N30,N30,$P$8:P30,0))</f>
        <v/>
      </c>
      <c r="R30" s="9" t="n">
        <f aca="false">IF(Q30="",0,IFERROR(MATCH(Q30,'Bank Statement'!$Q$8:$Q$507,0),0))</f>
        <v>0</v>
      </c>
      <c r="S30" s="9" t="n">
        <f aca="false">IF(P30&gt;0,P30,R30)</f>
        <v>0</v>
      </c>
      <c r="T30" s="9" t="str">
        <f aca="false">IF(OR(S30=0,B30=""),"",INDEX('Bank Statement'!$B$8:$B$507,S30)-B30)</f>
        <v/>
      </c>
      <c r="U30" s="9" t="n">
        <f aca="false">IF(S30=0,0,IF(P30&gt;0,S30,IF(AND(ISNUMBER(T30),ABS(N(T30))&lt;=Setup!$C$11),S30,0)))</f>
        <v>0</v>
      </c>
      <c r="V30" s="9" t="str">
        <f aca="false">IF(AND(N30&lt;&gt;"",U30=0),IF(M30="OUT",1,2)*100000+ROW(),"")</f>
        <v/>
      </c>
      <c r="W30" s="9" t="n">
        <f aca="false">N(F30)+N(G30)</f>
        <v>0</v>
      </c>
    </row>
    <row r="31" customFormat="false" ht="15" hidden="false" customHeight="false" outlineLevel="0" collapsed="false">
      <c r="A31" s="37" t="str">
        <f aca="false">IF(M31="","",ROW()-7)</f>
        <v/>
      </c>
      <c r="B31" s="70"/>
      <c r="C31" s="71"/>
      <c r="D31" s="72"/>
      <c r="E31" s="71"/>
      <c r="F31" s="73"/>
      <c r="G31" s="73"/>
      <c r="H31" s="42" t="str">
        <f aca="false">IF(M31="","",IF(U31&gt;0,"✔ Matched",IF(M31="OUT","Not yet presented","Not yet credited")))</f>
        <v/>
      </c>
      <c r="I31" s="43" t="str">
        <f aca="false">IF(N(U31)&gt;0,U31,"")</f>
        <v/>
      </c>
      <c r="J31" s="44" t="str">
        <f aca="false">IF(N(U31)&gt;0,T31,"")</f>
        <v/>
      </c>
      <c r="K31" s="45" t="str">
        <f aca="false">IF(AND(M31="",B31="",D31=""),"",IF(AND(N(F31)&gt;0,N(G31)&gt;0),"⚠ Fill deposit OR payment",IF(M31="","⚠ Enter amount",IF(B31="","⚠ Enter date",IF(AND(Setup!$C$8&lt;&gt;"",B31&gt;Setup!$C$8),"⚠ Date after period",IF(AND(O31&lt;&gt;"",COUNTIF($O$8:$O$507,O31)&gt;1),"⚠ Cheque no. used twice","✔"))))))</f>
        <v/>
      </c>
      <c r="M31" s="9" t="str">
        <f aca="false">IF(N(F31)&gt;0,"IN",IF(N(G31)&gt;0,"OUT",""))</f>
        <v/>
      </c>
      <c r="N31" s="9" t="str">
        <f aca="false">IF(M31="","",M31&amp;"|"&amp;TEXT(ROUND(N(F31)+N(G31),2),"0.00"))</f>
        <v/>
      </c>
      <c r="O31" s="9" t="str">
        <f aca="false">IF(OR(N31="",TRIM(E31&amp;"")=""),"",N31&amp;"|"&amp;UPPER(TRIM(E31&amp;"")))</f>
        <v/>
      </c>
      <c r="P31" s="9" t="n">
        <f aca="false">IF(O31="",0,IFERROR(MATCH(O31,'Bank Statement'!$O$8:$O$507,0),0))</f>
        <v>0</v>
      </c>
      <c r="Q31" s="9" t="str">
        <f aca="false">IF(OR(N31="",P31&gt;0),"",N31&amp;"#"&amp;COUNTIFS($N$8:N31,N31,$P$8:P31,0))</f>
        <v/>
      </c>
      <c r="R31" s="9" t="n">
        <f aca="false">IF(Q31="",0,IFERROR(MATCH(Q31,'Bank Statement'!$Q$8:$Q$507,0),0))</f>
        <v>0</v>
      </c>
      <c r="S31" s="9" t="n">
        <f aca="false">IF(P31&gt;0,P31,R31)</f>
        <v>0</v>
      </c>
      <c r="T31" s="9" t="str">
        <f aca="false">IF(OR(S31=0,B31=""),"",INDEX('Bank Statement'!$B$8:$B$507,S31)-B31)</f>
        <v/>
      </c>
      <c r="U31" s="9" t="n">
        <f aca="false">IF(S31=0,0,IF(P31&gt;0,S31,IF(AND(ISNUMBER(T31),ABS(N(T31))&lt;=Setup!$C$11),S31,0)))</f>
        <v>0</v>
      </c>
      <c r="V31" s="9" t="str">
        <f aca="false">IF(AND(N31&lt;&gt;"",U31=0),IF(M31="OUT",1,2)*100000+ROW(),"")</f>
        <v/>
      </c>
      <c r="W31" s="9" t="n">
        <f aca="false">N(F31)+N(G31)</f>
        <v>0</v>
      </c>
    </row>
    <row r="32" customFormat="false" ht="15" hidden="false" customHeight="false" outlineLevel="0" collapsed="false">
      <c r="A32" s="37" t="str">
        <f aca="false">IF(M32="","",ROW()-7)</f>
        <v/>
      </c>
      <c r="B32" s="70"/>
      <c r="C32" s="71"/>
      <c r="D32" s="72"/>
      <c r="E32" s="71"/>
      <c r="F32" s="73"/>
      <c r="G32" s="73"/>
      <c r="H32" s="42" t="str">
        <f aca="false">IF(M32="","",IF(U32&gt;0,"✔ Matched",IF(M32="OUT","Not yet presented","Not yet credited")))</f>
        <v/>
      </c>
      <c r="I32" s="43" t="str">
        <f aca="false">IF(N(U32)&gt;0,U32,"")</f>
        <v/>
      </c>
      <c r="J32" s="44" t="str">
        <f aca="false">IF(N(U32)&gt;0,T32,"")</f>
        <v/>
      </c>
      <c r="K32" s="45" t="str">
        <f aca="false">IF(AND(M32="",B32="",D32=""),"",IF(AND(N(F32)&gt;0,N(G32)&gt;0),"⚠ Fill deposit OR payment",IF(M32="","⚠ Enter amount",IF(B32="","⚠ Enter date",IF(AND(Setup!$C$8&lt;&gt;"",B32&gt;Setup!$C$8),"⚠ Date after period",IF(AND(O32&lt;&gt;"",COUNTIF($O$8:$O$507,O32)&gt;1),"⚠ Cheque no. used twice","✔"))))))</f>
        <v/>
      </c>
      <c r="M32" s="9" t="str">
        <f aca="false">IF(N(F32)&gt;0,"IN",IF(N(G32)&gt;0,"OUT",""))</f>
        <v/>
      </c>
      <c r="N32" s="9" t="str">
        <f aca="false">IF(M32="","",M32&amp;"|"&amp;TEXT(ROUND(N(F32)+N(G32),2),"0.00"))</f>
        <v/>
      </c>
      <c r="O32" s="9" t="str">
        <f aca="false">IF(OR(N32="",TRIM(E32&amp;"")=""),"",N32&amp;"|"&amp;UPPER(TRIM(E32&amp;"")))</f>
        <v/>
      </c>
      <c r="P32" s="9" t="n">
        <f aca="false">IF(O32="",0,IFERROR(MATCH(O32,'Bank Statement'!$O$8:$O$507,0),0))</f>
        <v>0</v>
      </c>
      <c r="Q32" s="9" t="str">
        <f aca="false">IF(OR(N32="",P32&gt;0),"",N32&amp;"#"&amp;COUNTIFS($N$8:N32,N32,$P$8:P32,0))</f>
        <v/>
      </c>
      <c r="R32" s="9" t="n">
        <f aca="false">IF(Q32="",0,IFERROR(MATCH(Q32,'Bank Statement'!$Q$8:$Q$507,0),0))</f>
        <v>0</v>
      </c>
      <c r="S32" s="9" t="n">
        <f aca="false">IF(P32&gt;0,P32,R32)</f>
        <v>0</v>
      </c>
      <c r="T32" s="9" t="str">
        <f aca="false">IF(OR(S32=0,B32=""),"",INDEX('Bank Statement'!$B$8:$B$507,S32)-B32)</f>
        <v/>
      </c>
      <c r="U32" s="9" t="n">
        <f aca="false">IF(S32=0,0,IF(P32&gt;0,S32,IF(AND(ISNUMBER(T32),ABS(N(T32))&lt;=Setup!$C$11),S32,0)))</f>
        <v>0</v>
      </c>
      <c r="V32" s="9" t="str">
        <f aca="false">IF(AND(N32&lt;&gt;"",U32=0),IF(M32="OUT",1,2)*100000+ROW(),"")</f>
        <v/>
      </c>
      <c r="W32" s="9" t="n">
        <f aca="false">N(F32)+N(G32)</f>
        <v>0</v>
      </c>
    </row>
    <row r="33" customFormat="false" ht="15" hidden="false" customHeight="false" outlineLevel="0" collapsed="false">
      <c r="A33" s="37" t="str">
        <f aca="false">IF(M33="","",ROW()-7)</f>
        <v/>
      </c>
      <c r="B33" s="70"/>
      <c r="C33" s="71"/>
      <c r="D33" s="72"/>
      <c r="E33" s="71"/>
      <c r="F33" s="73"/>
      <c r="G33" s="73"/>
      <c r="H33" s="42" t="str">
        <f aca="false">IF(M33="","",IF(U33&gt;0,"✔ Matched",IF(M33="OUT","Not yet presented","Not yet credited")))</f>
        <v/>
      </c>
      <c r="I33" s="43" t="str">
        <f aca="false">IF(N(U33)&gt;0,U33,"")</f>
        <v/>
      </c>
      <c r="J33" s="44" t="str">
        <f aca="false">IF(N(U33)&gt;0,T33,"")</f>
        <v/>
      </c>
      <c r="K33" s="45" t="str">
        <f aca="false">IF(AND(M33="",B33="",D33=""),"",IF(AND(N(F33)&gt;0,N(G33)&gt;0),"⚠ Fill deposit OR payment",IF(M33="","⚠ Enter amount",IF(B33="","⚠ Enter date",IF(AND(Setup!$C$8&lt;&gt;"",B33&gt;Setup!$C$8),"⚠ Date after period",IF(AND(O33&lt;&gt;"",COUNTIF($O$8:$O$507,O33)&gt;1),"⚠ Cheque no. used twice","✔"))))))</f>
        <v/>
      </c>
      <c r="M33" s="9" t="str">
        <f aca="false">IF(N(F33)&gt;0,"IN",IF(N(G33)&gt;0,"OUT",""))</f>
        <v/>
      </c>
      <c r="N33" s="9" t="str">
        <f aca="false">IF(M33="","",M33&amp;"|"&amp;TEXT(ROUND(N(F33)+N(G33),2),"0.00"))</f>
        <v/>
      </c>
      <c r="O33" s="9" t="str">
        <f aca="false">IF(OR(N33="",TRIM(E33&amp;"")=""),"",N33&amp;"|"&amp;UPPER(TRIM(E33&amp;"")))</f>
        <v/>
      </c>
      <c r="P33" s="9" t="n">
        <f aca="false">IF(O33="",0,IFERROR(MATCH(O33,'Bank Statement'!$O$8:$O$507,0),0))</f>
        <v>0</v>
      </c>
      <c r="Q33" s="9" t="str">
        <f aca="false">IF(OR(N33="",P33&gt;0),"",N33&amp;"#"&amp;COUNTIFS($N$8:N33,N33,$P$8:P33,0))</f>
        <v/>
      </c>
      <c r="R33" s="9" t="n">
        <f aca="false">IF(Q33="",0,IFERROR(MATCH(Q33,'Bank Statement'!$Q$8:$Q$507,0),0))</f>
        <v>0</v>
      </c>
      <c r="S33" s="9" t="n">
        <f aca="false">IF(P33&gt;0,P33,R33)</f>
        <v>0</v>
      </c>
      <c r="T33" s="9" t="str">
        <f aca="false">IF(OR(S33=0,B33=""),"",INDEX('Bank Statement'!$B$8:$B$507,S33)-B33)</f>
        <v/>
      </c>
      <c r="U33" s="9" t="n">
        <f aca="false">IF(S33=0,0,IF(P33&gt;0,S33,IF(AND(ISNUMBER(T33),ABS(N(T33))&lt;=Setup!$C$11),S33,0)))</f>
        <v>0</v>
      </c>
      <c r="V33" s="9" t="str">
        <f aca="false">IF(AND(N33&lt;&gt;"",U33=0),IF(M33="OUT",1,2)*100000+ROW(),"")</f>
        <v/>
      </c>
      <c r="W33" s="9" t="n">
        <f aca="false">N(F33)+N(G33)</f>
        <v>0</v>
      </c>
    </row>
    <row r="34" customFormat="false" ht="15" hidden="false" customHeight="false" outlineLevel="0" collapsed="false">
      <c r="A34" s="37" t="str">
        <f aca="false">IF(M34="","",ROW()-7)</f>
        <v/>
      </c>
      <c r="B34" s="70"/>
      <c r="C34" s="71"/>
      <c r="D34" s="72"/>
      <c r="E34" s="71"/>
      <c r="F34" s="73"/>
      <c r="G34" s="73"/>
      <c r="H34" s="42" t="str">
        <f aca="false">IF(M34="","",IF(U34&gt;0,"✔ Matched",IF(M34="OUT","Not yet presented","Not yet credited")))</f>
        <v/>
      </c>
      <c r="I34" s="43" t="str">
        <f aca="false">IF(N(U34)&gt;0,U34,"")</f>
        <v/>
      </c>
      <c r="J34" s="44" t="str">
        <f aca="false">IF(N(U34)&gt;0,T34,"")</f>
        <v/>
      </c>
      <c r="K34" s="45" t="str">
        <f aca="false">IF(AND(M34="",B34="",D34=""),"",IF(AND(N(F34)&gt;0,N(G34)&gt;0),"⚠ Fill deposit OR payment",IF(M34="","⚠ Enter amount",IF(B34="","⚠ Enter date",IF(AND(Setup!$C$8&lt;&gt;"",B34&gt;Setup!$C$8),"⚠ Date after period",IF(AND(O34&lt;&gt;"",COUNTIF($O$8:$O$507,O34)&gt;1),"⚠ Cheque no. used twice","✔"))))))</f>
        <v/>
      </c>
      <c r="M34" s="9" t="str">
        <f aca="false">IF(N(F34)&gt;0,"IN",IF(N(G34)&gt;0,"OUT",""))</f>
        <v/>
      </c>
      <c r="N34" s="9" t="str">
        <f aca="false">IF(M34="","",M34&amp;"|"&amp;TEXT(ROUND(N(F34)+N(G34),2),"0.00"))</f>
        <v/>
      </c>
      <c r="O34" s="9" t="str">
        <f aca="false">IF(OR(N34="",TRIM(E34&amp;"")=""),"",N34&amp;"|"&amp;UPPER(TRIM(E34&amp;"")))</f>
        <v/>
      </c>
      <c r="P34" s="9" t="n">
        <f aca="false">IF(O34="",0,IFERROR(MATCH(O34,'Bank Statement'!$O$8:$O$507,0),0))</f>
        <v>0</v>
      </c>
      <c r="Q34" s="9" t="str">
        <f aca="false">IF(OR(N34="",P34&gt;0),"",N34&amp;"#"&amp;COUNTIFS($N$8:N34,N34,$P$8:P34,0))</f>
        <v/>
      </c>
      <c r="R34" s="9" t="n">
        <f aca="false">IF(Q34="",0,IFERROR(MATCH(Q34,'Bank Statement'!$Q$8:$Q$507,0),0))</f>
        <v>0</v>
      </c>
      <c r="S34" s="9" t="n">
        <f aca="false">IF(P34&gt;0,P34,R34)</f>
        <v>0</v>
      </c>
      <c r="T34" s="9" t="str">
        <f aca="false">IF(OR(S34=0,B34=""),"",INDEX('Bank Statement'!$B$8:$B$507,S34)-B34)</f>
        <v/>
      </c>
      <c r="U34" s="9" t="n">
        <f aca="false">IF(S34=0,0,IF(P34&gt;0,S34,IF(AND(ISNUMBER(T34),ABS(N(T34))&lt;=Setup!$C$11),S34,0)))</f>
        <v>0</v>
      </c>
      <c r="V34" s="9" t="str">
        <f aca="false">IF(AND(N34&lt;&gt;"",U34=0),IF(M34="OUT",1,2)*100000+ROW(),"")</f>
        <v/>
      </c>
      <c r="W34" s="9" t="n">
        <f aca="false">N(F34)+N(G34)</f>
        <v>0</v>
      </c>
    </row>
    <row r="35" customFormat="false" ht="15" hidden="false" customHeight="false" outlineLevel="0" collapsed="false">
      <c r="A35" s="37" t="str">
        <f aca="false">IF(M35="","",ROW()-7)</f>
        <v/>
      </c>
      <c r="B35" s="70"/>
      <c r="C35" s="71"/>
      <c r="D35" s="72"/>
      <c r="E35" s="71"/>
      <c r="F35" s="73"/>
      <c r="G35" s="73"/>
      <c r="H35" s="42" t="str">
        <f aca="false">IF(M35="","",IF(U35&gt;0,"✔ Matched",IF(M35="OUT","Not yet presented","Not yet credited")))</f>
        <v/>
      </c>
      <c r="I35" s="43" t="str">
        <f aca="false">IF(N(U35)&gt;0,U35,"")</f>
        <v/>
      </c>
      <c r="J35" s="44" t="str">
        <f aca="false">IF(N(U35)&gt;0,T35,"")</f>
        <v/>
      </c>
      <c r="K35" s="45" t="str">
        <f aca="false">IF(AND(M35="",B35="",D35=""),"",IF(AND(N(F35)&gt;0,N(G35)&gt;0),"⚠ Fill deposit OR payment",IF(M35="","⚠ Enter amount",IF(B35="","⚠ Enter date",IF(AND(Setup!$C$8&lt;&gt;"",B35&gt;Setup!$C$8),"⚠ Date after period",IF(AND(O35&lt;&gt;"",COUNTIF($O$8:$O$507,O35)&gt;1),"⚠ Cheque no. used twice","✔"))))))</f>
        <v/>
      </c>
      <c r="M35" s="9" t="str">
        <f aca="false">IF(N(F35)&gt;0,"IN",IF(N(G35)&gt;0,"OUT",""))</f>
        <v/>
      </c>
      <c r="N35" s="9" t="str">
        <f aca="false">IF(M35="","",M35&amp;"|"&amp;TEXT(ROUND(N(F35)+N(G35),2),"0.00"))</f>
        <v/>
      </c>
      <c r="O35" s="9" t="str">
        <f aca="false">IF(OR(N35="",TRIM(E35&amp;"")=""),"",N35&amp;"|"&amp;UPPER(TRIM(E35&amp;"")))</f>
        <v/>
      </c>
      <c r="P35" s="9" t="n">
        <f aca="false">IF(O35="",0,IFERROR(MATCH(O35,'Bank Statement'!$O$8:$O$507,0),0))</f>
        <v>0</v>
      </c>
      <c r="Q35" s="9" t="str">
        <f aca="false">IF(OR(N35="",P35&gt;0),"",N35&amp;"#"&amp;COUNTIFS($N$8:N35,N35,$P$8:P35,0))</f>
        <v/>
      </c>
      <c r="R35" s="9" t="n">
        <f aca="false">IF(Q35="",0,IFERROR(MATCH(Q35,'Bank Statement'!$Q$8:$Q$507,0),0))</f>
        <v>0</v>
      </c>
      <c r="S35" s="9" t="n">
        <f aca="false">IF(P35&gt;0,P35,R35)</f>
        <v>0</v>
      </c>
      <c r="T35" s="9" t="str">
        <f aca="false">IF(OR(S35=0,B35=""),"",INDEX('Bank Statement'!$B$8:$B$507,S35)-B35)</f>
        <v/>
      </c>
      <c r="U35" s="9" t="n">
        <f aca="false">IF(S35=0,0,IF(P35&gt;0,S35,IF(AND(ISNUMBER(T35),ABS(N(T35))&lt;=Setup!$C$11),S35,0)))</f>
        <v>0</v>
      </c>
      <c r="V35" s="9" t="str">
        <f aca="false">IF(AND(N35&lt;&gt;"",U35=0),IF(M35="OUT",1,2)*100000+ROW(),"")</f>
        <v/>
      </c>
      <c r="W35" s="9" t="n">
        <f aca="false">N(F35)+N(G35)</f>
        <v>0</v>
      </c>
    </row>
    <row r="36" customFormat="false" ht="15" hidden="false" customHeight="false" outlineLevel="0" collapsed="false">
      <c r="A36" s="37" t="str">
        <f aca="false">IF(M36="","",ROW()-7)</f>
        <v/>
      </c>
      <c r="B36" s="70"/>
      <c r="C36" s="71"/>
      <c r="D36" s="72"/>
      <c r="E36" s="71"/>
      <c r="F36" s="73"/>
      <c r="G36" s="73"/>
      <c r="H36" s="42" t="str">
        <f aca="false">IF(M36="","",IF(U36&gt;0,"✔ Matched",IF(M36="OUT","Not yet presented","Not yet credited")))</f>
        <v/>
      </c>
      <c r="I36" s="43" t="str">
        <f aca="false">IF(N(U36)&gt;0,U36,"")</f>
        <v/>
      </c>
      <c r="J36" s="44" t="str">
        <f aca="false">IF(N(U36)&gt;0,T36,"")</f>
        <v/>
      </c>
      <c r="K36" s="45" t="str">
        <f aca="false">IF(AND(M36="",B36="",D36=""),"",IF(AND(N(F36)&gt;0,N(G36)&gt;0),"⚠ Fill deposit OR payment",IF(M36="","⚠ Enter amount",IF(B36="","⚠ Enter date",IF(AND(Setup!$C$8&lt;&gt;"",B36&gt;Setup!$C$8),"⚠ Date after period",IF(AND(O36&lt;&gt;"",COUNTIF($O$8:$O$507,O36)&gt;1),"⚠ Cheque no. used twice","✔"))))))</f>
        <v/>
      </c>
      <c r="M36" s="9" t="str">
        <f aca="false">IF(N(F36)&gt;0,"IN",IF(N(G36)&gt;0,"OUT",""))</f>
        <v/>
      </c>
      <c r="N36" s="9" t="str">
        <f aca="false">IF(M36="","",M36&amp;"|"&amp;TEXT(ROUND(N(F36)+N(G36),2),"0.00"))</f>
        <v/>
      </c>
      <c r="O36" s="9" t="str">
        <f aca="false">IF(OR(N36="",TRIM(E36&amp;"")=""),"",N36&amp;"|"&amp;UPPER(TRIM(E36&amp;"")))</f>
        <v/>
      </c>
      <c r="P36" s="9" t="n">
        <f aca="false">IF(O36="",0,IFERROR(MATCH(O36,'Bank Statement'!$O$8:$O$507,0),0))</f>
        <v>0</v>
      </c>
      <c r="Q36" s="9" t="str">
        <f aca="false">IF(OR(N36="",P36&gt;0),"",N36&amp;"#"&amp;COUNTIFS($N$8:N36,N36,$P$8:P36,0))</f>
        <v/>
      </c>
      <c r="R36" s="9" t="n">
        <f aca="false">IF(Q36="",0,IFERROR(MATCH(Q36,'Bank Statement'!$Q$8:$Q$507,0),0))</f>
        <v>0</v>
      </c>
      <c r="S36" s="9" t="n">
        <f aca="false">IF(P36&gt;0,P36,R36)</f>
        <v>0</v>
      </c>
      <c r="T36" s="9" t="str">
        <f aca="false">IF(OR(S36=0,B36=""),"",INDEX('Bank Statement'!$B$8:$B$507,S36)-B36)</f>
        <v/>
      </c>
      <c r="U36" s="9" t="n">
        <f aca="false">IF(S36=0,0,IF(P36&gt;0,S36,IF(AND(ISNUMBER(T36),ABS(N(T36))&lt;=Setup!$C$11),S36,0)))</f>
        <v>0</v>
      </c>
      <c r="V36" s="9" t="str">
        <f aca="false">IF(AND(N36&lt;&gt;"",U36=0),IF(M36="OUT",1,2)*100000+ROW(),"")</f>
        <v/>
      </c>
      <c r="W36" s="9" t="n">
        <f aca="false">N(F36)+N(G36)</f>
        <v>0</v>
      </c>
    </row>
    <row r="37" customFormat="false" ht="15" hidden="false" customHeight="false" outlineLevel="0" collapsed="false">
      <c r="A37" s="37" t="str">
        <f aca="false">IF(M37="","",ROW()-7)</f>
        <v/>
      </c>
      <c r="B37" s="70"/>
      <c r="C37" s="71"/>
      <c r="D37" s="72"/>
      <c r="E37" s="71"/>
      <c r="F37" s="73"/>
      <c r="G37" s="73"/>
      <c r="H37" s="42" t="str">
        <f aca="false">IF(M37="","",IF(U37&gt;0,"✔ Matched",IF(M37="OUT","Not yet presented","Not yet credited")))</f>
        <v/>
      </c>
      <c r="I37" s="43" t="str">
        <f aca="false">IF(N(U37)&gt;0,U37,"")</f>
        <v/>
      </c>
      <c r="J37" s="44" t="str">
        <f aca="false">IF(N(U37)&gt;0,T37,"")</f>
        <v/>
      </c>
      <c r="K37" s="45" t="str">
        <f aca="false">IF(AND(M37="",B37="",D37=""),"",IF(AND(N(F37)&gt;0,N(G37)&gt;0),"⚠ Fill deposit OR payment",IF(M37="","⚠ Enter amount",IF(B37="","⚠ Enter date",IF(AND(Setup!$C$8&lt;&gt;"",B37&gt;Setup!$C$8),"⚠ Date after period",IF(AND(O37&lt;&gt;"",COUNTIF($O$8:$O$507,O37)&gt;1),"⚠ Cheque no. used twice","✔"))))))</f>
        <v/>
      </c>
      <c r="M37" s="9" t="str">
        <f aca="false">IF(N(F37)&gt;0,"IN",IF(N(G37)&gt;0,"OUT",""))</f>
        <v/>
      </c>
      <c r="N37" s="9" t="str">
        <f aca="false">IF(M37="","",M37&amp;"|"&amp;TEXT(ROUND(N(F37)+N(G37),2),"0.00"))</f>
        <v/>
      </c>
      <c r="O37" s="9" t="str">
        <f aca="false">IF(OR(N37="",TRIM(E37&amp;"")=""),"",N37&amp;"|"&amp;UPPER(TRIM(E37&amp;"")))</f>
        <v/>
      </c>
      <c r="P37" s="9" t="n">
        <f aca="false">IF(O37="",0,IFERROR(MATCH(O37,'Bank Statement'!$O$8:$O$507,0),0))</f>
        <v>0</v>
      </c>
      <c r="Q37" s="9" t="str">
        <f aca="false">IF(OR(N37="",P37&gt;0),"",N37&amp;"#"&amp;COUNTIFS($N$8:N37,N37,$P$8:P37,0))</f>
        <v/>
      </c>
      <c r="R37" s="9" t="n">
        <f aca="false">IF(Q37="",0,IFERROR(MATCH(Q37,'Bank Statement'!$Q$8:$Q$507,0),0))</f>
        <v>0</v>
      </c>
      <c r="S37" s="9" t="n">
        <f aca="false">IF(P37&gt;0,P37,R37)</f>
        <v>0</v>
      </c>
      <c r="T37" s="9" t="str">
        <f aca="false">IF(OR(S37=0,B37=""),"",INDEX('Bank Statement'!$B$8:$B$507,S37)-B37)</f>
        <v/>
      </c>
      <c r="U37" s="9" t="n">
        <f aca="false">IF(S37=0,0,IF(P37&gt;0,S37,IF(AND(ISNUMBER(T37),ABS(N(T37))&lt;=Setup!$C$11),S37,0)))</f>
        <v>0</v>
      </c>
      <c r="V37" s="9" t="str">
        <f aca="false">IF(AND(N37&lt;&gt;"",U37=0),IF(M37="OUT",1,2)*100000+ROW(),"")</f>
        <v/>
      </c>
      <c r="W37" s="9" t="n">
        <f aca="false">N(F37)+N(G37)</f>
        <v>0</v>
      </c>
    </row>
    <row r="38" customFormat="false" ht="15" hidden="false" customHeight="false" outlineLevel="0" collapsed="false">
      <c r="A38" s="37" t="str">
        <f aca="false">IF(M38="","",ROW()-7)</f>
        <v/>
      </c>
      <c r="B38" s="70"/>
      <c r="C38" s="71"/>
      <c r="D38" s="72"/>
      <c r="E38" s="71"/>
      <c r="F38" s="73"/>
      <c r="G38" s="73"/>
      <c r="H38" s="42" t="str">
        <f aca="false">IF(M38="","",IF(U38&gt;0,"✔ Matched",IF(M38="OUT","Not yet presented","Not yet credited")))</f>
        <v/>
      </c>
      <c r="I38" s="43" t="str">
        <f aca="false">IF(N(U38)&gt;0,U38,"")</f>
        <v/>
      </c>
      <c r="J38" s="44" t="str">
        <f aca="false">IF(N(U38)&gt;0,T38,"")</f>
        <v/>
      </c>
      <c r="K38" s="45" t="str">
        <f aca="false">IF(AND(M38="",B38="",D38=""),"",IF(AND(N(F38)&gt;0,N(G38)&gt;0),"⚠ Fill deposit OR payment",IF(M38="","⚠ Enter amount",IF(B38="","⚠ Enter date",IF(AND(Setup!$C$8&lt;&gt;"",B38&gt;Setup!$C$8),"⚠ Date after period",IF(AND(O38&lt;&gt;"",COUNTIF($O$8:$O$507,O38)&gt;1),"⚠ Cheque no. used twice","✔"))))))</f>
        <v/>
      </c>
      <c r="M38" s="9" t="str">
        <f aca="false">IF(N(F38)&gt;0,"IN",IF(N(G38)&gt;0,"OUT",""))</f>
        <v/>
      </c>
      <c r="N38" s="9" t="str">
        <f aca="false">IF(M38="","",M38&amp;"|"&amp;TEXT(ROUND(N(F38)+N(G38),2),"0.00"))</f>
        <v/>
      </c>
      <c r="O38" s="9" t="str">
        <f aca="false">IF(OR(N38="",TRIM(E38&amp;"")=""),"",N38&amp;"|"&amp;UPPER(TRIM(E38&amp;"")))</f>
        <v/>
      </c>
      <c r="P38" s="9" t="n">
        <f aca="false">IF(O38="",0,IFERROR(MATCH(O38,'Bank Statement'!$O$8:$O$507,0),0))</f>
        <v>0</v>
      </c>
      <c r="Q38" s="9" t="str">
        <f aca="false">IF(OR(N38="",P38&gt;0),"",N38&amp;"#"&amp;COUNTIFS($N$8:N38,N38,$P$8:P38,0))</f>
        <v/>
      </c>
      <c r="R38" s="9" t="n">
        <f aca="false">IF(Q38="",0,IFERROR(MATCH(Q38,'Bank Statement'!$Q$8:$Q$507,0),0))</f>
        <v>0</v>
      </c>
      <c r="S38" s="9" t="n">
        <f aca="false">IF(P38&gt;0,P38,R38)</f>
        <v>0</v>
      </c>
      <c r="T38" s="9" t="str">
        <f aca="false">IF(OR(S38=0,B38=""),"",INDEX('Bank Statement'!$B$8:$B$507,S38)-B38)</f>
        <v/>
      </c>
      <c r="U38" s="9" t="n">
        <f aca="false">IF(S38=0,0,IF(P38&gt;0,S38,IF(AND(ISNUMBER(T38),ABS(N(T38))&lt;=Setup!$C$11),S38,0)))</f>
        <v>0</v>
      </c>
      <c r="V38" s="9" t="str">
        <f aca="false">IF(AND(N38&lt;&gt;"",U38=0),IF(M38="OUT",1,2)*100000+ROW(),"")</f>
        <v/>
      </c>
      <c r="W38" s="9" t="n">
        <f aca="false">N(F38)+N(G38)</f>
        <v>0</v>
      </c>
    </row>
    <row r="39" customFormat="false" ht="15" hidden="false" customHeight="false" outlineLevel="0" collapsed="false">
      <c r="A39" s="37" t="str">
        <f aca="false">IF(M39="","",ROW()-7)</f>
        <v/>
      </c>
      <c r="B39" s="70"/>
      <c r="C39" s="71"/>
      <c r="D39" s="72"/>
      <c r="E39" s="71"/>
      <c r="F39" s="73"/>
      <c r="G39" s="73"/>
      <c r="H39" s="42" t="str">
        <f aca="false">IF(M39="","",IF(U39&gt;0,"✔ Matched",IF(M39="OUT","Not yet presented","Not yet credited")))</f>
        <v/>
      </c>
      <c r="I39" s="43" t="str">
        <f aca="false">IF(N(U39)&gt;0,U39,"")</f>
        <v/>
      </c>
      <c r="J39" s="44" t="str">
        <f aca="false">IF(N(U39)&gt;0,T39,"")</f>
        <v/>
      </c>
      <c r="K39" s="45" t="str">
        <f aca="false">IF(AND(M39="",B39="",D39=""),"",IF(AND(N(F39)&gt;0,N(G39)&gt;0),"⚠ Fill deposit OR payment",IF(M39="","⚠ Enter amount",IF(B39="","⚠ Enter date",IF(AND(Setup!$C$8&lt;&gt;"",B39&gt;Setup!$C$8),"⚠ Date after period",IF(AND(O39&lt;&gt;"",COUNTIF($O$8:$O$507,O39)&gt;1),"⚠ Cheque no. used twice","✔"))))))</f>
        <v/>
      </c>
      <c r="M39" s="9" t="str">
        <f aca="false">IF(N(F39)&gt;0,"IN",IF(N(G39)&gt;0,"OUT",""))</f>
        <v/>
      </c>
      <c r="N39" s="9" t="str">
        <f aca="false">IF(M39="","",M39&amp;"|"&amp;TEXT(ROUND(N(F39)+N(G39),2),"0.00"))</f>
        <v/>
      </c>
      <c r="O39" s="9" t="str">
        <f aca="false">IF(OR(N39="",TRIM(E39&amp;"")=""),"",N39&amp;"|"&amp;UPPER(TRIM(E39&amp;"")))</f>
        <v/>
      </c>
      <c r="P39" s="9" t="n">
        <f aca="false">IF(O39="",0,IFERROR(MATCH(O39,'Bank Statement'!$O$8:$O$507,0),0))</f>
        <v>0</v>
      </c>
      <c r="Q39" s="9" t="str">
        <f aca="false">IF(OR(N39="",P39&gt;0),"",N39&amp;"#"&amp;COUNTIFS($N$8:N39,N39,$P$8:P39,0))</f>
        <v/>
      </c>
      <c r="R39" s="9" t="n">
        <f aca="false">IF(Q39="",0,IFERROR(MATCH(Q39,'Bank Statement'!$Q$8:$Q$507,0),0))</f>
        <v>0</v>
      </c>
      <c r="S39" s="9" t="n">
        <f aca="false">IF(P39&gt;0,P39,R39)</f>
        <v>0</v>
      </c>
      <c r="T39" s="9" t="str">
        <f aca="false">IF(OR(S39=0,B39=""),"",INDEX('Bank Statement'!$B$8:$B$507,S39)-B39)</f>
        <v/>
      </c>
      <c r="U39" s="9" t="n">
        <f aca="false">IF(S39=0,0,IF(P39&gt;0,S39,IF(AND(ISNUMBER(T39),ABS(N(T39))&lt;=Setup!$C$11),S39,0)))</f>
        <v>0</v>
      </c>
      <c r="V39" s="9" t="str">
        <f aca="false">IF(AND(N39&lt;&gt;"",U39=0),IF(M39="OUT",1,2)*100000+ROW(),"")</f>
        <v/>
      </c>
      <c r="W39" s="9" t="n">
        <f aca="false">N(F39)+N(G39)</f>
        <v>0</v>
      </c>
    </row>
    <row r="40" customFormat="false" ht="15" hidden="false" customHeight="false" outlineLevel="0" collapsed="false">
      <c r="A40" s="37" t="str">
        <f aca="false">IF(M40="","",ROW()-7)</f>
        <v/>
      </c>
      <c r="B40" s="70"/>
      <c r="C40" s="71"/>
      <c r="D40" s="72"/>
      <c r="E40" s="71"/>
      <c r="F40" s="73"/>
      <c r="G40" s="73"/>
      <c r="H40" s="42" t="str">
        <f aca="false">IF(M40="","",IF(U40&gt;0,"✔ Matched",IF(M40="OUT","Not yet presented","Not yet credited")))</f>
        <v/>
      </c>
      <c r="I40" s="43" t="str">
        <f aca="false">IF(N(U40)&gt;0,U40,"")</f>
        <v/>
      </c>
      <c r="J40" s="44" t="str">
        <f aca="false">IF(N(U40)&gt;0,T40,"")</f>
        <v/>
      </c>
      <c r="K40" s="45" t="str">
        <f aca="false">IF(AND(M40="",B40="",D40=""),"",IF(AND(N(F40)&gt;0,N(G40)&gt;0),"⚠ Fill deposit OR payment",IF(M40="","⚠ Enter amount",IF(B40="","⚠ Enter date",IF(AND(Setup!$C$8&lt;&gt;"",B40&gt;Setup!$C$8),"⚠ Date after period",IF(AND(O40&lt;&gt;"",COUNTIF($O$8:$O$507,O40)&gt;1),"⚠ Cheque no. used twice","✔"))))))</f>
        <v/>
      </c>
      <c r="M40" s="9" t="str">
        <f aca="false">IF(N(F40)&gt;0,"IN",IF(N(G40)&gt;0,"OUT",""))</f>
        <v/>
      </c>
      <c r="N40" s="9" t="str">
        <f aca="false">IF(M40="","",M40&amp;"|"&amp;TEXT(ROUND(N(F40)+N(G40),2),"0.00"))</f>
        <v/>
      </c>
      <c r="O40" s="9" t="str">
        <f aca="false">IF(OR(N40="",TRIM(E40&amp;"")=""),"",N40&amp;"|"&amp;UPPER(TRIM(E40&amp;"")))</f>
        <v/>
      </c>
      <c r="P40" s="9" t="n">
        <f aca="false">IF(O40="",0,IFERROR(MATCH(O40,'Bank Statement'!$O$8:$O$507,0),0))</f>
        <v>0</v>
      </c>
      <c r="Q40" s="9" t="str">
        <f aca="false">IF(OR(N40="",P40&gt;0),"",N40&amp;"#"&amp;COUNTIFS($N$8:N40,N40,$P$8:P40,0))</f>
        <v/>
      </c>
      <c r="R40" s="9" t="n">
        <f aca="false">IF(Q40="",0,IFERROR(MATCH(Q40,'Bank Statement'!$Q$8:$Q$507,0),0))</f>
        <v>0</v>
      </c>
      <c r="S40" s="9" t="n">
        <f aca="false">IF(P40&gt;0,P40,R40)</f>
        <v>0</v>
      </c>
      <c r="T40" s="9" t="str">
        <f aca="false">IF(OR(S40=0,B40=""),"",INDEX('Bank Statement'!$B$8:$B$507,S40)-B40)</f>
        <v/>
      </c>
      <c r="U40" s="9" t="n">
        <f aca="false">IF(S40=0,0,IF(P40&gt;0,S40,IF(AND(ISNUMBER(T40),ABS(N(T40))&lt;=Setup!$C$11),S40,0)))</f>
        <v>0</v>
      </c>
      <c r="V40" s="9" t="str">
        <f aca="false">IF(AND(N40&lt;&gt;"",U40=0),IF(M40="OUT",1,2)*100000+ROW(),"")</f>
        <v/>
      </c>
      <c r="W40" s="9" t="n">
        <f aca="false">N(F40)+N(G40)</f>
        <v>0</v>
      </c>
    </row>
    <row r="41" customFormat="false" ht="15" hidden="false" customHeight="false" outlineLevel="0" collapsed="false">
      <c r="A41" s="37" t="str">
        <f aca="false">IF(M41="","",ROW()-7)</f>
        <v/>
      </c>
      <c r="B41" s="70"/>
      <c r="C41" s="71"/>
      <c r="D41" s="72"/>
      <c r="E41" s="71"/>
      <c r="F41" s="73"/>
      <c r="G41" s="73"/>
      <c r="H41" s="42" t="str">
        <f aca="false">IF(M41="","",IF(U41&gt;0,"✔ Matched",IF(M41="OUT","Not yet presented","Not yet credited")))</f>
        <v/>
      </c>
      <c r="I41" s="43" t="str">
        <f aca="false">IF(N(U41)&gt;0,U41,"")</f>
        <v/>
      </c>
      <c r="J41" s="44" t="str">
        <f aca="false">IF(N(U41)&gt;0,T41,"")</f>
        <v/>
      </c>
      <c r="K41" s="45" t="str">
        <f aca="false">IF(AND(M41="",B41="",D41=""),"",IF(AND(N(F41)&gt;0,N(G41)&gt;0),"⚠ Fill deposit OR payment",IF(M41="","⚠ Enter amount",IF(B41="","⚠ Enter date",IF(AND(Setup!$C$8&lt;&gt;"",B41&gt;Setup!$C$8),"⚠ Date after period",IF(AND(O41&lt;&gt;"",COUNTIF($O$8:$O$507,O41)&gt;1),"⚠ Cheque no. used twice","✔"))))))</f>
        <v/>
      </c>
      <c r="M41" s="9" t="str">
        <f aca="false">IF(N(F41)&gt;0,"IN",IF(N(G41)&gt;0,"OUT",""))</f>
        <v/>
      </c>
      <c r="N41" s="9" t="str">
        <f aca="false">IF(M41="","",M41&amp;"|"&amp;TEXT(ROUND(N(F41)+N(G41),2),"0.00"))</f>
        <v/>
      </c>
      <c r="O41" s="9" t="str">
        <f aca="false">IF(OR(N41="",TRIM(E41&amp;"")=""),"",N41&amp;"|"&amp;UPPER(TRIM(E41&amp;"")))</f>
        <v/>
      </c>
      <c r="P41" s="9" t="n">
        <f aca="false">IF(O41="",0,IFERROR(MATCH(O41,'Bank Statement'!$O$8:$O$507,0),0))</f>
        <v>0</v>
      </c>
      <c r="Q41" s="9" t="str">
        <f aca="false">IF(OR(N41="",P41&gt;0),"",N41&amp;"#"&amp;COUNTIFS($N$8:N41,N41,$P$8:P41,0))</f>
        <v/>
      </c>
      <c r="R41" s="9" t="n">
        <f aca="false">IF(Q41="",0,IFERROR(MATCH(Q41,'Bank Statement'!$Q$8:$Q$507,0),0))</f>
        <v>0</v>
      </c>
      <c r="S41" s="9" t="n">
        <f aca="false">IF(P41&gt;0,P41,R41)</f>
        <v>0</v>
      </c>
      <c r="T41" s="9" t="str">
        <f aca="false">IF(OR(S41=0,B41=""),"",INDEX('Bank Statement'!$B$8:$B$507,S41)-B41)</f>
        <v/>
      </c>
      <c r="U41" s="9" t="n">
        <f aca="false">IF(S41=0,0,IF(P41&gt;0,S41,IF(AND(ISNUMBER(T41),ABS(N(T41))&lt;=Setup!$C$11),S41,0)))</f>
        <v>0</v>
      </c>
      <c r="V41" s="9" t="str">
        <f aca="false">IF(AND(N41&lt;&gt;"",U41=0),IF(M41="OUT",1,2)*100000+ROW(),"")</f>
        <v/>
      </c>
      <c r="W41" s="9" t="n">
        <f aca="false">N(F41)+N(G41)</f>
        <v>0</v>
      </c>
    </row>
    <row r="42" customFormat="false" ht="15" hidden="false" customHeight="false" outlineLevel="0" collapsed="false">
      <c r="A42" s="37" t="str">
        <f aca="false">IF(M42="","",ROW()-7)</f>
        <v/>
      </c>
      <c r="B42" s="70"/>
      <c r="C42" s="71"/>
      <c r="D42" s="72"/>
      <c r="E42" s="71"/>
      <c r="F42" s="73"/>
      <c r="G42" s="73"/>
      <c r="H42" s="42" t="str">
        <f aca="false">IF(M42="","",IF(U42&gt;0,"✔ Matched",IF(M42="OUT","Not yet presented","Not yet credited")))</f>
        <v/>
      </c>
      <c r="I42" s="43" t="str">
        <f aca="false">IF(N(U42)&gt;0,U42,"")</f>
        <v/>
      </c>
      <c r="J42" s="44" t="str">
        <f aca="false">IF(N(U42)&gt;0,T42,"")</f>
        <v/>
      </c>
      <c r="K42" s="45" t="str">
        <f aca="false">IF(AND(M42="",B42="",D42=""),"",IF(AND(N(F42)&gt;0,N(G42)&gt;0),"⚠ Fill deposit OR payment",IF(M42="","⚠ Enter amount",IF(B42="","⚠ Enter date",IF(AND(Setup!$C$8&lt;&gt;"",B42&gt;Setup!$C$8),"⚠ Date after period",IF(AND(O42&lt;&gt;"",COUNTIF($O$8:$O$507,O42)&gt;1),"⚠ Cheque no. used twice","✔"))))))</f>
        <v/>
      </c>
      <c r="M42" s="9" t="str">
        <f aca="false">IF(N(F42)&gt;0,"IN",IF(N(G42)&gt;0,"OUT",""))</f>
        <v/>
      </c>
      <c r="N42" s="9" t="str">
        <f aca="false">IF(M42="","",M42&amp;"|"&amp;TEXT(ROUND(N(F42)+N(G42),2),"0.00"))</f>
        <v/>
      </c>
      <c r="O42" s="9" t="str">
        <f aca="false">IF(OR(N42="",TRIM(E42&amp;"")=""),"",N42&amp;"|"&amp;UPPER(TRIM(E42&amp;"")))</f>
        <v/>
      </c>
      <c r="P42" s="9" t="n">
        <f aca="false">IF(O42="",0,IFERROR(MATCH(O42,'Bank Statement'!$O$8:$O$507,0),0))</f>
        <v>0</v>
      </c>
      <c r="Q42" s="9" t="str">
        <f aca="false">IF(OR(N42="",P42&gt;0),"",N42&amp;"#"&amp;COUNTIFS($N$8:N42,N42,$P$8:P42,0))</f>
        <v/>
      </c>
      <c r="R42" s="9" t="n">
        <f aca="false">IF(Q42="",0,IFERROR(MATCH(Q42,'Bank Statement'!$Q$8:$Q$507,0),0))</f>
        <v>0</v>
      </c>
      <c r="S42" s="9" t="n">
        <f aca="false">IF(P42&gt;0,P42,R42)</f>
        <v>0</v>
      </c>
      <c r="T42" s="9" t="str">
        <f aca="false">IF(OR(S42=0,B42=""),"",INDEX('Bank Statement'!$B$8:$B$507,S42)-B42)</f>
        <v/>
      </c>
      <c r="U42" s="9" t="n">
        <f aca="false">IF(S42=0,0,IF(P42&gt;0,S42,IF(AND(ISNUMBER(T42),ABS(N(T42))&lt;=Setup!$C$11),S42,0)))</f>
        <v>0</v>
      </c>
      <c r="V42" s="9" t="str">
        <f aca="false">IF(AND(N42&lt;&gt;"",U42=0),IF(M42="OUT",1,2)*100000+ROW(),"")</f>
        <v/>
      </c>
      <c r="W42" s="9" t="n">
        <f aca="false">N(F42)+N(G42)</f>
        <v>0</v>
      </c>
    </row>
    <row r="43" customFormat="false" ht="15" hidden="false" customHeight="false" outlineLevel="0" collapsed="false">
      <c r="A43" s="37" t="str">
        <f aca="false">IF(M43="","",ROW()-7)</f>
        <v/>
      </c>
      <c r="B43" s="70"/>
      <c r="C43" s="71"/>
      <c r="D43" s="72"/>
      <c r="E43" s="71"/>
      <c r="F43" s="73"/>
      <c r="G43" s="73"/>
      <c r="H43" s="42" t="str">
        <f aca="false">IF(M43="","",IF(U43&gt;0,"✔ Matched",IF(M43="OUT","Not yet presented","Not yet credited")))</f>
        <v/>
      </c>
      <c r="I43" s="43" t="str">
        <f aca="false">IF(N(U43)&gt;0,U43,"")</f>
        <v/>
      </c>
      <c r="J43" s="44" t="str">
        <f aca="false">IF(N(U43)&gt;0,T43,"")</f>
        <v/>
      </c>
      <c r="K43" s="45" t="str">
        <f aca="false">IF(AND(M43="",B43="",D43=""),"",IF(AND(N(F43)&gt;0,N(G43)&gt;0),"⚠ Fill deposit OR payment",IF(M43="","⚠ Enter amount",IF(B43="","⚠ Enter date",IF(AND(Setup!$C$8&lt;&gt;"",B43&gt;Setup!$C$8),"⚠ Date after period",IF(AND(O43&lt;&gt;"",COUNTIF($O$8:$O$507,O43)&gt;1),"⚠ Cheque no. used twice","✔"))))))</f>
        <v/>
      </c>
      <c r="M43" s="9" t="str">
        <f aca="false">IF(N(F43)&gt;0,"IN",IF(N(G43)&gt;0,"OUT",""))</f>
        <v/>
      </c>
      <c r="N43" s="9" t="str">
        <f aca="false">IF(M43="","",M43&amp;"|"&amp;TEXT(ROUND(N(F43)+N(G43),2),"0.00"))</f>
        <v/>
      </c>
      <c r="O43" s="9" t="str">
        <f aca="false">IF(OR(N43="",TRIM(E43&amp;"")=""),"",N43&amp;"|"&amp;UPPER(TRIM(E43&amp;"")))</f>
        <v/>
      </c>
      <c r="P43" s="9" t="n">
        <f aca="false">IF(O43="",0,IFERROR(MATCH(O43,'Bank Statement'!$O$8:$O$507,0),0))</f>
        <v>0</v>
      </c>
      <c r="Q43" s="9" t="str">
        <f aca="false">IF(OR(N43="",P43&gt;0),"",N43&amp;"#"&amp;COUNTIFS($N$8:N43,N43,$P$8:P43,0))</f>
        <v/>
      </c>
      <c r="R43" s="9" t="n">
        <f aca="false">IF(Q43="",0,IFERROR(MATCH(Q43,'Bank Statement'!$Q$8:$Q$507,0),0))</f>
        <v>0</v>
      </c>
      <c r="S43" s="9" t="n">
        <f aca="false">IF(P43&gt;0,P43,R43)</f>
        <v>0</v>
      </c>
      <c r="T43" s="9" t="str">
        <f aca="false">IF(OR(S43=0,B43=""),"",INDEX('Bank Statement'!$B$8:$B$507,S43)-B43)</f>
        <v/>
      </c>
      <c r="U43" s="9" t="n">
        <f aca="false">IF(S43=0,0,IF(P43&gt;0,S43,IF(AND(ISNUMBER(T43),ABS(N(T43))&lt;=Setup!$C$11),S43,0)))</f>
        <v>0</v>
      </c>
      <c r="V43" s="9" t="str">
        <f aca="false">IF(AND(N43&lt;&gt;"",U43=0),IF(M43="OUT",1,2)*100000+ROW(),"")</f>
        <v/>
      </c>
      <c r="W43" s="9" t="n">
        <f aca="false">N(F43)+N(G43)</f>
        <v>0</v>
      </c>
    </row>
    <row r="44" customFormat="false" ht="15" hidden="false" customHeight="false" outlineLevel="0" collapsed="false">
      <c r="A44" s="37" t="str">
        <f aca="false">IF(M44="","",ROW()-7)</f>
        <v/>
      </c>
      <c r="B44" s="70"/>
      <c r="C44" s="71"/>
      <c r="D44" s="72"/>
      <c r="E44" s="71"/>
      <c r="F44" s="73"/>
      <c r="G44" s="73"/>
      <c r="H44" s="42" t="str">
        <f aca="false">IF(M44="","",IF(U44&gt;0,"✔ Matched",IF(M44="OUT","Not yet presented","Not yet credited")))</f>
        <v/>
      </c>
      <c r="I44" s="43" t="str">
        <f aca="false">IF(N(U44)&gt;0,U44,"")</f>
        <v/>
      </c>
      <c r="J44" s="44" t="str">
        <f aca="false">IF(N(U44)&gt;0,T44,"")</f>
        <v/>
      </c>
      <c r="K44" s="45" t="str">
        <f aca="false">IF(AND(M44="",B44="",D44=""),"",IF(AND(N(F44)&gt;0,N(G44)&gt;0),"⚠ Fill deposit OR payment",IF(M44="","⚠ Enter amount",IF(B44="","⚠ Enter date",IF(AND(Setup!$C$8&lt;&gt;"",B44&gt;Setup!$C$8),"⚠ Date after period",IF(AND(O44&lt;&gt;"",COUNTIF($O$8:$O$507,O44)&gt;1),"⚠ Cheque no. used twice","✔"))))))</f>
        <v/>
      </c>
      <c r="M44" s="9" t="str">
        <f aca="false">IF(N(F44)&gt;0,"IN",IF(N(G44)&gt;0,"OUT",""))</f>
        <v/>
      </c>
      <c r="N44" s="9" t="str">
        <f aca="false">IF(M44="","",M44&amp;"|"&amp;TEXT(ROUND(N(F44)+N(G44),2),"0.00"))</f>
        <v/>
      </c>
      <c r="O44" s="9" t="str">
        <f aca="false">IF(OR(N44="",TRIM(E44&amp;"")=""),"",N44&amp;"|"&amp;UPPER(TRIM(E44&amp;"")))</f>
        <v/>
      </c>
      <c r="P44" s="9" t="n">
        <f aca="false">IF(O44="",0,IFERROR(MATCH(O44,'Bank Statement'!$O$8:$O$507,0),0))</f>
        <v>0</v>
      </c>
      <c r="Q44" s="9" t="str">
        <f aca="false">IF(OR(N44="",P44&gt;0),"",N44&amp;"#"&amp;COUNTIFS($N$8:N44,N44,$P$8:P44,0))</f>
        <v/>
      </c>
      <c r="R44" s="9" t="n">
        <f aca="false">IF(Q44="",0,IFERROR(MATCH(Q44,'Bank Statement'!$Q$8:$Q$507,0),0))</f>
        <v>0</v>
      </c>
      <c r="S44" s="9" t="n">
        <f aca="false">IF(P44&gt;0,P44,R44)</f>
        <v>0</v>
      </c>
      <c r="T44" s="9" t="str">
        <f aca="false">IF(OR(S44=0,B44=""),"",INDEX('Bank Statement'!$B$8:$B$507,S44)-B44)</f>
        <v/>
      </c>
      <c r="U44" s="9" t="n">
        <f aca="false">IF(S44=0,0,IF(P44&gt;0,S44,IF(AND(ISNUMBER(T44),ABS(N(T44))&lt;=Setup!$C$11),S44,0)))</f>
        <v>0</v>
      </c>
      <c r="V44" s="9" t="str">
        <f aca="false">IF(AND(N44&lt;&gt;"",U44=0),IF(M44="OUT",1,2)*100000+ROW(),"")</f>
        <v/>
      </c>
      <c r="W44" s="9" t="n">
        <f aca="false">N(F44)+N(G44)</f>
        <v>0</v>
      </c>
    </row>
    <row r="45" customFormat="false" ht="15" hidden="false" customHeight="false" outlineLevel="0" collapsed="false">
      <c r="A45" s="37" t="str">
        <f aca="false">IF(M45="","",ROW()-7)</f>
        <v/>
      </c>
      <c r="B45" s="70"/>
      <c r="C45" s="71"/>
      <c r="D45" s="72"/>
      <c r="E45" s="71"/>
      <c r="F45" s="73"/>
      <c r="G45" s="73"/>
      <c r="H45" s="42" t="str">
        <f aca="false">IF(M45="","",IF(U45&gt;0,"✔ Matched",IF(M45="OUT","Not yet presented","Not yet credited")))</f>
        <v/>
      </c>
      <c r="I45" s="43" t="str">
        <f aca="false">IF(N(U45)&gt;0,U45,"")</f>
        <v/>
      </c>
      <c r="J45" s="44" t="str">
        <f aca="false">IF(N(U45)&gt;0,T45,"")</f>
        <v/>
      </c>
      <c r="K45" s="45" t="str">
        <f aca="false">IF(AND(M45="",B45="",D45=""),"",IF(AND(N(F45)&gt;0,N(G45)&gt;0),"⚠ Fill deposit OR payment",IF(M45="","⚠ Enter amount",IF(B45="","⚠ Enter date",IF(AND(Setup!$C$8&lt;&gt;"",B45&gt;Setup!$C$8),"⚠ Date after period",IF(AND(O45&lt;&gt;"",COUNTIF($O$8:$O$507,O45)&gt;1),"⚠ Cheque no. used twice","✔"))))))</f>
        <v/>
      </c>
      <c r="M45" s="9" t="str">
        <f aca="false">IF(N(F45)&gt;0,"IN",IF(N(G45)&gt;0,"OUT",""))</f>
        <v/>
      </c>
      <c r="N45" s="9" t="str">
        <f aca="false">IF(M45="","",M45&amp;"|"&amp;TEXT(ROUND(N(F45)+N(G45),2),"0.00"))</f>
        <v/>
      </c>
      <c r="O45" s="9" t="str">
        <f aca="false">IF(OR(N45="",TRIM(E45&amp;"")=""),"",N45&amp;"|"&amp;UPPER(TRIM(E45&amp;"")))</f>
        <v/>
      </c>
      <c r="P45" s="9" t="n">
        <f aca="false">IF(O45="",0,IFERROR(MATCH(O45,'Bank Statement'!$O$8:$O$507,0),0))</f>
        <v>0</v>
      </c>
      <c r="Q45" s="9" t="str">
        <f aca="false">IF(OR(N45="",P45&gt;0),"",N45&amp;"#"&amp;COUNTIFS($N$8:N45,N45,$P$8:P45,0))</f>
        <v/>
      </c>
      <c r="R45" s="9" t="n">
        <f aca="false">IF(Q45="",0,IFERROR(MATCH(Q45,'Bank Statement'!$Q$8:$Q$507,0),0))</f>
        <v>0</v>
      </c>
      <c r="S45" s="9" t="n">
        <f aca="false">IF(P45&gt;0,P45,R45)</f>
        <v>0</v>
      </c>
      <c r="T45" s="9" t="str">
        <f aca="false">IF(OR(S45=0,B45=""),"",INDEX('Bank Statement'!$B$8:$B$507,S45)-B45)</f>
        <v/>
      </c>
      <c r="U45" s="9" t="n">
        <f aca="false">IF(S45=0,0,IF(P45&gt;0,S45,IF(AND(ISNUMBER(T45),ABS(N(T45))&lt;=Setup!$C$11),S45,0)))</f>
        <v>0</v>
      </c>
      <c r="V45" s="9" t="str">
        <f aca="false">IF(AND(N45&lt;&gt;"",U45=0),IF(M45="OUT",1,2)*100000+ROW(),"")</f>
        <v/>
      </c>
      <c r="W45" s="9" t="n">
        <f aca="false">N(F45)+N(G45)</f>
        <v>0</v>
      </c>
    </row>
    <row r="46" customFormat="false" ht="15" hidden="false" customHeight="false" outlineLevel="0" collapsed="false">
      <c r="A46" s="37" t="str">
        <f aca="false">IF(M46="","",ROW()-7)</f>
        <v/>
      </c>
      <c r="B46" s="70"/>
      <c r="C46" s="71"/>
      <c r="D46" s="72"/>
      <c r="E46" s="71"/>
      <c r="F46" s="73"/>
      <c r="G46" s="73"/>
      <c r="H46" s="42" t="str">
        <f aca="false">IF(M46="","",IF(U46&gt;0,"✔ Matched",IF(M46="OUT","Not yet presented","Not yet credited")))</f>
        <v/>
      </c>
      <c r="I46" s="43" t="str">
        <f aca="false">IF(N(U46)&gt;0,U46,"")</f>
        <v/>
      </c>
      <c r="J46" s="44" t="str">
        <f aca="false">IF(N(U46)&gt;0,T46,"")</f>
        <v/>
      </c>
      <c r="K46" s="45" t="str">
        <f aca="false">IF(AND(M46="",B46="",D46=""),"",IF(AND(N(F46)&gt;0,N(G46)&gt;0),"⚠ Fill deposit OR payment",IF(M46="","⚠ Enter amount",IF(B46="","⚠ Enter date",IF(AND(Setup!$C$8&lt;&gt;"",B46&gt;Setup!$C$8),"⚠ Date after period",IF(AND(O46&lt;&gt;"",COUNTIF($O$8:$O$507,O46)&gt;1),"⚠ Cheque no. used twice","✔"))))))</f>
        <v/>
      </c>
      <c r="M46" s="9" t="str">
        <f aca="false">IF(N(F46)&gt;0,"IN",IF(N(G46)&gt;0,"OUT",""))</f>
        <v/>
      </c>
      <c r="N46" s="9" t="str">
        <f aca="false">IF(M46="","",M46&amp;"|"&amp;TEXT(ROUND(N(F46)+N(G46),2),"0.00"))</f>
        <v/>
      </c>
      <c r="O46" s="9" t="str">
        <f aca="false">IF(OR(N46="",TRIM(E46&amp;"")=""),"",N46&amp;"|"&amp;UPPER(TRIM(E46&amp;"")))</f>
        <v/>
      </c>
      <c r="P46" s="9" t="n">
        <f aca="false">IF(O46="",0,IFERROR(MATCH(O46,'Bank Statement'!$O$8:$O$507,0),0))</f>
        <v>0</v>
      </c>
      <c r="Q46" s="9" t="str">
        <f aca="false">IF(OR(N46="",P46&gt;0),"",N46&amp;"#"&amp;COUNTIFS($N$8:N46,N46,$P$8:P46,0))</f>
        <v/>
      </c>
      <c r="R46" s="9" t="n">
        <f aca="false">IF(Q46="",0,IFERROR(MATCH(Q46,'Bank Statement'!$Q$8:$Q$507,0),0))</f>
        <v>0</v>
      </c>
      <c r="S46" s="9" t="n">
        <f aca="false">IF(P46&gt;0,P46,R46)</f>
        <v>0</v>
      </c>
      <c r="T46" s="9" t="str">
        <f aca="false">IF(OR(S46=0,B46=""),"",INDEX('Bank Statement'!$B$8:$B$507,S46)-B46)</f>
        <v/>
      </c>
      <c r="U46" s="9" t="n">
        <f aca="false">IF(S46=0,0,IF(P46&gt;0,S46,IF(AND(ISNUMBER(T46),ABS(N(T46))&lt;=Setup!$C$11),S46,0)))</f>
        <v>0</v>
      </c>
      <c r="V46" s="9" t="str">
        <f aca="false">IF(AND(N46&lt;&gt;"",U46=0),IF(M46="OUT",1,2)*100000+ROW(),"")</f>
        <v/>
      </c>
      <c r="W46" s="9" t="n">
        <f aca="false">N(F46)+N(G46)</f>
        <v>0</v>
      </c>
    </row>
    <row r="47" customFormat="false" ht="15" hidden="false" customHeight="false" outlineLevel="0" collapsed="false">
      <c r="A47" s="37" t="str">
        <f aca="false">IF(M47="","",ROW()-7)</f>
        <v/>
      </c>
      <c r="B47" s="70"/>
      <c r="C47" s="71"/>
      <c r="D47" s="72"/>
      <c r="E47" s="71"/>
      <c r="F47" s="73"/>
      <c r="G47" s="73"/>
      <c r="H47" s="42" t="str">
        <f aca="false">IF(M47="","",IF(U47&gt;0,"✔ Matched",IF(M47="OUT","Not yet presented","Not yet credited")))</f>
        <v/>
      </c>
      <c r="I47" s="43" t="str">
        <f aca="false">IF(N(U47)&gt;0,U47,"")</f>
        <v/>
      </c>
      <c r="J47" s="44" t="str">
        <f aca="false">IF(N(U47)&gt;0,T47,"")</f>
        <v/>
      </c>
      <c r="K47" s="45" t="str">
        <f aca="false">IF(AND(M47="",B47="",D47=""),"",IF(AND(N(F47)&gt;0,N(G47)&gt;0),"⚠ Fill deposit OR payment",IF(M47="","⚠ Enter amount",IF(B47="","⚠ Enter date",IF(AND(Setup!$C$8&lt;&gt;"",B47&gt;Setup!$C$8),"⚠ Date after period",IF(AND(O47&lt;&gt;"",COUNTIF($O$8:$O$507,O47)&gt;1),"⚠ Cheque no. used twice","✔"))))))</f>
        <v/>
      </c>
      <c r="M47" s="9" t="str">
        <f aca="false">IF(N(F47)&gt;0,"IN",IF(N(G47)&gt;0,"OUT",""))</f>
        <v/>
      </c>
      <c r="N47" s="9" t="str">
        <f aca="false">IF(M47="","",M47&amp;"|"&amp;TEXT(ROUND(N(F47)+N(G47),2),"0.00"))</f>
        <v/>
      </c>
      <c r="O47" s="9" t="str">
        <f aca="false">IF(OR(N47="",TRIM(E47&amp;"")=""),"",N47&amp;"|"&amp;UPPER(TRIM(E47&amp;"")))</f>
        <v/>
      </c>
      <c r="P47" s="9" t="n">
        <f aca="false">IF(O47="",0,IFERROR(MATCH(O47,'Bank Statement'!$O$8:$O$507,0),0))</f>
        <v>0</v>
      </c>
      <c r="Q47" s="9" t="str">
        <f aca="false">IF(OR(N47="",P47&gt;0),"",N47&amp;"#"&amp;COUNTIFS($N$8:N47,N47,$P$8:P47,0))</f>
        <v/>
      </c>
      <c r="R47" s="9" t="n">
        <f aca="false">IF(Q47="",0,IFERROR(MATCH(Q47,'Bank Statement'!$Q$8:$Q$507,0),0))</f>
        <v>0</v>
      </c>
      <c r="S47" s="9" t="n">
        <f aca="false">IF(P47&gt;0,P47,R47)</f>
        <v>0</v>
      </c>
      <c r="T47" s="9" t="str">
        <f aca="false">IF(OR(S47=0,B47=""),"",INDEX('Bank Statement'!$B$8:$B$507,S47)-B47)</f>
        <v/>
      </c>
      <c r="U47" s="9" t="n">
        <f aca="false">IF(S47=0,0,IF(P47&gt;0,S47,IF(AND(ISNUMBER(T47),ABS(N(T47))&lt;=Setup!$C$11),S47,0)))</f>
        <v>0</v>
      </c>
      <c r="V47" s="9" t="str">
        <f aca="false">IF(AND(N47&lt;&gt;"",U47=0),IF(M47="OUT",1,2)*100000+ROW(),"")</f>
        <v/>
      </c>
      <c r="W47" s="9" t="n">
        <f aca="false">N(F47)+N(G47)</f>
        <v>0</v>
      </c>
    </row>
    <row r="48" customFormat="false" ht="15" hidden="false" customHeight="false" outlineLevel="0" collapsed="false">
      <c r="A48" s="37" t="str">
        <f aca="false">IF(M48="","",ROW()-7)</f>
        <v/>
      </c>
      <c r="B48" s="70"/>
      <c r="C48" s="71"/>
      <c r="D48" s="72"/>
      <c r="E48" s="71"/>
      <c r="F48" s="73"/>
      <c r="G48" s="73"/>
      <c r="H48" s="42" t="str">
        <f aca="false">IF(M48="","",IF(U48&gt;0,"✔ Matched",IF(M48="OUT","Not yet presented","Not yet credited")))</f>
        <v/>
      </c>
      <c r="I48" s="43" t="str">
        <f aca="false">IF(N(U48)&gt;0,U48,"")</f>
        <v/>
      </c>
      <c r="J48" s="44" t="str">
        <f aca="false">IF(N(U48)&gt;0,T48,"")</f>
        <v/>
      </c>
      <c r="K48" s="45" t="str">
        <f aca="false">IF(AND(M48="",B48="",D48=""),"",IF(AND(N(F48)&gt;0,N(G48)&gt;0),"⚠ Fill deposit OR payment",IF(M48="","⚠ Enter amount",IF(B48="","⚠ Enter date",IF(AND(Setup!$C$8&lt;&gt;"",B48&gt;Setup!$C$8),"⚠ Date after period",IF(AND(O48&lt;&gt;"",COUNTIF($O$8:$O$507,O48)&gt;1),"⚠ Cheque no. used twice","✔"))))))</f>
        <v/>
      </c>
      <c r="M48" s="9" t="str">
        <f aca="false">IF(N(F48)&gt;0,"IN",IF(N(G48)&gt;0,"OUT",""))</f>
        <v/>
      </c>
      <c r="N48" s="9" t="str">
        <f aca="false">IF(M48="","",M48&amp;"|"&amp;TEXT(ROUND(N(F48)+N(G48),2),"0.00"))</f>
        <v/>
      </c>
      <c r="O48" s="9" t="str">
        <f aca="false">IF(OR(N48="",TRIM(E48&amp;"")=""),"",N48&amp;"|"&amp;UPPER(TRIM(E48&amp;"")))</f>
        <v/>
      </c>
      <c r="P48" s="9" t="n">
        <f aca="false">IF(O48="",0,IFERROR(MATCH(O48,'Bank Statement'!$O$8:$O$507,0),0))</f>
        <v>0</v>
      </c>
      <c r="Q48" s="9" t="str">
        <f aca="false">IF(OR(N48="",P48&gt;0),"",N48&amp;"#"&amp;COUNTIFS($N$8:N48,N48,$P$8:P48,0))</f>
        <v/>
      </c>
      <c r="R48" s="9" t="n">
        <f aca="false">IF(Q48="",0,IFERROR(MATCH(Q48,'Bank Statement'!$Q$8:$Q$507,0),0))</f>
        <v>0</v>
      </c>
      <c r="S48" s="9" t="n">
        <f aca="false">IF(P48&gt;0,P48,R48)</f>
        <v>0</v>
      </c>
      <c r="T48" s="9" t="str">
        <f aca="false">IF(OR(S48=0,B48=""),"",INDEX('Bank Statement'!$B$8:$B$507,S48)-B48)</f>
        <v/>
      </c>
      <c r="U48" s="9" t="n">
        <f aca="false">IF(S48=0,0,IF(P48&gt;0,S48,IF(AND(ISNUMBER(T48),ABS(N(T48))&lt;=Setup!$C$11),S48,0)))</f>
        <v>0</v>
      </c>
      <c r="V48" s="9" t="str">
        <f aca="false">IF(AND(N48&lt;&gt;"",U48=0),IF(M48="OUT",1,2)*100000+ROW(),"")</f>
        <v/>
      </c>
      <c r="W48" s="9" t="n">
        <f aca="false">N(F48)+N(G48)</f>
        <v>0</v>
      </c>
    </row>
    <row r="49" customFormat="false" ht="15" hidden="false" customHeight="false" outlineLevel="0" collapsed="false">
      <c r="A49" s="37" t="str">
        <f aca="false">IF(M49="","",ROW()-7)</f>
        <v/>
      </c>
      <c r="B49" s="70"/>
      <c r="C49" s="71"/>
      <c r="D49" s="72"/>
      <c r="E49" s="71"/>
      <c r="F49" s="73"/>
      <c r="G49" s="73"/>
      <c r="H49" s="42" t="str">
        <f aca="false">IF(M49="","",IF(U49&gt;0,"✔ Matched",IF(M49="OUT","Not yet presented","Not yet credited")))</f>
        <v/>
      </c>
      <c r="I49" s="43" t="str">
        <f aca="false">IF(N(U49)&gt;0,U49,"")</f>
        <v/>
      </c>
      <c r="J49" s="44" t="str">
        <f aca="false">IF(N(U49)&gt;0,T49,"")</f>
        <v/>
      </c>
      <c r="K49" s="45" t="str">
        <f aca="false">IF(AND(M49="",B49="",D49=""),"",IF(AND(N(F49)&gt;0,N(G49)&gt;0),"⚠ Fill deposit OR payment",IF(M49="","⚠ Enter amount",IF(B49="","⚠ Enter date",IF(AND(Setup!$C$8&lt;&gt;"",B49&gt;Setup!$C$8),"⚠ Date after period",IF(AND(O49&lt;&gt;"",COUNTIF($O$8:$O$507,O49)&gt;1),"⚠ Cheque no. used twice","✔"))))))</f>
        <v/>
      </c>
      <c r="M49" s="9" t="str">
        <f aca="false">IF(N(F49)&gt;0,"IN",IF(N(G49)&gt;0,"OUT",""))</f>
        <v/>
      </c>
      <c r="N49" s="9" t="str">
        <f aca="false">IF(M49="","",M49&amp;"|"&amp;TEXT(ROUND(N(F49)+N(G49),2),"0.00"))</f>
        <v/>
      </c>
      <c r="O49" s="9" t="str">
        <f aca="false">IF(OR(N49="",TRIM(E49&amp;"")=""),"",N49&amp;"|"&amp;UPPER(TRIM(E49&amp;"")))</f>
        <v/>
      </c>
      <c r="P49" s="9" t="n">
        <f aca="false">IF(O49="",0,IFERROR(MATCH(O49,'Bank Statement'!$O$8:$O$507,0),0))</f>
        <v>0</v>
      </c>
      <c r="Q49" s="9" t="str">
        <f aca="false">IF(OR(N49="",P49&gt;0),"",N49&amp;"#"&amp;COUNTIFS($N$8:N49,N49,$P$8:P49,0))</f>
        <v/>
      </c>
      <c r="R49" s="9" t="n">
        <f aca="false">IF(Q49="",0,IFERROR(MATCH(Q49,'Bank Statement'!$Q$8:$Q$507,0),0))</f>
        <v>0</v>
      </c>
      <c r="S49" s="9" t="n">
        <f aca="false">IF(P49&gt;0,P49,R49)</f>
        <v>0</v>
      </c>
      <c r="T49" s="9" t="str">
        <f aca="false">IF(OR(S49=0,B49=""),"",INDEX('Bank Statement'!$B$8:$B$507,S49)-B49)</f>
        <v/>
      </c>
      <c r="U49" s="9" t="n">
        <f aca="false">IF(S49=0,0,IF(P49&gt;0,S49,IF(AND(ISNUMBER(T49),ABS(N(T49))&lt;=Setup!$C$11),S49,0)))</f>
        <v>0</v>
      </c>
      <c r="V49" s="9" t="str">
        <f aca="false">IF(AND(N49&lt;&gt;"",U49=0),IF(M49="OUT",1,2)*100000+ROW(),"")</f>
        <v/>
      </c>
      <c r="W49" s="9" t="n">
        <f aca="false">N(F49)+N(G49)</f>
        <v>0</v>
      </c>
    </row>
    <row r="50" customFormat="false" ht="15" hidden="false" customHeight="false" outlineLevel="0" collapsed="false">
      <c r="A50" s="37" t="str">
        <f aca="false">IF(M50="","",ROW()-7)</f>
        <v/>
      </c>
      <c r="B50" s="70"/>
      <c r="C50" s="71"/>
      <c r="D50" s="72"/>
      <c r="E50" s="71"/>
      <c r="F50" s="73"/>
      <c r="G50" s="73"/>
      <c r="H50" s="42" t="str">
        <f aca="false">IF(M50="","",IF(U50&gt;0,"✔ Matched",IF(M50="OUT","Not yet presented","Not yet credited")))</f>
        <v/>
      </c>
      <c r="I50" s="43" t="str">
        <f aca="false">IF(N(U50)&gt;0,U50,"")</f>
        <v/>
      </c>
      <c r="J50" s="44" t="str">
        <f aca="false">IF(N(U50)&gt;0,T50,"")</f>
        <v/>
      </c>
      <c r="K50" s="45" t="str">
        <f aca="false">IF(AND(M50="",B50="",D50=""),"",IF(AND(N(F50)&gt;0,N(G50)&gt;0),"⚠ Fill deposit OR payment",IF(M50="","⚠ Enter amount",IF(B50="","⚠ Enter date",IF(AND(Setup!$C$8&lt;&gt;"",B50&gt;Setup!$C$8),"⚠ Date after period",IF(AND(O50&lt;&gt;"",COUNTIF($O$8:$O$507,O50)&gt;1),"⚠ Cheque no. used twice","✔"))))))</f>
        <v/>
      </c>
      <c r="M50" s="9" t="str">
        <f aca="false">IF(N(F50)&gt;0,"IN",IF(N(G50)&gt;0,"OUT",""))</f>
        <v/>
      </c>
      <c r="N50" s="9" t="str">
        <f aca="false">IF(M50="","",M50&amp;"|"&amp;TEXT(ROUND(N(F50)+N(G50),2),"0.00"))</f>
        <v/>
      </c>
      <c r="O50" s="9" t="str">
        <f aca="false">IF(OR(N50="",TRIM(E50&amp;"")=""),"",N50&amp;"|"&amp;UPPER(TRIM(E50&amp;"")))</f>
        <v/>
      </c>
      <c r="P50" s="9" t="n">
        <f aca="false">IF(O50="",0,IFERROR(MATCH(O50,'Bank Statement'!$O$8:$O$507,0),0))</f>
        <v>0</v>
      </c>
      <c r="Q50" s="9" t="str">
        <f aca="false">IF(OR(N50="",P50&gt;0),"",N50&amp;"#"&amp;COUNTIFS($N$8:N50,N50,$P$8:P50,0))</f>
        <v/>
      </c>
      <c r="R50" s="9" t="n">
        <f aca="false">IF(Q50="",0,IFERROR(MATCH(Q50,'Bank Statement'!$Q$8:$Q$507,0),0))</f>
        <v>0</v>
      </c>
      <c r="S50" s="9" t="n">
        <f aca="false">IF(P50&gt;0,P50,R50)</f>
        <v>0</v>
      </c>
      <c r="T50" s="9" t="str">
        <f aca="false">IF(OR(S50=0,B50=""),"",INDEX('Bank Statement'!$B$8:$B$507,S50)-B50)</f>
        <v/>
      </c>
      <c r="U50" s="9" t="n">
        <f aca="false">IF(S50=0,0,IF(P50&gt;0,S50,IF(AND(ISNUMBER(T50),ABS(N(T50))&lt;=Setup!$C$11),S50,0)))</f>
        <v>0</v>
      </c>
      <c r="V50" s="9" t="str">
        <f aca="false">IF(AND(N50&lt;&gt;"",U50=0),IF(M50="OUT",1,2)*100000+ROW(),"")</f>
        <v/>
      </c>
      <c r="W50" s="9" t="n">
        <f aca="false">N(F50)+N(G50)</f>
        <v>0</v>
      </c>
    </row>
    <row r="51" customFormat="false" ht="15" hidden="false" customHeight="false" outlineLevel="0" collapsed="false">
      <c r="A51" s="37" t="str">
        <f aca="false">IF(M51="","",ROW()-7)</f>
        <v/>
      </c>
      <c r="B51" s="70"/>
      <c r="C51" s="71"/>
      <c r="D51" s="72"/>
      <c r="E51" s="71"/>
      <c r="F51" s="73"/>
      <c r="G51" s="73"/>
      <c r="H51" s="42" t="str">
        <f aca="false">IF(M51="","",IF(U51&gt;0,"✔ Matched",IF(M51="OUT","Not yet presented","Not yet credited")))</f>
        <v/>
      </c>
      <c r="I51" s="43" t="str">
        <f aca="false">IF(N(U51)&gt;0,U51,"")</f>
        <v/>
      </c>
      <c r="J51" s="44" t="str">
        <f aca="false">IF(N(U51)&gt;0,T51,"")</f>
        <v/>
      </c>
      <c r="K51" s="45" t="str">
        <f aca="false">IF(AND(M51="",B51="",D51=""),"",IF(AND(N(F51)&gt;0,N(G51)&gt;0),"⚠ Fill deposit OR payment",IF(M51="","⚠ Enter amount",IF(B51="","⚠ Enter date",IF(AND(Setup!$C$8&lt;&gt;"",B51&gt;Setup!$C$8),"⚠ Date after period",IF(AND(O51&lt;&gt;"",COUNTIF($O$8:$O$507,O51)&gt;1),"⚠ Cheque no. used twice","✔"))))))</f>
        <v/>
      </c>
      <c r="M51" s="9" t="str">
        <f aca="false">IF(N(F51)&gt;0,"IN",IF(N(G51)&gt;0,"OUT",""))</f>
        <v/>
      </c>
      <c r="N51" s="9" t="str">
        <f aca="false">IF(M51="","",M51&amp;"|"&amp;TEXT(ROUND(N(F51)+N(G51),2),"0.00"))</f>
        <v/>
      </c>
      <c r="O51" s="9" t="str">
        <f aca="false">IF(OR(N51="",TRIM(E51&amp;"")=""),"",N51&amp;"|"&amp;UPPER(TRIM(E51&amp;"")))</f>
        <v/>
      </c>
      <c r="P51" s="9" t="n">
        <f aca="false">IF(O51="",0,IFERROR(MATCH(O51,'Bank Statement'!$O$8:$O$507,0),0))</f>
        <v>0</v>
      </c>
      <c r="Q51" s="9" t="str">
        <f aca="false">IF(OR(N51="",P51&gt;0),"",N51&amp;"#"&amp;COUNTIFS($N$8:N51,N51,$P$8:P51,0))</f>
        <v/>
      </c>
      <c r="R51" s="9" t="n">
        <f aca="false">IF(Q51="",0,IFERROR(MATCH(Q51,'Bank Statement'!$Q$8:$Q$507,0),0))</f>
        <v>0</v>
      </c>
      <c r="S51" s="9" t="n">
        <f aca="false">IF(P51&gt;0,P51,R51)</f>
        <v>0</v>
      </c>
      <c r="T51" s="9" t="str">
        <f aca="false">IF(OR(S51=0,B51=""),"",INDEX('Bank Statement'!$B$8:$B$507,S51)-B51)</f>
        <v/>
      </c>
      <c r="U51" s="9" t="n">
        <f aca="false">IF(S51=0,0,IF(P51&gt;0,S51,IF(AND(ISNUMBER(T51),ABS(N(T51))&lt;=Setup!$C$11),S51,0)))</f>
        <v>0</v>
      </c>
      <c r="V51" s="9" t="str">
        <f aca="false">IF(AND(N51&lt;&gt;"",U51=0),IF(M51="OUT",1,2)*100000+ROW(),"")</f>
        <v/>
      </c>
      <c r="W51" s="9" t="n">
        <f aca="false">N(F51)+N(G51)</f>
        <v>0</v>
      </c>
    </row>
    <row r="52" customFormat="false" ht="15" hidden="false" customHeight="false" outlineLevel="0" collapsed="false">
      <c r="A52" s="37" t="str">
        <f aca="false">IF(M52="","",ROW()-7)</f>
        <v/>
      </c>
      <c r="B52" s="70"/>
      <c r="C52" s="71"/>
      <c r="D52" s="72"/>
      <c r="E52" s="71"/>
      <c r="F52" s="73"/>
      <c r="G52" s="73"/>
      <c r="H52" s="42" t="str">
        <f aca="false">IF(M52="","",IF(U52&gt;0,"✔ Matched",IF(M52="OUT","Not yet presented","Not yet credited")))</f>
        <v/>
      </c>
      <c r="I52" s="43" t="str">
        <f aca="false">IF(N(U52)&gt;0,U52,"")</f>
        <v/>
      </c>
      <c r="J52" s="44" t="str">
        <f aca="false">IF(N(U52)&gt;0,T52,"")</f>
        <v/>
      </c>
      <c r="K52" s="45" t="str">
        <f aca="false">IF(AND(M52="",B52="",D52=""),"",IF(AND(N(F52)&gt;0,N(G52)&gt;0),"⚠ Fill deposit OR payment",IF(M52="","⚠ Enter amount",IF(B52="","⚠ Enter date",IF(AND(Setup!$C$8&lt;&gt;"",B52&gt;Setup!$C$8),"⚠ Date after period",IF(AND(O52&lt;&gt;"",COUNTIF($O$8:$O$507,O52)&gt;1),"⚠ Cheque no. used twice","✔"))))))</f>
        <v/>
      </c>
      <c r="M52" s="9" t="str">
        <f aca="false">IF(N(F52)&gt;0,"IN",IF(N(G52)&gt;0,"OUT",""))</f>
        <v/>
      </c>
      <c r="N52" s="9" t="str">
        <f aca="false">IF(M52="","",M52&amp;"|"&amp;TEXT(ROUND(N(F52)+N(G52),2),"0.00"))</f>
        <v/>
      </c>
      <c r="O52" s="9" t="str">
        <f aca="false">IF(OR(N52="",TRIM(E52&amp;"")=""),"",N52&amp;"|"&amp;UPPER(TRIM(E52&amp;"")))</f>
        <v/>
      </c>
      <c r="P52" s="9" t="n">
        <f aca="false">IF(O52="",0,IFERROR(MATCH(O52,'Bank Statement'!$O$8:$O$507,0),0))</f>
        <v>0</v>
      </c>
      <c r="Q52" s="9" t="str">
        <f aca="false">IF(OR(N52="",P52&gt;0),"",N52&amp;"#"&amp;COUNTIFS($N$8:N52,N52,$P$8:P52,0))</f>
        <v/>
      </c>
      <c r="R52" s="9" t="n">
        <f aca="false">IF(Q52="",0,IFERROR(MATCH(Q52,'Bank Statement'!$Q$8:$Q$507,0),0))</f>
        <v>0</v>
      </c>
      <c r="S52" s="9" t="n">
        <f aca="false">IF(P52&gt;0,P52,R52)</f>
        <v>0</v>
      </c>
      <c r="T52" s="9" t="str">
        <f aca="false">IF(OR(S52=0,B52=""),"",INDEX('Bank Statement'!$B$8:$B$507,S52)-B52)</f>
        <v/>
      </c>
      <c r="U52" s="9" t="n">
        <f aca="false">IF(S52=0,0,IF(P52&gt;0,S52,IF(AND(ISNUMBER(T52),ABS(N(T52))&lt;=Setup!$C$11),S52,0)))</f>
        <v>0</v>
      </c>
      <c r="V52" s="9" t="str">
        <f aca="false">IF(AND(N52&lt;&gt;"",U52=0),IF(M52="OUT",1,2)*100000+ROW(),"")</f>
        <v/>
      </c>
      <c r="W52" s="9" t="n">
        <f aca="false">N(F52)+N(G52)</f>
        <v>0</v>
      </c>
    </row>
    <row r="53" customFormat="false" ht="15" hidden="false" customHeight="false" outlineLevel="0" collapsed="false">
      <c r="A53" s="37" t="str">
        <f aca="false">IF(M53="","",ROW()-7)</f>
        <v/>
      </c>
      <c r="B53" s="70"/>
      <c r="C53" s="71"/>
      <c r="D53" s="72"/>
      <c r="E53" s="71"/>
      <c r="F53" s="73"/>
      <c r="G53" s="73"/>
      <c r="H53" s="42" t="str">
        <f aca="false">IF(M53="","",IF(U53&gt;0,"✔ Matched",IF(M53="OUT","Not yet presented","Not yet credited")))</f>
        <v/>
      </c>
      <c r="I53" s="43" t="str">
        <f aca="false">IF(N(U53)&gt;0,U53,"")</f>
        <v/>
      </c>
      <c r="J53" s="44" t="str">
        <f aca="false">IF(N(U53)&gt;0,T53,"")</f>
        <v/>
      </c>
      <c r="K53" s="45" t="str">
        <f aca="false">IF(AND(M53="",B53="",D53=""),"",IF(AND(N(F53)&gt;0,N(G53)&gt;0),"⚠ Fill deposit OR payment",IF(M53="","⚠ Enter amount",IF(B53="","⚠ Enter date",IF(AND(Setup!$C$8&lt;&gt;"",B53&gt;Setup!$C$8),"⚠ Date after period",IF(AND(O53&lt;&gt;"",COUNTIF($O$8:$O$507,O53)&gt;1),"⚠ Cheque no. used twice","✔"))))))</f>
        <v/>
      </c>
      <c r="M53" s="9" t="str">
        <f aca="false">IF(N(F53)&gt;0,"IN",IF(N(G53)&gt;0,"OUT",""))</f>
        <v/>
      </c>
      <c r="N53" s="9" t="str">
        <f aca="false">IF(M53="","",M53&amp;"|"&amp;TEXT(ROUND(N(F53)+N(G53),2),"0.00"))</f>
        <v/>
      </c>
      <c r="O53" s="9" t="str">
        <f aca="false">IF(OR(N53="",TRIM(E53&amp;"")=""),"",N53&amp;"|"&amp;UPPER(TRIM(E53&amp;"")))</f>
        <v/>
      </c>
      <c r="P53" s="9" t="n">
        <f aca="false">IF(O53="",0,IFERROR(MATCH(O53,'Bank Statement'!$O$8:$O$507,0),0))</f>
        <v>0</v>
      </c>
      <c r="Q53" s="9" t="str">
        <f aca="false">IF(OR(N53="",P53&gt;0),"",N53&amp;"#"&amp;COUNTIFS($N$8:N53,N53,$P$8:P53,0))</f>
        <v/>
      </c>
      <c r="R53" s="9" t="n">
        <f aca="false">IF(Q53="",0,IFERROR(MATCH(Q53,'Bank Statement'!$Q$8:$Q$507,0),0))</f>
        <v>0</v>
      </c>
      <c r="S53" s="9" t="n">
        <f aca="false">IF(P53&gt;0,P53,R53)</f>
        <v>0</v>
      </c>
      <c r="T53" s="9" t="str">
        <f aca="false">IF(OR(S53=0,B53=""),"",INDEX('Bank Statement'!$B$8:$B$507,S53)-B53)</f>
        <v/>
      </c>
      <c r="U53" s="9" t="n">
        <f aca="false">IF(S53=0,0,IF(P53&gt;0,S53,IF(AND(ISNUMBER(T53),ABS(N(T53))&lt;=Setup!$C$11),S53,0)))</f>
        <v>0</v>
      </c>
      <c r="V53" s="9" t="str">
        <f aca="false">IF(AND(N53&lt;&gt;"",U53=0),IF(M53="OUT",1,2)*100000+ROW(),"")</f>
        <v/>
      </c>
      <c r="W53" s="9" t="n">
        <f aca="false">N(F53)+N(G53)</f>
        <v>0</v>
      </c>
    </row>
    <row r="54" customFormat="false" ht="15" hidden="false" customHeight="false" outlineLevel="0" collapsed="false">
      <c r="A54" s="37" t="str">
        <f aca="false">IF(M54="","",ROW()-7)</f>
        <v/>
      </c>
      <c r="B54" s="70"/>
      <c r="C54" s="71"/>
      <c r="D54" s="72"/>
      <c r="E54" s="71"/>
      <c r="F54" s="73"/>
      <c r="G54" s="73"/>
      <c r="H54" s="42" t="str">
        <f aca="false">IF(M54="","",IF(U54&gt;0,"✔ Matched",IF(M54="OUT","Not yet presented","Not yet credited")))</f>
        <v/>
      </c>
      <c r="I54" s="43" t="str">
        <f aca="false">IF(N(U54)&gt;0,U54,"")</f>
        <v/>
      </c>
      <c r="J54" s="44" t="str">
        <f aca="false">IF(N(U54)&gt;0,T54,"")</f>
        <v/>
      </c>
      <c r="K54" s="45" t="str">
        <f aca="false">IF(AND(M54="",B54="",D54=""),"",IF(AND(N(F54)&gt;0,N(G54)&gt;0),"⚠ Fill deposit OR payment",IF(M54="","⚠ Enter amount",IF(B54="","⚠ Enter date",IF(AND(Setup!$C$8&lt;&gt;"",B54&gt;Setup!$C$8),"⚠ Date after period",IF(AND(O54&lt;&gt;"",COUNTIF($O$8:$O$507,O54)&gt;1),"⚠ Cheque no. used twice","✔"))))))</f>
        <v/>
      </c>
      <c r="M54" s="9" t="str">
        <f aca="false">IF(N(F54)&gt;0,"IN",IF(N(G54)&gt;0,"OUT",""))</f>
        <v/>
      </c>
      <c r="N54" s="9" t="str">
        <f aca="false">IF(M54="","",M54&amp;"|"&amp;TEXT(ROUND(N(F54)+N(G54),2),"0.00"))</f>
        <v/>
      </c>
      <c r="O54" s="9" t="str">
        <f aca="false">IF(OR(N54="",TRIM(E54&amp;"")=""),"",N54&amp;"|"&amp;UPPER(TRIM(E54&amp;"")))</f>
        <v/>
      </c>
      <c r="P54" s="9" t="n">
        <f aca="false">IF(O54="",0,IFERROR(MATCH(O54,'Bank Statement'!$O$8:$O$507,0),0))</f>
        <v>0</v>
      </c>
      <c r="Q54" s="9" t="str">
        <f aca="false">IF(OR(N54="",P54&gt;0),"",N54&amp;"#"&amp;COUNTIFS($N$8:N54,N54,$P$8:P54,0))</f>
        <v/>
      </c>
      <c r="R54" s="9" t="n">
        <f aca="false">IF(Q54="",0,IFERROR(MATCH(Q54,'Bank Statement'!$Q$8:$Q$507,0),0))</f>
        <v>0</v>
      </c>
      <c r="S54" s="9" t="n">
        <f aca="false">IF(P54&gt;0,P54,R54)</f>
        <v>0</v>
      </c>
      <c r="T54" s="9" t="str">
        <f aca="false">IF(OR(S54=0,B54=""),"",INDEX('Bank Statement'!$B$8:$B$507,S54)-B54)</f>
        <v/>
      </c>
      <c r="U54" s="9" t="n">
        <f aca="false">IF(S54=0,0,IF(P54&gt;0,S54,IF(AND(ISNUMBER(T54),ABS(N(T54))&lt;=Setup!$C$11),S54,0)))</f>
        <v>0</v>
      </c>
      <c r="V54" s="9" t="str">
        <f aca="false">IF(AND(N54&lt;&gt;"",U54=0),IF(M54="OUT",1,2)*100000+ROW(),"")</f>
        <v/>
      </c>
      <c r="W54" s="9" t="n">
        <f aca="false">N(F54)+N(G54)</f>
        <v>0</v>
      </c>
    </row>
    <row r="55" customFormat="false" ht="15" hidden="false" customHeight="false" outlineLevel="0" collapsed="false">
      <c r="A55" s="37" t="str">
        <f aca="false">IF(M55="","",ROW()-7)</f>
        <v/>
      </c>
      <c r="B55" s="70"/>
      <c r="C55" s="71"/>
      <c r="D55" s="72"/>
      <c r="E55" s="71"/>
      <c r="F55" s="73"/>
      <c r="G55" s="73"/>
      <c r="H55" s="42" t="str">
        <f aca="false">IF(M55="","",IF(U55&gt;0,"✔ Matched",IF(M55="OUT","Not yet presented","Not yet credited")))</f>
        <v/>
      </c>
      <c r="I55" s="43" t="str">
        <f aca="false">IF(N(U55)&gt;0,U55,"")</f>
        <v/>
      </c>
      <c r="J55" s="44" t="str">
        <f aca="false">IF(N(U55)&gt;0,T55,"")</f>
        <v/>
      </c>
      <c r="K55" s="45" t="str">
        <f aca="false">IF(AND(M55="",B55="",D55=""),"",IF(AND(N(F55)&gt;0,N(G55)&gt;0),"⚠ Fill deposit OR payment",IF(M55="","⚠ Enter amount",IF(B55="","⚠ Enter date",IF(AND(Setup!$C$8&lt;&gt;"",B55&gt;Setup!$C$8),"⚠ Date after period",IF(AND(O55&lt;&gt;"",COUNTIF($O$8:$O$507,O55)&gt;1),"⚠ Cheque no. used twice","✔"))))))</f>
        <v/>
      </c>
      <c r="M55" s="9" t="str">
        <f aca="false">IF(N(F55)&gt;0,"IN",IF(N(G55)&gt;0,"OUT",""))</f>
        <v/>
      </c>
      <c r="N55" s="9" t="str">
        <f aca="false">IF(M55="","",M55&amp;"|"&amp;TEXT(ROUND(N(F55)+N(G55),2),"0.00"))</f>
        <v/>
      </c>
      <c r="O55" s="9" t="str">
        <f aca="false">IF(OR(N55="",TRIM(E55&amp;"")=""),"",N55&amp;"|"&amp;UPPER(TRIM(E55&amp;"")))</f>
        <v/>
      </c>
      <c r="P55" s="9" t="n">
        <f aca="false">IF(O55="",0,IFERROR(MATCH(O55,'Bank Statement'!$O$8:$O$507,0),0))</f>
        <v>0</v>
      </c>
      <c r="Q55" s="9" t="str">
        <f aca="false">IF(OR(N55="",P55&gt;0),"",N55&amp;"#"&amp;COUNTIFS($N$8:N55,N55,$P$8:P55,0))</f>
        <v/>
      </c>
      <c r="R55" s="9" t="n">
        <f aca="false">IF(Q55="",0,IFERROR(MATCH(Q55,'Bank Statement'!$Q$8:$Q$507,0),0))</f>
        <v>0</v>
      </c>
      <c r="S55" s="9" t="n">
        <f aca="false">IF(P55&gt;0,P55,R55)</f>
        <v>0</v>
      </c>
      <c r="T55" s="9" t="str">
        <f aca="false">IF(OR(S55=0,B55=""),"",INDEX('Bank Statement'!$B$8:$B$507,S55)-B55)</f>
        <v/>
      </c>
      <c r="U55" s="9" t="n">
        <f aca="false">IF(S55=0,0,IF(P55&gt;0,S55,IF(AND(ISNUMBER(T55),ABS(N(T55))&lt;=Setup!$C$11),S55,0)))</f>
        <v>0</v>
      </c>
      <c r="V55" s="9" t="str">
        <f aca="false">IF(AND(N55&lt;&gt;"",U55=0),IF(M55="OUT",1,2)*100000+ROW(),"")</f>
        <v/>
      </c>
      <c r="W55" s="9" t="n">
        <f aca="false">N(F55)+N(G55)</f>
        <v>0</v>
      </c>
    </row>
    <row r="56" customFormat="false" ht="15" hidden="false" customHeight="false" outlineLevel="0" collapsed="false">
      <c r="A56" s="37" t="str">
        <f aca="false">IF(M56="","",ROW()-7)</f>
        <v/>
      </c>
      <c r="B56" s="70"/>
      <c r="C56" s="71"/>
      <c r="D56" s="72"/>
      <c r="E56" s="71"/>
      <c r="F56" s="73"/>
      <c r="G56" s="73"/>
      <c r="H56" s="42" t="str">
        <f aca="false">IF(M56="","",IF(U56&gt;0,"✔ Matched",IF(M56="OUT","Not yet presented","Not yet credited")))</f>
        <v/>
      </c>
      <c r="I56" s="43" t="str">
        <f aca="false">IF(N(U56)&gt;0,U56,"")</f>
        <v/>
      </c>
      <c r="J56" s="44" t="str">
        <f aca="false">IF(N(U56)&gt;0,T56,"")</f>
        <v/>
      </c>
      <c r="K56" s="45" t="str">
        <f aca="false">IF(AND(M56="",B56="",D56=""),"",IF(AND(N(F56)&gt;0,N(G56)&gt;0),"⚠ Fill deposit OR payment",IF(M56="","⚠ Enter amount",IF(B56="","⚠ Enter date",IF(AND(Setup!$C$8&lt;&gt;"",B56&gt;Setup!$C$8),"⚠ Date after period",IF(AND(O56&lt;&gt;"",COUNTIF($O$8:$O$507,O56)&gt;1),"⚠ Cheque no. used twice","✔"))))))</f>
        <v/>
      </c>
      <c r="M56" s="9" t="str">
        <f aca="false">IF(N(F56)&gt;0,"IN",IF(N(G56)&gt;0,"OUT",""))</f>
        <v/>
      </c>
      <c r="N56" s="9" t="str">
        <f aca="false">IF(M56="","",M56&amp;"|"&amp;TEXT(ROUND(N(F56)+N(G56),2),"0.00"))</f>
        <v/>
      </c>
      <c r="O56" s="9" t="str">
        <f aca="false">IF(OR(N56="",TRIM(E56&amp;"")=""),"",N56&amp;"|"&amp;UPPER(TRIM(E56&amp;"")))</f>
        <v/>
      </c>
      <c r="P56" s="9" t="n">
        <f aca="false">IF(O56="",0,IFERROR(MATCH(O56,'Bank Statement'!$O$8:$O$507,0),0))</f>
        <v>0</v>
      </c>
      <c r="Q56" s="9" t="str">
        <f aca="false">IF(OR(N56="",P56&gt;0),"",N56&amp;"#"&amp;COUNTIFS($N$8:N56,N56,$P$8:P56,0))</f>
        <v/>
      </c>
      <c r="R56" s="9" t="n">
        <f aca="false">IF(Q56="",0,IFERROR(MATCH(Q56,'Bank Statement'!$Q$8:$Q$507,0),0))</f>
        <v>0</v>
      </c>
      <c r="S56" s="9" t="n">
        <f aca="false">IF(P56&gt;0,P56,R56)</f>
        <v>0</v>
      </c>
      <c r="T56" s="9" t="str">
        <f aca="false">IF(OR(S56=0,B56=""),"",INDEX('Bank Statement'!$B$8:$B$507,S56)-B56)</f>
        <v/>
      </c>
      <c r="U56" s="9" t="n">
        <f aca="false">IF(S56=0,0,IF(P56&gt;0,S56,IF(AND(ISNUMBER(T56),ABS(N(T56))&lt;=Setup!$C$11),S56,0)))</f>
        <v>0</v>
      </c>
      <c r="V56" s="9" t="str">
        <f aca="false">IF(AND(N56&lt;&gt;"",U56=0),IF(M56="OUT",1,2)*100000+ROW(),"")</f>
        <v/>
      </c>
      <c r="W56" s="9" t="n">
        <f aca="false">N(F56)+N(G56)</f>
        <v>0</v>
      </c>
    </row>
    <row r="57" customFormat="false" ht="15" hidden="false" customHeight="false" outlineLevel="0" collapsed="false">
      <c r="A57" s="37" t="str">
        <f aca="false">IF(M57="","",ROW()-7)</f>
        <v/>
      </c>
      <c r="B57" s="70"/>
      <c r="C57" s="71"/>
      <c r="D57" s="72"/>
      <c r="E57" s="71"/>
      <c r="F57" s="73"/>
      <c r="G57" s="73"/>
      <c r="H57" s="42" t="str">
        <f aca="false">IF(M57="","",IF(U57&gt;0,"✔ Matched",IF(M57="OUT","Not yet presented","Not yet credited")))</f>
        <v/>
      </c>
      <c r="I57" s="43" t="str">
        <f aca="false">IF(N(U57)&gt;0,U57,"")</f>
        <v/>
      </c>
      <c r="J57" s="44" t="str">
        <f aca="false">IF(N(U57)&gt;0,T57,"")</f>
        <v/>
      </c>
      <c r="K57" s="45" t="str">
        <f aca="false">IF(AND(M57="",B57="",D57=""),"",IF(AND(N(F57)&gt;0,N(G57)&gt;0),"⚠ Fill deposit OR payment",IF(M57="","⚠ Enter amount",IF(B57="","⚠ Enter date",IF(AND(Setup!$C$8&lt;&gt;"",B57&gt;Setup!$C$8),"⚠ Date after period",IF(AND(O57&lt;&gt;"",COUNTIF($O$8:$O$507,O57)&gt;1),"⚠ Cheque no. used twice","✔"))))))</f>
        <v/>
      </c>
      <c r="M57" s="9" t="str">
        <f aca="false">IF(N(F57)&gt;0,"IN",IF(N(G57)&gt;0,"OUT",""))</f>
        <v/>
      </c>
      <c r="N57" s="9" t="str">
        <f aca="false">IF(M57="","",M57&amp;"|"&amp;TEXT(ROUND(N(F57)+N(G57),2),"0.00"))</f>
        <v/>
      </c>
      <c r="O57" s="9" t="str">
        <f aca="false">IF(OR(N57="",TRIM(E57&amp;"")=""),"",N57&amp;"|"&amp;UPPER(TRIM(E57&amp;"")))</f>
        <v/>
      </c>
      <c r="P57" s="9" t="n">
        <f aca="false">IF(O57="",0,IFERROR(MATCH(O57,'Bank Statement'!$O$8:$O$507,0),0))</f>
        <v>0</v>
      </c>
      <c r="Q57" s="9" t="str">
        <f aca="false">IF(OR(N57="",P57&gt;0),"",N57&amp;"#"&amp;COUNTIFS($N$8:N57,N57,$P$8:P57,0))</f>
        <v/>
      </c>
      <c r="R57" s="9" t="n">
        <f aca="false">IF(Q57="",0,IFERROR(MATCH(Q57,'Bank Statement'!$Q$8:$Q$507,0),0))</f>
        <v>0</v>
      </c>
      <c r="S57" s="9" t="n">
        <f aca="false">IF(P57&gt;0,P57,R57)</f>
        <v>0</v>
      </c>
      <c r="T57" s="9" t="str">
        <f aca="false">IF(OR(S57=0,B57=""),"",INDEX('Bank Statement'!$B$8:$B$507,S57)-B57)</f>
        <v/>
      </c>
      <c r="U57" s="9" t="n">
        <f aca="false">IF(S57=0,0,IF(P57&gt;0,S57,IF(AND(ISNUMBER(T57),ABS(N(T57))&lt;=Setup!$C$11),S57,0)))</f>
        <v>0</v>
      </c>
      <c r="V57" s="9" t="str">
        <f aca="false">IF(AND(N57&lt;&gt;"",U57=0),IF(M57="OUT",1,2)*100000+ROW(),"")</f>
        <v/>
      </c>
      <c r="W57" s="9" t="n">
        <f aca="false">N(F57)+N(G57)</f>
        <v>0</v>
      </c>
    </row>
    <row r="58" customFormat="false" ht="15" hidden="false" customHeight="false" outlineLevel="0" collapsed="false">
      <c r="A58" s="37" t="str">
        <f aca="false">IF(M58="","",ROW()-7)</f>
        <v/>
      </c>
      <c r="B58" s="70"/>
      <c r="C58" s="71"/>
      <c r="D58" s="72"/>
      <c r="E58" s="71"/>
      <c r="F58" s="73"/>
      <c r="G58" s="73"/>
      <c r="H58" s="42" t="str">
        <f aca="false">IF(M58="","",IF(U58&gt;0,"✔ Matched",IF(M58="OUT","Not yet presented","Not yet credited")))</f>
        <v/>
      </c>
      <c r="I58" s="43" t="str">
        <f aca="false">IF(N(U58)&gt;0,U58,"")</f>
        <v/>
      </c>
      <c r="J58" s="44" t="str">
        <f aca="false">IF(N(U58)&gt;0,T58,"")</f>
        <v/>
      </c>
      <c r="K58" s="45" t="str">
        <f aca="false">IF(AND(M58="",B58="",D58=""),"",IF(AND(N(F58)&gt;0,N(G58)&gt;0),"⚠ Fill deposit OR payment",IF(M58="","⚠ Enter amount",IF(B58="","⚠ Enter date",IF(AND(Setup!$C$8&lt;&gt;"",B58&gt;Setup!$C$8),"⚠ Date after period",IF(AND(O58&lt;&gt;"",COUNTIF($O$8:$O$507,O58)&gt;1),"⚠ Cheque no. used twice","✔"))))))</f>
        <v/>
      </c>
      <c r="M58" s="9" t="str">
        <f aca="false">IF(N(F58)&gt;0,"IN",IF(N(G58)&gt;0,"OUT",""))</f>
        <v/>
      </c>
      <c r="N58" s="9" t="str">
        <f aca="false">IF(M58="","",M58&amp;"|"&amp;TEXT(ROUND(N(F58)+N(G58),2),"0.00"))</f>
        <v/>
      </c>
      <c r="O58" s="9" t="str">
        <f aca="false">IF(OR(N58="",TRIM(E58&amp;"")=""),"",N58&amp;"|"&amp;UPPER(TRIM(E58&amp;"")))</f>
        <v/>
      </c>
      <c r="P58" s="9" t="n">
        <f aca="false">IF(O58="",0,IFERROR(MATCH(O58,'Bank Statement'!$O$8:$O$507,0),0))</f>
        <v>0</v>
      </c>
      <c r="Q58" s="9" t="str">
        <f aca="false">IF(OR(N58="",P58&gt;0),"",N58&amp;"#"&amp;COUNTIFS($N$8:N58,N58,$P$8:P58,0))</f>
        <v/>
      </c>
      <c r="R58" s="9" t="n">
        <f aca="false">IF(Q58="",0,IFERROR(MATCH(Q58,'Bank Statement'!$Q$8:$Q$507,0),0))</f>
        <v>0</v>
      </c>
      <c r="S58" s="9" t="n">
        <f aca="false">IF(P58&gt;0,P58,R58)</f>
        <v>0</v>
      </c>
      <c r="T58" s="9" t="str">
        <f aca="false">IF(OR(S58=0,B58=""),"",INDEX('Bank Statement'!$B$8:$B$507,S58)-B58)</f>
        <v/>
      </c>
      <c r="U58" s="9" t="n">
        <f aca="false">IF(S58=0,0,IF(P58&gt;0,S58,IF(AND(ISNUMBER(T58),ABS(N(T58))&lt;=Setup!$C$11),S58,0)))</f>
        <v>0</v>
      </c>
      <c r="V58" s="9" t="str">
        <f aca="false">IF(AND(N58&lt;&gt;"",U58=0),IF(M58="OUT",1,2)*100000+ROW(),"")</f>
        <v/>
      </c>
      <c r="W58" s="9" t="n">
        <f aca="false">N(F58)+N(G58)</f>
        <v>0</v>
      </c>
    </row>
    <row r="59" customFormat="false" ht="15" hidden="false" customHeight="false" outlineLevel="0" collapsed="false">
      <c r="A59" s="37" t="str">
        <f aca="false">IF(M59="","",ROW()-7)</f>
        <v/>
      </c>
      <c r="B59" s="70"/>
      <c r="C59" s="71"/>
      <c r="D59" s="72"/>
      <c r="E59" s="71"/>
      <c r="F59" s="73"/>
      <c r="G59" s="73"/>
      <c r="H59" s="42" t="str">
        <f aca="false">IF(M59="","",IF(U59&gt;0,"✔ Matched",IF(M59="OUT","Not yet presented","Not yet credited")))</f>
        <v/>
      </c>
      <c r="I59" s="43" t="str">
        <f aca="false">IF(N(U59)&gt;0,U59,"")</f>
        <v/>
      </c>
      <c r="J59" s="44" t="str">
        <f aca="false">IF(N(U59)&gt;0,T59,"")</f>
        <v/>
      </c>
      <c r="K59" s="45" t="str">
        <f aca="false">IF(AND(M59="",B59="",D59=""),"",IF(AND(N(F59)&gt;0,N(G59)&gt;0),"⚠ Fill deposit OR payment",IF(M59="","⚠ Enter amount",IF(B59="","⚠ Enter date",IF(AND(Setup!$C$8&lt;&gt;"",B59&gt;Setup!$C$8),"⚠ Date after period",IF(AND(O59&lt;&gt;"",COUNTIF($O$8:$O$507,O59)&gt;1),"⚠ Cheque no. used twice","✔"))))))</f>
        <v/>
      </c>
      <c r="M59" s="9" t="str">
        <f aca="false">IF(N(F59)&gt;0,"IN",IF(N(G59)&gt;0,"OUT",""))</f>
        <v/>
      </c>
      <c r="N59" s="9" t="str">
        <f aca="false">IF(M59="","",M59&amp;"|"&amp;TEXT(ROUND(N(F59)+N(G59),2),"0.00"))</f>
        <v/>
      </c>
      <c r="O59" s="9" t="str">
        <f aca="false">IF(OR(N59="",TRIM(E59&amp;"")=""),"",N59&amp;"|"&amp;UPPER(TRIM(E59&amp;"")))</f>
        <v/>
      </c>
      <c r="P59" s="9" t="n">
        <f aca="false">IF(O59="",0,IFERROR(MATCH(O59,'Bank Statement'!$O$8:$O$507,0),0))</f>
        <v>0</v>
      </c>
      <c r="Q59" s="9" t="str">
        <f aca="false">IF(OR(N59="",P59&gt;0),"",N59&amp;"#"&amp;COUNTIFS($N$8:N59,N59,$P$8:P59,0))</f>
        <v/>
      </c>
      <c r="R59" s="9" t="n">
        <f aca="false">IF(Q59="",0,IFERROR(MATCH(Q59,'Bank Statement'!$Q$8:$Q$507,0),0))</f>
        <v>0</v>
      </c>
      <c r="S59" s="9" t="n">
        <f aca="false">IF(P59&gt;0,P59,R59)</f>
        <v>0</v>
      </c>
      <c r="T59" s="9" t="str">
        <f aca="false">IF(OR(S59=0,B59=""),"",INDEX('Bank Statement'!$B$8:$B$507,S59)-B59)</f>
        <v/>
      </c>
      <c r="U59" s="9" t="n">
        <f aca="false">IF(S59=0,0,IF(P59&gt;0,S59,IF(AND(ISNUMBER(T59),ABS(N(T59))&lt;=Setup!$C$11),S59,0)))</f>
        <v>0</v>
      </c>
      <c r="V59" s="9" t="str">
        <f aca="false">IF(AND(N59&lt;&gt;"",U59=0),IF(M59="OUT",1,2)*100000+ROW(),"")</f>
        <v/>
      </c>
      <c r="W59" s="9" t="n">
        <f aca="false">N(F59)+N(G59)</f>
        <v>0</v>
      </c>
    </row>
    <row r="60" customFormat="false" ht="15" hidden="false" customHeight="false" outlineLevel="0" collapsed="false">
      <c r="A60" s="37" t="str">
        <f aca="false">IF(M60="","",ROW()-7)</f>
        <v/>
      </c>
      <c r="B60" s="70"/>
      <c r="C60" s="71"/>
      <c r="D60" s="72"/>
      <c r="E60" s="71"/>
      <c r="F60" s="73"/>
      <c r="G60" s="73"/>
      <c r="H60" s="42" t="str">
        <f aca="false">IF(M60="","",IF(U60&gt;0,"✔ Matched",IF(M60="OUT","Not yet presented","Not yet credited")))</f>
        <v/>
      </c>
      <c r="I60" s="43" t="str">
        <f aca="false">IF(N(U60)&gt;0,U60,"")</f>
        <v/>
      </c>
      <c r="J60" s="44" t="str">
        <f aca="false">IF(N(U60)&gt;0,T60,"")</f>
        <v/>
      </c>
      <c r="K60" s="45" t="str">
        <f aca="false">IF(AND(M60="",B60="",D60=""),"",IF(AND(N(F60)&gt;0,N(G60)&gt;0),"⚠ Fill deposit OR payment",IF(M60="","⚠ Enter amount",IF(B60="","⚠ Enter date",IF(AND(Setup!$C$8&lt;&gt;"",B60&gt;Setup!$C$8),"⚠ Date after period",IF(AND(O60&lt;&gt;"",COUNTIF($O$8:$O$507,O60)&gt;1),"⚠ Cheque no. used twice","✔"))))))</f>
        <v/>
      </c>
      <c r="M60" s="9" t="str">
        <f aca="false">IF(N(F60)&gt;0,"IN",IF(N(G60)&gt;0,"OUT",""))</f>
        <v/>
      </c>
      <c r="N60" s="9" t="str">
        <f aca="false">IF(M60="","",M60&amp;"|"&amp;TEXT(ROUND(N(F60)+N(G60),2),"0.00"))</f>
        <v/>
      </c>
      <c r="O60" s="9" t="str">
        <f aca="false">IF(OR(N60="",TRIM(E60&amp;"")=""),"",N60&amp;"|"&amp;UPPER(TRIM(E60&amp;"")))</f>
        <v/>
      </c>
      <c r="P60" s="9" t="n">
        <f aca="false">IF(O60="",0,IFERROR(MATCH(O60,'Bank Statement'!$O$8:$O$507,0),0))</f>
        <v>0</v>
      </c>
      <c r="Q60" s="9" t="str">
        <f aca="false">IF(OR(N60="",P60&gt;0),"",N60&amp;"#"&amp;COUNTIFS($N$8:N60,N60,$P$8:P60,0))</f>
        <v/>
      </c>
      <c r="R60" s="9" t="n">
        <f aca="false">IF(Q60="",0,IFERROR(MATCH(Q60,'Bank Statement'!$Q$8:$Q$507,0),0))</f>
        <v>0</v>
      </c>
      <c r="S60" s="9" t="n">
        <f aca="false">IF(P60&gt;0,P60,R60)</f>
        <v>0</v>
      </c>
      <c r="T60" s="9" t="str">
        <f aca="false">IF(OR(S60=0,B60=""),"",INDEX('Bank Statement'!$B$8:$B$507,S60)-B60)</f>
        <v/>
      </c>
      <c r="U60" s="9" t="n">
        <f aca="false">IF(S60=0,0,IF(P60&gt;0,S60,IF(AND(ISNUMBER(T60),ABS(N(T60))&lt;=Setup!$C$11),S60,0)))</f>
        <v>0</v>
      </c>
      <c r="V60" s="9" t="str">
        <f aca="false">IF(AND(N60&lt;&gt;"",U60=0),IF(M60="OUT",1,2)*100000+ROW(),"")</f>
        <v/>
      </c>
      <c r="W60" s="9" t="n">
        <f aca="false">N(F60)+N(G60)</f>
        <v>0</v>
      </c>
    </row>
    <row r="61" customFormat="false" ht="15" hidden="false" customHeight="false" outlineLevel="0" collapsed="false">
      <c r="A61" s="37" t="str">
        <f aca="false">IF(M61="","",ROW()-7)</f>
        <v/>
      </c>
      <c r="B61" s="70"/>
      <c r="C61" s="71"/>
      <c r="D61" s="72"/>
      <c r="E61" s="71"/>
      <c r="F61" s="73"/>
      <c r="G61" s="73"/>
      <c r="H61" s="42" t="str">
        <f aca="false">IF(M61="","",IF(U61&gt;0,"✔ Matched",IF(M61="OUT","Not yet presented","Not yet credited")))</f>
        <v/>
      </c>
      <c r="I61" s="43" t="str">
        <f aca="false">IF(N(U61)&gt;0,U61,"")</f>
        <v/>
      </c>
      <c r="J61" s="44" t="str">
        <f aca="false">IF(N(U61)&gt;0,T61,"")</f>
        <v/>
      </c>
      <c r="K61" s="45" t="str">
        <f aca="false">IF(AND(M61="",B61="",D61=""),"",IF(AND(N(F61)&gt;0,N(G61)&gt;0),"⚠ Fill deposit OR payment",IF(M61="","⚠ Enter amount",IF(B61="","⚠ Enter date",IF(AND(Setup!$C$8&lt;&gt;"",B61&gt;Setup!$C$8),"⚠ Date after period",IF(AND(O61&lt;&gt;"",COUNTIF($O$8:$O$507,O61)&gt;1),"⚠ Cheque no. used twice","✔"))))))</f>
        <v/>
      </c>
      <c r="M61" s="9" t="str">
        <f aca="false">IF(N(F61)&gt;0,"IN",IF(N(G61)&gt;0,"OUT",""))</f>
        <v/>
      </c>
      <c r="N61" s="9" t="str">
        <f aca="false">IF(M61="","",M61&amp;"|"&amp;TEXT(ROUND(N(F61)+N(G61),2),"0.00"))</f>
        <v/>
      </c>
      <c r="O61" s="9" t="str">
        <f aca="false">IF(OR(N61="",TRIM(E61&amp;"")=""),"",N61&amp;"|"&amp;UPPER(TRIM(E61&amp;"")))</f>
        <v/>
      </c>
      <c r="P61" s="9" t="n">
        <f aca="false">IF(O61="",0,IFERROR(MATCH(O61,'Bank Statement'!$O$8:$O$507,0),0))</f>
        <v>0</v>
      </c>
      <c r="Q61" s="9" t="str">
        <f aca="false">IF(OR(N61="",P61&gt;0),"",N61&amp;"#"&amp;COUNTIFS($N$8:N61,N61,$P$8:P61,0))</f>
        <v/>
      </c>
      <c r="R61" s="9" t="n">
        <f aca="false">IF(Q61="",0,IFERROR(MATCH(Q61,'Bank Statement'!$Q$8:$Q$507,0),0))</f>
        <v>0</v>
      </c>
      <c r="S61" s="9" t="n">
        <f aca="false">IF(P61&gt;0,P61,R61)</f>
        <v>0</v>
      </c>
      <c r="T61" s="9" t="str">
        <f aca="false">IF(OR(S61=0,B61=""),"",INDEX('Bank Statement'!$B$8:$B$507,S61)-B61)</f>
        <v/>
      </c>
      <c r="U61" s="9" t="n">
        <f aca="false">IF(S61=0,0,IF(P61&gt;0,S61,IF(AND(ISNUMBER(T61),ABS(N(T61))&lt;=Setup!$C$11),S61,0)))</f>
        <v>0</v>
      </c>
      <c r="V61" s="9" t="str">
        <f aca="false">IF(AND(N61&lt;&gt;"",U61=0),IF(M61="OUT",1,2)*100000+ROW(),"")</f>
        <v/>
      </c>
      <c r="W61" s="9" t="n">
        <f aca="false">N(F61)+N(G61)</f>
        <v>0</v>
      </c>
    </row>
    <row r="62" customFormat="false" ht="15" hidden="false" customHeight="false" outlineLevel="0" collapsed="false">
      <c r="A62" s="37" t="str">
        <f aca="false">IF(M62="","",ROW()-7)</f>
        <v/>
      </c>
      <c r="B62" s="70"/>
      <c r="C62" s="71"/>
      <c r="D62" s="72"/>
      <c r="E62" s="71"/>
      <c r="F62" s="73"/>
      <c r="G62" s="73"/>
      <c r="H62" s="42" t="str">
        <f aca="false">IF(M62="","",IF(U62&gt;0,"✔ Matched",IF(M62="OUT","Not yet presented","Not yet credited")))</f>
        <v/>
      </c>
      <c r="I62" s="43" t="str">
        <f aca="false">IF(N(U62)&gt;0,U62,"")</f>
        <v/>
      </c>
      <c r="J62" s="44" t="str">
        <f aca="false">IF(N(U62)&gt;0,T62,"")</f>
        <v/>
      </c>
      <c r="K62" s="45" t="str">
        <f aca="false">IF(AND(M62="",B62="",D62=""),"",IF(AND(N(F62)&gt;0,N(G62)&gt;0),"⚠ Fill deposit OR payment",IF(M62="","⚠ Enter amount",IF(B62="","⚠ Enter date",IF(AND(Setup!$C$8&lt;&gt;"",B62&gt;Setup!$C$8),"⚠ Date after period",IF(AND(O62&lt;&gt;"",COUNTIF($O$8:$O$507,O62)&gt;1),"⚠ Cheque no. used twice","✔"))))))</f>
        <v/>
      </c>
      <c r="M62" s="9" t="str">
        <f aca="false">IF(N(F62)&gt;0,"IN",IF(N(G62)&gt;0,"OUT",""))</f>
        <v/>
      </c>
      <c r="N62" s="9" t="str">
        <f aca="false">IF(M62="","",M62&amp;"|"&amp;TEXT(ROUND(N(F62)+N(G62),2),"0.00"))</f>
        <v/>
      </c>
      <c r="O62" s="9" t="str">
        <f aca="false">IF(OR(N62="",TRIM(E62&amp;"")=""),"",N62&amp;"|"&amp;UPPER(TRIM(E62&amp;"")))</f>
        <v/>
      </c>
      <c r="P62" s="9" t="n">
        <f aca="false">IF(O62="",0,IFERROR(MATCH(O62,'Bank Statement'!$O$8:$O$507,0),0))</f>
        <v>0</v>
      </c>
      <c r="Q62" s="9" t="str">
        <f aca="false">IF(OR(N62="",P62&gt;0),"",N62&amp;"#"&amp;COUNTIFS($N$8:N62,N62,$P$8:P62,0))</f>
        <v/>
      </c>
      <c r="R62" s="9" t="n">
        <f aca="false">IF(Q62="",0,IFERROR(MATCH(Q62,'Bank Statement'!$Q$8:$Q$507,0),0))</f>
        <v>0</v>
      </c>
      <c r="S62" s="9" t="n">
        <f aca="false">IF(P62&gt;0,P62,R62)</f>
        <v>0</v>
      </c>
      <c r="T62" s="9" t="str">
        <f aca="false">IF(OR(S62=0,B62=""),"",INDEX('Bank Statement'!$B$8:$B$507,S62)-B62)</f>
        <v/>
      </c>
      <c r="U62" s="9" t="n">
        <f aca="false">IF(S62=0,0,IF(P62&gt;0,S62,IF(AND(ISNUMBER(T62),ABS(N(T62))&lt;=Setup!$C$11),S62,0)))</f>
        <v>0</v>
      </c>
      <c r="V62" s="9" t="str">
        <f aca="false">IF(AND(N62&lt;&gt;"",U62=0),IF(M62="OUT",1,2)*100000+ROW(),"")</f>
        <v/>
      </c>
      <c r="W62" s="9" t="n">
        <f aca="false">N(F62)+N(G62)</f>
        <v>0</v>
      </c>
    </row>
    <row r="63" customFormat="false" ht="15" hidden="false" customHeight="false" outlineLevel="0" collapsed="false">
      <c r="A63" s="37" t="str">
        <f aca="false">IF(M63="","",ROW()-7)</f>
        <v/>
      </c>
      <c r="B63" s="70"/>
      <c r="C63" s="71"/>
      <c r="D63" s="72"/>
      <c r="E63" s="71"/>
      <c r="F63" s="73"/>
      <c r="G63" s="73"/>
      <c r="H63" s="42" t="str">
        <f aca="false">IF(M63="","",IF(U63&gt;0,"✔ Matched",IF(M63="OUT","Not yet presented","Not yet credited")))</f>
        <v/>
      </c>
      <c r="I63" s="43" t="str">
        <f aca="false">IF(N(U63)&gt;0,U63,"")</f>
        <v/>
      </c>
      <c r="J63" s="44" t="str">
        <f aca="false">IF(N(U63)&gt;0,T63,"")</f>
        <v/>
      </c>
      <c r="K63" s="45" t="str">
        <f aca="false">IF(AND(M63="",B63="",D63=""),"",IF(AND(N(F63)&gt;0,N(G63)&gt;0),"⚠ Fill deposit OR payment",IF(M63="","⚠ Enter amount",IF(B63="","⚠ Enter date",IF(AND(Setup!$C$8&lt;&gt;"",B63&gt;Setup!$C$8),"⚠ Date after period",IF(AND(O63&lt;&gt;"",COUNTIF($O$8:$O$507,O63)&gt;1),"⚠ Cheque no. used twice","✔"))))))</f>
        <v/>
      </c>
      <c r="M63" s="9" t="str">
        <f aca="false">IF(N(F63)&gt;0,"IN",IF(N(G63)&gt;0,"OUT",""))</f>
        <v/>
      </c>
      <c r="N63" s="9" t="str">
        <f aca="false">IF(M63="","",M63&amp;"|"&amp;TEXT(ROUND(N(F63)+N(G63),2),"0.00"))</f>
        <v/>
      </c>
      <c r="O63" s="9" t="str">
        <f aca="false">IF(OR(N63="",TRIM(E63&amp;"")=""),"",N63&amp;"|"&amp;UPPER(TRIM(E63&amp;"")))</f>
        <v/>
      </c>
      <c r="P63" s="9" t="n">
        <f aca="false">IF(O63="",0,IFERROR(MATCH(O63,'Bank Statement'!$O$8:$O$507,0),0))</f>
        <v>0</v>
      </c>
      <c r="Q63" s="9" t="str">
        <f aca="false">IF(OR(N63="",P63&gt;0),"",N63&amp;"#"&amp;COUNTIFS($N$8:N63,N63,$P$8:P63,0))</f>
        <v/>
      </c>
      <c r="R63" s="9" t="n">
        <f aca="false">IF(Q63="",0,IFERROR(MATCH(Q63,'Bank Statement'!$Q$8:$Q$507,0),0))</f>
        <v>0</v>
      </c>
      <c r="S63" s="9" t="n">
        <f aca="false">IF(P63&gt;0,P63,R63)</f>
        <v>0</v>
      </c>
      <c r="T63" s="9" t="str">
        <f aca="false">IF(OR(S63=0,B63=""),"",INDEX('Bank Statement'!$B$8:$B$507,S63)-B63)</f>
        <v/>
      </c>
      <c r="U63" s="9" t="n">
        <f aca="false">IF(S63=0,0,IF(P63&gt;0,S63,IF(AND(ISNUMBER(T63),ABS(N(T63))&lt;=Setup!$C$11),S63,0)))</f>
        <v>0</v>
      </c>
      <c r="V63" s="9" t="str">
        <f aca="false">IF(AND(N63&lt;&gt;"",U63=0),IF(M63="OUT",1,2)*100000+ROW(),"")</f>
        <v/>
      </c>
      <c r="W63" s="9" t="n">
        <f aca="false">N(F63)+N(G63)</f>
        <v>0</v>
      </c>
    </row>
    <row r="64" customFormat="false" ht="15" hidden="false" customHeight="false" outlineLevel="0" collapsed="false">
      <c r="A64" s="37" t="str">
        <f aca="false">IF(M64="","",ROW()-7)</f>
        <v/>
      </c>
      <c r="B64" s="70"/>
      <c r="C64" s="71"/>
      <c r="D64" s="72"/>
      <c r="E64" s="71"/>
      <c r="F64" s="73"/>
      <c r="G64" s="73"/>
      <c r="H64" s="42" t="str">
        <f aca="false">IF(M64="","",IF(U64&gt;0,"✔ Matched",IF(M64="OUT","Not yet presented","Not yet credited")))</f>
        <v/>
      </c>
      <c r="I64" s="43" t="str">
        <f aca="false">IF(N(U64)&gt;0,U64,"")</f>
        <v/>
      </c>
      <c r="J64" s="44" t="str">
        <f aca="false">IF(N(U64)&gt;0,T64,"")</f>
        <v/>
      </c>
      <c r="K64" s="45" t="str">
        <f aca="false">IF(AND(M64="",B64="",D64=""),"",IF(AND(N(F64)&gt;0,N(G64)&gt;0),"⚠ Fill deposit OR payment",IF(M64="","⚠ Enter amount",IF(B64="","⚠ Enter date",IF(AND(Setup!$C$8&lt;&gt;"",B64&gt;Setup!$C$8),"⚠ Date after period",IF(AND(O64&lt;&gt;"",COUNTIF($O$8:$O$507,O64)&gt;1),"⚠ Cheque no. used twice","✔"))))))</f>
        <v/>
      </c>
      <c r="M64" s="9" t="str">
        <f aca="false">IF(N(F64)&gt;0,"IN",IF(N(G64)&gt;0,"OUT",""))</f>
        <v/>
      </c>
      <c r="N64" s="9" t="str">
        <f aca="false">IF(M64="","",M64&amp;"|"&amp;TEXT(ROUND(N(F64)+N(G64),2),"0.00"))</f>
        <v/>
      </c>
      <c r="O64" s="9" t="str">
        <f aca="false">IF(OR(N64="",TRIM(E64&amp;"")=""),"",N64&amp;"|"&amp;UPPER(TRIM(E64&amp;"")))</f>
        <v/>
      </c>
      <c r="P64" s="9" t="n">
        <f aca="false">IF(O64="",0,IFERROR(MATCH(O64,'Bank Statement'!$O$8:$O$507,0),0))</f>
        <v>0</v>
      </c>
      <c r="Q64" s="9" t="str">
        <f aca="false">IF(OR(N64="",P64&gt;0),"",N64&amp;"#"&amp;COUNTIFS($N$8:N64,N64,$P$8:P64,0))</f>
        <v/>
      </c>
      <c r="R64" s="9" t="n">
        <f aca="false">IF(Q64="",0,IFERROR(MATCH(Q64,'Bank Statement'!$Q$8:$Q$507,0),0))</f>
        <v>0</v>
      </c>
      <c r="S64" s="9" t="n">
        <f aca="false">IF(P64&gt;0,P64,R64)</f>
        <v>0</v>
      </c>
      <c r="T64" s="9" t="str">
        <f aca="false">IF(OR(S64=0,B64=""),"",INDEX('Bank Statement'!$B$8:$B$507,S64)-B64)</f>
        <v/>
      </c>
      <c r="U64" s="9" t="n">
        <f aca="false">IF(S64=0,0,IF(P64&gt;0,S64,IF(AND(ISNUMBER(T64),ABS(N(T64))&lt;=Setup!$C$11),S64,0)))</f>
        <v>0</v>
      </c>
      <c r="V64" s="9" t="str">
        <f aca="false">IF(AND(N64&lt;&gt;"",U64=0),IF(M64="OUT",1,2)*100000+ROW(),"")</f>
        <v/>
      </c>
      <c r="W64" s="9" t="n">
        <f aca="false">N(F64)+N(G64)</f>
        <v>0</v>
      </c>
    </row>
    <row r="65" customFormat="false" ht="15" hidden="false" customHeight="false" outlineLevel="0" collapsed="false">
      <c r="A65" s="37" t="str">
        <f aca="false">IF(M65="","",ROW()-7)</f>
        <v/>
      </c>
      <c r="B65" s="70"/>
      <c r="C65" s="71"/>
      <c r="D65" s="72"/>
      <c r="E65" s="71"/>
      <c r="F65" s="73"/>
      <c r="G65" s="73"/>
      <c r="H65" s="42" t="str">
        <f aca="false">IF(M65="","",IF(U65&gt;0,"✔ Matched",IF(M65="OUT","Not yet presented","Not yet credited")))</f>
        <v/>
      </c>
      <c r="I65" s="43" t="str">
        <f aca="false">IF(N(U65)&gt;0,U65,"")</f>
        <v/>
      </c>
      <c r="J65" s="44" t="str">
        <f aca="false">IF(N(U65)&gt;0,T65,"")</f>
        <v/>
      </c>
      <c r="K65" s="45" t="str">
        <f aca="false">IF(AND(M65="",B65="",D65=""),"",IF(AND(N(F65)&gt;0,N(G65)&gt;0),"⚠ Fill deposit OR payment",IF(M65="","⚠ Enter amount",IF(B65="","⚠ Enter date",IF(AND(Setup!$C$8&lt;&gt;"",B65&gt;Setup!$C$8),"⚠ Date after period",IF(AND(O65&lt;&gt;"",COUNTIF($O$8:$O$507,O65)&gt;1),"⚠ Cheque no. used twice","✔"))))))</f>
        <v/>
      </c>
      <c r="M65" s="9" t="str">
        <f aca="false">IF(N(F65)&gt;0,"IN",IF(N(G65)&gt;0,"OUT",""))</f>
        <v/>
      </c>
      <c r="N65" s="9" t="str">
        <f aca="false">IF(M65="","",M65&amp;"|"&amp;TEXT(ROUND(N(F65)+N(G65),2),"0.00"))</f>
        <v/>
      </c>
      <c r="O65" s="9" t="str">
        <f aca="false">IF(OR(N65="",TRIM(E65&amp;"")=""),"",N65&amp;"|"&amp;UPPER(TRIM(E65&amp;"")))</f>
        <v/>
      </c>
      <c r="P65" s="9" t="n">
        <f aca="false">IF(O65="",0,IFERROR(MATCH(O65,'Bank Statement'!$O$8:$O$507,0),0))</f>
        <v>0</v>
      </c>
      <c r="Q65" s="9" t="str">
        <f aca="false">IF(OR(N65="",P65&gt;0),"",N65&amp;"#"&amp;COUNTIFS($N$8:N65,N65,$P$8:P65,0))</f>
        <v/>
      </c>
      <c r="R65" s="9" t="n">
        <f aca="false">IF(Q65="",0,IFERROR(MATCH(Q65,'Bank Statement'!$Q$8:$Q$507,0),0))</f>
        <v>0</v>
      </c>
      <c r="S65" s="9" t="n">
        <f aca="false">IF(P65&gt;0,P65,R65)</f>
        <v>0</v>
      </c>
      <c r="T65" s="9" t="str">
        <f aca="false">IF(OR(S65=0,B65=""),"",INDEX('Bank Statement'!$B$8:$B$507,S65)-B65)</f>
        <v/>
      </c>
      <c r="U65" s="9" t="n">
        <f aca="false">IF(S65=0,0,IF(P65&gt;0,S65,IF(AND(ISNUMBER(T65),ABS(N(T65))&lt;=Setup!$C$11),S65,0)))</f>
        <v>0</v>
      </c>
      <c r="V65" s="9" t="str">
        <f aca="false">IF(AND(N65&lt;&gt;"",U65=0),IF(M65="OUT",1,2)*100000+ROW(),"")</f>
        <v/>
      </c>
      <c r="W65" s="9" t="n">
        <f aca="false">N(F65)+N(G65)</f>
        <v>0</v>
      </c>
    </row>
    <row r="66" customFormat="false" ht="15" hidden="false" customHeight="false" outlineLevel="0" collapsed="false">
      <c r="A66" s="37" t="str">
        <f aca="false">IF(M66="","",ROW()-7)</f>
        <v/>
      </c>
      <c r="B66" s="70"/>
      <c r="C66" s="71"/>
      <c r="D66" s="72"/>
      <c r="E66" s="71"/>
      <c r="F66" s="73"/>
      <c r="G66" s="73"/>
      <c r="H66" s="42" t="str">
        <f aca="false">IF(M66="","",IF(U66&gt;0,"✔ Matched",IF(M66="OUT","Not yet presented","Not yet credited")))</f>
        <v/>
      </c>
      <c r="I66" s="43" t="str">
        <f aca="false">IF(N(U66)&gt;0,U66,"")</f>
        <v/>
      </c>
      <c r="J66" s="44" t="str">
        <f aca="false">IF(N(U66)&gt;0,T66,"")</f>
        <v/>
      </c>
      <c r="K66" s="45" t="str">
        <f aca="false">IF(AND(M66="",B66="",D66=""),"",IF(AND(N(F66)&gt;0,N(G66)&gt;0),"⚠ Fill deposit OR payment",IF(M66="","⚠ Enter amount",IF(B66="","⚠ Enter date",IF(AND(Setup!$C$8&lt;&gt;"",B66&gt;Setup!$C$8),"⚠ Date after period",IF(AND(O66&lt;&gt;"",COUNTIF($O$8:$O$507,O66)&gt;1),"⚠ Cheque no. used twice","✔"))))))</f>
        <v/>
      </c>
      <c r="M66" s="9" t="str">
        <f aca="false">IF(N(F66)&gt;0,"IN",IF(N(G66)&gt;0,"OUT",""))</f>
        <v/>
      </c>
      <c r="N66" s="9" t="str">
        <f aca="false">IF(M66="","",M66&amp;"|"&amp;TEXT(ROUND(N(F66)+N(G66),2),"0.00"))</f>
        <v/>
      </c>
      <c r="O66" s="9" t="str">
        <f aca="false">IF(OR(N66="",TRIM(E66&amp;"")=""),"",N66&amp;"|"&amp;UPPER(TRIM(E66&amp;"")))</f>
        <v/>
      </c>
      <c r="P66" s="9" t="n">
        <f aca="false">IF(O66="",0,IFERROR(MATCH(O66,'Bank Statement'!$O$8:$O$507,0),0))</f>
        <v>0</v>
      </c>
      <c r="Q66" s="9" t="str">
        <f aca="false">IF(OR(N66="",P66&gt;0),"",N66&amp;"#"&amp;COUNTIFS($N$8:N66,N66,$P$8:P66,0))</f>
        <v/>
      </c>
      <c r="R66" s="9" t="n">
        <f aca="false">IF(Q66="",0,IFERROR(MATCH(Q66,'Bank Statement'!$Q$8:$Q$507,0),0))</f>
        <v>0</v>
      </c>
      <c r="S66" s="9" t="n">
        <f aca="false">IF(P66&gt;0,P66,R66)</f>
        <v>0</v>
      </c>
      <c r="T66" s="9" t="str">
        <f aca="false">IF(OR(S66=0,B66=""),"",INDEX('Bank Statement'!$B$8:$B$507,S66)-B66)</f>
        <v/>
      </c>
      <c r="U66" s="9" t="n">
        <f aca="false">IF(S66=0,0,IF(P66&gt;0,S66,IF(AND(ISNUMBER(T66),ABS(N(T66))&lt;=Setup!$C$11),S66,0)))</f>
        <v>0</v>
      </c>
      <c r="V66" s="9" t="str">
        <f aca="false">IF(AND(N66&lt;&gt;"",U66=0),IF(M66="OUT",1,2)*100000+ROW(),"")</f>
        <v/>
      </c>
      <c r="W66" s="9" t="n">
        <f aca="false">N(F66)+N(G66)</f>
        <v>0</v>
      </c>
    </row>
    <row r="67" customFormat="false" ht="15" hidden="false" customHeight="false" outlineLevel="0" collapsed="false">
      <c r="A67" s="37" t="str">
        <f aca="false">IF(M67="","",ROW()-7)</f>
        <v/>
      </c>
      <c r="B67" s="70"/>
      <c r="C67" s="71"/>
      <c r="D67" s="72"/>
      <c r="E67" s="71"/>
      <c r="F67" s="73"/>
      <c r="G67" s="73"/>
      <c r="H67" s="42" t="str">
        <f aca="false">IF(M67="","",IF(U67&gt;0,"✔ Matched",IF(M67="OUT","Not yet presented","Not yet credited")))</f>
        <v/>
      </c>
      <c r="I67" s="43" t="str">
        <f aca="false">IF(N(U67)&gt;0,U67,"")</f>
        <v/>
      </c>
      <c r="J67" s="44" t="str">
        <f aca="false">IF(N(U67)&gt;0,T67,"")</f>
        <v/>
      </c>
      <c r="K67" s="45" t="str">
        <f aca="false">IF(AND(M67="",B67="",D67=""),"",IF(AND(N(F67)&gt;0,N(G67)&gt;0),"⚠ Fill deposit OR payment",IF(M67="","⚠ Enter amount",IF(B67="","⚠ Enter date",IF(AND(Setup!$C$8&lt;&gt;"",B67&gt;Setup!$C$8),"⚠ Date after period",IF(AND(O67&lt;&gt;"",COUNTIF($O$8:$O$507,O67)&gt;1),"⚠ Cheque no. used twice","✔"))))))</f>
        <v/>
      </c>
      <c r="M67" s="9" t="str">
        <f aca="false">IF(N(F67)&gt;0,"IN",IF(N(G67)&gt;0,"OUT",""))</f>
        <v/>
      </c>
      <c r="N67" s="9" t="str">
        <f aca="false">IF(M67="","",M67&amp;"|"&amp;TEXT(ROUND(N(F67)+N(G67),2),"0.00"))</f>
        <v/>
      </c>
      <c r="O67" s="9" t="str">
        <f aca="false">IF(OR(N67="",TRIM(E67&amp;"")=""),"",N67&amp;"|"&amp;UPPER(TRIM(E67&amp;"")))</f>
        <v/>
      </c>
      <c r="P67" s="9" t="n">
        <f aca="false">IF(O67="",0,IFERROR(MATCH(O67,'Bank Statement'!$O$8:$O$507,0),0))</f>
        <v>0</v>
      </c>
      <c r="Q67" s="9" t="str">
        <f aca="false">IF(OR(N67="",P67&gt;0),"",N67&amp;"#"&amp;COUNTIFS($N$8:N67,N67,$P$8:P67,0))</f>
        <v/>
      </c>
      <c r="R67" s="9" t="n">
        <f aca="false">IF(Q67="",0,IFERROR(MATCH(Q67,'Bank Statement'!$Q$8:$Q$507,0),0))</f>
        <v>0</v>
      </c>
      <c r="S67" s="9" t="n">
        <f aca="false">IF(P67&gt;0,P67,R67)</f>
        <v>0</v>
      </c>
      <c r="T67" s="9" t="str">
        <f aca="false">IF(OR(S67=0,B67=""),"",INDEX('Bank Statement'!$B$8:$B$507,S67)-B67)</f>
        <v/>
      </c>
      <c r="U67" s="9" t="n">
        <f aca="false">IF(S67=0,0,IF(P67&gt;0,S67,IF(AND(ISNUMBER(T67),ABS(N(T67))&lt;=Setup!$C$11),S67,0)))</f>
        <v>0</v>
      </c>
      <c r="V67" s="9" t="str">
        <f aca="false">IF(AND(N67&lt;&gt;"",U67=0),IF(M67="OUT",1,2)*100000+ROW(),"")</f>
        <v/>
      </c>
      <c r="W67" s="9" t="n">
        <f aca="false">N(F67)+N(G67)</f>
        <v>0</v>
      </c>
    </row>
    <row r="68" customFormat="false" ht="15" hidden="false" customHeight="false" outlineLevel="0" collapsed="false">
      <c r="A68" s="37" t="str">
        <f aca="false">IF(M68="","",ROW()-7)</f>
        <v/>
      </c>
      <c r="B68" s="70"/>
      <c r="C68" s="71"/>
      <c r="D68" s="72"/>
      <c r="E68" s="71"/>
      <c r="F68" s="73"/>
      <c r="G68" s="73"/>
      <c r="H68" s="42" t="str">
        <f aca="false">IF(M68="","",IF(U68&gt;0,"✔ Matched",IF(M68="OUT","Not yet presented","Not yet credited")))</f>
        <v/>
      </c>
      <c r="I68" s="43" t="str">
        <f aca="false">IF(N(U68)&gt;0,U68,"")</f>
        <v/>
      </c>
      <c r="J68" s="44" t="str">
        <f aca="false">IF(N(U68)&gt;0,T68,"")</f>
        <v/>
      </c>
      <c r="K68" s="45" t="str">
        <f aca="false">IF(AND(M68="",B68="",D68=""),"",IF(AND(N(F68)&gt;0,N(G68)&gt;0),"⚠ Fill deposit OR payment",IF(M68="","⚠ Enter amount",IF(B68="","⚠ Enter date",IF(AND(Setup!$C$8&lt;&gt;"",B68&gt;Setup!$C$8),"⚠ Date after period",IF(AND(O68&lt;&gt;"",COUNTIF($O$8:$O$507,O68)&gt;1),"⚠ Cheque no. used twice","✔"))))))</f>
        <v/>
      </c>
      <c r="M68" s="9" t="str">
        <f aca="false">IF(N(F68)&gt;0,"IN",IF(N(G68)&gt;0,"OUT",""))</f>
        <v/>
      </c>
      <c r="N68" s="9" t="str">
        <f aca="false">IF(M68="","",M68&amp;"|"&amp;TEXT(ROUND(N(F68)+N(G68),2),"0.00"))</f>
        <v/>
      </c>
      <c r="O68" s="9" t="str">
        <f aca="false">IF(OR(N68="",TRIM(E68&amp;"")=""),"",N68&amp;"|"&amp;UPPER(TRIM(E68&amp;"")))</f>
        <v/>
      </c>
      <c r="P68" s="9" t="n">
        <f aca="false">IF(O68="",0,IFERROR(MATCH(O68,'Bank Statement'!$O$8:$O$507,0),0))</f>
        <v>0</v>
      </c>
      <c r="Q68" s="9" t="str">
        <f aca="false">IF(OR(N68="",P68&gt;0),"",N68&amp;"#"&amp;COUNTIFS($N$8:N68,N68,$P$8:P68,0))</f>
        <v/>
      </c>
      <c r="R68" s="9" t="n">
        <f aca="false">IF(Q68="",0,IFERROR(MATCH(Q68,'Bank Statement'!$Q$8:$Q$507,0),0))</f>
        <v>0</v>
      </c>
      <c r="S68" s="9" t="n">
        <f aca="false">IF(P68&gt;0,P68,R68)</f>
        <v>0</v>
      </c>
      <c r="T68" s="9" t="str">
        <f aca="false">IF(OR(S68=0,B68=""),"",INDEX('Bank Statement'!$B$8:$B$507,S68)-B68)</f>
        <v/>
      </c>
      <c r="U68" s="9" t="n">
        <f aca="false">IF(S68=0,0,IF(P68&gt;0,S68,IF(AND(ISNUMBER(T68),ABS(N(T68))&lt;=Setup!$C$11),S68,0)))</f>
        <v>0</v>
      </c>
      <c r="V68" s="9" t="str">
        <f aca="false">IF(AND(N68&lt;&gt;"",U68=0),IF(M68="OUT",1,2)*100000+ROW(),"")</f>
        <v/>
      </c>
      <c r="W68" s="9" t="n">
        <f aca="false">N(F68)+N(G68)</f>
        <v>0</v>
      </c>
    </row>
    <row r="69" customFormat="false" ht="15" hidden="false" customHeight="false" outlineLevel="0" collapsed="false">
      <c r="A69" s="37" t="str">
        <f aca="false">IF(M69="","",ROW()-7)</f>
        <v/>
      </c>
      <c r="B69" s="70"/>
      <c r="C69" s="71"/>
      <c r="D69" s="72"/>
      <c r="E69" s="71"/>
      <c r="F69" s="73"/>
      <c r="G69" s="73"/>
      <c r="H69" s="42" t="str">
        <f aca="false">IF(M69="","",IF(U69&gt;0,"✔ Matched",IF(M69="OUT","Not yet presented","Not yet credited")))</f>
        <v/>
      </c>
      <c r="I69" s="43" t="str">
        <f aca="false">IF(N(U69)&gt;0,U69,"")</f>
        <v/>
      </c>
      <c r="J69" s="44" t="str">
        <f aca="false">IF(N(U69)&gt;0,T69,"")</f>
        <v/>
      </c>
      <c r="K69" s="45" t="str">
        <f aca="false">IF(AND(M69="",B69="",D69=""),"",IF(AND(N(F69)&gt;0,N(G69)&gt;0),"⚠ Fill deposit OR payment",IF(M69="","⚠ Enter amount",IF(B69="","⚠ Enter date",IF(AND(Setup!$C$8&lt;&gt;"",B69&gt;Setup!$C$8),"⚠ Date after period",IF(AND(O69&lt;&gt;"",COUNTIF($O$8:$O$507,O69)&gt;1),"⚠ Cheque no. used twice","✔"))))))</f>
        <v/>
      </c>
      <c r="M69" s="9" t="str">
        <f aca="false">IF(N(F69)&gt;0,"IN",IF(N(G69)&gt;0,"OUT",""))</f>
        <v/>
      </c>
      <c r="N69" s="9" t="str">
        <f aca="false">IF(M69="","",M69&amp;"|"&amp;TEXT(ROUND(N(F69)+N(G69),2),"0.00"))</f>
        <v/>
      </c>
      <c r="O69" s="9" t="str">
        <f aca="false">IF(OR(N69="",TRIM(E69&amp;"")=""),"",N69&amp;"|"&amp;UPPER(TRIM(E69&amp;"")))</f>
        <v/>
      </c>
      <c r="P69" s="9" t="n">
        <f aca="false">IF(O69="",0,IFERROR(MATCH(O69,'Bank Statement'!$O$8:$O$507,0),0))</f>
        <v>0</v>
      </c>
      <c r="Q69" s="9" t="str">
        <f aca="false">IF(OR(N69="",P69&gt;0),"",N69&amp;"#"&amp;COUNTIFS($N$8:N69,N69,$P$8:P69,0))</f>
        <v/>
      </c>
      <c r="R69" s="9" t="n">
        <f aca="false">IF(Q69="",0,IFERROR(MATCH(Q69,'Bank Statement'!$Q$8:$Q$507,0),0))</f>
        <v>0</v>
      </c>
      <c r="S69" s="9" t="n">
        <f aca="false">IF(P69&gt;0,P69,R69)</f>
        <v>0</v>
      </c>
      <c r="T69" s="9" t="str">
        <f aca="false">IF(OR(S69=0,B69=""),"",INDEX('Bank Statement'!$B$8:$B$507,S69)-B69)</f>
        <v/>
      </c>
      <c r="U69" s="9" t="n">
        <f aca="false">IF(S69=0,0,IF(P69&gt;0,S69,IF(AND(ISNUMBER(T69),ABS(N(T69))&lt;=Setup!$C$11),S69,0)))</f>
        <v>0</v>
      </c>
      <c r="V69" s="9" t="str">
        <f aca="false">IF(AND(N69&lt;&gt;"",U69=0),IF(M69="OUT",1,2)*100000+ROW(),"")</f>
        <v/>
      </c>
      <c r="W69" s="9" t="n">
        <f aca="false">N(F69)+N(G69)</f>
        <v>0</v>
      </c>
    </row>
    <row r="70" customFormat="false" ht="15" hidden="false" customHeight="false" outlineLevel="0" collapsed="false">
      <c r="A70" s="37" t="str">
        <f aca="false">IF(M70="","",ROW()-7)</f>
        <v/>
      </c>
      <c r="B70" s="70"/>
      <c r="C70" s="71"/>
      <c r="D70" s="72"/>
      <c r="E70" s="71"/>
      <c r="F70" s="73"/>
      <c r="G70" s="73"/>
      <c r="H70" s="42" t="str">
        <f aca="false">IF(M70="","",IF(U70&gt;0,"✔ Matched",IF(M70="OUT","Not yet presented","Not yet credited")))</f>
        <v/>
      </c>
      <c r="I70" s="43" t="str">
        <f aca="false">IF(N(U70)&gt;0,U70,"")</f>
        <v/>
      </c>
      <c r="J70" s="44" t="str">
        <f aca="false">IF(N(U70)&gt;0,T70,"")</f>
        <v/>
      </c>
      <c r="K70" s="45" t="str">
        <f aca="false">IF(AND(M70="",B70="",D70=""),"",IF(AND(N(F70)&gt;0,N(G70)&gt;0),"⚠ Fill deposit OR payment",IF(M70="","⚠ Enter amount",IF(B70="","⚠ Enter date",IF(AND(Setup!$C$8&lt;&gt;"",B70&gt;Setup!$C$8),"⚠ Date after period",IF(AND(O70&lt;&gt;"",COUNTIF($O$8:$O$507,O70)&gt;1),"⚠ Cheque no. used twice","✔"))))))</f>
        <v/>
      </c>
      <c r="M70" s="9" t="str">
        <f aca="false">IF(N(F70)&gt;0,"IN",IF(N(G70)&gt;0,"OUT",""))</f>
        <v/>
      </c>
      <c r="N70" s="9" t="str">
        <f aca="false">IF(M70="","",M70&amp;"|"&amp;TEXT(ROUND(N(F70)+N(G70),2),"0.00"))</f>
        <v/>
      </c>
      <c r="O70" s="9" t="str">
        <f aca="false">IF(OR(N70="",TRIM(E70&amp;"")=""),"",N70&amp;"|"&amp;UPPER(TRIM(E70&amp;"")))</f>
        <v/>
      </c>
      <c r="P70" s="9" t="n">
        <f aca="false">IF(O70="",0,IFERROR(MATCH(O70,'Bank Statement'!$O$8:$O$507,0),0))</f>
        <v>0</v>
      </c>
      <c r="Q70" s="9" t="str">
        <f aca="false">IF(OR(N70="",P70&gt;0),"",N70&amp;"#"&amp;COUNTIFS($N$8:N70,N70,$P$8:P70,0))</f>
        <v/>
      </c>
      <c r="R70" s="9" t="n">
        <f aca="false">IF(Q70="",0,IFERROR(MATCH(Q70,'Bank Statement'!$Q$8:$Q$507,0),0))</f>
        <v>0</v>
      </c>
      <c r="S70" s="9" t="n">
        <f aca="false">IF(P70&gt;0,P70,R70)</f>
        <v>0</v>
      </c>
      <c r="T70" s="9" t="str">
        <f aca="false">IF(OR(S70=0,B70=""),"",INDEX('Bank Statement'!$B$8:$B$507,S70)-B70)</f>
        <v/>
      </c>
      <c r="U70" s="9" t="n">
        <f aca="false">IF(S70=0,0,IF(P70&gt;0,S70,IF(AND(ISNUMBER(T70),ABS(N(T70))&lt;=Setup!$C$11),S70,0)))</f>
        <v>0</v>
      </c>
      <c r="V70" s="9" t="str">
        <f aca="false">IF(AND(N70&lt;&gt;"",U70=0),IF(M70="OUT",1,2)*100000+ROW(),"")</f>
        <v/>
      </c>
      <c r="W70" s="9" t="n">
        <f aca="false">N(F70)+N(G70)</f>
        <v>0</v>
      </c>
    </row>
    <row r="71" customFormat="false" ht="15" hidden="false" customHeight="false" outlineLevel="0" collapsed="false">
      <c r="A71" s="37" t="str">
        <f aca="false">IF(M71="","",ROW()-7)</f>
        <v/>
      </c>
      <c r="B71" s="70"/>
      <c r="C71" s="71"/>
      <c r="D71" s="72"/>
      <c r="E71" s="71"/>
      <c r="F71" s="73"/>
      <c r="G71" s="73"/>
      <c r="H71" s="42" t="str">
        <f aca="false">IF(M71="","",IF(U71&gt;0,"✔ Matched",IF(M71="OUT","Not yet presented","Not yet credited")))</f>
        <v/>
      </c>
      <c r="I71" s="43" t="str">
        <f aca="false">IF(N(U71)&gt;0,U71,"")</f>
        <v/>
      </c>
      <c r="J71" s="44" t="str">
        <f aca="false">IF(N(U71)&gt;0,T71,"")</f>
        <v/>
      </c>
      <c r="K71" s="45" t="str">
        <f aca="false">IF(AND(M71="",B71="",D71=""),"",IF(AND(N(F71)&gt;0,N(G71)&gt;0),"⚠ Fill deposit OR payment",IF(M71="","⚠ Enter amount",IF(B71="","⚠ Enter date",IF(AND(Setup!$C$8&lt;&gt;"",B71&gt;Setup!$C$8),"⚠ Date after period",IF(AND(O71&lt;&gt;"",COUNTIF($O$8:$O$507,O71)&gt;1),"⚠ Cheque no. used twice","✔"))))))</f>
        <v/>
      </c>
      <c r="M71" s="9" t="str">
        <f aca="false">IF(N(F71)&gt;0,"IN",IF(N(G71)&gt;0,"OUT",""))</f>
        <v/>
      </c>
      <c r="N71" s="9" t="str">
        <f aca="false">IF(M71="","",M71&amp;"|"&amp;TEXT(ROUND(N(F71)+N(G71),2),"0.00"))</f>
        <v/>
      </c>
      <c r="O71" s="9" t="str">
        <f aca="false">IF(OR(N71="",TRIM(E71&amp;"")=""),"",N71&amp;"|"&amp;UPPER(TRIM(E71&amp;"")))</f>
        <v/>
      </c>
      <c r="P71" s="9" t="n">
        <f aca="false">IF(O71="",0,IFERROR(MATCH(O71,'Bank Statement'!$O$8:$O$507,0),0))</f>
        <v>0</v>
      </c>
      <c r="Q71" s="9" t="str">
        <f aca="false">IF(OR(N71="",P71&gt;0),"",N71&amp;"#"&amp;COUNTIFS($N$8:N71,N71,$P$8:P71,0))</f>
        <v/>
      </c>
      <c r="R71" s="9" t="n">
        <f aca="false">IF(Q71="",0,IFERROR(MATCH(Q71,'Bank Statement'!$Q$8:$Q$507,0),0))</f>
        <v>0</v>
      </c>
      <c r="S71" s="9" t="n">
        <f aca="false">IF(P71&gt;0,P71,R71)</f>
        <v>0</v>
      </c>
      <c r="T71" s="9" t="str">
        <f aca="false">IF(OR(S71=0,B71=""),"",INDEX('Bank Statement'!$B$8:$B$507,S71)-B71)</f>
        <v/>
      </c>
      <c r="U71" s="9" t="n">
        <f aca="false">IF(S71=0,0,IF(P71&gt;0,S71,IF(AND(ISNUMBER(T71),ABS(N(T71))&lt;=Setup!$C$11),S71,0)))</f>
        <v>0</v>
      </c>
      <c r="V71" s="9" t="str">
        <f aca="false">IF(AND(N71&lt;&gt;"",U71=0),IF(M71="OUT",1,2)*100000+ROW(),"")</f>
        <v/>
      </c>
      <c r="W71" s="9" t="n">
        <f aca="false">N(F71)+N(G71)</f>
        <v>0</v>
      </c>
    </row>
    <row r="72" customFormat="false" ht="15" hidden="false" customHeight="false" outlineLevel="0" collapsed="false">
      <c r="A72" s="37" t="str">
        <f aca="false">IF(M72="","",ROW()-7)</f>
        <v/>
      </c>
      <c r="B72" s="70"/>
      <c r="C72" s="71"/>
      <c r="D72" s="72"/>
      <c r="E72" s="71"/>
      <c r="F72" s="73"/>
      <c r="G72" s="73"/>
      <c r="H72" s="42" t="str">
        <f aca="false">IF(M72="","",IF(U72&gt;0,"✔ Matched",IF(M72="OUT","Not yet presented","Not yet credited")))</f>
        <v/>
      </c>
      <c r="I72" s="43" t="str">
        <f aca="false">IF(N(U72)&gt;0,U72,"")</f>
        <v/>
      </c>
      <c r="J72" s="44" t="str">
        <f aca="false">IF(N(U72)&gt;0,T72,"")</f>
        <v/>
      </c>
      <c r="K72" s="45" t="str">
        <f aca="false">IF(AND(M72="",B72="",D72=""),"",IF(AND(N(F72)&gt;0,N(G72)&gt;0),"⚠ Fill deposit OR payment",IF(M72="","⚠ Enter amount",IF(B72="","⚠ Enter date",IF(AND(Setup!$C$8&lt;&gt;"",B72&gt;Setup!$C$8),"⚠ Date after period",IF(AND(O72&lt;&gt;"",COUNTIF($O$8:$O$507,O72)&gt;1),"⚠ Cheque no. used twice","✔"))))))</f>
        <v/>
      </c>
      <c r="M72" s="9" t="str">
        <f aca="false">IF(N(F72)&gt;0,"IN",IF(N(G72)&gt;0,"OUT",""))</f>
        <v/>
      </c>
      <c r="N72" s="9" t="str">
        <f aca="false">IF(M72="","",M72&amp;"|"&amp;TEXT(ROUND(N(F72)+N(G72),2),"0.00"))</f>
        <v/>
      </c>
      <c r="O72" s="9" t="str">
        <f aca="false">IF(OR(N72="",TRIM(E72&amp;"")=""),"",N72&amp;"|"&amp;UPPER(TRIM(E72&amp;"")))</f>
        <v/>
      </c>
      <c r="P72" s="9" t="n">
        <f aca="false">IF(O72="",0,IFERROR(MATCH(O72,'Bank Statement'!$O$8:$O$507,0),0))</f>
        <v>0</v>
      </c>
      <c r="Q72" s="9" t="str">
        <f aca="false">IF(OR(N72="",P72&gt;0),"",N72&amp;"#"&amp;COUNTIFS($N$8:N72,N72,$P$8:P72,0))</f>
        <v/>
      </c>
      <c r="R72" s="9" t="n">
        <f aca="false">IF(Q72="",0,IFERROR(MATCH(Q72,'Bank Statement'!$Q$8:$Q$507,0),0))</f>
        <v>0</v>
      </c>
      <c r="S72" s="9" t="n">
        <f aca="false">IF(P72&gt;0,P72,R72)</f>
        <v>0</v>
      </c>
      <c r="T72" s="9" t="str">
        <f aca="false">IF(OR(S72=0,B72=""),"",INDEX('Bank Statement'!$B$8:$B$507,S72)-B72)</f>
        <v/>
      </c>
      <c r="U72" s="9" t="n">
        <f aca="false">IF(S72=0,0,IF(P72&gt;0,S72,IF(AND(ISNUMBER(T72),ABS(N(T72))&lt;=Setup!$C$11),S72,0)))</f>
        <v>0</v>
      </c>
      <c r="V72" s="9" t="str">
        <f aca="false">IF(AND(N72&lt;&gt;"",U72=0),IF(M72="OUT",1,2)*100000+ROW(),"")</f>
        <v/>
      </c>
      <c r="W72" s="9" t="n">
        <f aca="false">N(F72)+N(G72)</f>
        <v>0</v>
      </c>
    </row>
    <row r="73" customFormat="false" ht="15" hidden="false" customHeight="false" outlineLevel="0" collapsed="false">
      <c r="A73" s="37" t="str">
        <f aca="false">IF(M73="","",ROW()-7)</f>
        <v/>
      </c>
      <c r="B73" s="70"/>
      <c r="C73" s="71"/>
      <c r="D73" s="72"/>
      <c r="E73" s="71"/>
      <c r="F73" s="73"/>
      <c r="G73" s="73"/>
      <c r="H73" s="42" t="str">
        <f aca="false">IF(M73="","",IF(U73&gt;0,"✔ Matched",IF(M73="OUT","Not yet presented","Not yet credited")))</f>
        <v/>
      </c>
      <c r="I73" s="43" t="str">
        <f aca="false">IF(N(U73)&gt;0,U73,"")</f>
        <v/>
      </c>
      <c r="J73" s="44" t="str">
        <f aca="false">IF(N(U73)&gt;0,T73,"")</f>
        <v/>
      </c>
      <c r="K73" s="45" t="str">
        <f aca="false">IF(AND(M73="",B73="",D73=""),"",IF(AND(N(F73)&gt;0,N(G73)&gt;0),"⚠ Fill deposit OR payment",IF(M73="","⚠ Enter amount",IF(B73="","⚠ Enter date",IF(AND(Setup!$C$8&lt;&gt;"",B73&gt;Setup!$C$8),"⚠ Date after period",IF(AND(O73&lt;&gt;"",COUNTIF($O$8:$O$507,O73)&gt;1),"⚠ Cheque no. used twice","✔"))))))</f>
        <v/>
      </c>
      <c r="M73" s="9" t="str">
        <f aca="false">IF(N(F73)&gt;0,"IN",IF(N(G73)&gt;0,"OUT",""))</f>
        <v/>
      </c>
      <c r="N73" s="9" t="str">
        <f aca="false">IF(M73="","",M73&amp;"|"&amp;TEXT(ROUND(N(F73)+N(G73),2),"0.00"))</f>
        <v/>
      </c>
      <c r="O73" s="9" t="str">
        <f aca="false">IF(OR(N73="",TRIM(E73&amp;"")=""),"",N73&amp;"|"&amp;UPPER(TRIM(E73&amp;"")))</f>
        <v/>
      </c>
      <c r="P73" s="9" t="n">
        <f aca="false">IF(O73="",0,IFERROR(MATCH(O73,'Bank Statement'!$O$8:$O$507,0),0))</f>
        <v>0</v>
      </c>
      <c r="Q73" s="9" t="str">
        <f aca="false">IF(OR(N73="",P73&gt;0),"",N73&amp;"#"&amp;COUNTIFS($N$8:N73,N73,$P$8:P73,0))</f>
        <v/>
      </c>
      <c r="R73" s="9" t="n">
        <f aca="false">IF(Q73="",0,IFERROR(MATCH(Q73,'Bank Statement'!$Q$8:$Q$507,0),0))</f>
        <v>0</v>
      </c>
      <c r="S73" s="9" t="n">
        <f aca="false">IF(P73&gt;0,P73,R73)</f>
        <v>0</v>
      </c>
      <c r="T73" s="9" t="str">
        <f aca="false">IF(OR(S73=0,B73=""),"",INDEX('Bank Statement'!$B$8:$B$507,S73)-B73)</f>
        <v/>
      </c>
      <c r="U73" s="9" t="n">
        <f aca="false">IF(S73=0,0,IF(P73&gt;0,S73,IF(AND(ISNUMBER(T73),ABS(N(T73))&lt;=Setup!$C$11),S73,0)))</f>
        <v>0</v>
      </c>
      <c r="V73" s="9" t="str">
        <f aca="false">IF(AND(N73&lt;&gt;"",U73=0),IF(M73="OUT",1,2)*100000+ROW(),"")</f>
        <v/>
      </c>
      <c r="W73" s="9" t="n">
        <f aca="false">N(F73)+N(G73)</f>
        <v>0</v>
      </c>
    </row>
    <row r="74" customFormat="false" ht="15" hidden="false" customHeight="false" outlineLevel="0" collapsed="false">
      <c r="A74" s="37" t="str">
        <f aca="false">IF(M74="","",ROW()-7)</f>
        <v/>
      </c>
      <c r="B74" s="70"/>
      <c r="C74" s="71"/>
      <c r="D74" s="72"/>
      <c r="E74" s="71"/>
      <c r="F74" s="73"/>
      <c r="G74" s="73"/>
      <c r="H74" s="42" t="str">
        <f aca="false">IF(M74="","",IF(U74&gt;0,"✔ Matched",IF(M74="OUT","Not yet presented","Not yet credited")))</f>
        <v/>
      </c>
      <c r="I74" s="43" t="str">
        <f aca="false">IF(N(U74)&gt;0,U74,"")</f>
        <v/>
      </c>
      <c r="J74" s="44" t="str">
        <f aca="false">IF(N(U74)&gt;0,T74,"")</f>
        <v/>
      </c>
      <c r="K74" s="45" t="str">
        <f aca="false">IF(AND(M74="",B74="",D74=""),"",IF(AND(N(F74)&gt;0,N(G74)&gt;0),"⚠ Fill deposit OR payment",IF(M74="","⚠ Enter amount",IF(B74="","⚠ Enter date",IF(AND(Setup!$C$8&lt;&gt;"",B74&gt;Setup!$C$8),"⚠ Date after period",IF(AND(O74&lt;&gt;"",COUNTIF($O$8:$O$507,O74)&gt;1),"⚠ Cheque no. used twice","✔"))))))</f>
        <v/>
      </c>
      <c r="M74" s="9" t="str">
        <f aca="false">IF(N(F74)&gt;0,"IN",IF(N(G74)&gt;0,"OUT",""))</f>
        <v/>
      </c>
      <c r="N74" s="9" t="str">
        <f aca="false">IF(M74="","",M74&amp;"|"&amp;TEXT(ROUND(N(F74)+N(G74),2),"0.00"))</f>
        <v/>
      </c>
      <c r="O74" s="9" t="str">
        <f aca="false">IF(OR(N74="",TRIM(E74&amp;"")=""),"",N74&amp;"|"&amp;UPPER(TRIM(E74&amp;"")))</f>
        <v/>
      </c>
      <c r="P74" s="9" t="n">
        <f aca="false">IF(O74="",0,IFERROR(MATCH(O74,'Bank Statement'!$O$8:$O$507,0),0))</f>
        <v>0</v>
      </c>
      <c r="Q74" s="9" t="str">
        <f aca="false">IF(OR(N74="",P74&gt;0),"",N74&amp;"#"&amp;COUNTIFS($N$8:N74,N74,$P$8:P74,0))</f>
        <v/>
      </c>
      <c r="R74" s="9" t="n">
        <f aca="false">IF(Q74="",0,IFERROR(MATCH(Q74,'Bank Statement'!$Q$8:$Q$507,0),0))</f>
        <v>0</v>
      </c>
      <c r="S74" s="9" t="n">
        <f aca="false">IF(P74&gt;0,P74,R74)</f>
        <v>0</v>
      </c>
      <c r="T74" s="9" t="str">
        <f aca="false">IF(OR(S74=0,B74=""),"",INDEX('Bank Statement'!$B$8:$B$507,S74)-B74)</f>
        <v/>
      </c>
      <c r="U74" s="9" t="n">
        <f aca="false">IF(S74=0,0,IF(P74&gt;0,S74,IF(AND(ISNUMBER(T74),ABS(N(T74))&lt;=Setup!$C$11),S74,0)))</f>
        <v>0</v>
      </c>
      <c r="V74" s="9" t="str">
        <f aca="false">IF(AND(N74&lt;&gt;"",U74=0),IF(M74="OUT",1,2)*100000+ROW(),"")</f>
        <v/>
      </c>
      <c r="W74" s="9" t="n">
        <f aca="false">N(F74)+N(G74)</f>
        <v>0</v>
      </c>
    </row>
    <row r="75" customFormat="false" ht="15" hidden="false" customHeight="false" outlineLevel="0" collapsed="false">
      <c r="A75" s="37" t="str">
        <f aca="false">IF(M75="","",ROW()-7)</f>
        <v/>
      </c>
      <c r="B75" s="70"/>
      <c r="C75" s="71"/>
      <c r="D75" s="72"/>
      <c r="E75" s="71"/>
      <c r="F75" s="73"/>
      <c r="G75" s="73"/>
      <c r="H75" s="42" t="str">
        <f aca="false">IF(M75="","",IF(U75&gt;0,"✔ Matched",IF(M75="OUT","Not yet presented","Not yet credited")))</f>
        <v/>
      </c>
      <c r="I75" s="43" t="str">
        <f aca="false">IF(N(U75)&gt;0,U75,"")</f>
        <v/>
      </c>
      <c r="J75" s="44" t="str">
        <f aca="false">IF(N(U75)&gt;0,T75,"")</f>
        <v/>
      </c>
      <c r="K75" s="45" t="str">
        <f aca="false">IF(AND(M75="",B75="",D75=""),"",IF(AND(N(F75)&gt;0,N(G75)&gt;0),"⚠ Fill deposit OR payment",IF(M75="","⚠ Enter amount",IF(B75="","⚠ Enter date",IF(AND(Setup!$C$8&lt;&gt;"",B75&gt;Setup!$C$8),"⚠ Date after period",IF(AND(O75&lt;&gt;"",COUNTIF($O$8:$O$507,O75)&gt;1),"⚠ Cheque no. used twice","✔"))))))</f>
        <v/>
      </c>
      <c r="M75" s="9" t="str">
        <f aca="false">IF(N(F75)&gt;0,"IN",IF(N(G75)&gt;0,"OUT",""))</f>
        <v/>
      </c>
      <c r="N75" s="9" t="str">
        <f aca="false">IF(M75="","",M75&amp;"|"&amp;TEXT(ROUND(N(F75)+N(G75),2),"0.00"))</f>
        <v/>
      </c>
      <c r="O75" s="9" t="str">
        <f aca="false">IF(OR(N75="",TRIM(E75&amp;"")=""),"",N75&amp;"|"&amp;UPPER(TRIM(E75&amp;"")))</f>
        <v/>
      </c>
      <c r="P75" s="9" t="n">
        <f aca="false">IF(O75="",0,IFERROR(MATCH(O75,'Bank Statement'!$O$8:$O$507,0),0))</f>
        <v>0</v>
      </c>
      <c r="Q75" s="9" t="str">
        <f aca="false">IF(OR(N75="",P75&gt;0),"",N75&amp;"#"&amp;COUNTIFS($N$8:N75,N75,$P$8:P75,0))</f>
        <v/>
      </c>
      <c r="R75" s="9" t="n">
        <f aca="false">IF(Q75="",0,IFERROR(MATCH(Q75,'Bank Statement'!$Q$8:$Q$507,0),0))</f>
        <v>0</v>
      </c>
      <c r="S75" s="9" t="n">
        <f aca="false">IF(P75&gt;0,P75,R75)</f>
        <v>0</v>
      </c>
      <c r="T75" s="9" t="str">
        <f aca="false">IF(OR(S75=0,B75=""),"",INDEX('Bank Statement'!$B$8:$B$507,S75)-B75)</f>
        <v/>
      </c>
      <c r="U75" s="9" t="n">
        <f aca="false">IF(S75=0,0,IF(P75&gt;0,S75,IF(AND(ISNUMBER(T75),ABS(N(T75))&lt;=Setup!$C$11),S75,0)))</f>
        <v>0</v>
      </c>
      <c r="V75" s="9" t="str">
        <f aca="false">IF(AND(N75&lt;&gt;"",U75=0),IF(M75="OUT",1,2)*100000+ROW(),"")</f>
        <v/>
      </c>
      <c r="W75" s="9" t="n">
        <f aca="false">N(F75)+N(G75)</f>
        <v>0</v>
      </c>
    </row>
    <row r="76" customFormat="false" ht="15" hidden="false" customHeight="false" outlineLevel="0" collapsed="false">
      <c r="A76" s="37" t="str">
        <f aca="false">IF(M76="","",ROW()-7)</f>
        <v/>
      </c>
      <c r="B76" s="70"/>
      <c r="C76" s="71"/>
      <c r="D76" s="72"/>
      <c r="E76" s="71"/>
      <c r="F76" s="73"/>
      <c r="G76" s="73"/>
      <c r="H76" s="42" t="str">
        <f aca="false">IF(M76="","",IF(U76&gt;0,"✔ Matched",IF(M76="OUT","Not yet presented","Not yet credited")))</f>
        <v/>
      </c>
      <c r="I76" s="43" t="str">
        <f aca="false">IF(N(U76)&gt;0,U76,"")</f>
        <v/>
      </c>
      <c r="J76" s="44" t="str">
        <f aca="false">IF(N(U76)&gt;0,T76,"")</f>
        <v/>
      </c>
      <c r="K76" s="45" t="str">
        <f aca="false">IF(AND(M76="",B76="",D76=""),"",IF(AND(N(F76)&gt;0,N(G76)&gt;0),"⚠ Fill deposit OR payment",IF(M76="","⚠ Enter amount",IF(B76="","⚠ Enter date",IF(AND(Setup!$C$8&lt;&gt;"",B76&gt;Setup!$C$8),"⚠ Date after period",IF(AND(O76&lt;&gt;"",COUNTIF($O$8:$O$507,O76)&gt;1),"⚠ Cheque no. used twice","✔"))))))</f>
        <v/>
      </c>
      <c r="M76" s="9" t="str">
        <f aca="false">IF(N(F76)&gt;0,"IN",IF(N(G76)&gt;0,"OUT",""))</f>
        <v/>
      </c>
      <c r="N76" s="9" t="str">
        <f aca="false">IF(M76="","",M76&amp;"|"&amp;TEXT(ROUND(N(F76)+N(G76),2),"0.00"))</f>
        <v/>
      </c>
      <c r="O76" s="9" t="str">
        <f aca="false">IF(OR(N76="",TRIM(E76&amp;"")=""),"",N76&amp;"|"&amp;UPPER(TRIM(E76&amp;"")))</f>
        <v/>
      </c>
      <c r="P76" s="9" t="n">
        <f aca="false">IF(O76="",0,IFERROR(MATCH(O76,'Bank Statement'!$O$8:$O$507,0),0))</f>
        <v>0</v>
      </c>
      <c r="Q76" s="9" t="str">
        <f aca="false">IF(OR(N76="",P76&gt;0),"",N76&amp;"#"&amp;COUNTIFS($N$8:N76,N76,$P$8:P76,0))</f>
        <v/>
      </c>
      <c r="R76" s="9" t="n">
        <f aca="false">IF(Q76="",0,IFERROR(MATCH(Q76,'Bank Statement'!$Q$8:$Q$507,0),0))</f>
        <v>0</v>
      </c>
      <c r="S76" s="9" t="n">
        <f aca="false">IF(P76&gt;0,P76,R76)</f>
        <v>0</v>
      </c>
      <c r="T76" s="9" t="str">
        <f aca="false">IF(OR(S76=0,B76=""),"",INDEX('Bank Statement'!$B$8:$B$507,S76)-B76)</f>
        <v/>
      </c>
      <c r="U76" s="9" t="n">
        <f aca="false">IF(S76=0,0,IF(P76&gt;0,S76,IF(AND(ISNUMBER(T76),ABS(N(T76))&lt;=Setup!$C$11),S76,0)))</f>
        <v>0</v>
      </c>
      <c r="V76" s="9" t="str">
        <f aca="false">IF(AND(N76&lt;&gt;"",U76=0),IF(M76="OUT",1,2)*100000+ROW(),"")</f>
        <v/>
      </c>
      <c r="W76" s="9" t="n">
        <f aca="false">N(F76)+N(G76)</f>
        <v>0</v>
      </c>
    </row>
    <row r="77" customFormat="false" ht="15" hidden="false" customHeight="false" outlineLevel="0" collapsed="false">
      <c r="A77" s="37" t="str">
        <f aca="false">IF(M77="","",ROW()-7)</f>
        <v/>
      </c>
      <c r="B77" s="70"/>
      <c r="C77" s="71"/>
      <c r="D77" s="72"/>
      <c r="E77" s="71"/>
      <c r="F77" s="73"/>
      <c r="G77" s="73"/>
      <c r="H77" s="42" t="str">
        <f aca="false">IF(M77="","",IF(U77&gt;0,"✔ Matched",IF(M77="OUT","Not yet presented","Not yet credited")))</f>
        <v/>
      </c>
      <c r="I77" s="43" t="str">
        <f aca="false">IF(N(U77)&gt;0,U77,"")</f>
        <v/>
      </c>
      <c r="J77" s="44" t="str">
        <f aca="false">IF(N(U77)&gt;0,T77,"")</f>
        <v/>
      </c>
      <c r="K77" s="45" t="str">
        <f aca="false">IF(AND(M77="",B77="",D77=""),"",IF(AND(N(F77)&gt;0,N(G77)&gt;0),"⚠ Fill deposit OR payment",IF(M77="","⚠ Enter amount",IF(B77="","⚠ Enter date",IF(AND(Setup!$C$8&lt;&gt;"",B77&gt;Setup!$C$8),"⚠ Date after period",IF(AND(O77&lt;&gt;"",COUNTIF($O$8:$O$507,O77)&gt;1),"⚠ Cheque no. used twice","✔"))))))</f>
        <v/>
      </c>
      <c r="M77" s="9" t="str">
        <f aca="false">IF(N(F77)&gt;0,"IN",IF(N(G77)&gt;0,"OUT",""))</f>
        <v/>
      </c>
      <c r="N77" s="9" t="str">
        <f aca="false">IF(M77="","",M77&amp;"|"&amp;TEXT(ROUND(N(F77)+N(G77),2),"0.00"))</f>
        <v/>
      </c>
      <c r="O77" s="9" t="str">
        <f aca="false">IF(OR(N77="",TRIM(E77&amp;"")=""),"",N77&amp;"|"&amp;UPPER(TRIM(E77&amp;"")))</f>
        <v/>
      </c>
      <c r="P77" s="9" t="n">
        <f aca="false">IF(O77="",0,IFERROR(MATCH(O77,'Bank Statement'!$O$8:$O$507,0),0))</f>
        <v>0</v>
      </c>
      <c r="Q77" s="9" t="str">
        <f aca="false">IF(OR(N77="",P77&gt;0),"",N77&amp;"#"&amp;COUNTIFS($N$8:N77,N77,$P$8:P77,0))</f>
        <v/>
      </c>
      <c r="R77" s="9" t="n">
        <f aca="false">IF(Q77="",0,IFERROR(MATCH(Q77,'Bank Statement'!$Q$8:$Q$507,0),0))</f>
        <v>0</v>
      </c>
      <c r="S77" s="9" t="n">
        <f aca="false">IF(P77&gt;0,P77,R77)</f>
        <v>0</v>
      </c>
      <c r="T77" s="9" t="str">
        <f aca="false">IF(OR(S77=0,B77=""),"",INDEX('Bank Statement'!$B$8:$B$507,S77)-B77)</f>
        <v/>
      </c>
      <c r="U77" s="9" t="n">
        <f aca="false">IF(S77=0,0,IF(P77&gt;0,S77,IF(AND(ISNUMBER(T77),ABS(N(T77))&lt;=Setup!$C$11),S77,0)))</f>
        <v>0</v>
      </c>
      <c r="V77" s="9" t="str">
        <f aca="false">IF(AND(N77&lt;&gt;"",U77=0),IF(M77="OUT",1,2)*100000+ROW(),"")</f>
        <v/>
      </c>
      <c r="W77" s="9" t="n">
        <f aca="false">N(F77)+N(G77)</f>
        <v>0</v>
      </c>
    </row>
    <row r="78" customFormat="false" ht="15" hidden="false" customHeight="false" outlineLevel="0" collapsed="false">
      <c r="A78" s="37" t="str">
        <f aca="false">IF(M78="","",ROW()-7)</f>
        <v/>
      </c>
      <c r="B78" s="70"/>
      <c r="C78" s="71"/>
      <c r="D78" s="72"/>
      <c r="E78" s="71"/>
      <c r="F78" s="73"/>
      <c r="G78" s="73"/>
      <c r="H78" s="42" t="str">
        <f aca="false">IF(M78="","",IF(U78&gt;0,"✔ Matched",IF(M78="OUT","Not yet presented","Not yet credited")))</f>
        <v/>
      </c>
      <c r="I78" s="43" t="str">
        <f aca="false">IF(N(U78)&gt;0,U78,"")</f>
        <v/>
      </c>
      <c r="J78" s="44" t="str">
        <f aca="false">IF(N(U78)&gt;0,T78,"")</f>
        <v/>
      </c>
      <c r="K78" s="45" t="str">
        <f aca="false">IF(AND(M78="",B78="",D78=""),"",IF(AND(N(F78)&gt;0,N(G78)&gt;0),"⚠ Fill deposit OR payment",IF(M78="","⚠ Enter amount",IF(B78="","⚠ Enter date",IF(AND(Setup!$C$8&lt;&gt;"",B78&gt;Setup!$C$8),"⚠ Date after period",IF(AND(O78&lt;&gt;"",COUNTIF($O$8:$O$507,O78)&gt;1),"⚠ Cheque no. used twice","✔"))))))</f>
        <v/>
      </c>
      <c r="M78" s="9" t="str">
        <f aca="false">IF(N(F78)&gt;0,"IN",IF(N(G78)&gt;0,"OUT",""))</f>
        <v/>
      </c>
      <c r="N78" s="9" t="str">
        <f aca="false">IF(M78="","",M78&amp;"|"&amp;TEXT(ROUND(N(F78)+N(G78),2),"0.00"))</f>
        <v/>
      </c>
      <c r="O78" s="9" t="str">
        <f aca="false">IF(OR(N78="",TRIM(E78&amp;"")=""),"",N78&amp;"|"&amp;UPPER(TRIM(E78&amp;"")))</f>
        <v/>
      </c>
      <c r="P78" s="9" t="n">
        <f aca="false">IF(O78="",0,IFERROR(MATCH(O78,'Bank Statement'!$O$8:$O$507,0),0))</f>
        <v>0</v>
      </c>
      <c r="Q78" s="9" t="str">
        <f aca="false">IF(OR(N78="",P78&gt;0),"",N78&amp;"#"&amp;COUNTIFS($N$8:N78,N78,$P$8:P78,0))</f>
        <v/>
      </c>
      <c r="R78" s="9" t="n">
        <f aca="false">IF(Q78="",0,IFERROR(MATCH(Q78,'Bank Statement'!$Q$8:$Q$507,0),0))</f>
        <v>0</v>
      </c>
      <c r="S78" s="9" t="n">
        <f aca="false">IF(P78&gt;0,P78,R78)</f>
        <v>0</v>
      </c>
      <c r="T78" s="9" t="str">
        <f aca="false">IF(OR(S78=0,B78=""),"",INDEX('Bank Statement'!$B$8:$B$507,S78)-B78)</f>
        <v/>
      </c>
      <c r="U78" s="9" t="n">
        <f aca="false">IF(S78=0,0,IF(P78&gt;0,S78,IF(AND(ISNUMBER(T78),ABS(N(T78))&lt;=Setup!$C$11),S78,0)))</f>
        <v>0</v>
      </c>
      <c r="V78" s="9" t="str">
        <f aca="false">IF(AND(N78&lt;&gt;"",U78=0),IF(M78="OUT",1,2)*100000+ROW(),"")</f>
        <v/>
      </c>
      <c r="W78" s="9" t="n">
        <f aca="false">N(F78)+N(G78)</f>
        <v>0</v>
      </c>
    </row>
    <row r="79" customFormat="false" ht="15" hidden="false" customHeight="false" outlineLevel="0" collapsed="false">
      <c r="A79" s="37" t="str">
        <f aca="false">IF(M79="","",ROW()-7)</f>
        <v/>
      </c>
      <c r="B79" s="70"/>
      <c r="C79" s="71"/>
      <c r="D79" s="72"/>
      <c r="E79" s="71"/>
      <c r="F79" s="73"/>
      <c r="G79" s="73"/>
      <c r="H79" s="42" t="str">
        <f aca="false">IF(M79="","",IF(U79&gt;0,"✔ Matched",IF(M79="OUT","Not yet presented","Not yet credited")))</f>
        <v/>
      </c>
      <c r="I79" s="43" t="str">
        <f aca="false">IF(N(U79)&gt;0,U79,"")</f>
        <v/>
      </c>
      <c r="J79" s="44" t="str">
        <f aca="false">IF(N(U79)&gt;0,T79,"")</f>
        <v/>
      </c>
      <c r="K79" s="45" t="str">
        <f aca="false">IF(AND(M79="",B79="",D79=""),"",IF(AND(N(F79)&gt;0,N(G79)&gt;0),"⚠ Fill deposit OR payment",IF(M79="","⚠ Enter amount",IF(B79="","⚠ Enter date",IF(AND(Setup!$C$8&lt;&gt;"",B79&gt;Setup!$C$8),"⚠ Date after period",IF(AND(O79&lt;&gt;"",COUNTIF($O$8:$O$507,O79)&gt;1),"⚠ Cheque no. used twice","✔"))))))</f>
        <v/>
      </c>
      <c r="M79" s="9" t="str">
        <f aca="false">IF(N(F79)&gt;0,"IN",IF(N(G79)&gt;0,"OUT",""))</f>
        <v/>
      </c>
      <c r="N79" s="9" t="str">
        <f aca="false">IF(M79="","",M79&amp;"|"&amp;TEXT(ROUND(N(F79)+N(G79),2),"0.00"))</f>
        <v/>
      </c>
      <c r="O79" s="9" t="str">
        <f aca="false">IF(OR(N79="",TRIM(E79&amp;"")=""),"",N79&amp;"|"&amp;UPPER(TRIM(E79&amp;"")))</f>
        <v/>
      </c>
      <c r="P79" s="9" t="n">
        <f aca="false">IF(O79="",0,IFERROR(MATCH(O79,'Bank Statement'!$O$8:$O$507,0),0))</f>
        <v>0</v>
      </c>
      <c r="Q79" s="9" t="str">
        <f aca="false">IF(OR(N79="",P79&gt;0),"",N79&amp;"#"&amp;COUNTIFS($N$8:N79,N79,$P$8:P79,0))</f>
        <v/>
      </c>
      <c r="R79" s="9" t="n">
        <f aca="false">IF(Q79="",0,IFERROR(MATCH(Q79,'Bank Statement'!$Q$8:$Q$507,0),0))</f>
        <v>0</v>
      </c>
      <c r="S79" s="9" t="n">
        <f aca="false">IF(P79&gt;0,P79,R79)</f>
        <v>0</v>
      </c>
      <c r="T79" s="9" t="str">
        <f aca="false">IF(OR(S79=0,B79=""),"",INDEX('Bank Statement'!$B$8:$B$507,S79)-B79)</f>
        <v/>
      </c>
      <c r="U79" s="9" t="n">
        <f aca="false">IF(S79=0,0,IF(P79&gt;0,S79,IF(AND(ISNUMBER(T79),ABS(N(T79))&lt;=Setup!$C$11),S79,0)))</f>
        <v>0</v>
      </c>
      <c r="V79" s="9" t="str">
        <f aca="false">IF(AND(N79&lt;&gt;"",U79=0),IF(M79="OUT",1,2)*100000+ROW(),"")</f>
        <v/>
      </c>
      <c r="W79" s="9" t="n">
        <f aca="false">N(F79)+N(G79)</f>
        <v>0</v>
      </c>
    </row>
    <row r="80" customFormat="false" ht="15" hidden="false" customHeight="false" outlineLevel="0" collapsed="false">
      <c r="A80" s="37" t="str">
        <f aca="false">IF(M80="","",ROW()-7)</f>
        <v/>
      </c>
      <c r="B80" s="70"/>
      <c r="C80" s="71"/>
      <c r="D80" s="72"/>
      <c r="E80" s="71"/>
      <c r="F80" s="73"/>
      <c r="G80" s="73"/>
      <c r="H80" s="42" t="str">
        <f aca="false">IF(M80="","",IF(U80&gt;0,"✔ Matched",IF(M80="OUT","Not yet presented","Not yet credited")))</f>
        <v/>
      </c>
      <c r="I80" s="43" t="str">
        <f aca="false">IF(N(U80)&gt;0,U80,"")</f>
        <v/>
      </c>
      <c r="J80" s="44" t="str">
        <f aca="false">IF(N(U80)&gt;0,T80,"")</f>
        <v/>
      </c>
      <c r="K80" s="45" t="str">
        <f aca="false">IF(AND(M80="",B80="",D80=""),"",IF(AND(N(F80)&gt;0,N(G80)&gt;0),"⚠ Fill deposit OR payment",IF(M80="","⚠ Enter amount",IF(B80="","⚠ Enter date",IF(AND(Setup!$C$8&lt;&gt;"",B80&gt;Setup!$C$8),"⚠ Date after period",IF(AND(O80&lt;&gt;"",COUNTIF($O$8:$O$507,O80)&gt;1),"⚠ Cheque no. used twice","✔"))))))</f>
        <v/>
      </c>
      <c r="M80" s="9" t="str">
        <f aca="false">IF(N(F80)&gt;0,"IN",IF(N(G80)&gt;0,"OUT",""))</f>
        <v/>
      </c>
      <c r="N80" s="9" t="str">
        <f aca="false">IF(M80="","",M80&amp;"|"&amp;TEXT(ROUND(N(F80)+N(G80),2),"0.00"))</f>
        <v/>
      </c>
      <c r="O80" s="9" t="str">
        <f aca="false">IF(OR(N80="",TRIM(E80&amp;"")=""),"",N80&amp;"|"&amp;UPPER(TRIM(E80&amp;"")))</f>
        <v/>
      </c>
      <c r="P80" s="9" t="n">
        <f aca="false">IF(O80="",0,IFERROR(MATCH(O80,'Bank Statement'!$O$8:$O$507,0),0))</f>
        <v>0</v>
      </c>
      <c r="Q80" s="9" t="str">
        <f aca="false">IF(OR(N80="",P80&gt;0),"",N80&amp;"#"&amp;COUNTIFS($N$8:N80,N80,$P$8:P80,0))</f>
        <v/>
      </c>
      <c r="R80" s="9" t="n">
        <f aca="false">IF(Q80="",0,IFERROR(MATCH(Q80,'Bank Statement'!$Q$8:$Q$507,0),0))</f>
        <v>0</v>
      </c>
      <c r="S80" s="9" t="n">
        <f aca="false">IF(P80&gt;0,P80,R80)</f>
        <v>0</v>
      </c>
      <c r="T80" s="9" t="str">
        <f aca="false">IF(OR(S80=0,B80=""),"",INDEX('Bank Statement'!$B$8:$B$507,S80)-B80)</f>
        <v/>
      </c>
      <c r="U80" s="9" t="n">
        <f aca="false">IF(S80=0,0,IF(P80&gt;0,S80,IF(AND(ISNUMBER(T80),ABS(N(T80))&lt;=Setup!$C$11),S80,0)))</f>
        <v>0</v>
      </c>
      <c r="V80" s="9" t="str">
        <f aca="false">IF(AND(N80&lt;&gt;"",U80=0),IF(M80="OUT",1,2)*100000+ROW(),"")</f>
        <v/>
      </c>
      <c r="W80" s="9" t="n">
        <f aca="false">N(F80)+N(G80)</f>
        <v>0</v>
      </c>
    </row>
    <row r="81" customFormat="false" ht="15" hidden="false" customHeight="false" outlineLevel="0" collapsed="false">
      <c r="A81" s="37" t="str">
        <f aca="false">IF(M81="","",ROW()-7)</f>
        <v/>
      </c>
      <c r="B81" s="70"/>
      <c r="C81" s="71"/>
      <c r="D81" s="72"/>
      <c r="E81" s="71"/>
      <c r="F81" s="73"/>
      <c r="G81" s="73"/>
      <c r="H81" s="42" t="str">
        <f aca="false">IF(M81="","",IF(U81&gt;0,"✔ Matched",IF(M81="OUT","Not yet presented","Not yet credited")))</f>
        <v/>
      </c>
      <c r="I81" s="43" t="str">
        <f aca="false">IF(N(U81)&gt;0,U81,"")</f>
        <v/>
      </c>
      <c r="J81" s="44" t="str">
        <f aca="false">IF(N(U81)&gt;0,T81,"")</f>
        <v/>
      </c>
      <c r="K81" s="45" t="str">
        <f aca="false">IF(AND(M81="",B81="",D81=""),"",IF(AND(N(F81)&gt;0,N(G81)&gt;0),"⚠ Fill deposit OR payment",IF(M81="","⚠ Enter amount",IF(B81="","⚠ Enter date",IF(AND(Setup!$C$8&lt;&gt;"",B81&gt;Setup!$C$8),"⚠ Date after period",IF(AND(O81&lt;&gt;"",COUNTIF($O$8:$O$507,O81)&gt;1),"⚠ Cheque no. used twice","✔"))))))</f>
        <v/>
      </c>
      <c r="M81" s="9" t="str">
        <f aca="false">IF(N(F81)&gt;0,"IN",IF(N(G81)&gt;0,"OUT",""))</f>
        <v/>
      </c>
      <c r="N81" s="9" t="str">
        <f aca="false">IF(M81="","",M81&amp;"|"&amp;TEXT(ROUND(N(F81)+N(G81),2),"0.00"))</f>
        <v/>
      </c>
      <c r="O81" s="9" t="str">
        <f aca="false">IF(OR(N81="",TRIM(E81&amp;"")=""),"",N81&amp;"|"&amp;UPPER(TRIM(E81&amp;"")))</f>
        <v/>
      </c>
      <c r="P81" s="9" t="n">
        <f aca="false">IF(O81="",0,IFERROR(MATCH(O81,'Bank Statement'!$O$8:$O$507,0),0))</f>
        <v>0</v>
      </c>
      <c r="Q81" s="9" t="str">
        <f aca="false">IF(OR(N81="",P81&gt;0),"",N81&amp;"#"&amp;COUNTIFS($N$8:N81,N81,$P$8:P81,0))</f>
        <v/>
      </c>
      <c r="R81" s="9" t="n">
        <f aca="false">IF(Q81="",0,IFERROR(MATCH(Q81,'Bank Statement'!$Q$8:$Q$507,0),0))</f>
        <v>0</v>
      </c>
      <c r="S81" s="9" t="n">
        <f aca="false">IF(P81&gt;0,P81,R81)</f>
        <v>0</v>
      </c>
      <c r="T81" s="9" t="str">
        <f aca="false">IF(OR(S81=0,B81=""),"",INDEX('Bank Statement'!$B$8:$B$507,S81)-B81)</f>
        <v/>
      </c>
      <c r="U81" s="9" t="n">
        <f aca="false">IF(S81=0,0,IF(P81&gt;0,S81,IF(AND(ISNUMBER(T81),ABS(N(T81))&lt;=Setup!$C$11),S81,0)))</f>
        <v>0</v>
      </c>
      <c r="V81" s="9" t="str">
        <f aca="false">IF(AND(N81&lt;&gt;"",U81=0),IF(M81="OUT",1,2)*100000+ROW(),"")</f>
        <v/>
      </c>
      <c r="W81" s="9" t="n">
        <f aca="false">N(F81)+N(G81)</f>
        <v>0</v>
      </c>
    </row>
    <row r="82" customFormat="false" ht="15" hidden="false" customHeight="false" outlineLevel="0" collapsed="false">
      <c r="A82" s="37" t="str">
        <f aca="false">IF(M82="","",ROW()-7)</f>
        <v/>
      </c>
      <c r="B82" s="70"/>
      <c r="C82" s="71"/>
      <c r="D82" s="72"/>
      <c r="E82" s="71"/>
      <c r="F82" s="73"/>
      <c r="G82" s="73"/>
      <c r="H82" s="42" t="str">
        <f aca="false">IF(M82="","",IF(U82&gt;0,"✔ Matched",IF(M82="OUT","Not yet presented","Not yet credited")))</f>
        <v/>
      </c>
      <c r="I82" s="43" t="str">
        <f aca="false">IF(N(U82)&gt;0,U82,"")</f>
        <v/>
      </c>
      <c r="J82" s="44" t="str">
        <f aca="false">IF(N(U82)&gt;0,T82,"")</f>
        <v/>
      </c>
      <c r="K82" s="45" t="str">
        <f aca="false">IF(AND(M82="",B82="",D82=""),"",IF(AND(N(F82)&gt;0,N(G82)&gt;0),"⚠ Fill deposit OR payment",IF(M82="","⚠ Enter amount",IF(B82="","⚠ Enter date",IF(AND(Setup!$C$8&lt;&gt;"",B82&gt;Setup!$C$8),"⚠ Date after period",IF(AND(O82&lt;&gt;"",COUNTIF($O$8:$O$507,O82)&gt;1),"⚠ Cheque no. used twice","✔"))))))</f>
        <v/>
      </c>
      <c r="M82" s="9" t="str">
        <f aca="false">IF(N(F82)&gt;0,"IN",IF(N(G82)&gt;0,"OUT",""))</f>
        <v/>
      </c>
      <c r="N82" s="9" t="str">
        <f aca="false">IF(M82="","",M82&amp;"|"&amp;TEXT(ROUND(N(F82)+N(G82),2),"0.00"))</f>
        <v/>
      </c>
      <c r="O82" s="9" t="str">
        <f aca="false">IF(OR(N82="",TRIM(E82&amp;"")=""),"",N82&amp;"|"&amp;UPPER(TRIM(E82&amp;"")))</f>
        <v/>
      </c>
      <c r="P82" s="9" t="n">
        <f aca="false">IF(O82="",0,IFERROR(MATCH(O82,'Bank Statement'!$O$8:$O$507,0),0))</f>
        <v>0</v>
      </c>
      <c r="Q82" s="9" t="str">
        <f aca="false">IF(OR(N82="",P82&gt;0),"",N82&amp;"#"&amp;COUNTIFS($N$8:N82,N82,$P$8:P82,0))</f>
        <v/>
      </c>
      <c r="R82" s="9" t="n">
        <f aca="false">IF(Q82="",0,IFERROR(MATCH(Q82,'Bank Statement'!$Q$8:$Q$507,0),0))</f>
        <v>0</v>
      </c>
      <c r="S82" s="9" t="n">
        <f aca="false">IF(P82&gt;0,P82,R82)</f>
        <v>0</v>
      </c>
      <c r="T82" s="9" t="str">
        <f aca="false">IF(OR(S82=0,B82=""),"",INDEX('Bank Statement'!$B$8:$B$507,S82)-B82)</f>
        <v/>
      </c>
      <c r="U82" s="9" t="n">
        <f aca="false">IF(S82=0,0,IF(P82&gt;0,S82,IF(AND(ISNUMBER(T82),ABS(N(T82))&lt;=Setup!$C$11),S82,0)))</f>
        <v>0</v>
      </c>
      <c r="V82" s="9" t="str">
        <f aca="false">IF(AND(N82&lt;&gt;"",U82=0),IF(M82="OUT",1,2)*100000+ROW(),"")</f>
        <v/>
      </c>
      <c r="W82" s="9" t="n">
        <f aca="false">N(F82)+N(G82)</f>
        <v>0</v>
      </c>
    </row>
    <row r="83" customFormat="false" ht="15" hidden="false" customHeight="false" outlineLevel="0" collapsed="false">
      <c r="A83" s="37" t="str">
        <f aca="false">IF(M83="","",ROW()-7)</f>
        <v/>
      </c>
      <c r="B83" s="70"/>
      <c r="C83" s="71"/>
      <c r="D83" s="72"/>
      <c r="E83" s="71"/>
      <c r="F83" s="73"/>
      <c r="G83" s="73"/>
      <c r="H83" s="42" t="str">
        <f aca="false">IF(M83="","",IF(U83&gt;0,"✔ Matched",IF(M83="OUT","Not yet presented","Not yet credited")))</f>
        <v/>
      </c>
      <c r="I83" s="43" t="str">
        <f aca="false">IF(N(U83)&gt;0,U83,"")</f>
        <v/>
      </c>
      <c r="J83" s="44" t="str">
        <f aca="false">IF(N(U83)&gt;0,T83,"")</f>
        <v/>
      </c>
      <c r="K83" s="45" t="str">
        <f aca="false">IF(AND(M83="",B83="",D83=""),"",IF(AND(N(F83)&gt;0,N(G83)&gt;0),"⚠ Fill deposit OR payment",IF(M83="","⚠ Enter amount",IF(B83="","⚠ Enter date",IF(AND(Setup!$C$8&lt;&gt;"",B83&gt;Setup!$C$8),"⚠ Date after period",IF(AND(O83&lt;&gt;"",COUNTIF($O$8:$O$507,O83)&gt;1),"⚠ Cheque no. used twice","✔"))))))</f>
        <v/>
      </c>
      <c r="M83" s="9" t="str">
        <f aca="false">IF(N(F83)&gt;0,"IN",IF(N(G83)&gt;0,"OUT",""))</f>
        <v/>
      </c>
      <c r="N83" s="9" t="str">
        <f aca="false">IF(M83="","",M83&amp;"|"&amp;TEXT(ROUND(N(F83)+N(G83),2),"0.00"))</f>
        <v/>
      </c>
      <c r="O83" s="9" t="str">
        <f aca="false">IF(OR(N83="",TRIM(E83&amp;"")=""),"",N83&amp;"|"&amp;UPPER(TRIM(E83&amp;"")))</f>
        <v/>
      </c>
      <c r="P83" s="9" t="n">
        <f aca="false">IF(O83="",0,IFERROR(MATCH(O83,'Bank Statement'!$O$8:$O$507,0),0))</f>
        <v>0</v>
      </c>
      <c r="Q83" s="9" t="str">
        <f aca="false">IF(OR(N83="",P83&gt;0),"",N83&amp;"#"&amp;COUNTIFS($N$8:N83,N83,$P$8:P83,0))</f>
        <v/>
      </c>
      <c r="R83" s="9" t="n">
        <f aca="false">IF(Q83="",0,IFERROR(MATCH(Q83,'Bank Statement'!$Q$8:$Q$507,0),0))</f>
        <v>0</v>
      </c>
      <c r="S83" s="9" t="n">
        <f aca="false">IF(P83&gt;0,P83,R83)</f>
        <v>0</v>
      </c>
      <c r="T83" s="9" t="str">
        <f aca="false">IF(OR(S83=0,B83=""),"",INDEX('Bank Statement'!$B$8:$B$507,S83)-B83)</f>
        <v/>
      </c>
      <c r="U83" s="9" t="n">
        <f aca="false">IF(S83=0,0,IF(P83&gt;0,S83,IF(AND(ISNUMBER(T83),ABS(N(T83))&lt;=Setup!$C$11),S83,0)))</f>
        <v>0</v>
      </c>
      <c r="V83" s="9" t="str">
        <f aca="false">IF(AND(N83&lt;&gt;"",U83=0),IF(M83="OUT",1,2)*100000+ROW(),"")</f>
        <v/>
      </c>
      <c r="W83" s="9" t="n">
        <f aca="false">N(F83)+N(G83)</f>
        <v>0</v>
      </c>
    </row>
    <row r="84" customFormat="false" ht="15" hidden="false" customHeight="false" outlineLevel="0" collapsed="false">
      <c r="A84" s="37" t="str">
        <f aca="false">IF(M84="","",ROW()-7)</f>
        <v/>
      </c>
      <c r="B84" s="70"/>
      <c r="C84" s="71"/>
      <c r="D84" s="72"/>
      <c r="E84" s="71"/>
      <c r="F84" s="73"/>
      <c r="G84" s="73"/>
      <c r="H84" s="42" t="str">
        <f aca="false">IF(M84="","",IF(U84&gt;0,"✔ Matched",IF(M84="OUT","Not yet presented","Not yet credited")))</f>
        <v/>
      </c>
      <c r="I84" s="43" t="str">
        <f aca="false">IF(N(U84)&gt;0,U84,"")</f>
        <v/>
      </c>
      <c r="J84" s="44" t="str">
        <f aca="false">IF(N(U84)&gt;0,T84,"")</f>
        <v/>
      </c>
      <c r="K84" s="45" t="str">
        <f aca="false">IF(AND(M84="",B84="",D84=""),"",IF(AND(N(F84)&gt;0,N(G84)&gt;0),"⚠ Fill deposit OR payment",IF(M84="","⚠ Enter amount",IF(B84="","⚠ Enter date",IF(AND(Setup!$C$8&lt;&gt;"",B84&gt;Setup!$C$8),"⚠ Date after period",IF(AND(O84&lt;&gt;"",COUNTIF($O$8:$O$507,O84)&gt;1),"⚠ Cheque no. used twice","✔"))))))</f>
        <v/>
      </c>
      <c r="M84" s="9" t="str">
        <f aca="false">IF(N(F84)&gt;0,"IN",IF(N(G84)&gt;0,"OUT",""))</f>
        <v/>
      </c>
      <c r="N84" s="9" t="str">
        <f aca="false">IF(M84="","",M84&amp;"|"&amp;TEXT(ROUND(N(F84)+N(G84),2),"0.00"))</f>
        <v/>
      </c>
      <c r="O84" s="9" t="str">
        <f aca="false">IF(OR(N84="",TRIM(E84&amp;"")=""),"",N84&amp;"|"&amp;UPPER(TRIM(E84&amp;"")))</f>
        <v/>
      </c>
      <c r="P84" s="9" t="n">
        <f aca="false">IF(O84="",0,IFERROR(MATCH(O84,'Bank Statement'!$O$8:$O$507,0),0))</f>
        <v>0</v>
      </c>
      <c r="Q84" s="9" t="str">
        <f aca="false">IF(OR(N84="",P84&gt;0),"",N84&amp;"#"&amp;COUNTIFS($N$8:N84,N84,$P$8:P84,0))</f>
        <v/>
      </c>
      <c r="R84" s="9" t="n">
        <f aca="false">IF(Q84="",0,IFERROR(MATCH(Q84,'Bank Statement'!$Q$8:$Q$507,0),0))</f>
        <v>0</v>
      </c>
      <c r="S84" s="9" t="n">
        <f aca="false">IF(P84&gt;0,P84,R84)</f>
        <v>0</v>
      </c>
      <c r="T84" s="9" t="str">
        <f aca="false">IF(OR(S84=0,B84=""),"",INDEX('Bank Statement'!$B$8:$B$507,S84)-B84)</f>
        <v/>
      </c>
      <c r="U84" s="9" t="n">
        <f aca="false">IF(S84=0,0,IF(P84&gt;0,S84,IF(AND(ISNUMBER(T84),ABS(N(T84))&lt;=Setup!$C$11),S84,0)))</f>
        <v>0</v>
      </c>
      <c r="V84" s="9" t="str">
        <f aca="false">IF(AND(N84&lt;&gt;"",U84=0),IF(M84="OUT",1,2)*100000+ROW(),"")</f>
        <v/>
      </c>
      <c r="W84" s="9" t="n">
        <f aca="false">N(F84)+N(G84)</f>
        <v>0</v>
      </c>
    </row>
    <row r="85" customFormat="false" ht="15" hidden="false" customHeight="false" outlineLevel="0" collapsed="false">
      <c r="A85" s="37" t="str">
        <f aca="false">IF(M85="","",ROW()-7)</f>
        <v/>
      </c>
      <c r="B85" s="70"/>
      <c r="C85" s="71"/>
      <c r="D85" s="72"/>
      <c r="E85" s="71"/>
      <c r="F85" s="73"/>
      <c r="G85" s="73"/>
      <c r="H85" s="42" t="str">
        <f aca="false">IF(M85="","",IF(U85&gt;0,"✔ Matched",IF(M85="OUT","Not yet presented","Not yet credited")))</f>
        <v/>
      </c>
      <c r="I85" s="43" t="str">
        <f aca="false">IF(N(U85)&gt;0,U85,"")</f>
        <v/>
      </c>
      <c r="J85" s="44" t="str">
        <f aca="false">IF(N(U85)&gt;0,T85,"")</f>
        <v/>
      </c>
      <c r="K85" s="45" t="str">
        <f aca="false">IF(AND(M85="",B85="",D85=""),"",IF(AND(N(F85)&gt;0,N(G85)&gt;0),"⚠ Fill deposit OR payment",IF(M85="","⚠ Enter amount",IF(B85="","⚠ Enter date",IF(AND(Setup!$C$8&lt;&gt;"",B85&gt;Setup!$C$8),"⚠ Date after period",IF(AND(O85&lt;&gt;"",COUNTIF($O$8:$O$507,O85)&gt;1),"⚠ Cheque no. used twice","✔"))))))</f>
        <v/>
      </c>
      <c r="M85" s="9" t="str">
        <f aca="false">IF(N(F85)&gt;0,"IN",IF(N(G85)&gt;0,"OUT",""))</f>
        <v/>
      </c>
      <c r="N85" s="9" t="str">
        <f aca="false">IF(M85="","",M85&amp;"|"&amp;TEXT(ROUND(N(F85)+N(G85),2),"0.00"))</f>
        <v/>
      </c>
      <c r="O85" s="9" t="str">
        <f aca="false">IF(OR(N85="",TRIM(E85&amp;"")=""),"",N85&amp;"|"&amp;UPPER(TRIM(E85&amp;"")))</f>
        <v/>
      </c>
      <c r="P85" s="9" t="n">
        <f aca="false">IF(O85="",0,IFERROR(MATCH(O85,'Bank Statement'!$O$8:$O$507,0),0))</f>
        <v>0</v>
      </c>
      <c r="Q85" s="9" t="str">
        <f aca="false">IF(OR(N85="",P85&gt;0),"",N85&amp;"#"&amp;COUNTIFS($N$8:N85,N85,$P$8:P85,0))</f>
        <v/>
      </c>
      <c r="R85" s="9" t="n">
        <f aca="false">IF(Q85="",0,IFERROR(MATCH(Q85,'Bank Statement'!$Q$8:$Q$507,0),0))</f>
        <v>0</v>
      </c>
      <c r="S85" s="9" t="n">
        <f aca="false">IF(P85&gt;0,P85,R85)</f>
        <v>0</v>
      </c>
      <c r="T85" s="9" t="str">
        <f aca="false">IF(OR(S85=0,B85=""),"",INDEX('Bank Statement'!$B$8:$B$507,S85)-B85)</f>
        <v/>
      </c>
      <c r="U85" s="9" t="n">
        <f aca="false">IF(S85=0,0,IF(P85&gt;0,S85,IF(AND(ISNUMBER(T85),ABS(N(T85))&lt;=Setup!$C$11),S85,0)))</f>
        <v>0</v>
      </c>
      <c r="V85" s="9" t="str">
        <f aca="false">IF(AND(N85&lt;&gt;"",U85=0),IF(M85="OUT",1,2)*100000+ROW(),"")</f>
        <v/>
      </c>
      <c r="W85" s="9" t="n">
        <f aca="false">N(F85)+N(G85)</f>
        <v>0</v>
      </c>
    </row>
    <row r="86" customFormat="false" ht="15" hidden="false" customHeight="false" outlineLevel="0" collapsed="false">
      <c r="A86" s="37" t="str">
        <f aca="false">IF(M86="","",ROW()-7)</f>
        <v/>
      </c>
      <c r="B86" s="70"/>
      <c r="C86" s="71"/>
      <c r="D86" s="72"/>
      <c r="E86" s="71"/>
      <c r="F86" s="73"/>
      <c r="G86" s="73"/>
      <c r="H86" s="42" t="str">
        <f aca="false">IF(M86="","",IF(U86&gt;0,"✔ Matched",IF(M86="OUT","Not yet presented","Not yet credited")))</f>
        <v/>
      </c>
      <c r="I86" s="43" t="str">
        <f aca="false">IF(N(U86)&gt;0,U86,"")</f>
        <v/>
      </c>
      <c r="J86" s="44" t="str">
        <f aca="false">IF(N(U86)&gt;0,T86,"")</f>
        <v/>
      </c>
      <c r="K86" s="45" t="str">
        <f aca="false">IF(AND(M86="",B86="",D86=""),"",IF(AND(N(F86)&gt;0,N(G86)&gt;0),"⚠ Fill deposit OR payment",IF(M86="","⚠ Enter amount",IF(B86="","⚠ Enter date",IF(AND(Setup!$C$8&lt;&gt;"",B86&gt;Setup!$C$8),"⚠ Date after period",IF(AND(O86&lt;&gt;"",COUNTIF($O$8:$O$507,O86)&gt;1),"⚠ Cheque no. used twice","✔"))))))</f>
        <v/>
      </c>
      <c r="M86" s="9" t="str">
        <f aca="false">IF(N(F86)&gt;0,"IN",IF(N(G86)&gt;0,"OUT",""))</f>
        <v/>
      </c>
      <c r="N86" s="9" t="str">
        <f aca="false">IF(M86="","",M86&amp;"|"&amp;TEXT(ROUND(N(F86)+N(G86),2),"0.00"))</f>
        <v/>
      </c>
      <c r="O86" s="9" t="str">
        <f aca="false">IF(OR(N86="",TRIM(E86&amp;"")=""),"",N86&amp;"|"&amp;UPPER(TRIM(E86&amp;"")))</f>
        <v/>
      </c>
      <c r="P86" s="9" t="n">
        <f aca="false">IF(O86="",0,IFERROR(MATCH(O86,'Bank Statement'!$O$8:$O$507,0),0))</f>
        <v>0</v>
      </c>
      <c r="Q86" s="9" t="str">
        <f aca="false">IF(OR(N86="",P86&gt;0),"",N86&amp;"#"&amp;COUNTIFS($N$8:N86,N86,$P$8:P86,0))</f>
        <v/>
      </c>
      <c r="R86" s="9" t="n">
        <f aca="false">IF(Q86="",0,IFERROR(MATCH(Q86,'Bank Statement'!$Q$8:$Q$507,0),0))</f>
        <v>0</v>
      </c>
      <c r="S86" s="9" t="n">
        <f aca="false">IF(P86&gt;0,P86,R86)</f>
        <v>0</v>
      </c>
      <c r="T86" s="9" t="str">
        <f aca="false">IF(OR(S86=0,B86=""),"",INDEX('Bank Statement'!$B$8:$B$507,S86)-B86)</f>
        <v/>
      </c>
      <c r="U86" s="9" t="n">
        <f aca="false">IF(S86=0,0,IF(P86&gt;0,S86,IF(AND(ISNUMBER(T86),ABS(N(T86))&lt;=Setup!$C$11),S86,0)))</f>
        <v>0</v>
      </c>
      <c r="V86" s="9" t="str">
        <f aca="false">IF(AND(N86&lt;&gt;"",U86=0),IF(M86="OUT",1,2)*100000+ROW(),"")</f>
        <v/>
      </c>
      <c r="W86" s="9" t="n">
        <f aca="false">N(F86)+N(G86)</f>
        <v>0</v>
      </c>
    </row>
    <row r="87" customFormat="false" ht="15" hidden="false" customHeight="false" outlineLevel="0" collapsed="false">
      <c r="A87" s="37" t="str">
        <f aca="false">IF(M87="","",ROW()-7)</f>
        <v/>
      </c>
      <c r="B87" s="70"/>
      <c r="C87" s="71"/>
      <c r="D87" s="72"/>
      <c r="E87" s="71"/>
      <c r="F87" s="73"/>
      <c r="G87" s="73"/>
      <c r="H87" s="42" t="str">
        <f aca="false">IF(M87="","",IF(U87&gt;0,"✔ Matched",IF(M87="OUT","Not yet presented","Not yet credited")))</f>
        <v/>
      </c>
      <c r="I87" s="43" t="str">
        <f aca="false">IF(N(U87)&gt;0,U87,"")</f>
        <v/>
      </c>
      <c r="J87" s="44" t="str">
        <f aca="false">IF(N(U87)&gt;0,T87,"")</f>
        <v/>
      </c>
      <c r="K87" s="45" t="str">
        <f aca="false">IF(AND(M87="",B87="",D87=""),"",IF(AND(N(F87)&gt;0,N(G87)&gt;0),"⚠ Fill deposit OR payment",IF(M87="","⚠ Enter amount",IF(B87="","⚠ Enter date",IF(AND(Setup!$C$8&lt;&gt;"",B87&gt;Setup!$C$8),"⚠ Date after period",IF(AND(O87&lt;&gt;"",COUNTIF($O$8:$O$507,O87)&gt;1),"⚠ Cheque no. used twice","✔"))))))</f>
        <v/>
      </c>
      <c r="M87" s="9" t="str">
        <f aca="false">IF(N(F87)&gt;0,"IN",IF(N(G87)&gt;0,"OUT",""))</f>
        <v/>
      </c>
      <c r="N87" s="9" t="str">
        <f aca="false">IF(M87="","",M87&amp;"|"&amp;TEXT(ROUND(N(F87)+N(G87),2),"0.00"))</f>
        <v/>
      </c>
      <c r="O87" s="9" t="str">
        <f aca="false">IF(OR(N87="",TRIM(E87&amp;"")=""),"",N87&amp;"|"&amp;UPPER(TRIM(E87&amp;"")))</f>
        <v/>
      </c>
      <c r="P87" s="9" t="n">
        <f aca="false">IF(O87="",0,IFERROR(MATCH(O87,'Bank Statement'!$O$8:$O$507,0),0))</f>
        <v>0</v>
      </c>
      <c r="Q87" s="9" t="str">
        <f aca="false">IF(OR(N87="",P87&gt;0),"",N87&amp;"#"&amp;COUNTIFS($N$8:N87,N87,$P$8:P87,0))</f>
        <v/>
      </c>
      <c r="R87" s="9" t="n">
        <f aca="false">IF(Q87="",0,IFERROR(MATCH(Q87,'Bank Statement'!$Q$8:$Q$507,0),0))</f>
        <v>0</v>
      </c>
      <c r="S87" s="9" t="n">
        <f aca="false">IF(P87&gt;0,P87,R87)</f>
        <v>0</v>
      </c>
      <c r="T87" s="9" t="str">
        <f aca="false">IF(OR(S87=0,B87=""),"",INDEX('Bank Statement'!$B$8:$B$507,S87)-B87)</f>
        <v/>
      </c>
      <c r="U87" s="9" t="n">
        <f aca="false">IF(S87=0,0,IF(P87&gt;0,S87,IF(AND(ISNUMBER(T87),ABS(N(T87))&lt;=Setup!$C$11),S87,0)))</f>
        <v>0</v>
      </c>
      <c r="V87" s="9" t="str">
        <f aca="false">IF(AND(N87&lt;&gt;"",U87=0),IF(M87="OUT",1,2)*100000+ROW(),"")</f>
        <v/>
      </c>
      <c r="W87" s="9" t="n">
        <f aca="false">N(F87)+N(G87)</f>
        <v>0</v>
      </c>
    </row>
    <row r="88" customFormat="false" ht="15" hidden="false" customHeight="false" outlineLevel="0" collapsed="false">
      <c r="A88" s="37" t="str">
        <f aca="false">IF(M88="","",ROW()-7)</f>
        <v/>
      </c>
      <c r="B88" s="70"/>
      <c r="C88" s="71"/>
      <c r="D88" s="72"/>
      <c r="E88" s="71"/>
      <c r="F88" s="73"/>
      <c r="G88" s="73"/>
      <c r="H88" s="42" t="str">
        <f aca="false">IF(M88="","",IF(U88&gt;0,"✔ Matched",IF(M88="OUT","Not yet presented","Not yet credited")))</f>
        <v/>
      </c>
      <c r="I88" s="43" t="str">
        <f aca="false">IF(N(U88)&gt;0,U88,"")</f>
        <v/>
      </c>
      <c r="J88" s="44" t="str">
        <f aca="false">IF(N(U88)&gt;0,T88,"")</f>
        <v/>
      </c>
      <c r="K88" s="45" t="str">
        <f aca="false">IF(AND(M88="",B88="",D88=""),"",IF(AND(N(F88)&gt;0,N(G88)&gt;0),"⚠ Fill deposit OR payment",IF(M88="","⚠ Enter amount",IF(B88="","⚠ Enter date",IF(AND(Setup!$C$8&lt;&gt;"",B88&gt;Setup!$C$8),"⚠ Date after period",IF(AND(O88&lt;&gt;"",COUNTIF($O$8:$O$507,O88)&gt;1),"⚠ Cheque no. used twice","✔"))))))</f>
        <v/>
      </c>
      <c r="M88" s="9" t="str">
        <f aca="false">IF(N(F88)&gt;0,"IN",IF(N(G88)&gt;0,"OUT",""))</f>
        <v/>
      </c>
      <c r="N88" s="9" t="str">
        <f aca="false">IF(M88="","",M88&amp;"|"&amp;TEXT(ROUND(N(F88)+N(G88),2),"0.00"))</f>
        <v/>
      </c>
      <c r="O88" s="9" t="str">
        <f aca="false">IF(OR(N88="",TRIM(E88&amp;"")=""),"",N88&amp;"|"&amp;UPPER(TRIM(E88&amp;"")))</f>
        <v/>
      </c>
      <c r="P88" s="9" t="n">
        <f aca="false">IF(O88="",0,IFERROR(MATCH(O88,'Bank Statement'!$O$8:$O$507,0),0))</f>
        <v>0</v>
      </c>
      <c r="Q88" s="9" t="str">
        <f aca="false">IF(OR(N88="",P88&gt;0),"",N88&amp;"#"&amp;COUNTIFS($N$8:N88,N88,$P$8:P88,0))</f>
        <v/>
      </c>
      <c r="R88" s="9" t="n">
        <f aca="false">IF(Q88="",0,IFERROR(MATCH(Q88,'Bank Statement'!$Q$8:$Q$507,0),0))</f>
        <v>0</v>
      </c>
      <c r="S88" s="9" t="n">
        <f aca="false">IF(P88&gt;0,P88,R88)</f>
        <v>0</v>
      </c>
      <c r="T88" s="9" t="str">
        <f aca="false">IF(OR(S88=0,B88=""),"",INDEX('Bank Statement'!$B$8:$B$507,S88)-B88)</f>
        <v/>
      </c>
      <c r="U88" s="9" t="n">
        <f aca="false">IF(S88=0,0,IF(P88&gt;0,S88,IF(AND(ISNUMBER(T88),ABS(N(T88))&lt;=Setup!$C$11),S88,0)))</f>
        <v>0</v>
      </c>
      <c r="V88" s="9" t="str">
        <f aca="false">IF(AND(N88&lt;&gt;"",U88=0),IF(M88="OUT",1,2)*100000+ROW(),"")</f>
        <v/>
      </c>
      <c r="W88" s="9" t="n">
        <f aca="false">N(F88)+N(G88)</f>
        <v>0</v>
      </c>
    </row>
    <row r="89" customFormat="false" ht="15" hidden="false" customHeight="false" outlineLevel="0" collapsed="false">
      <c r="A89" s="37" t="str">
        <f aca="false">IF(M89="","",ROW()-7)</f>
        <v/>
      </c>
      <c r="B89" s="70"/>
      <c r="C89" s="71"/>
      <c r="D89" s="72"/>
      <c r="E89" s="71"/>
      <c r="F89" s="73"/>
      <c r="G89" s="73"/>
      <c r="H89" s="42" t="str">
        <f aca="false">IF(M89="","",IF(U89&gt;0,"✔ Matched",IF(M89="OUT","Not yet presented","Not yet credited")))</f>
        <v/>
      </c>
      <c r="I89" s="43" t="str">
        <f aca="false">IF(N(U89)&gt;0,U89,"")</f>
        <v/>
      </c>
      <c r="J89" s="44" t="str">
        <f aca="false">IF(N(U89)&gt;0,T89,"")</f>
        <v/>
      </c>
      <c r="K89" s="45" t="str">
        <f aca="false">IF(AND(M89="",B89="",D89=""),"",IF(AND(N(F89)&gt;0,N(G89)&gt;0),"⚠ Fill deposit OR payment",IF(M89="","⚠ Enter amount",IF(B89="","⚠ Enter date",IF(AND(Setup!$C$8&lt;&gt;"",B89&gt;Setup!$C$8),"⚠ Date after period",IF(AND(O89&lt;&gt;"",COUNTIF($O$8:$O$507,O89)&gt;1),"⚠ Cheque no. used twice","✔"))))))</f>
        <v/>
      </c>
      <c r="M89" s="9" t="str">
        <f aca="false">IF(N(F89)&gt;0,"IN",IF(N(G89)&gt;0,"OUT",""))</f>
        <v/>
      </c>
      <c r="N89" s="9" t="str">
        <f aca="false">IF(M89="","",M89&amp;"|"&amp;TEXT(ROUND(N(F89)+N(G89),2),"0.00"))</f>
        <v/>
      </c>
      <c r="O89" s="9" t="str">
        <f aca="false">IF(OR(N89="",TRIM(E89&amp;"")=""),"",N89&amp;"|"&amp;UPPER(TRIM(E89&amp;"")))</f>
        <v/>
      </c>
      <c r="P89" s="9" t="n">
        <f aca="false">IF(O89="",0,IFERROR(MATCH(O89,'Bank Statement'!$O$8:$O$507,0),0))</f>
        <v>0</v>
      </c>
      <c r="Q89" s="9" t="str">
        <f aca="false">IF(OR(N89="",P89&gt;0),"",N89&amp;"#"&amp;COUNTIFS($N$8:N89,N89,$P$8:P89,0))</f>
        <v/>
      </c>
      <c r="R89" s="9" t="n">
        <f aca="false">IF(Q89="",0,IFERROR(MATCH(Q89,'Bank Statement'!$Q$8:$Q$507,0),0))</f>
        <v>0</v>
      </c>
      <c r="S89" s="9" t="n">
        <f aca="false">IF(P89&gt;0,P89,R89)</f>
        <v>0</v>
      </c>
      <c r="T89" s="9" t="str">
        <f aca="false">IF(OR(S89=0,B89=""),"",INDEX('Bank Statement'!$B$8:$B$507,S89)-B89)</f>
        <v/>
      </c>
      <c r="U89" s="9" t="n">
        <f aca="false">IF(S89=0,0,IF(P89&gt;0,S89,IF(AND(ISNUMBER(T89),ABS(N(T89))&lt;=Setup!$C$11),S89,0)))</f>
        <v>0</v>
      </c>
      <c r="V89" s="9" t="str">
        <f aca="false">IF(AND(N89&lt;&gt;"",U89=0),IF(M89="OUT",1,2)*100000+ROW(),"")</f>
        <v/>
      </c>
      <c r="W89" s="9" t="n">
        <f aca="false">N(F89)+N(G89)</f>
        <v>0</v>
      </c>
    </row>
    <row r="90" customFormat="false" ht="15" hidden="false" customHeight="false" outlineLevel="0" collapsed="false">
      <c r="A90" s="37" t="str">
        <f aca="false">IF(M90="","",ROW()-7)</f>
        <v/>
      </c>
      <c r="B90" s="70"/>
      <c r="C90" s="71"/>
      <c r="D90" s="72"/>
      <c r="E90" s="71"/>
      <c r="F90" s="73"/>
      <c r="G90" s="73"/>
      <c r="H90" s="42" t="str">
        <f aca="false">IF(M90="","",IF(U90&gt;0,"✔ Matched",IF(M90="OUT","Not yet presented","Not yet credited")))</f>
        <v/>
      </c>
      <c r="I90" s="43" t="str">
        <f aca="false">IF(N(U90)&gt;0,U90,"")</f>
        <v/>
      </c>
      <c r="J90" s="44" t="str">
        <f aca="false">IF(N(U90)&gt;0,T90,"")</f>
        <v/>
      </c>
      <c r="K90" s="45" t="str">
        <f aca="false">IF(AND(M90="",B90="",D90=""),"",IF(AND(N(F90)&gt;0,N(G90)&gt;0),"⚠ Fill deposit OR payment",IF(M90="","⚠ Enter amount",IF(B90="","⚠ Enter date",IF(AND(Setup!$C$8&lt;&gt;"",B90&gt;Setup!$C$8),"⚠ Date after period",IF(AND(O90&lt;&gt;"",COUNTIF($O$8:$O$507,O90)&gt;1),"⚠ Cheque no. used twice","✔"))))))</f>
        <v/>
      </c>
      <c r="M90" s="9" t="str">
        <f aca="false">IF(N(F90)&gt;0,"IN",IF(N(G90)&gt;0,"OUT",""))</f>
        <v/>
      </c>
      <c r="N90" s="9" t="str">
        <f aca="false">IF(M90="","",M90&amp;"|"&amp;TEXT(ROUND(N(F90)+N(G90),2),"0.00"))</f>
        <v/>
      </c>
      <c r="O90" s="9" t="str">
        <f aca="false">IF(OR(N90="",TRIM(E90&amp;"")=""),"",N90&amp;"|"&amp;UPPER(TRIM(E90&amp;"")))</f>
        <v/>
      </c>
      <c r="P90" s="9" t="n">
        <f aca="false">IF(O90="",0,IFERROR(MATCH(O90,'Bank Statement'!$O$8:$O$507,0),0))</f>
        <v>0</v>
      </c>
      <c r="Q90" s="9" t="str">
        <f aca="false">IF(OR(N90="",P90&gt;0),"",N90&amp;"#"&amp;COUNTIFS($N$8:N90,N90,$P$8:P90,0))</f>
        <v/>
      </c>
      <c r="R90" s="9" t="n">
        <f aca="false">IF(Q90="",0,IFERROR(MATCH(Q90,'Bank Statement'!$Q$8:$Q$507,0),0))</f>
        <v>0</v>
      </c>
      <c r="S90" s="9" t="n">
        <f aca="false">IF(P90&gt;0,P90,R90)</f>
        <v>0</v>
      </c>
      <c r="T90" s="9" t="str">
        <f aca="false">IF(OR(S90=0,B90=""),"",INDEX('Bank Statement'!$B$8:$B$507,S90)-B90)</f>
        <v/>
      </c>
      <c r="U90" s="9" t="n">
        <f aca="false">IF(S90=0,0,IF(P90&gt;0,S90,IF(AND(ISNUMBER(T90),ABS(N(T90))&lt;=Setup!$C$11),S90,0)))</f>
        <v>0</v>
      </c>
      <c r="V90" s="9" t="str">
        <f aca="false">IF(AND(N90&lt;&gt;"",U90=0),IF(M90="OUT",1,2)*100000+ROW(),"")</f>
        <v/>
      </c>
      <c r="W90" s="9" t="n">
        <f aca="false">N(F90)+N(G90)</f>
        <v>0</v>
      </c>
    </row>
    <row r="91" customFormat="false" ht="15" hidden="false" customHeight="false" outlineLevel="0" collapsed="false">
      <c r="A91" s="37" t="str">
        <f aca="false">IF(M91="","",ROW()-7)</f>
        <v/>
      </c>
      <c r="B91" s="70"/>
      <c r="C91" s="71"/>
      <c r="D91" s="72"/>
      <c r="E91" s="71"/>
      <c r="F91" s="73"/>
      <c r="G91" s="73"/>
      <c r="H91" s="42" t="str">
        <f aca="false">IF(M91="","",IF(U91&gt;0,"✔ Matched",IF(M91="OUT","Not yet presented","Not yet credited")))</f>
        <v/>
      </c>
      <c r="I91" s="43" t="str">
        <f aca="false">IF(N(U91)&gt;0,U91,"")</f>
        <v/>
      </c>
      <c r="J91" s="44" t="str">
        <f aca="false">IF(N(U91)&gt;0,T91,"")</f>
        <v/>
      </c>
      <c r="K91" s="45" t="str">
        <f aca="false">IF(AND(M91="",B91="",D91=""),"",IF(AND(N(F91)&gt;0,N(G91)&gt;0),"⚠ Fill deposit OR payment",IF(M91="","⚠ Enter amount",IF(B91="","⚠ Enter date",IF(AND(Setup!$C$8&lt;&gt;"",B91&gt;Setup!$C$8),"⚠ Date after period",IF(AND(O91&lt;&gt;"",COUNTIF($O$8:$O$507,O91)&gt;1),"⚠ Cheque no. used twice","✔"))))))</f>
        <v/>
      </c>
      <c r="M91" s="9" t="str">
        <f aca="false">IF(N(F91)&gt;0,"IN",IF(N(G91)&gt;0,"OUT",""))</f>
        <v/>
      </c>
      <c r="N91" s="9" t="str">
        <f aca="false">IF(M91="","",M91&amp;"|"&amp;TEXT(ROUND(N(F91)+N(G91),2),"0.00"))</f>
        <v/>
      </c>
      <c r="O91" s="9" t="str">
        <f aca="false">IF(OR(N91="",TRIM(E91&amp;"")=""),"",N91&amp;"|"&amp;UPPER(TRIM(E91&amp;"")))</f>
        <v/>
      </c>
      <c r="P91" s="9" t="n">
        <f aca="false">IF(O91="",0,IFERROR(MATCH(O91,'Bank Statement'!$O$8:$O$507,0),0))</f>
        <v>0</v>
      </c>
      <c r="Q91" s="9" t="str">
        <f aca="false">IF(OR(N91="",P91&gt;0),"",N91&amp;"#"&amp;COUNTIFS($N$8:N91,N91,$P$8:P91,0))</f>
        <v/>
      </c>
      <c r="R91" s="9" t="n">
        <f aca="false">IF(Q91="",0,IFERROR(MATCH(Q91,'Bank Statement'!$Q$8:$Q$507,0),0))</f>
        <v>0</v>
      </c>
      <c r="S91" s="9" t="n">
        <f aca="false">IF(P91&gt;0,P91,R91)</f>
        <v>0</v>
      </c>
      <c r="T91" s="9" t="str">
        <f aca="false">IF(OR(S91=0,B91=""),"",INDEX('Bank Statement'!$B$8:$B$507,S91)-B91)</f>
        <v/>
      </c>
      <c r="U91" s="9" t="n">
        <f aca="false">IF(S91=0,0,IF(P91&gt;0,S91,IF(AND(ISNUMBER(T91),ABS(N(T91))&lt;=Setup!$C$11),S91,0)))</f>
        <v>0</v>
      </c>
      <c r="V91" s="9" t="str">
        <f aca="false">IF(AND(N91&lt;&gt;"",U91=0),IF(M91="OUT",1,2)*100000+ROW(),"")</f>
        <v/>
      </c>
      <c r="W91" s="9" t="n">
        <f aca="false">N(F91)+N(G91)</f>
        <v>0</v>
      </c>
    </row>
    <row r="92" customFormat="false" ht="15" hidden="false" customHeight="false" outlineLevel="0" collapsed="false">
      <c r="A92" s="37" t="str">
        <f aca="false">IF(M92="","",ROW()-7)</f>
        <v/>
      </c>
      <c r="B92" s="70"/>
      <c r="C92" s="71"/>
      <c r="D92" s="72"/>
      <c r="E92" s="71"/>
      <c r="F92" s="73"/>
      <c r="G92" s="73"/>
      <c r="H92" s="42" t="str">
        <f aca="false">IF(M92="","",IF(U92&gt;0,"✔ Matched",IF(M92="OUT","Not yet presented","Not yet credited")))</f>
        <v/>
      </c>
      <c r="I92" s="43" t="str">
        <f aca="false">IF(N(U92)&gt;0,U92,"")</f>
        <v/>
      </c>
      <c r="J92" s="44" t="str">
        <f aca="false">IF(N(U92)&gt;0,T92,"")</f>
        <v/>
      </c>
      <c r="K92" s="45" t="str">
        <f aca="false">IF(AND(M92="",B92="",D92=""),"",IF(AND(N(F92)&gt;0,N(G92)&gt;0),"⚠ Fill deposit OR payment",IF(M92="","⚠ Enter amount",IF(B92="","⚠ Enter date",IF(AND(Setup!$C$8&lt;&gt;"",B92&gt;Setup!$C$8),"⚠ Date after period",IF(AND(O92&lt;&gt;"",COUNTIF($O$8:$O$507,O92)&gt;1),"⚠ Cheque no. used twice","✔"))))))</f>
        <v/>
      </c>
      <c r="M92" s="9" t="str">
        <f aca="false">IF(N(F92)&gt;0,"IN",IF(N(G92)&gt;0,"OUT",""))</f>
        <v/>
      </c>
      <c r="N92" s="9" t="str">
        <f aca="false">IF(M92="","",M92&amp;"|"&amp;TEXT(ROUND(N(F92)+N(G92),2),"0.00"))</f>
        <v/>
      </c>
      <c r="O92" s="9" t="str">
        <f aca="false">IF(OR(N92="",TRIM(E92&amp;"")=""),"",N92&amp;"|"&amp;UPPER(TRIM(E92&amp;"")))</f>
        <v/>
      </c>
      <c r="P92" s="9" t="n">
        <f aca="false">IF(O92="",0,IFERROR(MATCH(O92,'Bank Statement'!$O$8:$O$507,0),0))</f>
        <v>0</v>
      </c>
      <c r="Q92" s="9" t="str">
        <f aca="false">IF(OR(N92="",P92&gt;0),"",N92&amp;"#"&amp;COUNTIFS($N$8:N92,N92,$P$8:P92,0))</f>
        <v/>
      </c>
      <c r="R92" s="9" t="n">
        <f aca="false">IF(Q92="",0,IFERROR(MATCH(Q92,'Bank Statement'!$Q$8:$Q$507,0),0))</f>
        <v>0</v>
      </c>
      <c r="S92" s="9" t="n">
        <f aca="false">IF(P92&gt;0,P92,R92)</f>
        <v>0</v>
      </c>
      <c r="T92" s="9" t="str">
        <f aca="false">IF(OR(S92=0,B92=""),"",INDEX('Bank Statement'!$B$8:$B$507,S92)-B92)</f>
        <v/>
      </c>
      <c r="U92" s="9" t="n">
        <f aca="false">IF(S92=0,0,IF(P92&gt;0,S92,IF(AND(ISNUMBER(T92),ABS(N(T92))&lt;=Setup!$C$11),S92,0)))</f>
        <v>0</v>
      </c>
      <c r="V92" s="9" t="str">
        <f aca="false">IF(AND(N92&lt;&gt;"",U92=0),IF(M92="OUT",1,2)*100000+ROW(),"")</f>
        <v/>
      </c>
      <c r="W92" s="9" t="n">
        <f aca="false">N(F92)+N(G92)</f>
        <v>0</v>
      </c>
    </row>
    <row r="93" customFormat="false" ht="15" hidden="false" customHeight="false" outlineLevel="0" collapsed="false">
      <c r="A93" s="37" t="str">
        <f aca="false">IF(M93="","",ROW()-7)</f>
        <v/>
      </c>
      <c r="B93" s="70"/>
      <c r="C93" s="71"/>
      <c r="D93" s="72"/>
      <c r="E93" s="71"/>
      <c r="F93" s="73"/>
      <c r="G93" s="73"/>
      <c r="H93" s="42" t="str">
        <f aca="false">IF(M93="","",IF(U93&gt;0,"✔ Matched",IF(M93="OUT","Not yet presented","Not yet credited")))</f>
        <v/>
      </c>
      <c r="I93" s="43" t="str">
        <f aca="false">IF(N(U93)&gt;0,U93,"")</f>
        <v/>
      </c>
      <c r="J93" s="44" t="str">
        <f aca="false">IF(N(U93)&gt;0,T93,"")</f>
        <v/>
      </c>
      <c r="K93" s="45" t="str">
        <f aca="false">IF(AND(M93="",B93="",D93=""),"",IF(AND(N(F93)&gt;0,N(G93)&gt;0),"⚠ Fill deposit OR payment",IF(M93="","⚠ Enter amount",IF(B93="","⚠ Enter date",IF(AND(Setup!$C$8&lt;&gt;"",B93&gt;Setup!$C$8),"⚠ Date after period",IF(AND(O93&lt;&gt;"",COUNTIF($O$8:$O$507,O93)&gt;1),"⚠ Cheque no. used twice","✔"))))))</f>
        <v/>
      </c>
      <c r="M93" s="9" t="str">
        <f aca="false">IF(N(F93)&gt;0,"IN",IF(N(G93)&gt;0,"OUT",""))</f>
        <v/>
      </c>
      <c r="N93" s="9" t="str">
        <f aca="false">IF(M93="","",M93&amp;"|"&amp;TEXT(ROUND(N(F93)+N(G93),2),"0.00"))</f>
        <v/>
      </c>
      <c r="O93" s="9" t="str">
        <f aca="false">IF(OR(N93="",TRIM(E93&amp;"")=""),"",N93&amp;"|"&amp;UPPER(TRIM(E93&amp;"")))</f>
        <v/>
      </c>
      <c r="P93" s="9" t="n">
        <f aca="false">IF(O93="",0,IFERROR(MATCH(O93,'Bank Statement'!$O$8:$O$507,0),0))</f>
        <v>0</v>
      </c>
      <c r="Q93" s="9" t="str">
        <f aca="false">IF(OR(N93="",P93&gt;0),"",N93&amp;"#"&amp;COUNTIFS($N$8:N93,N93,$P$8:P93,0))</f>
        <v/>
      </c>
      <c r="R93" s="9" t="n">
        <f aca="false">IF(Q93="",0,IFERROR(MATCH(Q93,'Bank Statement'!$Q$8:$Q$507,0),0))</f>
        <v>0</v>
      </c>
      <c r="S93" s="9" t="n">
        <f aca="false">IF(P93&gt;0,P93,R93)</f>
        <v>0</v>
      </c>
      <c r="T93" s="9" t="str">
        <f aca="false">IF(OR(S93=0,B93=""),"",INDEX('Bank Statement'!$B$8:$B$507,S93)-B93)</f>
        <v/>
      </c>
      <c r="U93" s="9" t="n">
        <f aca="false">IF(S93=0,0,IF(P93&gt;0,S93,IF(AND(ISNUMBER(T93),ABS(N(T93))&lt;=Setup!$C$11),S93,0)))</f>
        <v>0</v>
      </c>
      <c r="V93" s="9" t="str">
        <f aca="false">IF(AND(N93&lt;&gt;"",U93=0),IF(M93="OUT",1,2)*100000+ROW(),"")</f>
        <v/>
      </c>
      <c r="W93" s="9" t="n">
        <f aca="false">N(F93)+N(G93)</f>
        <v>0</v>
      </c>
    </row>
    <row r="94" customFormat="false" ht="15" hidden="false" customHeight="false" outlineLevel="0" collapsed="false">
      <c r="A94" s="37" t="str">
        <f aca="false">IF(M94="","",ROW()-7)</f>
        <v/>
      </c>
      <c r="B94" s="70"/>
      <c r="C94" s="71"/>
      <c r="D94" s="72"/>
      <c r="E94" s="71"/>
      <c r="F94" s="73"/>
      <c r="G94" s="73"/>
      <c r="H94" s="42" t="str">
        <f aca="false">IF(M94="","",IF(U94&gt;0,"✔ Matched",IF(M94="OUT","Not yet presented","Not yet credited")))</f>
        <v/>
      </c>
      <c r="I94" s="43" t="str">
        <f aca="false">IF(N(U94)&gt;0,U94,"")</f>
        <v/>
      </c>
      <c r="J94" s="44" t="str">
        <f aca="false">IF(N(U94)&gt;0,T94,"")</f>
        <v/>
      </c>
      <c r="K94" s="45" t="str">
        <f aca="false">IF(AND(M94="",B94="",D94=""),"",IF(AND(N(F94)&gt;0,N(G94)&gt;0),"⚠ Fill deposit OR payment",IF(M94="","⚠ Enter amount",IF(B94="","⚠ Enter date",IF(AND(Setup!$C$8&lt;&gt;"",B94&gt;Setup!$C$8),"⚠ Date after period",IF(AND(O94&lt;&gt;"",COUNTIF($O$8:$O$507,O94)&gt;1),"⚠ Cheque no. used twice","✔"))))))</f>
        <v/>
      </c>
      <c r="M94" s="9" t="str">
        <f aca="false">IF(N(F94)&gt;0,"IN",IF(N(G94)&gt;0,"OUT",""))</f>
        <v/>
      </c>
      <c r="N94" s="9" t="str">
        <f aca="false">IF(M94="","",M94&amp;"|"&amp;TEXT(ROUND(N(F94)+N(G94),2),"0.00"))</f>
        <v/>
      </c>
      <c r="O94" s="9" t="str">
        <f aca="false">IF(OR(N94="",TRIM(E94&amp;"")=""),"",N94&amp;"|"&amp;UPPER(TRIM(E94&amp;"")))</f>
        <v/>
      </c>
      <c r="P94" s="9" t="n">
        <f aca="false">IF(O94="",0,IFERROR(MATCH(O94,'Bank Statement'!$O$8:$O$507,0),0))</f>
        <v>0</v>
      </c>
      <c r="Q94" s="9" t="str">
        <f aca="false">IF(OR(N94="",P94&gt;0),"",N94&amp;"#"&amp;COUNTIFS($N$8:N94,N94,$P$8:P94,0))</f>
        <v/>
      </c>
      <c r="R94" s="9" t="n">
        <f aca="false">IF(Q94="",0,IFERROR(MATCH(Q94,'Bank Statement'!$Q$8:$Q$507,0),0))</f>
        <v>0</v>
      </c>
      <c r="S94" s="9" t="n">
        <f aca="false">IF(P94&gt;0,P94,R94)</f>
        <v>0</v>
      </c>
      <c r="T94" s="9" t="str">
        <f aca="false">IF(OR(S94=0,B94=""),"",INDEX('Bank Statement'!$B$8:$B$507,S94)-B94)</f>
        <v/>
      </c>
      <c r="U94" s="9" t="n">
        <f aca="false">IF(S94=0,0,IF(P94&gt;0,S94,IF(AND(ISNUMBER(T94),ABS(N(T94))&lt;=Setup!$C$11),S94,0)))</f>
        <v>0</v>
      </c>
      <c r="V94" s="9" t="str">
        <f aca="false">IF(AND(N94&lt;&gt;"",U94=0),IF(M94="OUT",1,2)*100000+ROW(),"")</f>
        <v/>
      </c>
      <c r="W94" s="9" t="n">
        <f aca="false">N(F94)+N(G94)</f>
        <v>0</v>
      </c>
    </row>
    <row r="95" customFormat="false" ht="15" hidden="false" customHeight="false" outlineLevel="0" collapsed="false">
      <c r="A95" s="37" t="str">
        <f aca="false">IF(M95="","",ROW()-7)</f>
        <v/>
      </c>
      <c r="B95" s="70"/>
      <c r="C95" s="71"/>
      <c r="D95" s="72"/>
      <c r="E95" s="71"/>
      <c r="F95" s="73"/>
      <c r="G95" s="73"/>
      <c r="H95" s="42" t="str">
        <f aca="false">IF(M95="","",IF(U95&gt;0,"✔ Matched",IF(M95="OUT","Not yet presented","Not yet credited")))</f>
        <v/>
      </c>
      <c r="I95" s="43" t="str">
        <f aca="false">IF(N(U95)&gt;0,U95,"")</f>
        <v/>
      </c>
      <c r="J95" s="44" t="str">
        <f aca="false">IF(N(U95)&gt;0,T95,"")</f>
        <v/>
      </c>
      <c r="K95" s="45" t="str">
        <f aca="false">IF(AND(M95="",B95="",D95=""),"",IF(AND(N(F95)&gt;0,N(G95)&gt;0),"⚠ Fill deposit OR payment",IF(M95="","⚠ Enter amount",IF(B95="","⚠ Enter date",IF(AND(Setup!$C$8&lt;&gt;"",B95&gt;Setup!$C$8),"⚠ Date after period",IF(AND(O95&lt;&gt;"",COUNTIF($O$8:$O$507,O95)&gt;1),"⚠ Cheque no. used twice","✔"))))))</f>
        <v/>
      </c>
      <c r="M95" s="9" t="str">
        <f aca="false">IF(N(F95)&gt;0,"IN",IF(N(G95)&gt;0,"OUT",""))</f>
        <v/>
      </c>
      <c r="N95" s="9" t="str">
        <f aca="false">IF(M95="","",M95&amp;"|"&amp;TEXT(ROUND(N(F95)+N(G95),2),"0.00"))</f>
        <v/>
      </c>
      <c r="O95" s="9" t="str">
        <f aca="false">IF(OR(N95="",TRIM(E95&amp;"")=""),"",N95&amp;"|"&amp;UPPER(TRIM(E95&amp;"")))</f>
        <v/>
      </c>
      <c r="P95" s="9" t="n">
        <f aca="false">IF(O95="",0,IFERROR(MATCH(O95,'Bank Statement'!$O$8:$O$507,0),0))</f>
        <v>0</v>
      </c>
      <c r="Q95" s="9" t="str">
        <f aca="false">IF(OR(N95="",P95&gt;0),"",N95&amp;"#"&amp;COUNTIFS($N$8:N95,N95,$P$8:P95,0))</f>
        <v/>
      </c>
      <c r="R95" s="9" t="n">
        <f aca="false">IF(Q95="",0,IFERROR(MATCH(Q95,'Bank Statement'!$Q$8:$Q$507,0),0))</f>
        <v>0</v>
      </c>
      <c r="S95" s="9" t="n">
        <f aca="false">IF(P95&gt;0,P95,R95)</f>
        <v>0</v>
      </c>
      <c r="T95" s="9" t="str">
        <f aca="false">IF(OR(S95=0,B95=""),"",INDEX('Bank Statement'!$B$8:$B$507,S95)-B95)</f>
        <v/>
      </c>
      <c r="U95" s="9" t="n">
        <f aca="false">IF(S95=0,0,IF(P95&gt;0,S95,IF(AND(ISNUMBER(T95),ABS(N(T95))&lt;=Setup!$C$11),S95,0)))</f>
        <v>0</v>
      </c>
      <c r="V95" s="9" t="str">
        <f aca="false">IF(AND(N95&lt;&gt;"",U95=0),IF(M95="OUT",1,2)*100000+ROW(),"")</f>
        <v/>
      </c>
      <c r="W95" s="9" t="n">
        <f aca="false">N(F95)+N(G95)</f>
        <v>0</v>
      </c>
    </row>
    <row r="96" customFormat="false" ht="15" hidden="false" customHeight="false" outlineLevel="0" collapsed="false">
      <c r="A96" s="37" t="str">
        <f aca="false">IF(M96="","",ROW()-7)</f>
        <v/>
      </c>
      <c r="B96" s="70"/>
      <c r="C96" s="71"/>
      <c r="D96" s="72"/>
      <c r="E96" s="71"/>
      <c r="F96" s="73"/>
      <c r="G96" s="73"/>
      <c r="H96" s="42" t="str">
        <f aca="false">IF(M96="","",IF(U96&gt;0,"✔ Matched",IF(M96="OUT","Not yet presented","Not yet credited")))</f>
        <v/>
      </c>
      <c r="I96" s="43" t="str">
        <f aca="false">IF(N(U96)&gt;0,U96,"")</f>
        <v/>
      </c>
      <c r="J96" s="44" t="str">
        <f aca="false">IF(N(U96)&gt;0,T96,"")</f>
        <v/>
      </c>
      <c r="K96" s="45" t="str">
        <f aca="false">IF(AND(M96="",B96="",D96=""),"",IF(AND(N(F96)&gt;0,N(G96)&gt;0),"⚠ Fill deposit OR payment",IF(M96="","⚠ Enter amount",IF(B96="","⚠ Enter date",IF(AND(Setup!$C$8&lt;&gt;"",B96&gt;Setup!$C$8),"⚠ Date after period",IF(AND(O96&lt;&gt;"",COUNTIF($O$8:$O$507,O96)&gt;1),"⚠ Cheque no. used twice","✔"))))))</f>
        <v/>
      </c>
      <c r="M96" s="9" t="str">
        <f aca="false">IF(N(F96)&gt;0,"IN",IF(N(G96)&gt;0,"OUT",""))</f>
        <v/>
      </c>
      <c r="N96" s="9" t="str">
        <f aca="false">IF(M96="","",M96&amp;"|"&amp;TEXT(ROUND(N(F96)+N(G96),2),"0.00"))</f>
        <v/>
      </c>
      <c r="O96" s="9" t="str">
        <f aca="false">IF(OR(N96="",TRIM(E96&amp;"")=""),"",N96&amp;"|"&amp;UPPER(TRIM(E96&amp;"")))</f>
        <v/>
      </c>
      <c r="P96" s="9" t="n">
        <f aca="false">IF(O96="",0,IFERROR(MATCH(O96,'Bank Statement'!$O$8:$O$507,0),0))</f>
        <v>0</v>
      </c>
      <c r="Q96" s="9" t="str">
        <f aca="false">IF(OR(N96="",P96&gt;0),"",N96&amp;"#"&amp;COUNTIFS($N$8:N96,N96,$P$8:P96,0))</f>
        <v/>
      </c>
      <c r="R96" s="9" t="n">
        <f aca="false">IF(Q96="",0,IFERROR(MATCH(Q96,'Bank Statement'!$Q$8:$Q$507,0),0))</f>
        <v>0</v>
      </c>
      <c r="S96" s="9" t="n">
        <f aca="false">IF(P96&gt;0,P96,R96)</f>
        <v>0</v>
      </c>
      <c r="T96" s="9" t="str">
        <f aca="false">IF(OR(S96=0,B96=""),"",INDEX('Bank Statement'!$B$8:$B$507,S96)-B96)</f>
        <v/>
      </c>
      <c r="U96" s="9" t="n">
        <f aca="false">IF(S96=0,0,IF(P96&gt;0,S96,IF(AND(ISNUMBER(T96),ABS(N(T96))&lt;=Setup!$C$11),S96,0)))</f>
        <v>0</v>
      </c>
      <c r="V96" s="9" t="str">
        <f aca="false">IF(AND(N96&lt;&gt;"",U96=0),IF(M96="OUT",1,2)*100000+ROW(),"")</f>
        <v/>
      </c>
      <c r="W96" s="9" t="n">
        <f aca="false">N(F96)+N(G96)</f>
        <v>0</v>
      </c>
    </row>
    <row r="97" customFormat="false" ht="15" hidden="false" customHeight="false" outlineLevel="0" collapsed="false">
      <c r="A97" s="37" t="str">
        <f aca="false">IF(M97="","",ROW()-7)</f>
        <v/>
      </c>
      <c r="B97" s="70"/>
      <c r="C97" s="71"/>
      <c r="D97" s="72"/>
      <c r="E97" s="71"/>
      <c r="F97" s="73"/>
      <c r="G97" s="73"/>
      <c r="H97" s="42" t="str">
        <f aca="false">IF(M97="","",IF(U97&gt;0,"✔ Matched",IF(M97="OUT","Not yet presented","Not yet credited")))</f>
        <v/>
      </c>
      <c r="I97" s="43" t="str">
        <f aca="false">IF(N(U97)&gt;0,U97,"")</f>
        <v/>
      </c>
      <c r="J97" s="44" t="str">
        <f aca="false">IF(N(U97)&gt;0,T97,"")</f>
        <v/>
      </c>
      <c r="K97" s="45" t="str">
        <f aca="false">IF(AND(M97="",B97="",D97=""),"",IF(AND(N(F97)&gt;0,N(G97)&gt;0),"⚠ Fill deposit OR payment",IF(M97="","⚠ Enter amount",IF(B97="","⚠ Enter date",IF(AND(Setup!$C$8&lt;&gt;"",B97&gt;Setup!$C$8),"⚠ Date after period",IF(AND(O97&lt;&gt;"",COUNTIF($O$8:$O$507,O97)&gt;1),"⚠ Cheque no. used twice","✔"))))))</f>
        <v/>
      </c>
      <c r="M97" s="9" t="str">
        <f aca="false">IF(N(F97)&gt;0,"IN",IF(N(G97)&gt;0,"OUT",""))</f>
        <v/>
      </c>
      <c r="N97" s="9" t="str">
        <f aca="false">IF(M97="","",M97&amp;"|"&amp;TEXT(ROUND(N(F97)+N(G97),2),"0.00"))</f>
        <v/>
      </c>
      <c r="O97" s="9" t="str">
        <f aca="false">IF(OR(N97="",TRIM(E97&amp;"")=""),"",N97&amp;"|"&amp;UPPER(TRIM(E97&amp;"")))</f>
        <v/>
      </c>
      <c r="P97" s="9" t="n">
        <f aca="false">IF(O97="",0,IFERROR(MATCH(O97,'Bank Statement'!$O$8:$O$507,0),0))</f>
        <v>0</v>
      </c>
      <c r="Q97" s="9" t="str">
        <f aca="false">IF(OR(N97="",P97&gt;0),"",N97&amp;"#"&amp;COUNTIFS($N$8:N97,N97,$P$8:P97,0))</f>
        <v/>
      </c>
      <c r="R97" s="9" t="n">
        <f aca="false">IF(Q97="",0,IFERROR(MATCH(Q97,'Bank Statement'!$Q$8:$Q$507,0),0))</f>
        <v>0</v>
      </c>
      <c r="S97" s="9" t="n">
        <f aca="false">IF(P97&gt;0,P97,R97)</f>
        <v>0</v>
      </c>
      <c r="T97" s="9" t="str">
        <f aca="false">IF(OR(S97=0,B97=""),"",INDEX('Bank Statement'!$B$8:$B$507,S97)-B97)</f>
        <v/>
      </c>
      <c r="U97" s="9" t="n">
        <f aca="false">IF(S97=0,0,IF(P97&gt;0,S97,IF(AND(ISNUMBER(T97),ABS(N(T97))&lt;=Setup!$C$11),S97,0)))</f>
        <v>0</v>
      </c>
      <c r="V97" s="9" t="str">
        <f aca="false">IF(AND(N97&lt;&gt;"",U97=0),IF(M97="OUT",1,2)*100000+ROW(),"")</f>
        <v/>
      </c>
      <c r="W97" s="9" t="n">
        <f aca="false">N(F97)+N(G97)</f>
        <v>0</v>
      </c>
    </row>
    <row r="98" customFormat="false" ht="15" hidden="false" customHeight="false" outlineLevel="0" collapsed="false">
      <c r="A98" s="37" t="str">
        <f aca="false">IF(M98="","",ROW()-7)</f>
        <v/>
      </c>
      <c r="B98" s="70"/>
      <c r="C98" s="71"/>
      <c r="D98" s="72"/>
      <c r="E98" s="71"/>
      <c r="F98" s="73"/>
      <c r="G98" s="73"/>
      <c r="H98" s="42" t="str">
        <f aca="false">IF(M98="","",IF(U98&gt;0,"✔ Matched",IF(M98="OUT","Not yet presented","Not yet credited")))</f>
        <v/>
      </c>
      <c r="I98" s="43" t="str">
        <f aca="false">IF(N(U98)&gt;0,U98,"")</f>
        <v/>
      </c>
      <c r="J98" s="44" t="str">
        <f aca="false">IF(N(U98)&gt;0,T98,"")</f>
        <v/>
      </c>
      <c r="K98" s="45" t="str">
        <f aca="false">IF(AND(M98="",B98="",D98=""),"",IF(AND(N(F98)&gt;0,N(G98)&gt;0),"⚠ Fill deposit OR payment",IF(M98="","⚠ Enter amount",IF(B98="","⚠ Enter date",IF(AND(Setup!$C$8&lt;&gt;"",B98&gt;Setup!$C$8),"⚠ Date after period",IF(AND(O98&lt;&gt;"",COUNTIF($O$8:$O$507,O98)&gt;1),"⚠ Cheque no. used twice","✔"))))))</f>
        <v/>
      </c>
      <c r="M98" s="9" t="str">
        <f aca="false">IF(N(F98)&gt;0,"IN",IF(N(G98)&gt;0,"OUT",""))</f>
        <v/>
      </c>
      <c r="N98" s="9" t="str">
        <f aca="false">IF(M98="","",M98&amp;"|"&amp;TEXT(ROUND(N(F98)+N(G98),2),"0.00"))</f>
        <v/>
      </c>
      <c r="O98" s="9" t="str">
        <f aca="false">IF(OR(N98="",TRIM(E98&amp;"")=""),"",N98&amp;"|"&amp;UPPER(TRIM(E98&amp;"")))</f>
        <v/>
      </c>
      <c r="P98" s="9" t="n">
        <f aca="false">IF(O98="",0,IFERROR(MATCH(O98,'Bank Statement'!$O$8:$O$507,0),0))</f>
        <v>0</v>
      </c>
      <c r="Q98" s="9" t="str">
        <f aca="false">IF(OR(N98="",P98&gt;0),"",N98&amp;"#"&amp;COUNTIFS($N$8:N98,N98,$P$8:P98,0))</f>
        <v/>
      </c>
      <c r="R98" s="9" t="n">
        <f aca="false">IF(Q98="",0,IFERROR(MATCH(Q98,'Bank Statement'!$Q$8:$Q$507,0),0))</f>
        <v>0</v>
      </c>
      <c r="S98" s="9" t="n">
        <f aca="false">IF(P98&gt;0,P98,R98)</f>
        <v>0</v>
      </c>
      <c r="T98" s="9" t="str">
        <f aca="false">IF(OR(S98=0,B98=""),"",INDEX('Bank Statement'!$B$8:$B$507,S98)-B98)</f>
        <v/>
      </c>
      <c r="U98" s="9" t="n">
        <f aca="false">IF(S98=0,0,IF(P98&gt;0,S98,IF(AND(ISNUMBER(T98),ABS(N(T98))&lt;=Setup!$C$11),S98,0)))</f>
        <v>0</v>
      </c>
      <c r="V98" s="9" t="str">
        <f aca="false">IF(AND(N98&lt;&gt;"",U98=0),IF(M98="OUT",1,2)*100000+ROW(),"")</f>
        <v/>
      </c>
      <c r="W98" s="9" t="n">
        <f aca="false">N(F98)+N(G98)</f>
        <v>0</v>
      </c>
    </row>
    <row r="99" customFormat="false" ht="15" hidden="false" customHeight="false" outlineLevel="0" collapsed="false">
      <c r="A99" s="37" t="str">
        <f aca="false">IF(M99="","",ROW()-7)</f>
        <v/>
      </c>
      <c r="B99" s="70"/>
      <c r="C99" s="71"/>
      <c r="D99" s="72"/>
      <c r="E99" s="71"/>
      <c r="F99" s="73"/>
      <c r="G99" s="73"/>
      <c r="H99" s="42" t="str">
        <f aca="false">IF(M99="","",IF(U99&gt;0,"✔ Matched",IF(M99="OUT","Not yet presented","Not yet credited")))</f>
        <v/>
      </c>
      <c r="I99" s="43" t="str">
        <f aca="false">IF(N(U99)&gt;0,U99,"")</f>
        <v/>
      </c>
      <c r="J99" s="44" t="str">
        <f aca="false">IF(N(U99)&gt;0,T99,"")</f>
        <v/>
      </c>
      <c r="K99" s="45" t="str">
        <f aca="false">IF(AND(M99="",B99="",D99=""),"",IF(AND(N(F99)&gt;0,N(G99)&gt;0),"⚠ Fill deposit OR payment",IF(M99="","⚠ Enter amount",IF(B99="","⚠ Enter date",IF(AND(Setup!$C$8&lt;&gt;"",B99&gt;Setup!$C$8),"⚠ Date after period",IF(AND(O99&lt;&gt;"",COUNTIF($O$8:$O$507,O99)&gt;1),"⚠ Cheque no. used twice","✔"))))))</f>
        <v/>
      </c>
      <c r="M99" s="9" t="str">
        <f aca="false">IF(N(F99)&gt;0,"IN",IF(N(G99)&gt;0,"OUT",""))</f>
        <v/>
      </c>
      <c r="N99" s="9" t="str">
        <f aca="false">IF(M99="","",M99&amp;"|"&amp;TEXT(ROUND(N(F99)+N(G99),2),"0.00"))</f>
        <v/>
      </c>
      <c r="O99" s="9" t="str">
        <f aca="false">IF(OR(N99="",TRIM(E99&amp;"")=""),"",N99&amp;"|"&amp;UPPER(TRIM(E99&amp;"")))</f>
        <v/>
      </c>
      <c r="P99" s="9" t="n">
        <f aca="false">IF(O99="",0,IFERROR(MATCH(O99,'Bank Statement'!$O$8:$O$507,0),0))</f>
        <v>0</v>
      </c>
      <c r="Q99" s="9" t="str">
        <f aca="false">IF(OR(N99="",P99&gt;0),"",N99&amp;"#"&amp;COUNTIFS($N$8:N99,N99,$P$8:P99,0))</f>
        <v/>
      </c>
      <c r="R99" s="9" t="n">
        <f aca="false">IF(Q99="",0,IFERROR(MATCH(Q99,'Bank Statement'!$Q$8:$Q$507,0),0))</f>
        <v>0</v>
      </c>
      <c r="S99" s="9" t="n">
        <f aca="false">IF(P99&gt;0,P99,R99)</f>
        <v>0</v>
      </c>
      <c r="T99" s="9" t="str">
        <f aca="false">IF(OR(S99=0,B99=""),"",INDEX('Bank Statement'!$B$8:$B$507,S99)-B99)</f>
        <v/>
      </c>
      <c r="U99" s="9" t="n">
        <f aca="false">IF(S99=0,0,IF(P99&gt;0,S99,IF(AND(ISNUMBER(T99),ABS(N(T99))&lt;=Setup!$C$11),S99,0)))</f>
        <v>0</v>
      </c>
      <c r="V99" s="9" t="str">
        <f aca="false">IF(AND(N99&lt;&gt;"",U99=0),IF(M99="OUT",1,2)*100000+ROW(),"")</f>
        <v/>
      </c>
      <c r="W99" s="9" t="n">
        <f aca="false">N(F99)+N(G99)</f>
        <v>0</v>
      </c>
    </row>
    <row r="100" customFormat="false" ht="15" hidden="false" customHeight="false" outlineLevel="0" collapsed="false">
      <c r="A100" s="37" t="str">
        <f aca="false">IF(M100="","",ROW()-7)</f>
        <v/>
      </c>
      <c r="B100" s="70"/>
      <c r="C100" s="71"/>
      <c r="D100" s="72"/>
      <c r="E100" s="71"/>
      <c r="F100" s="73"/>
      <c r="G100" s="73"/>
      <c r="H100" s="42" t="str">
        <f aca="false">IF(M100="","",IF(U100&gt;0,"✔ Matched",IF(M100="OUT","Not yet presented","Not yet credited")))</f>
        <v/>
      </c>
      <c r="I100" s="43" t="str">
        <f aca="false">IF(N(U100)&gt;0,U100,"")</f>
        <v/>
      </c>
      <c r="J100" s="44" t="str">
        <f aca="false">IF(N(U100)&gt;0,T100,"")</f>
        <v/>
      </c>
      <c r="K100" s="45" t="str">
        <f aca="false">IF(AND(M100="",B100="",D100=""),"",IF(AND(N(F100)&gt;0,N(G100)&gt;0),"⚠ Fill deposit OR payment",IF(M100="","⚠ Enter amount",IF(B100="","⚠ Enter date",IF(AND(Setup!$C$8&lt;&gt;"",B100&gt;Setup!$C$8),"⚠ Date after period",IF(AND(O100&lt;&gt;"",COUNTIF($O$8:$O$507,O100)&gt;1),"⚠ Cheque no. used twice","✔"))))))</f>
        <v/>
      </c>
      <c r="M100" s="9" t="str">
        <f aca="false">IF(N(F100)&gt;0,"IN",IF(N(G100)&gt;0,"OUT",""))</f>
        <v/>
      </c>
      <c r="N100" s="9" t="str">
        <f aca="false">IF(M100="","",M100&amp;"|"&amp;TEXT(ROUND(N(F100)+N(G100),2),"0.00"))</f>
        <v/>
      </c>
      <c r="O100" s="9" t="str">
        <f aca="false">IF(OR(N100="",TRIM(E100&amp;"")=""),"",N100&amp;"|"&amp;UPPER(TRIM(E100&amp;"")))</f>
        <v/>
      </c>
      <c r="P100" s="9" t="n">
        <f aca="false">IF(O100="",0,IFERROR(MATCH(O100,'Bank Statement'!$O$8:$O$507,0),0))</f>
        <v>0</v>
      </c>
      <c r="Q100" s="9" t="str">
        <f aca="false">IF(OR(N100="",P100&gt;0),"",N100&amp;"#"&amp;COUNTIFS($N$8:N100,N100,$P$8:P100,0))</f>
        <v/>
      </c>
      <c r="R100" s="9" t="n">
        <f aca="false">IF(Q100="",0,IFERROR(MATCH(Q100,'Bank Statement'!$Q$8:$Q$507,0),0))</f>
        <v>0</v>
      </c>
      <c r="S100" s="9" t="n">
        <f aca="false">IF(P100&gt;0,P100,R100)</f>
        <v>0</v>
      </c>
      <c r="T100" s="9" t="str">
        <f aca="false">IF(OR(S100=0,B100=""),"",INDEX('Bank Statement'!$B$8:$B$507,S100)-B100)</f>
        <v/>
      </c>
      <c r="U100" s="9" t="n">
        <f aca="false">IF(S100=0,0,IF(P100&gt;0,S100,IF(AND(ISNUMBER(T100),ABS(N(T100))&lt;=Setup!$C$11),S100,0)))</f>
        <v>0</v>
      </c>
      <c r="V100" s="9" t="str">
        <f aca="false">IF(AND(N100&lt;&gt;"",U100=0),IF(M100="OUT",1,2)*100000+ROW(),"")</f>
        <v/>
      </c>
      <c r="W100" s="9" t="n">
        <f aca="false">N(F100)+N(G100)</f>
        <v>0</v>
      </c>
    </row>
    <row r="101" customFormat="false" ht="15" hidden="false" customHeight="false" outlineLevel="0" collapsed="false">
      <c r="A101" s="37" t="str">
        <f aca="false">IF(M101="","",ROW()-7)</f>
        <v/>
      </c>
      <c r="B101" s="70"/>
      <c r="C101" s="71"/>
      <c r="D101" s="72"/>
      <c r="E101" s="71"/>
      <c r="F101" s="73"/>
      <c r="G101" s="73"/>
      <c r="H101" s="42" t="str">
        <f aca="false">IF(M101="","",IF(U101&gt;0,"✔ Matched",IF(M101="OUT","Not yet presented","Not yet credited")))</f>
        <v/>
      </c>
      <c r="I101" s="43" t="str">
        <f aca="false">IF(N(U101)&gt;0,U101,"")</f>
        <v/>
      </c>
      <c r="J101" s="44" t="str">
        <f aca="false">IF(N(U101)&gt;0,T101,"")</f>
        <v/>
      </c>
      <c r="K101" s="45" t="str">
        <f aca="false">IF(AND(M101="",B101="",D101=""),"",IF(AND(N(F101)&gt;0,N(G101)&gt;0),"⚠ Fill deposit OR payment",IF(M101="","⚠ Enter amount",IF(B101="","⚠ Enter date",IF(AND(Setup!$C$8&lt;&gt;"",B101&gt;Setup!$C$8),"⚠ Date after period",IF(AND(O101&lt;&gt;"",COUNTIF($O$8:$O$507,O101)&gt;1),"⚠ Cheque no. used twice","✔"))))))</f>
        <v/>
      </c>
      <c r="M101" s="9" t="str">
        <f aca="false">IF(N(F101)&gt;0,"IN",IF(N(G101)&gt;0,"OUT",""))</f>
        <v/>
      </c>
      <c r="N101" s="9" t="str">
        <f aca="false">IF(M101="","",M101&amp;"|"&amp;TEXT(ROUND(N(F101)+N(G101),2),"0.00"))</f>
        <v/>
      </c>
      <c r="O101" s="9" t="str">
        <f aca="false">IF(OR(N101="",TRIM(E101&amp;"")=""),"",N101&amp;"|"&amp;UPPER(TRIM(E101&amp;"")))</f>
        <v/>
      </c>
      <c r="P101" s="9" t="n">
        <f aca="false">IF(O101="",0,IFERROR(MATCH(O101,'Bank Statement'!$O$8:$O$507,0),0))</f>
        <v>0</v>
      </c>
      <c r="Q101" s="9" t="str">
        <f aca="false">IF(OR(N101="",P101&gt;0),"",N101&amp;"#"&amp;COUNTIFS($N$8:N101,N101,$P$8:P101,0))</f>
        <v/>
      </c>
      <c r="R101" s="9" t="n">
        <f aca="false">IF(Q101="",0,IFERROR(MATCH(Q101,'Bank Statement'!$Q$8:$Q$507,0),0))</f>
        <v>0</v>
      </c>
      <c r="S101" s="9" t="n">
        <f aca="false">IF(P101&gt;0,P101,R101)</f>
        <v>0</v>
      </c>
      <c r="T101" s="9" t="str">
        <f aca="false">IF(OR(S101=0,B101=""),"",INDEX('Bank Statement'!$B$8:$B$507,S101)-B101)</f>
        <v/>
      </c>
      <c r="U101" s="9" t="n">
        <f aca="false">IF(S101=0,0,IF(P101&gt;0,S101,IF(AND(ISNUMBER(T101),ABS(N(T101))&lt;=Setup!$C$11),S101,0)))</f>
        <v>0</v>
      </c>
      <c r="V101" s="9" t="str">
        <f aca="false">IF(AND(N101&lt;&gt;"",U101=0),IF(M101="OUT",1,2)*100000+ROW(),"")</f>
        <v/>
      </c>
      <c r="W101" s="9" t="n">
        <f aca="false">N(F101)+N(G101)</f>
        <v>0</v>
      </c>
    </row>
    <row r="102" customFormat="false" ht="15" hidden="false" customHeight="false" outlineLevel="0" collapsed="false">
      <c r="A102" s="37" t="str">
        <f aca="false">IF(M102="","",ROW()-7)</f>
        <v/>
      </c>
      <c r="B102" s="70"/>
      <c r="C102" s="71"/>
      <c r="D102" s="72"/>
      <c r="E102" s="71"/>
      <c r="F102" s="73"/>
      <c r="G102" s="73"/>
      <c r="H102" s="42" t="str">
        <f aca="false">IF(M102="","",IF(U102&gt;0,"✔ Matched",IF(M102="OUT","Not yet presented","Not yet credited")))</f>
        <v/>
      </c>
      <c r="I102" s="43" t="str">
        <f aca="false">IF(N(U102)&gt;0,U102,"")</f>
        <v/>
      </c>
      <c r="J102" s="44" t="str">
        <f aca="false">IF(N(U102)&gt;0,T102,"")</f>
        <v/>
      </c>
      <c r="K102" s="45" t="str">
        <f aca="false">IF(AND(M102="",B102="",D102=""),"",IF(AND(N(F102)&gt;0,N(G102)&gt;0),"⚠ Fill deposit OR payment",IF(M102="","⚠ Enter amount",IF(B102="","⚠ Enter date",IF(AND(Setup!$C$8&lt;&gt;"",B102&gt;Setup!$C$8),"⚠ Date after period",IF(AND(O102&lt;&gt;"",COUNTIF($O$8:$O$507,O102)&gt;1),"⚠ Cheque no. used twice","✔"))))))</f>
        <v/>
      </c>
      <c r="M102" s="9" t="str">
        <f aca="false">IF(N(F102)&gt;0,"IN",IF(N(G102)&gt;0,"OUT",""))</f>
        <v/>
      </c>
      <c r="N102" s="9" t="str">
        <f aca="false">IF(M102="","",M102&amp;"|"&amp;TEXT(ROUND(N(F102)+N(G102),2),"0.00"))</f>
        <v/>
      </c>
      <c r="O102" s="9" t="str">
        <f aca="false">IF(OR(N102="",TRIM(E102&amp;"")=""),"",N102&amp;"|"&amp;UPPER(TRIM(E102&amp;"")))</f>
        <v/>
      </c>
      <c r="P102" s="9" t="n">
        <f aca="false">IF(O102="",0,IFERROR(MATCH(O102,'Bank Statement'!$O$8:$O$507,0),0))</f>
        <v>0</v>
      </c>
      <c r="Q102" s="9" t="str">
        <f aca="false">IF(OR(N102="",P102&gt;0),"",N102&amp;"#"&amp;COUNTIFS($N$8:N102,N102,$P$8:P102,0))</f>
        <v/>
      </c>
      <c r="R102" s="9" t="n">
        <f aca="false">IF(Q102="",0,IFERROR(MATCH(Q102,'Bank Statement'!$Q$8:$Q$507,0),0))</f>
        <v>0</v>
      </c>
      <c r="S102" s="9" t="n">
        <f aca="false">IF(P102&gt;0,P102,R102)</f>
        <v>0</v>
      </c>
      <c r="T102" s="9" t="str">
        <f aca="false">IF(OR(S102=0,B102=""),"",INDEX('Bank Statement'!$B$8:$B$507,S102)-B102)</f>
        <v/>
      </c>
      <c r="U102" s="9" t="n">
        <f aca="false">IF(S102=0,0,IF(P102&gt;0,S102,IF(AND(ISNUMBER(T102),ABS(N(T102))&lt;=Setup!$C$11),S102,0)))</f>
        <v>0</v>
      </c>
      <c r="V102" s="9" t="str">
        <f aca="false">IF(AND(N102&lt;&gt;"",U102=0),IF(M102="OUT",1,2)*100000+ROW(),"")</f>
        <v/>
      </c>
      <c r="W102" s="9" t="n">
        <f aca="false">N(F102)+N(G102)</f>
        <v>0</v>
      </c>
    </row>
    <row r="103" customFormat="false" ht="15" hidden="false" customHeight="false" outlineLevel="0" collapsed="false">
      <c r="A103" s="37" t="str">
        <f aca="false">IF(M103="","",ROW()-7)</f>
        <v/>
      </c>
      <c r="B103" s="70"/>
      <c r="C103" s="71"/>
      <c r="D103" s="72"/>
      <c r="E103" s="71"/>
      <c r="F103" s="73"/>
      <c r="G103" s="73"/>
      <c r="H103" s="42" t="str">
        <f aca="false">IF(M103="","",IF(U103&gt;0,"✔ Matched",IF(M103="OUT","Not yet presented","Not yet credited")))</f>
        <v/>
      </c>
      <c r="I103" s="43" t="str">
        <f aca="false">IF(N(U103)&gt;0,U103,"")</f>
        <v/>
      </c>
      <c r="J103" s="44" t="str">
        <f aca="false">IF(N(U103)&gt;0,T103,"")</f>
        <v/>
      </c>
      <c r="K103" s="45" t="str">
        <f aca="false">IF(AND(M103="",B103="",D103=""),"",IF(AND(N(F103)&gt;0,N(G103)&gt;0),"⚠ Fill deposit OR payment",IF(M103="","⚠ Enter amount",IF(B103="","⚠ Enter date",IF(AND(Setup!$C$8&lt;&gt;"",B103&gt;Setup!$C$8),"⚠ Date after period",IF(AND(O103&lt;&gt;"",COUNTIF($O$8:$O$507,O103)&gt;1),"⚠ Cheque no. used twice","✔"))))))</f>
        <v/>
      </c>
      <c r="M103" s="9" t="str">
        <f aca="false">IF(N(F103)&gt;0,"IN",IF(N(G103)&gt;0,"OUT",""))</f>
        <v/>
      </c>
      <c r="N103" s="9" t="str">
        <f aca="false">IF(M103="","",M103&amp;"|"&amp;TEXT(ROUND(N(F103)+N(G103),2),"0.00"))</f>
        <v/>
      </c>
      <c r="O103" s="9" t="str">
        <f aca="false">IF(OR(N103="",TRIM(E103&amp;"")=""),"",N103&amp;"|"&amp;UPPER(TRIM(E103&amp;"")))</f>
        <v/>
      </c>
      <c r="P103" s="9" t="n">
        <f aca="false">IF(O103="",0,IFERROR(MATCH(O103,'Bank Statement'!$O$8:$O$507,0),0))</f>
        <v>0</v>
      </c>
      <c r="Q103" s="9" t="str">
        <f aca="false">IF(OR(N103="",P103&gt;0),"",N103&amp;"#"&amp;COUNTIFS($N$8:N103,N103,$P$8:P103,0))</f>
        <v/>
      </c>
      <c r="R103" s="9" t="n">
        <f aca="false">IF(Q103="",0,IFERROR(MATCH(Q103,'Bank Statement'!$Q$8:$Q$507,0),0))</f>
        <v>0</v>
      </c>
      <c r="S103" s="9" t="n">
        <f aca="false">IF(P103&gt;0,P103,R103)</f>
        <v>0</v>
      </c>
      <c r="T103" s="9" t="str">
        <f aca="false">IF(OR(S103=0,B103=""),"",INDEX('Bank Statement'!$B$8:$B$507,S103)-B103)</f>
        <v/>
      </c>
      <c r="U103" s="9" t="n">
        <f aca="false">IF(S103=0,0,IF(P103&gt;0,S103,IF(AND(ISNUMBER(T103),ABS(N(T103))&lt;=Setup!$C$11),S103,0)))</f>
        <v>0</v>
      </c>
      <c r="V103" s="9" t="str">
        <f aca="false">IF(AND(N103&lt;&gt;"",U103=0),IF(M103="OUT",1,2)*100000+ROW(),"")</f>
        <v/>
      </c>
      <c r="W103" s="9" t="n">
        <f aca="false">N(F103)+N(G103)</f>
        <v>0</v>
      </c>
    </row>
    <row r="104" customFormat="false" ht="15" hidden="false" customHeight="false" outlineLevel="0" collapsed="false">
      <c r="A104" s="37" t="str">
        <f aca="false">IF(M104="","",ROW()-7)</f>
        <v/>
      </c>
      <c r="B104" s="70"/>
      <c r="C104" s="71"/>
      <c r="D104" s="72"/>
      <c r="E104" s="71"/>
      <c r="F104" s="73"/>
      <c r="G104" s="73"/>
      <c r="H104" s="42" t="str">
        <f aca="false">IF(M104="","",IF(U104&gt;0,"✔ Matched",IF(M104="OUT","Not yet presented","Not yet credited")))</f>
        <v/>
      </c>
      <c r="I104" s="43" t="str">
        <f aca="false">IF(N(U104)&gt;0,U104,"")</f>
        <v/>
      </c>
      <c r="J104" s="44" t="str">
        <f aca="false">IF(N(U104)&gt;0,T104,"")</f>
        <v/>
      </c>
      <c r="K104" s="45" t="str">
        <f aca="false">IF(AND(M104="",B104="",D104=""),"",IF(AND(N(F104)&gt;0,N(G104)&gt;0),"⚠ Fill deposit OR payment",IF(M104="","⚠ Enter amount",IF(B104="","⚠ Enter date",IF(AND(Setup!$C$8&lt;&gt;"",B104&gt;Setup!$C$8),"⚠ Date after period",IF(AND(O104&lt;&gt;"",COUNTIF($O$8:$O$507,O104)&gt;1),"⚠ Cheque no. used twice","✔"))))))</f>
        <v/>
      </c>
      <c r="M104" s="9" t="str">
        <f aca="false">IF(N(F104)&gt;0,"IN",IF(N(G104)&gt;0,"OUT",""))</f>
        <v/>
      </c>
      <c r="N104" s="9" t="str">
        <f aca="false">IF(M104="","",M104&amp;"|"&amp;TEXT(ROUND(N(F104)+N(G104),2),"0.00"))</f>
        <v/>
      </c>
      <c r="O104" s="9" t="str">
        <f aca="false">IF(OR(N104="",TRIM(E104&amp;"")=""),"",N104&amp;"|"&amp;UPPER(TRIM(E104&amp;"")))</f>
        <v/>
      </c>
      <c r="P104" s="9" t="n">
        <f aca="false">IF(O104="",0,IFERROR(MATCH(O104,'Bank Statement'!$O$8:$O$507,0),0))</f>
        <v>0</v>
      </c>
      <c r="Q104" s="9" t="str">
        <f aca="false">IF(OR(N104="",P104&gt;0),"",N104&amp;"#"&amp;COUNTIFS($N$8:N104,N104,$P$8:P104,0))</f>
        <v/>
      </c>
      <c r="R104" s="9" t="n">
        <f aca="false">IF(Q104="",0,IFERROR(MATCH(Q104,'Bank Statement'!$Q$8:$Q$507,0),0))</f>
        <v>0</v>
      </c>
      <c r="S104" s="9" t="n">
        <f aca="false">IF(P104&gt;0,P104,R104)</f>
        <v>0</v>
      </c>
      <c r="T104" s="9" t="str">
        <f aca="false">IF(OR(S104=0,B104=""),"",INDEX('Bank Statement'!$B$8:$B$507,S104)-B104)</f>
        <v/>
      </c>
      <c r="U104" s="9" t="n">
        <f aca="false">IF(S104=0,0,IF(P104&gt;0,S104,IF(AND(ISNUMBER(T104),ABS(N(T104))&lt;=Setup!$C$11),S104,0)))</f>
        <v>0</v>
      </c>
      <c r="V104" s="9" t="str">
        <f aca="false">IF(AND(N104&lt;&gt;"",U104=0),IF(M104="OUT",1,2)*100000+ROW(),"")</f>
        <v/>
      </c>
      <c r="W104" s="9" t="n">
        <f aca="false">N(F104)+N(G104)</f>
        <v>0</v>
      </c>
    </row>
    <row r="105" customFormat="false" ht="15" hidden="false" customHeight="false" outlineLevel="0" collapsed="false">
      <c r="A105" s="37" t="str">
        <f aca="false">IF(M105="","",ROW()-7)</f>
        <v/>
      </c>
      <c r="B105" s="70"/>
      <c r="C105" s="71"/>
      <c r="D105" s="72"/>
      <c r="E105" s="71"/>
      <c r="F105" s="73"/>
      <c r="G105" s="73"/>
      <c r="H105" s="42" t="str">
        <f aca="false">IF(M105="","",IF(U105&gt;0,"✔ Matched",IF(M105="OUT","Not yet presented","Not yet credited")))</f>
        <v/>
      </c>
      <c r="I105" s="43" t="str">
        <f aca="false">IF(N(U105)&gt;0,U105,"")</f>
        <v/>
      </c>
      <c r="J105" s="44" t="str">
        <f aca="false">IF(N(U105)&gt;0,T105,"")</f>
        <v/>
      </c>
      <c r="K105" s="45" t="str">
        <f aca="false">IF(AND(M105="",B105="",D105=""),"",IF(AND(N(F105)&gt;0,N(G105)&gt;0),"⚠ Fill deposit OR payment",IF(M105="","⚠ Enter amount",IF(B105="","⚠ Enter date",IF(AND(Setup!$C$8&lt;&gt;"",B105&gt;Setup!$C$8),"⚠ Date after period",IF(AND(O105&lt;&gt;"",COUNTIF($O$8:$O$507,O105)&gt;1),"⚠ Cheque no. used twice","✔"))))))</f>
        <v/>
      </c>
      <c r="M105" s="9" t="str">
        <f aca="false">IF(N(F105)&gt;0,"IN",IF(N(G105)&gt;0,"OUT",""))</f>
        <v/>
      </c>
      <c r="N105" s="9" t="str">
        <f aca="false">IF(M105="","",M105&amp;"|"&amp;TEXT(ROUND(N(F105)+N(G105),2),"0.00"))</f>
        <v/>
      </c>
      <c r="O105" s="9" t="str">
        <f aca="false">IF(OR(N105="",TRIM(E105&amp;"")=""),"",N105&amp;"|"&amp;UPPER(TRIM(E105&amp;"")))</f>
        <v/>
      </c>
      <c r="P105" s="9" t="n">
        <f aca="false">IF(O105="",0,IFERROR(MATCH(O105,'Bank Statement'!$O$8:$O$507,0),0))</f>
        <v>0</v>
      </c>
      <c r="Q105" s="9" t="str">
        <f aca="false">IF(OR(N105="",P105&gt;0),"",N105&amp;"#"&amp;COUNTIFS($N$8:N105,N105,$P$8:P105,0))</f>
        <v/>
      </c>
      <c r="R105" s="9" t="n">
        <f aca="false">IF(Q105="",0,IFERROR(MATCH(Q105,'Bank Statement'!$Q$8:$Q$507,0),0))</f>
        <v>0</v>
      </c>
      <c r="S105" s="9" t="n">
        <f aca="false">IF(P105&gt;0,P105,R105)</f>
        <v>0</v>
      </c>
      <c r="T105" s="9" t="str">
        <f aca="false">IF(OR(S105=0,B105=""),"",INDEX('Bank Statement'!$B$8:$B$507,S105)-B105)</f>
        <v/>
      </c>
      <c r="U105" s="9" t="n">
        <f aca="false">IF(S105=0,0,IF(P105&gt;0,S105,IF(AND(ISNUMBER(T105),ABS(N(T105))&lt;=Setup!$C$11),S105,0)))</f>
        <v>0</v>
      </c>
      <c r="V105" s="9" t="str">
        <f aca="false">IF(AND(N105&lt;&gt;"",U105=0),IF(M105="OUT",1,2)*100000+ROW(),"")</f>
        <v/>
      </c>
      <c r="W105" s="9" t="n">
        <f aca="false">N(F105)+N(G105)</f>
        <v>0</v>
      </c>
    </row>
    <row r="106" customFormat="false" ht="15" hidden="false" customHeight="false" outlineLevel="0" collapsed="false">
      <c r="A106" s="37" t="str">
        <f aca="false">IF(M106="","",ROW()-7)</f>
        <v/>
      </c>
      <c r="B106" s="70"/>
      <c r="C106" s="71"/>
      <c r="D106" s="72"/>
      <c r="E106" s="71"/>
      <c r="F106" s="73"/>
      <c r="G106" s="73"/>
      <c r="H106" s="42" t="str">
        <f aca="false">IF(M106="","",IF(U106&gt;0,"✔ Matched",IF(M106="OUT","Not yet presented","Not yet credited")))</f>
        <v/>
      </c>
      <c r="I106" s="43" t="str">
        <f aca="false">IF(N(U106)&gt;0,U106,"")</f>
        <v/>
      </c>
      <c r="J106" s="44" t="str">
        <f aca="false">IF(N(U106)&gt;0,T106,"")</f>
        <v/>
      </c>
      <c r="K106" s="45" t="str">
        <f aca="false">IF(AND(M106="",B106="",D106=""),"",IF(AND(N(F106)&gt;0,N(G106)&gt;0),"⚠ Fill deposit OR payment",IF(M106="","⚠ Enter amount",IF(B106="","⚠ Enter date",IF(AND(Setup!$C$8&lt;&gt;"",B106&gt;Setup!$C$8),"⚠ Date after period",IF(AND(O106&lt;&gt;"",COUNTIF($O$8:$O$507,O106)&gt;1),"⚠ Cheque no. used twice","✔"))))))</f>
        <v/>
      </c>
      <c r="M106" s="9" t="str">
        <f aca="false">IF(N(F106)&gt;0,"IN",IF(N(G106)&gt;0,"OUT",""))</f>
        <v/>
      </c>
      <c r="N106" s="9" t="str">
        <f aca="false">IF(M106="","",M106&amp;"|"&amp;TEXT(ROUND(N(F106)+N(G106),2),"0.00"))</f>
        <v/>
      </c>
      <c r="O106" s="9" t="str">
        <f aca="false">IF(OR(N106="",TRIM(E106&amp;"")=""),"",N106&amp;"|"&amp;UPPER(TRIM(E106&amp;"")))</f>
        <v/>
      </c>
      <c r="P106" s="9" t="n">
        <f aca="false">IF(O106="",0,IFERROR(MATCH(O106,'Bank Statement'!$O$8:$O$507,0),0))</f>
        <v>0</v>
      </c>
      <c r="Q106" s="9" t="str">
        <f aca="false">IF(OR(N106="",P106&gt;0),"",N106&amp;"#"&amp;COUNTIFS($N$8:N106,N106,$P$8:P106,0))</f>
        <v/>
      </c>
      <c r="R106" s="9" t="n">
        <f aca="false">IF(Q106="",0,IFERROR(MATCH(Q106,'Bank Statement'!$Q$8:$Q$507,0),0))</f>
        <v>0</v>
      </c>
      <c r="S106" s="9" t="n">
        <f aca="false">IF(P106&gt;0,P106,R106)</f>
        <v>0</v>
      </c>
      <c r="T106" s="9" t="str">
        <f aca="false">IF(OR(S106=0,B106=""),"",INDEX('Bank Statement'!$B$8:$B$507,S106)-B106)</f>
        <v/>
      </c>
      <c r="U106" s="9" t="n">
        <f aca="false">IF(S106=0,0,IF(P106&gt;0,S106,IF(AND(ISNUMBER(T106),ABS(N(T106))&lt;=Setup!$C$11),S106,0)))</f>
        <v>0</v>
      </c>
      <c r="V106" s="9" t="str">
        <f aca="false">IF(AND(N106&lt;&gt;"",U106=0),IF(M106="OUT",1,2)*100000+ROW(),"")</f>
        <v/>
      </c>
      <c r="W106" s="9" t="n">
        <f aca="false">N(F106)+N(G106)</f>
        <v>0</v>
      </c>
    </row>
    <row r="107" customFormat="false" ht="15" hidden="false" customHeight="false" outlineLevel="0" collapsed="false">
      <c r="A107" s="37" t="str">
        <f aca="false">IF(M107="","",ROW()-7)</f>
        <v/>
      </c>
      <c r="B107" s="70"/>
      <c r="C107" s="71"/>
      <c r="D107" s="72"/>
      <c r="E107" s="71"/>
      <c r="F107" s="73"/>
      <c r="G107" s="73"/>
      <c r="H107" s="42" t="str">
        <f aca="false">IF(M107="","",IF(U107&gt;0,"✔ Matched",IF(M107="OUT","Not yet presented","Not yet credited")))</f>
        <v/>
      </c>
      <c r="I107" s="43" t="str">
        <f aca="false">IF(N(U107)&gt;0,U107,"")</f>
        <v/>
      </c>
      <c r="J107" s="44" t="str">
        <f aca="false">IF(N(U107)&gt;0,T107,"")</f>
        <v/>
      </c>
      <c r="K107" s="45" t="str">
        <f aca="false">IF(AND(M107="",B107="",D107=""),"",IF(AND(N(F107)&gt;0,N(G107)&gt;0),"⚠ Fill deposit OR payment",IF(M107="","⚠ Enter amount",IF(B107="","⚠ Enter date",IF(AND(Setup!$C$8&lt;&gt;"",B107&gt;Setup!$C$8),"⚠ Date after period",IF(AND(O107&lt;&gt;"",COUNTIF($O$8:$O$507,O107)&gt;1),"⚠ Cheque no. used twice","✔"))))))</f>
        <v/>
      </c>
      <c r="M107" s="9" t="str">
        <f aca="false">IF(N(F107)&gt;0,"IN",IF(N(G107)&gt;0,"OUT",""))</f>
        <v/>
      </c>
      <c r="N107" s="9" t="str">
        <f aca="false">IF(M107="","",M107&amp;"|"&amp;TEXT(ROUND(N(F107)+N(G107),2),"0.00"))</f>
        <v/>
      </c>
      <c r="O107" s="9" t="str">
        <f aca="false">IF(OR(N107="",TRIM(E107&amp;"")=""),"",N107&amp;"|"&amp;UPPER(TRIM(E107&amp;"")))</f>
        <v/>
      </c>
      <c r="P107" s="9" t="n">
        <f aca="false">IF(O107="",0,IFERROR(MATCH(O107,'Bank Statement'!$O$8:$O$507,0),0))</f>
        <v>0</v>
      </c>
      <c r="Q107" s="9" t="str">
        <f aca="false">IF(OR(N107="",P107&gt;0),"",N107&amp;"#"&amp;COUNTIFS($N$8:N107,N107,$P$8:P107,0))</f>
        <v/>
      </c>
      <c r="R107" s="9" t="n">
        <f aca="false">IF(Q107="",0,IFERROR(MATCH(Q107,'Bank Statement'!$Q$8:$Q$507,0),0))</f>
        <v>0</v>
      </c>
      <c r="S107" s="9" t="n">
        <f aca="false">IF(P107&gt;0,P107,R107)</f>
        <v>0</v>
      </c>
      <c r="T107" s="9" t="str">
        <f aca="false">IF(OR(S107=0,B107=""),"",INDEX('Bank Statement'!$B$8:$B$507,S107)-B107)</f>
        <v/>
      </c>
      <c r="U107" s="9" t="n">
        <f aca="false">IF(S107=0,0,IF(P107&gt;0,S107,IF(AND(ISNUMBER(T107),ABS(N(T107))&lt;=Setup!$C$11),S107,0)))</f>
        <v>0</v>
      </c>
      <c r="V107" s="9" t="str">
        <f aca="false">IF(AND(N107&lt;&gt;"",U107=0),IF(M107="OUT",1,2)*100000+ROW(),"")</f>
        <v/>
      </c>
      <c r="W107" s="9" t="n">
        <f aca="false">N(F107)+N(G107)</f>
        <v>0</v>
      </c>
    </row>
    <row r="108" customFormat="false" ht="15" hidden="false" customHeight="false" outlineLevel="0" collapsed="false">
      <c r="A108" s="37" t="str">
        <f aca="false">IF(M108="","",ROW()-7)</f>
        <v/>
      </c>
      <c r="B108" s="70"/>
      <c r="C108" s="71"/>
      <c r="D108" s="72"/>
      <c r="E108" s="71"/>
      <c r="F108" s="73"/>
      <c r="G108" s="73"/>
      <c r="H108" s="42" t="str">
        <f aca="false">IF(M108="","",IF(U108&gt;0,"✔ Matched",IF(M108="OUT","Not yet presented","Not yet credited")))</f>
        <v/>
      </c>
      <c r="I108" s="43" t="str">
        <f aca="false">IF(N(U108)&gt;0,U108,"")</f>
        <v/>
      </c>
      <c r="J108" s="44" t="str">
        <f aca="false">IF(N(U108)&gt;0,T108,"")</f>
        <v/>
      </c>
      <c r="K108" s="45" t="str">
        <f aca="false">IF(AND(M108="",B108="",D108=""),"",IF(AND(N(F108)&gt;0,N(G108)&gt;0),"⚠ Fill deposit OR payment",IF(M108="","⚠ Enter amount",IF(B108="","⚠ Enter date",IF(AND(Setup!$C$8&lt;&gt;"",B108&gt;Setup!$C$8),"⚠ Date after period",IF(AND(O108&lt;&gt;"",COUNTIF($O$8:$O$507,O108)&gt;1),"⚠ Cheque no. used twice","✔"))))))</f>
        <v/>
      </c>
      <c r="M108" s="9" t="str">
        <f aca="false">IF(N(F108)&gt;0,"IN",IF(N(G108)&gt;0,"OUT",""))</f>
        <v/>
      </c>
      <c r="N108" s="9" t="str">
        <f aca="false">IF(M108="","",M108&amp;"|"&amp;TEXT(ROUND(N(F108)+N(G108),2),"0.00"))</f>
        <v/>
      </c>
      <c r="O108" s="9" t="str">
        <f aca="false">IF(OR(N108="",TRIM(E108&amp;"")=""),"",N108&amp;"|"&amp;UPPER(TRIM(E108&amp;"")))</f>
        <v/>
      </c>
      <c r="P108" s="9" t="n">
        <f aca="false">IF(O108="",0,IFERROR(MATCH(O108,'Bank Statement'!$O$8:$O$507,0),0))</f>
        <v>0</v>
      </c>
      <c r="Q108" s="9" t="str">
        <f aca="false">IF(OR(N108="",P108&gt;0),"",N108&amp;"#"&amp;COUNTIFS($N$8:N108,N108,$P$8:P108,0))</f>
        <v/>
      </c>
      <c r="R108" s="9" t="n">
        <f aca="false">IF(Q108="",0,IFERROR(MATCH(Q108,'Bank Statement'!$Q$8:$Q$507,0),0))</f>
        <v>0</v>
      </c>
      <c r="S108" s="9" t="n">
        <f aca="false">IF(P108&gt;0,P108,R108)</f>
        <v>0</v>
      </c>
      <c r="T108" s="9" t="str">
        <f aca="false">IF(OR(S108=0,B108=""),"",INDEX('Bank Statement'!$B$8:$B$507,S108)-B108)</f>
        <v/>
      </c>
      <c r="U108" s="9" t="n">
        <f aca="false">IF(S108=0,0,IF(P108&gt;0,S108,IF(AND(ISNUMBER(T108),ABS(N(T108))&lt;=Setup!$C$11),S108,0)))</f>
        <v>0</v>
      </c>
      <c r="V108" s="9" t="str">
        <f aca="false">IF(AND(N108&lt;&gt;"",U108=0),IF(M108="OUT",1,2)*100000+ROW(),"")</f>
        <v/>
      </c>
      <c r="W108" s="9" t="n">
        <f aca="false">N(F108)+N(G108)</f>
        <v>0</v>
      </c>
    </row>
    <row r="109" customFormat="false" ht="15" hidden="false" customHeight="false" outlineLevel="0" collapsed="false">
      <c r="A109" s="37" t="str">
        <f aca="false">IF(M109="","",ROW()-7)</f>
        <v/>
      </c>
      <c r="B109" s="70"/>
      <c r="C109" s="71"/>
      <c r="D109" s="72"/>
      <c r="E109" s="71"/>
      <c r="F109" s="73"/>
      <c r="G109" s="73"/>
      <c r="H109" s="42" t="str">
        <f aca="false">IF(M109="","",IF(U109&gt;0,"✔ Matched",IF(M109="OUT","Not yet presented","Not yet credited")))</f>
        <v/>
      </c>
      <c r="I109" s="43" t="str">
        <f aca="false">IF(N(U109)&gt;0,U109,"")</f>
        <v/>
      </c>
      <c r="J109" s="44" t="str">
        <f aca="false">IF(N(U109)&gt;0,T109,"")</f>
        <v/>
      </c>
      <c r="K109" s="45" t="str">
        <f aca="false">IF(AND(M109="",B109="",D109=""),"",IF(AND(N(F109)&gt;0,N(G109)&gt;0),"⚠ Fill deposit OR payment",IF(M109="","⚠ Enter amount",IF(B109="","⚠ Enter date",IF(AND(Setup!$C$8&lt;&gt;"",B109&gt;Setup!$C$8),"⚠ Date after period",IF(AND(O109&lt;&gt;"",COUNTIF($O$8:$O$507,O109)&gt;1),"⚠ Cheque no. used twice","✔"))))))</f>
        <v/>
      </c>
      <c r="M109" s="9" t="str">
        <f aca="false">IF(N(F109)&gt;0,"IN",IF(N(G109)&gt;0,"OUT",""))</f>
        <v/>
      </c>
      <c r="N109" s="9" t="str">
        <f aca="false">IF(M109="","",M109&amp;"|"&amp;TEXT(ROUND(N(F109)+N(G109),2),"0.00"))</f>
        <v/>
      </c>
      <c r="O109" s="9" t="str">
        <f aca="false">IF(OR(N109="",TRIM(E109&amp;"")=""),"",N109&amp;"|"&amp;UPPER(TRIM(E109&amp;"")))</f>
        <v/>
      </c>
      <c r="P109" s="9" t="n">
        <f aca="false">IF(O109="",0,IFERROR(MATCH(O109,'Bank Statement'!$O$8:$O$507,0),0))</f>
        <v>0</v>
      </c>
      <c r="Q109" s="9" t="str">
        <f aca="false">IF(OR(N109="",P109&gt;0),"",N109&amp;"#"&amp;COUNTIFS($N$8:N109,N109,$P$8:P109,0))</f>
        <v/>
      </c>
      <c r="R109" s="9" t="n">
        <f aca="false">IF(Q109="",0,IFERROR(MATCH(Q109,'Bank Statement'!$Q$8:$Q$507,0),0))</f>
        <v>0</v>
      </c>
      <c r="S109" s="9" t="n">
        <f aca="false">IF(P109&gt;0,P109,R109)</f>
        <v>0</v>
      </c>
      <c r="T109" s="9" t="str">
        <f aca="false">IF(OR(S109=0,B109=""),"",INDEX('Bank Statement'!$B$8:$B$507,S109)-B109)</f>
        <v/>
      </c>
      <c r="U109" s="9" t="n">
        <f aca="false">IF(S109=0,0,IF(P109&gt;0,S109,IF(AND(ISNUMBER(T109),ABS(N(T109))&lt;=Setup!$C$11),S109,0)))</f>
        <v>0</v>
      </c>
      <c r="V109" s="9" t="str">
        <f aca="false">IF(AND(N109&lt;&gt;"",U109=0),IF(M109="OUT",1,2)*100000+ROW(),"")</f>
        <v/>
      </c>
      <c r="W109" s="9" t="n">
        <f aca="false">N(F109)+N(G109)</f>
        <v>0</v>
      </c>
    </row>
    <row r="110" customFormat="false" ht="15" hidden="false" customHeight="false" outlineLevel="0" collapsed="false">
      <c r="A110" s="37" t="str">
        <f aca="false">IF(M110="","",ROW()-7)</f>
        <v/>
      </c>
      <c r="B110" s="70"/>
      <c r="C110" s="71"/>
      <c r="D110" s="72"/>
      <c r="E110" s="71"/>
      <c r="F110" s="73"/>
      <c r="G110" s="73"/>
      <c r="H110" s="42" t="str">
        <f aca="false">IF(M110="","",IF(U110&gt;0,"✔ Matched",IF(M110="OUT","Not yet presented","Not yet credited")))</f>
        <v/>
      </c>
      <c r="I110" s="43" t="str">
        <f aca="false">IF(N(U110)&gt;0,U110,"")</f>
        <v/>
      </c>
      <c r="J110" s="44" t="str">
        <f aca="false">IF(N(U110)&gt;0,T110,"")</f>
        <v/>
      </c>
      <c r="K110" s="45" t="str">
        <f aca="false">IF(AND(M110="",B110="",D110=""),"",IF(AND(N(F110)&gt;0,N(G110)&gt;0),"⚠ Fill deposit OR payment",IF(M110="","⚠ Enter amount",IF(B110="","⚠ Enter date",IF(AND(Setup!$C$8&lt;&gt;"",B110&gt;Setup!$C$8),"⚠ Date after period",IF(AND(O110&lt;&gt;"",COUNTIF($O$8:$O$507,O110)&gt;1),"⚠ Cheque no. used twice","✔"))))))</f>
        <v/>
      </c>
      <c r="M110" s="9" t="str">
        <f aca="false">IF(N(F110)&gt;0,"IN",IF(N(G110)&gt;0,"OUT",""))</f>
        <v/>
      </c>
      <c r="N110" s="9" t="str">
        <f aca="false">IF(M110="","",M110&amp;"|"&amp;TEXT(ROUND(N(F110)+N(G110),2),"0.00"))</f>
        <v/>
      </c>
      <c r="O110" s="9" t="str">
        <f aca="false">IF(OR(N110="",TRIM(E110&amp;"")=""),"",N110&amp;"|"&amp;UPPER(TRIM(E110&amp;"")))</f>
        <v/>
      </c>
      <c r="P110" s="9" t="n">
        <f aca="false">IF(O110="",0,IFERROR(MATCH(O110,'Bank Statement'!$O$8:$O$507,0),0))</f>
        <v>0</v>
      </c>
      <c r="Q110" s="9" t="str">
        <f aca="false">IF(OR(N110="",P110&gt;0),"",N110&amp;"#"&amp;COUNTIFS($N$8:N110,N110,$P$8:P110,0))</f>
        <v/>
      </c>
      <c r="R110" s="9" t="n">
        <f aca="false">IF(Q110="",0,IFERROR(MATCH(Q110,'Bank Statement'!$Q$8:$Q$507,0),0))</f>
        <v>0</v>
      </c>
      <c r="S110" s="9" t="n">
        <f aca="false">IF(P110&gt;0,P110,R110)</f>
        <v>0</v>
      </c>
      <c r="T110" s="9" t="str">
        <f aca="false">IF(OR(S110=0,B110=""),"",INDEX('Bank Statement'!$B$8:$B$507,S110)-B110)</f>
        <v/>
      </c>
      <c r="U110" s="9" t="n">
        <f aca="false">IF(S110=0,0,IF(P110&gt;0,S110,IF(AND(ISNUMBER(T110),ABS(N(T110))&lt;=Setup!$C$11),S110,0)))</f>
        <v>0</v>
      </c>
      <c r="V110" s="9" t="str">
        <f aca="false">IF(AND(N110&lt;&gt;"",U110=0),IF(M110="OUT",1,2)*100000+ROW(),"")</f>
        <v/>
      </c>
      <c r="W110" s="9" t="n">
        <f aca="false">N(F110)+N(G110)</f>
        <v>0</v>
      </c>
    </row>
    <row r="111" customFormat="false" ht="15" hidden="false" customHeight="false" outlineLevel="0" collapsed="false">
      <c r="A111" s="37" t="str">
        <f aca="false">IF(M111="","",ROW()-7)</f>
        <v/>
      </c>
      <c r="B111" s="70"/>
      <c r="C111" s="71"/>
      <c r="D111" s="72"/>
      <c r="E111" s="71"/>
      <c r="F111" s="73"/>
      <c r="G111" s="73"/>
      <c r="H111" s="42" t="str">
        <f aca="false">IF(M111="","",IF(U111&gt;0,"✔ Matched",IF(M111="OUT","Not yet presented","Not yet credited")))</f>
        <v/>
      </c>
      <c r="I111" s="43" t="str">
        <f aca="false">IF(N(U111)&gt;0,U111,"")</f>
        <v/>
      </c>
      <c r="J111" s="44" t="str">
        <f aca="false">IF(N(U111)&gt;0,T111,"")</f>
        <v/>
      </c>
      <c r="K111" s="45" t="str">
        <f aca="false">IF(AND(M111="",B111="",D111=""),"",IF(AND(N(F111)&gt;0,N(G111)&gt;0),"⚠ Fill deposit OR payment",IF(M111="","⚠ Enter amount",IF(B111="","⚠ Enter date",IF(AND(Setup!$C$8&lt;&gt;"",B111&gt;Setup!$C$8),"⚠ Date after period",IF(AND(O111&lt;&gt;"",COUNTIF($O$8:$O$507,O111)&gt;1),"⚠ Cheque no. used twice","✔"))))))</f>
        <v/>
      </c>
      <c r="M111" s="9" t="str">
        <f aca="false">IF(N(F111)&gt;0,"IN",IF(N(G111)&gt;0,"OUT",""))</f>
        <v/>
      </c>
      <c r="N111" s="9" t="str">
        <f aca="false">IF(M111="","",M111&amp;"|"&amp;TEXT(ROUND(N(F111)+N(G111),2),"0.00"))</f>
        <v/>
      </c>
      <c r="O111" s="9" t="str">
        <f aca="false">IF(OR(N111="",TRIM(E111&amp;"")=""),"",N111&amp;"|"&amp;UPPER(TRIM(E111&amp;"")))</f>
        <v/>
      </c>
      <c r="P111" s="9" t="n">
        <f aca="false">IF(O111="",0,IFERROR(MATCH(O111,'Bank Statement'!$O$8:$O$507,0),0))</f>
        <v>0</v>
      </c>
      <c r="Q111" s="9" t="str">
        <f aca="false">IF(OR(N111="",P111&gt;0),"",N111&amp;"#"&amp;COUNTIFS($N$8:N111,N111,$P$8:P111,0))</f>
        <v/>
      </c>
      <c r="R111" s="9" t="n">
        <f aca="false">IF(Q111="",0,IFERROR(MATCH(Q111,'Bank Statement'!$Q$8:$Q$507,0),0))</f>
        <v>0</v>
      </c>
      <c r="S111" s="9" t="n">
        <f aca="false">IF(P111&gt;0,P111,R111)</f>
        <v>0</v>
      </c>
      <c r="T111" s="9" t="str">
        <f aca="false">IF(OR(S111=0,B111=""),"",INDEX('Bank Statement'!$B$8:$B$507,S111)-B111)</f>
        <v/>
      </c>
      <c r="U111" s="9" t="n">
        <f aca="false">IF(S111=0,0,IF(P111&gt;0,S111,IF(AND(ISNUMBER(T111),ABS(N(T111))&lt;=Setup!$C$11),S111,0)))</f>
        <v>0</v>
      </c>
      <c r="V111" s="9" t="str">
        <f aca="false">IF(AND(N111&lt;&gt;"",U111=0),IF(M111="OUT",1,2)*100000+ROW(),"")</f>
        <v/>
      </c>
      <c r="W111" s="9" t="n">
        <f aca="false">N(F111)+N(G111)</f>
        <v>0</v>
      </c>
    </row>
    <row r="112" customFormat="false" ht="15" hidden="false" customHeight="false" outlineLevel="0" collapsed="false">
      <c r="A112" s="37" t="str">
        <f aca="false">IF(M112="","",ROW()-7)</f>
        <v/>
      </c>
      <c r="B112" s="70"/>
      <c r="C112" s="71"/>
      <c r="D112" s="72"/>
      <c r="E112" s="71"/>
      <c r="F112" s="73"/>
      <c r="G112" s="73"/>
      <c r="H112" s="42" t="str">
        <f aca="false">IF(M112="","",IF(U112&gt;0,"✔ Matched",IF(M112="OUT","Not yet presented","Not yet credited")))</f>
        <v/>
      </c>
      <c r="I112" s="43" t="str">
        <f aca="false">IF(N(U112)&gt;0,U112,"")</f>
        <v/>
      </c>
      <c r="J112" s="44" t="str">
        <f aca="false">IF(N(U112)&gt;0,T112,"")</f>
        <v/>
      </c>
      <c r="K112" s="45" t="str">
        <f aca="false">IF(AND(M112="",B112="",D112=""),"",IF(AND(N(F112)&gt;0,N(G112)&gt;0),"⚠ Fill deposit OR payment",IF(M112="","⚠ Enter amount",IF(B112="","⚠ Enter date",IF(AND(Setup!$C$8&lt;&gt;"",B112&gt;Setup!$C$8),"⚠ Date after period",IF(AND(O112&lt;&gt;"",COUNTIF($O$8:$O$507,O112)&gt;1),"⚠ Cheque no. used twice","✔"))))))</f>
        <v/>
      </c>
      <c r="M112" s="9" t="str">
        <f aca="false">IF(N(F112)&gt;0,"IN",IF(N(G112)&gt;0,"OUT",""))</f>
        <v/>
      </c>
      <c r="N112" s="9" t="str">
        <f aca="false">IF(M112="","",M112&amp;"|"&amp;TEXT(ROUND(N(F112)+N(G112),2),"0.00"))</f>
        <v/>
      </c>
      <c r="O112" s="9" t="str">
        <f aca="false">IF(OR(N112="",TRIM(E112&amp;"")=""),"",N112&amp;"|"&amp;UPPER(TRIM(E112&amp;"")))</f>
        <v/>
      </c>
      <c r="P112" s="9" t="n">
        <f aca="false">IF(O112="",0,IFERROR(MATCH(O112,'Bank Statement'!$O$8:$O$507,0),0))</f>
        <v>0</v>
      </c>
      <c r="Q112" s="9" t="str">
        <f aca="false">IF(OR(N112="",P112&gt;0),"",N112&amp;"#"&amp;COUNTIFS($N$8:N112,N112,$P$8:P112,0))</f>
        <v/>
      </c>
      <c r="R112" s="9" t="n">
        <f aca="false">IF(Q112="",0,IFERROR(MATCH(Q112,'Bank Statement'!$Q$8:$Q$507,0),0))</f>
        <v>0</v>
      </c>
      <c r="S112" s="9" t="n">
        <f aca="false">IF(P112&gt;0,P112,R112)</f>
        <v>0</v>
      </c>
      <c r="T112" s="9" t="str">
        <f aca="false">IF(OR(S112=0,B112=""),"",INDEX('Bank Statement'!$B$8:$B$507,S112)-B112)</f>
        <v/>
      </c>
      <c r="U112" s="9" t="n">
        <f aca="false">IF(S112=0,0,IF(P112&gt;0,S112,IF(AND(ISNUMBER(T112),ABS(N(T112))&lt;=Setup!$C$11),S112,0)))</f>
        <v>0</v>
      </c>
      <c r="V112" s="9" t="str">
        <f aca="false">IF(AND(N112&lt;&gt;"",U112=0),IF(M112="OUT",1,2)*100000+ROW(),"")</f>
        <v/>
      </c>
      <c r="W112" s="9" t="n">
        <f aca="false">N(F112)+N(G112)</f>
        <v>0</v>
      </c>
    </row>
    <row r="113" customFormat="false" ht="15" hidden="false" customHeight="false" outlineLevel="0" collapsed="false">
      <c r="A113" s="37" t="str">
        <f aca="false">IF(M113="","",ROW()-7)</f>
        <v/>
      </c>
      <c r="B113" s="70"/>
      <c r="C113" s="71"/>
      <c r="D113" s="72"/>
      <c r="E113" s="71"/>
      <c r="F113" s="73"/>
      <c r="G113" s="73"/>
      <c r="H113" s="42" t="str">
        <f aca="false">IF(M113="","",IF(U113&gt;0,"✔ Matched",IF(M113="OUT","Not yet presented","Not yet credited")))</f>
        <v/>
      </c>
      <c r="I113" s="43" t="str">
        <f aca="false">IF(N(U113)&gt;0,U113,"")</f>
        <v/>
      </c>
      <c r="J113" s="44" t="str">
        <f aca="false">IF(N(U113)&gt;0,T113,"")</f>
        <v/>
      </c>
      <c r="K113" s="45" t="str">
        <f aca="false">IF(AND(M113="",B113="",D113=""),"",IF(AND(N(F113)&gt;0,N(G113)&gt;0),"⚠ Fill deposit OR payment",IF(M113="","⚠ Enter amount",IF(B113="","⚠ Enter date",IF(AND(Setup!$C$8&lt;&gt;"",B113&gt;Setup!$C$8),"⚠ Date after period",IF(AND(O113&lt;&gt;"",COUNTIF($O$8:$O$507,O113)&gt;1),"⚠ Cheque no. used twice","✔"))))))</f>
        <v/>
      </c>
      <c r="M113" s="9" t="str">
        <f aca="false">IF(N(F113)&gt;0,"IN",IF(N(G113)&gt;0,"OUT",""))</f>
        <v/>
      </c>
      <c r="N113" s="9" t="str">
        <f aca="false">IF(M113="","",M113&amp;"|"&amp;TEXT(ROUND(N(F113)+N(G113),2),"0.00"))</f>
        <v/>
      </c>
      <c r="O113" s="9" t="str">
        <f aca="false">IF(OR(N113="",TRIM(E113&amp;"")=""),"",N113&amp;"|"&amp;UPPER(TRIM(E113&amp;"")))</f>
        <v/>
      </c>
      <c r="P113" s="9" t="n">
        <f aca="false">IF(O113="",0,IFERROR(MATCH(O113,'Bank Statement'!$O$8:$O$507,0),0))</f>
        <v>0</v>
      </c>
      <c r="Q113" s="9" t="str">
        <f aca="false">IF(OR(N113="",P113&gt;0),"",N113&amp;"#"&amp;COUNTIFS($N$8:N113,N113,$P$8:P113,0))</f>
        <v/>
      </c>
      <c r="R113" s="9" t="n">
        <f aca="false">IF(Q113="",0,IFERROR(MATCH(Q113,'Bank Statement'!$Q$8:$Q$507,0),0))</f>
        <v>0</v>
      </c>
      <c r="S113" s="9" t="n">
        <f aca="false">IF(P113&gt;0,P113,R113)</f>
        <v>0</v>
      </c>
      <c r="T113" s="9" t="str">
        <f aca="false">IF(OR(S113=0,B113=""),"",INDEX('Bank Statement'!$B$8:$B$507,S113)-B113)</f>
        <v/>
      </c>
      <c r="U113" s="9" t="n">
        <f aca="false">IF(S113=0,0,IF(P113&gt;0,S113,IF(AND(ISNUMBER(T113),ABS(N(T113))&lt;=Setup!$C$11),S113,0)))</f>
        <v>0</v>
      </c>
      <c r="V113" s="9" t="str">
        <f aca="false">IF(AND(N113&lt;&gt;"",U113=0),IF(M113="OUT",1,2)*100000+ROW(),"")</f>
        <v/>
      </c>
      <c r="W113" s="9" t="n">
        <f aca="false">N(F113)+N(G113)</f>
        <v>0</v>
      </c>
    </row>
    <row r="114" customFormat="false" ht="15" hidden="false" customHeight="false" outlineLevel="0" collapsed="false">
      <c r="A114" s="37" t="str">
        <f aca="false">IF(M114="","",ROW()-7)</f>
        <v/>
      </c>
      <c r="B114" s="70"/>
      <c r="C114" s="71"/>
      <c r="D114" s="72"/>
      <c r="E114" s="71"/>
      <c r="F114" s="73"/>
      <c r="G114" s="73"/>
      <c r="H114" s="42" t="str">
        <f aca="false">IF(M114="","",IF(U114&gt;0,"✔ Matched",IF(M114="OUT","Not yet presented","Not yet credited")))</f>
        <v/>
      </c>
      <c r="I114" s="43" t="str">
        <f aca="false">IF(N(U114)&gt;0,U114,"")</f>
        <v/>
      </c>
      <c r="J114" s="44" t="str">
        <f aca="false">IF(N(U114)&gt;0,T114,"")</f>
        <v/>
      </c>
      <c r="K114" s="45" t="str">
        <f aca="false">IF(AND(M114="",B114="",D114=""),"",IF(AND(N(F114)&gt;0,N(G114)&gt;0),"⚠ Fill deposit OR payment",IF(M114="","⚠ Enter amount",IF(B114="","⚠ Enter date",IF(AND(Setup!$C$8&lt;&gt;"",B114&gt;Setup!$C$8),"⚠ Date after period",IF(AND(O114&lt;&gt;"",COUNTIF($O$8:$O$507,O114)&gt;1),"⚠ Cheque no. used twice","✔"))))))</f>
        <v/>
      </c>
      <c r="M114" s="9" t="str">
        <f aca="false">IF(N(F114)&gt;0,"IN",IF(N(G114)&gt;0,"OUT",""))</f>
        <v/>
      </c>
      <c r="N114" s="9" t="str">
        <f aca="false">IF(M114="","",M114&amp;"|"&amp;TEXT(ROUND(N(F114)+N(G114),2),"0.00"))</f>
        <v/>
      </c>
      <c r="O114" s="9" t="str">
        <f aca="false">IF(OR(N114="",TRIM(E114&amp;"")=""),"",N114&amp;"|"&amp;UPPER(TRIM(E114&amp;"")))</f>
        <v/>
      </c>
      <c r="P114" s="9" t="n">
        <f aca="false">IF(O114="",0,IFERROR(MATCH(O114,'Bank Statement'!$O$8:$O$507,0),0))</f>
        <v>0</v>
      </c>
      <c r="Q114" s="9" t="str">
        <f aca="false">IF(OR(N114="",P114&gt;0),"",N114&amp;"#"&amp;COUNTIFS($N$8:N114,N114,$P$8:P114,0))</f>
        <v/>
      </c>
      <c r="R114" s="9" t="n">
        <f aca="false">IF(Q114="",0,IFERROR(MATCH(Q114,'Bank Statement'!$Q$8:$Q$507,0),0))</f>
        <v>0</v>
      </c>
      <c r="S114" s="9" t="n">
        <f aca="false">IF(P114&gt;0,P114,R114)</f>
        <v>0</v>
      </c>
      <c r="T114" s="9" t="str">
        <f aca="false">IF(OR(S114=0,B114=""),"",INDEX('Bank Statement'!$B$8:$B$507,S114)-B114)</f>
        <v/>
      </c>
      <c r="U114" s="9" t="n">
        <f aca="false">IF(S114=0,0,IF(P114&gt;0,S114,IF(AND(ISNUMBER(T114),ABS(N(T114))&lt;=Setup!$C$11),S114,0)))</f>
        <v>0</v>
      </c>
      <c r="V114" s="9" t="str">
        <f aca="false">IF(AND(N114&lt;&gt;"",U114=0),IF(M114="OUT",1,2)*100000+ROW(),"")</f>
        <v/>
      </c>
      <c r="W114" s="9" t="n">
        <f aca="false">N(F114)+N(G114)</f>
        <v>0</v>
      </c>
    </row>
    <row r="115" customFormat="false" ht="15" hidden="false" customHeight="false" outlineLevel="0" collapsed="false">
      <c r="A115" s="37" t="str">
        <f aca="false">IF(M115="","",ROW()-7)</f>
        <v/>
      </c>
      <c r="B115" s="70"/>
      <c r="C115" s="71"/>
      <c r="D115" s="72"/>
      <c r="E115" s="71"/>
      <c r="F115" s="73"/>
      <c r="G115" s="73"/>
      <c r="H115" s="42" t="str">
        <f aca="false">IF(M115="","",IF(U115&gt;0,"✔ Matched",IF(M115="OUT","Not yet presented","Not yet credited")))</f>
        <v/>
      </c>
      <c r="I115" s="43" t="str">
        <f aca="false">IF(N(U115)&gt;0,U115,"")</f>
        <v/>
      </c>
      <c r="J115" s="44" t="str">
        <f aca="false">IF(N(U115)&gt;0,T115,"")</f>
        <v/>
      </c>
      <c r="K115" s="45" t="str">
        <f aca="false">IF(AND(M115="",B115="",D115=""),"",IF(AND(N(F115)&gt;0,N(G115)&gt;0),"⚠ Fill deposit OR payment",IF(M115="","⚠ Enter amount",IF(B115="","⚠ Enter date",IF(AND(Setup!$C$8&lt;&gt;"",B115&gt;Setup!$C$8),"⚠ Date after period",IF(AND(O115&lt;&gt;"",COUNTIF($O$8:$O$507,O115)&gt;1),"⚠ Cheque no. used twice","✔"))))))</f>
        <v/>
      </c>
      <c r="M115" s="9" t="str">
        <f aca="false">IF(N(F115)&gt;0,"IN",IF(N(G115)&gt;0,"OUT",""))</f>
        <v/>
      </c>
      <c r="N115" s="9" t="str">
        <f aca="false">IF(M115="","",M115&amp;"|"&amp;TEXT(ROUND(N(F115)+N(G115),2),"0.00"))</f>
        <v/>
      </c>
      <c r="O115" s="9" t="str">
        <f aca="false">IF(OR(N115="",TRIM(E115&amp;"")=""),"",N115&amp;"|"&amp;UPPER(TRIM(E115&amp;"")))</f>
        <v/>
      </c>
      <c r="P115" s="9" t="n">
        <f aca="false">IF(O115="",0,IFERROR(MATCH(O115,'Bank Statement'!$O$8:$O$507,0),0))</f>
        <v>0</v>
      </c>
      <c r="Q115" s="9" t="str">
        <f aca="false">IF(OR(N115="",P115&gt;0),"",N115&amp;"#"&amp;COUNTIFS($N$8:N115,N115,$P$8:P115,0))</f>
        <v/>
      </c>
      <c r="R115" s="9" t="n">
        <f aca="false">IF(Q115="",0,IFERROR(MATCH(Q115,'Bank Statement'!$Q$8:$Q$507,0),0))</f>
        <v>0</v>
      </c>
      <c r="S115" s="9" t="n">
        <f aca="false">IF(P115&gt;0,P115,R115)</f>
        <v>0</v>
      </c>
      <c r="T115" s="9" t="str">
        <f aca="false">IF(OR(S115=0,B115=""),"",INDEX('Bank Statement'!$B$8:$B$507,S115)-B115)</f>
        <v/>
      </c>
      <c r="U115" s="9" t="n">
        <f aca="false">IF(S115=0,0,IF(P115&gt;0,S115,IF(AND(ISNUMBER(T115),ABS(N(T115))&lt;=Setup!$C$11),S115,0)))</f>
        <v>0</v>
      </c>
      <c r="V115" s="9" t="str">
        <f aca="false">IF(AND(N115&lt;&gt;"",U115=0),IF(M115="OUT",1,2)*100000+ROW(),"")</f>
        <v/>
      </c>
      <c r="W115" s="9" t="n">
        <f aca="false">N(F115)+N(G115)</f>
        <v>0</v>
      </c>
    </row>
    <row r="116" customFormat="false" ht="15" hidden="false" customHeight="false" outlineLevel="0" collapsed="false">
      <c r="A116" s="37" t="str">
        <f aca="false">IF(M116="","",ROW()-7)</f>
        <v/>
      </c>
      <c r="B116" s="70"/>
      <c r="C116" s="71"/>
      <c r="D116" s="72"/>
      <c r="E116" s="71"/>
      <c r="F116" s="73"/>
      <c r="G116" s="73"/>
      <c r="H116" s="42" t="str">
        <f aca="false">IF(M116="","",IF(U116&gt;0,"✔ Matched",IF(M116="OUT","Not yet presented","Not yet credited")))</f>
        <v/>
      </c>
      <c r="I116" s="43" t="str">
        <f aca="false">IF(N(U116)&gt;0,U116,"")</f>
        <v/>
      </c>
      <c r="J116" s="44" t="str">
        <f aca="false">IF(N(U116)&gt;0,T116,"")</f>
        <v/>
      </c>
      <c r="K116" s="45" t="str">
        <f aca="false">IF(AND(M116="",B116="",D116=""),"",IF(AND(N(F116)&gt;0,N(G116)&gt;0),"⚠ Fill deposit OR payment",IF(M116="","⚠ Enter amount",IF(B116="","⚠ Enter date",IF(AND(Setup!$C$8&lt;&gt;"",B116&gt;Setup!$C$8),"⚠ Date after period",IF(AND(O116&lt;&gt;"",COUNTIF($O$8:$O$507,O116)&gt;1),"⚠ Cheque no. used twice","✔"))))))</f>
        <v/>
      </c>
      <c r="M116" s="9" t="str">
        <f aca="false">IF(N(F116)&gt;0,"IN",IF(N(G116)&gt;0,"OUT",""))</f>
        <v/>
      </c>
      <c r="N116" s="9" t="str">
        <f aca="false">IF(M116="","",M116&amp;"|"&amp;TEXT(ROUND(N(F116)+N(G116),2),"0.00"))</f>
        <v/>
      </c>
      <c r="O116" s="9" t="str">
        <f aca="false">IF(OR(N116="",TRIM(E116&amp;"")=""),"",N116&amp;"|"&amp;UPPER(TRIM(E116&amp;"")))</f>
        <v/>
      </c>
      <c r="P116" s="9" t="n">
        <f aca="false">IF(O116="",0,IFERROR(MATCH(O116,'Bank Statement'!$O$8:$O$507,0),0))</f>
        <v>0</v>
      </c>
      <c r="Q116" s="9" t="str">
        <f aca="false">IF(OR(N116="",P116&gt;0),"",N116&amp;"#"&amp;COUNTIFS($N$8:N116,N116,$P$8:P116,0))</f>
        <v/>
      </c>
      <c r="R116" s="9" t="n">
        <f aca="false">IF(Q116="",0,IFERROR(MATCH(Q116,'Bank Statement'!$Q$8:$Q$507,0),0))</f>
        <v>0</v>
      </c>
      <c r="S116" s="9" t="n">
        <f aca="false">IF(P116&gt;0,P116,R116)</f>
        <v>0</v>
      </c>
      <c r="T116" s="9" t="str">
        <f aca="false">IF(OR(S116=0,B116=""),"",INDEX('Bank Statement'!$B$8:$B$507,S116)-B116)</f>
        <v/>
      </c>
      <c r="U116" s="9" t="n">
        <f aca="false">IF(S116=0,0,IF(P116&gt;0,S116,IF(AND(ISNUMBER(T116),ABS(N(T116))&lt;=Setup!$C$11),S116,0)))</f>
        <v>0</v>
      </c>
      <c r="V116" s="9" t="str">
        <f aca="false">IF(AND(N116&lt;&gt;"",U116=0),IF(M116="OUT",1,2)*100000+ROW(),"")</f>
        <v/>
      </c>
      <c r="W116" s="9" t="n">
        <f aca="false">N(F116)+N(G116)</f>
        <v>0</v>
      </c>
    </row>
    <row r="117" customFormat="false" ht="15" hidden="false" customHeight="false" outlineLevel="0" collapsed="false">
      <c r="A117" s="37" t="str">
        <f aca="false">IF(M117="","",ROW()-7)</f>
        <v/>
      </c>
      <c r="B117" s="70"/>
      <c r="C117" s="71"/>
      <c r="D117" s="72"/>
      <c r="E117" s="71"/>
      <c r="F117" s="73"/>
      <c r="G117" s="73"/>
      <c r="H117" s="42" t="str">
        <f aca="false">IF(M117="","",IF(U117&gt;0,"✔ Matched",IF(M117="OUT","Not yet presented","Not yet credited")))</f>
        <v/>
      </c>
      <c r="I117" s="43" t="str">
        <f aca="false">IF(N(U117)&gt;0,U117,"")</f>
        <v/>
      </c>
      <c r="J117" s="44" t="str">
        <f aca="false">IF(N(U117)&gt;0,T117,"")</f>
        <v/>
      </c>
      <c r="K117" s="45" t="str">
        <f aca="false">IF(AND(M117="",B117="",D117=""),"",IF(AND(N(F117)&gt;0,N(G117)&gt;0),"⚠ Fill deposit OR payment",IF(M117="","⚠ Enter amount",IF(B117="","⚠ Enter date",IF(AND(Setup!$C$8&lt;&gt;"",B117&gt;Setup!$C$8),"⚠ Date after period",IF(AND(O117&lt;&gt;"",COUNTIF($O$8:$O$507,O117)&gt;1),"⚠ Cheque no. used twice","✔"))))))</f>
        <v/>
      </c>
      <c r="M117" s="9" t="str">
        <f aca="false">IF(N(F117)&gt;0,"IN",IF(N(G117)&gt;0,"OUT",""))</f>
        <v/>
      </c>
      <c r="N117" s="9" t="str">
        <f aca="false">IF(M117="","",M117&amp;"|"&amp;TEXT(ROUND(N(F117)+N(G117),2),"0.00"))</f>
        <v/>
      </c>
      <c r="O117" s="9" t="str">
        <f aca="false">IF(OR(N117="",TRIM(E117&amp;"")=""),"",N117&amp;"|"&amp;UPPER(TRIM(E117&amp;"")))</f>
        <v/>
      </c>
      <c r="P117" s="9" t="n">
        <f aca="false">IF(O117="",0,IFERROR(MATCH(O117,'Bank Statement'!$O$8:$O$507,0),0))</f>
        <v>0</v>
      </c>
      <c r="Q117" s="9" t="str">
        <f aca="false">IF(OR(N117="",P117&gt;0),"",N117&amp;"#"&amp;COUNTIFS($N$8:N117,N117,$P$8:P117,0))</f>
        <v/>
      </c>
      <c r="R117" s="9" t="n">
        <f aca="false">IF(Q117="",0,IFERROR(MATCH(Q117,'Bank Statement'!$Q$8:$Q$507,0),0))</f>
        <v>0</v>
      </c>
      <c r="S117" s="9" t="n">
        <f aca="false">IF(P117&gt;0,P117,R117)</f>
        <v>0</v>
      </c>
      <c r="T117" s="9" t="str">
        <f aca="false">IF(OR(S117=0,B117=""),"",INDEX('Bank Statement'!$B$8:$B$507,S117)-B117)</f>
        <v/>
      </c>
      <c r="U117" s="9" t="n">
        <f aca="false">IF(S117=0,0,IF(P117&gt;0,S117,IF(AND(ISNUMBER(T117),ABS(N(T117))&lt;=Setup!$C$11),S117,0)))</f>
        <v>0</v>
      </c>
      <c r="V117" s="9" t="str">
        <f aca="false">IF(AND(N117&lt;&gt;"",U117=0),IF(M117="OUT",1,2)*100000+ROW(),"")</f>
        <v/>
      </c>
      <c r="W117" s="9" t="n">
        <f aca="false">N(F117)+N(G117)</f>
        <v>0</v>
      </c>
    </row>
    <row r="118" customFormat="false" ht="15" hidden="false" customHeight="false" outlineLevel="0" collapsed="false">
      <c r="A118" s="37" t="str">
        <f aca="false">IF(M118="","",ROW()-7)</f>
        <v/>
      </c>
      <c r="B118" s="70"/>
      <c r="C118" s="71"/>
      <c r="D118" s="72"/>
      <c r="E118" s="71"/>
      <c r="F118" s="73"/>
      <c r="G118" s="73"/>
      <c r="H118" s="42" t="str">
        <f aca="false">IF(M118="","",IF(U118&gt;0,"✔ Matched",IF(M118="OUT","Not yet presented","Not yet credited")))</f>
        <v/>
      </c>
      <c r="I118" s="43" t="str">
        <f aca="false">IF(N(U118)&gt;0,U118,"")</f>
        <v/>
      </c>
      <c r="J118" s="44" t="str">
        <f aca="false">IF(N(U118)&gt;0,T118,"")</f>
        <v/>
      </c>
      <c r="K118" s="45" t="str">
        <f aca="false">IF(AND(M118="",B118="",D118=""),"",IF(AND(N(F118)&gt;0,N(G118)&gt;0),"⚠ Fill deposit OR payment",IF(M118="","⚠ Enter amount",IF(B118="","⚠ Enter date",IF(AND(Setup!$C$8&lt;&gt;"",B118&gt;Setup!$C$8),"⚠ Date after period",IF(AND(O118&lt;&gt;"",COUNTIF($O$8:$O$507,O118)&gt;1),"⚠ Cheque no. used twice","✔"))))))</f>
        <v/>
      </c>
      <c r="M118" s="9" t="str">
        <f aca="false">IF(N(F118)&gt;0,"IN",IF(N(G118)&gt;0,"OUT",""))</f>
        <v/>
      </c>
      <c r="N118" s="9" t="str">
        <f aca="false">IF(M118="","",M118&amp;"|"&amp;TEXT(ROUND(N(F118)+N(G118),2),"0.00"))</f>
        <v/>
      </c>
      <c r="O118" s="9" t="str">
        <f aca="false">IF(OR(N118="",TRIM(E118&amp;"")=""),"",N118&amp;"|"&amp;UPPER(TRIM(E118&amp;"")))</f>
        <v/>
      </c>
      <c r="P118" s="9" t="n">
        <f aca="false">IF(O118="",0,IFERROR(MATCH(O118,'Bank Statement'!$O$8:$O$507,0),0))</f>
        <v>0</v>
      </c>
      <c r="Q118" s="9" t="str">
        <f aca="false">IF(OR(N118="",P118&gt;0),"",N118&amp;"#"&amp;COUNTIFS($N$8:N118,N118,$P$8:P118,0))</f>
        <v/>
      </c>
      <c r="R118" s="9" t="n">
        <f aca="false">IF(Q118="",0,IFERROR(MATCH(Q118,'Bank Statement'!$Q$8:$Q$507,0),0))</f>
        <v>0</v>
      </c>
      <c r="S118" s="9" t="n">
        <f aca="false">IF(P118&gt;0,P118,R118)</f>
        <v>0</v>
      </c>
      <c r="T118" s="9" t="str">
        <f aca="false">IF(OR(S118=0,B118=""),"",INDEX('Bank Statement'!$B$8:$B$507,S118)-B118)</f>
        <v/>
      </c>
      <c r="U118" s="9" t="n">
        <f aca="false">IF(S118=0,0,IF(P118&gt;0,S118,IF(AND(ISNUMBER(T118),ABS(N(T118))&lt;=Setup!$C$11),S118,0)))</f>
        <v>0</v>
      </c>
      <c r="V118" s="9" t="str">
        <f aca="false">IF(AND(N118&lt;&gt;"",U118=0),IF(M118="OUT",1,2)*100000+ROW(),"")</f>
        <v/>
      </c>
      <c r="W118" s="9" t="n">
        <f aca="false">N(F118)+N(G118)</f>
        <v>0</v>
      </c>
    </row>
    <row r="119" customFormat="false" ht="15" hidden="false" customHeight="false" outlineLevel="0" collapsed="false">
      <c r="A119" s="37" t="str">
        <f aca="false">IF(M119="","",ROW()-7)</f>
        <v/>
      </c>
      <c r="B119" s="70"/>
      <c r="C119" s="71"/>
      <c r="D119" s="72"/>
      <c r="E119" s="71"/>
      <c r="F119" s="73"/>
      <c r="G119" s="73"/>
      <c r="H119" s="42" t="str">
        <f aca="false">IF(M119="","",IF(U119&gt;0,"✔ Matched",IF(M119="OUT","Not yet presented","Not yet credited")))</f>
        <v/>
      </c>
      <c r="I119" s="43" t="str">
        <f aca="false">IF(N(U119)&gt;0,U119,"")</f>
        <v/>
      </c>
      <c r="J119" s="44" t="str">
        <f aca="false">IF(N(U119)&gt;0,T119,"")</f>
        <v/>
      </c>
      <c r="K119" s="45" t="str">
        <f aca="false">IF(AND(M119="",B119="",D119=""),"",IF(AND(N(F119)&gt;0,N(G119)&gt;0),"⚠ Fill deposit OR payment",IF(M119="","⚠ Enter amount",IF(B119="","⚠ Enter date",IF(AND(Setup!$C$8&lt;&gt;"",B119&gt;Setup!$C$8),"⚠ Date after period",IF(AND(O119&lt;&gt;"",COUNTIF($O$8:$O$507,O119)&gt;1),"⚠ Cheque no. used twice","✔"))))))</f>
        <v/>
      </c>
      <c r="M119" s="9" t="str">
        <f aca="false">IF(N(F119)&gt;0,"IN",IF(N(G119)&gt;0,"OUT",""))</f>
        <v/>
      </c>
      <c r="N119" s="9" t="str">
        <f aca="false">IF(M119="","",M119&amp;"|"&amp;TEXT(ROUND(N(F119)+N(G119),2),"0.00"))</f>
        <v/>
      </c>
      <c r="O119" s="9" t="str">
        <f aca="false">IF(OR(N119="",TRIM(E119&amp;"")=""),"",N119&amp;"|"&amp;UPPER(TRIM(E119&amp;"")))</f>
        <v/>
      </c>
      <c r="P119" s="9" t="n">
        <f aca="false">IF(O119="",0,IFERROR(MATCH(O119,'Bank Statement'!$O$8:$O$507,0),0))</f>
        <v>0</v>
      </c>
      <c r="Q119" s="9" t="str">
        <f aca="false">IF(OR(N119="",P119&gt;0),"",N119&amp;"#"&amp;COUNTIFS($N$8:N119,N119,$P$8:P119,0))</f>
        <v/>
      </c>
      <c r="R119" s="9" t="n">
        <f aca="false">IF(Q119="",0,IFERROR(MATCH(Q119,'Bank Statement'!$Q$8:$Q$507,0),0))</f>
        <v>0</v>
      </c>
      <c r="S119" s="9" t="n">
        <f aca="false">IF(P119&gt;0,P119,R119)</f>
        <v>0</v>
      </c>
      <c r="T119" s="9" t="str">
        <f aca="false">IF(OR(S119=0,B119=""),"",INDEX('Bank Statement'!$B$8:$B$507,S119)-B119)</f>
        <v/>
      </c>
      <c r="U119" s="9" t="n">
        <f aca="false">IF(S119=0,0,IF(P119&gt;0,S119,IF(AND(ISNUMBER(T119),ABS(N(T119))&lt;=Setup!$C$11),S119,0)))</f>
        <v>0</v>
      </c>
      <c r="V119" s="9" t="str">
        <f aca="false">IF(AND(N119&lt;&gt;"",U119=0),IF(M119="OUT",1,2)*100000+ROW(),"")</f>
        <v/>
      </c>
      <c r="W119" s="9" t="n">
        <f aca="false">N(F119)+N(G119)</f>
        <v>0</v>
      </c>
    </row>
    <row r="120" customFormat="false" ht="15" hidden="false" customHeight="false" outlineLevel="0" collapsed="false">
      <c r="A120" s="37" t="str">
        <f aca="false">IF(M120="","",ROW()-7)</f>
        <v/>
      </c>
      <c r="B120" s="70"/>
      <c r="C120" s="71"/>
      <c r="D120" s="72"/>
      <c r="E120" s="71"/>
      <c r="F120" s="73"/>
      <c r="G120" s="73"/>
      <c r="H120" s="42" t="str">
        <f aca="false">IF(M120="","",IF(U120&gt;0,"✔ Matched",IF(M120="OUT","Not yet presented","Not yet credited")))</f>
        <v/>
      </c>
      <c r="I120" s="43" t="str">
        <f aca="false">IF(N(U120)&gt;0,U120,"")</f>
        <v/>
      </c>
      <c r="J120" s="44" t="str">
        <f aca="false">IF(N(U120)&gt;0,T120,"")</f>
        <v/>
      </c>
      <c r="K120" s="45" t="str">
        <f aca="false">IF(AND(M120="",B120="",D120=""),"",IF(AND(N(F120)&gt;0,N(G120)&gt;0),"⚠ Fill deposit OR payment",IF(M120="","⚠ Enter amount",IF(B120="","⚠ Enter date",IF(AND(Setup!$C$8&lt;&gt;"",B120&gt;Setup!$C$8),"⚠ Date after period",IF(AND(O120&lt;&gt;"",COUNTIF($O$8:$O$507,O120)&gt;1),"⚠ Cheque no. used twice","✔"))))))</f>
        <v/>
      </c>
      <c r="M120" s="9" t="str">
        <f aca="false">IF(N(F120)&gt;0,"IN",IF(N(G120)&gt;0,"OUT",""))</f>
        <v/>
      </c>
      <c r="N120" s="9" t="str">
        <f aca="false">IF(M120="","",M120&amp;"|"&amp;TEXT(ROUND(N(F120)+N(G120),2),"0.00"))</f>
        <v/>
      </c>
      <c r="O120" s="9" t="str">
        <f aca="false">IF(OR(N120="",TRIM(E120&amp;"")=""),"",N120&amp;"|"&amp;UPPER(TRIM(E120&amp;"")))</f>
        <v/>
      </c>
      <c r="P120" s="9" t="n">
        <f aca="false">IF(O120="",0,IFERROR(MATCH(O120,'Bank Statement'!$O$8:$O$507,0),0))</f>
        <v>0</v>
      </c>
      <c r="Q120" s="9" t="str">
        <f aca="false">IF(OR(N120="",P120&gt;0),"",N120&amp;"#"&amp;COUNTIFS($N$8:N120,N120,$P$8:P120,0))</f>
        <v/>
      </c>
      <c r="R120" s="9" t="n">
        <f aca="false">IF(Q120="",0,IFERROR(MATCH(Q120,'Bank Statement'!$Q$8:$Q$507,0),0))</f>
        <v>0</v>
      </c>
      <c r="S120" s="9" t="n">
        <f aca="false">IF(P120&gt;0,P120,R120)</f>
        <v>0</v>
      </c>
      <c r="T120" s="9" t="str">
        <f aca="false">IF(OR(S120=0,B120=""),"",INDEX('Bank Statement'!$B$8:$B$507,S120)-B120)</f>
        <v/>
      </c>
      <c r="U120" s="9" t="n">
        <f aca="false">IF(S120=0,0,IF(P120&gt;0,S120,IF(AND(ISNUMBER(T120),ABS(N(T120))&lt;=Setup!$C$11),S120,0)))</f>
        <v>0</v>
      </c>
      <c r="V120" s="9" t="str">
        <f aca="false">IF(AND(N120&lt;&gt;"",U120=0),IF(M120="OUT",1,2)*100000+ROW(),"")</f>
        <v/>
      </c>
      <c r="W120" s="9" t="n">
        <f aca="false">N(F120)+N(G120)</f>
        <v>0</v>
      </c>
    </row>
    <row r="121" customFormat="false" ht="15" hidden="false" customHeight="false" outlineLevel="0" collapsed="false">
      <c r="A121" s="37" t="str">
        <f aca="false">IF(M121="","",ROW()-7)</f>
        <v/>
      </c>
      <c r="B121" s="70"/>
      <c r="C121" s="71"/>
      <c r="D121" s="72"/>
      <c r="E121" s="71"/>
      <c r="F121" s="73"/>
      <c r="G121" s="73"/>
      <c r="H121" s="42" t="str">
        <f aca="false">IF(M121="","",IF(U121&gt;0,"✔ Matched",IF(M121="OUT","Not yet presented","Not yet credited")))</f>
        <v/>
      </c>
      <c r="I121" s="43" t="str">
        <f aca="false">IF(N(U121)&gt;0,U121,"")</f>
        <v/>
      </c>
      <c r="J121" s="44" t="str">
        <f aca="false">IF(N(U121)&gt;0,T121,"")</f>
        <v/>
      </c>
      <c r="K121" s="45" t="str">
        <f aca="false">IF(AND(M121="",B121="",D121=""),"",IF(AND(N(F121)&gt;0,N(G121)&gt;0),"⚠ Fill deposit OR payment",IF(M121="","⚠ Enter amount",IF(B121="","⚠ Enter date",IF(AND(Setup!$C$8&lt;&gt;"",B121&gt;Setup!$C$8),"⚠ Date after period",IF(AND(O121&lt;&gt;"",COUNTIF($O$8:$O$507,O121)&gt;1),"⚠ Cheque no. used twice","✔"))))))</f>
        <v/>
      </c>
      <c r="M121" s="9" t="str">
        <f aca="false">IF(N(F121)&gt;0,"IN",IF(N(G121)&gt;0,"OUT",""))</f>
        <v/>
      </c>
      <c r="N121" s="9" t="str">
        <f aca="false">IF(M121="","",M121&amp;"|"&amp;TEXT(ROUND(N(F121)+N(G121),2),"0.00"))</f>
        <v/>
      </c>
      <c r="O121" s="9" t="str">
        <f aca="false">IF(OR(N121="",TRIM(E121&amp;"")=""),"",N121&amp;"|"&amp;UPPER(TRIM(E121&amp;"")))</f>
        <v/>
      </c>
      <c r="P121" s="9" t="n">
        <f aca="false">IF(O121="",0,IFERROR(MATCH(O121,'Bank Statement'!$O$8:$O$507,0),0))</f>
        <v>0</v>
      </c>
      <c r="Q121" s="9" t="str">
        <f aca="false">IF(OR(N121="",P121&gt;0),"",N121&amp;"#"&amp;COUNTIFS($N$8:N121,N121,$P$8:P121,0))</f>
        <v/>
      </c>
      <c r="R121" s="9" t="n">
        <f aca="false">IF(Q121="",0,IFERROR(MATCH(Q121,'Bank Statement'!$Q$8:$Q$507,0),0))</f>
        <v>0</v>
      </c>
      <c r="S121" s="9" t="n">
        <f aca="false">IF(P121&gt;0,P121,R121)</f>
        <v>0</v>
      </c>
      <c r="T121" s="9" t="str">
        <f aca="false">IF(OR(S121=0,B121=""),"",INDEX('Bank Statement'!$B$8:$B$507,S121)-B121)</f>
        <v/>
      </c>
      <c r="U121" s="9" t="n">
        <f aca="false">IF(S121=0,0,IF(P121&gt;0,S121,IF(AND(ISNUMBER(T121),ABS(N(T121))&lt;=Setup!$C$11),S121,0)))</f>
        <v>0</v>
      </c>
      <c r="V121" s="9" t="str">
        <f aca="false">IF(AND(N121&lt;&gt;"",U121=0),IF(M121="OUT",1,2)*100000+ROW(),"")</f>
        <v/>
      </c>
      <c r="W121" s="9" t="n">
        <f aca="false">N(F121)+N(G121)</f>
        <v>0</v>
      </c>
    </row>
    <row r="122" customFormat="false" ht="15" hidden="false" customHeight="false" outlineLevel="0" collapsed="false">
      <c r="A122" s="37" t="str">
        <f aca="false">IF(M122="","",ROW()-7)</f>
        <v/>
      </c>
      <c r="B122" s="70"/>
      <c r="C122" s="71"/>
      <c r="D122" s="72"/>
      <c r="E122" s="71"/>
      <c r="F122" s="73"/>
      <c r="G122" s="73"/>
      <c r="H122" s="42" t="str">
        <f aca="false">IF(M122="","",IF(U122&gt;0,"✔ Matched",IF(M122="OUT","Not yet presented","Not yet credited")))</f>
        <v/>
      </c>
      <c r="I122" s="43" t="str">
        <f aca="false">IF(N(U122)&gt;0,U122,"")</f>
        <v/>
      </c>
      <c r="J122" s="44" t="str">
        <f aca="false">IF(N(U122)&gt;0,T122,"")</f>
        <v/>
      </c>
      <c r="K122" s="45" t="str">
        <f aca="false">IF(AND(M122="",B122="",D122=""),"",IF(AND(N(F122)&gt;0,N(G122)&gt;0),"⚠ Fill deposit OR payment",IF(M122="","⚠ Enter amount",IF(B122="","⚠ Enter date",IF(AND(Setup!$C$8&lt;&gt;"",B122&gt;Setup!$C$8),"⚠ Date after period",IF(AND(O122&lt;&gt;"",COUNTIF($O$8:$O$507,O122)&gt;1),"⚠ Cheque no. used twice","✔"))))))</f>
        <v/>
      </c>
      <c r="M122" s="9" t="str">
        <f aca="false">IF(N(F122)&gt;0,"IN",IF(N(G122)&gt;0,"OUT",""))</f>
        <v/>
      </c>
      <c r="N122" s="9" t="str">
        <f aca="false">IF(M122="","",M122&amp;"|"&amp;TEXT(ROUND(N(F122)+N(G122),2),"0.00"))</f>
        <v/>
      </c>
      <c r="O122" s="9" t="str">
        <f aca="false">IF(OR(N122="",TRIM(E122&amp;"")=""),"",N122&amp;"|"&amp;UPPER(TRIM(E122&amp;"")))</f>
        <v/>
      </c>
      <c r="P122" s="9" t="n">
        <f aca="false">IF(O122="",0,IFERROR(MATCH(O122,'Bank Statement'!$O$8:$O$507,0),0))</f>
        <v>0</v>
      </c>
      <c r="Q122" s="9" t="str">
        <f aca="false">IF(OR(N122="",P122&gt;0),"",N122&amp;"#"&amp;COUNTIFS($N$8:N122,N122,$P$8:P122,0))</f>
        <v/>
      </c>
      <c r="R122" s="9" t="n">
        <f aca="false">IF(Q122="",0,IFERROR(MATCH(Q122,'Bank Statement'!$Q$8:$Q$507,0),0))</f>
        <v>0</v>
      </c>
      <c r="S122" s="9" t="n">
        <f aca="false">IF(P122&gt;0,P122,R122)</f>
        <v>0</v>
      </c>
      <c r="T122" s="9" t="str">
        <f aca="false">IF(OR(S122=0,B122=""),"",INDEX('Bank Statement'!$B$8:$B$507,S122)-B122)</f>
        <v/>
      </c>
      <c r="U122" s="9" t="n">
        <f aca="false">IF(S122=0,0,IF(P122&gt;0,S122,IF(AND(ISNUMBER(T122),ABS(N(T122))&lt;=Setup!$C$11),S122,0)))</f>
        <v>0</v>
      </c>
      <c r="V122" s="9" t="str">
        <f aca="false">IF(AND(N122&lt;&gt;"",U122=0),IF(M122="OUT",1,2)*100000+ROW(),"")</f>
        <v/>
      </c>
      <c r="W122" s="9" t="n">
        <f aca="false">N(F122)+N(G122)</f>
        <v>0</v>
      </c>
    </row>
    <row r="123" customFormat="false" ht="15" hidden="false" customHeight="false" outlineLevel="0" collapsed="false">
      <c r="A123" s="37" t="str">
        <f aca="false">IF(M123="","",ROW()-7)</f>
        <v/>
      </c>
      <c r="B123" s="70"/>
      <c r="C123" s="71"/>
      <c r="D123" s="72"/>
      <c r="E123" s="71"/>
      <c r="F123" s="73"/>
      <c r="G123" s="73"/>
      <c r="H123" s="42" t="str">
        <f aca="false">IF(M123="","",IF(U123&gt;0,"✔ Matched",IF(M123="OUT","Not yet presented","Not yet credited")))</f>
        <v/>
      </c>
      <c r="I123" s="43" t="str">
        <f aca="false">IF(N(U123)&gt;0,U123,"")</f>
        <v/>
      </c>
      <c r="J123" s="44" t="str">
        <f aca="false">IF(N(U123)&gt;0,T123,"")</f>
        <v/>
      </c>
      <c r="K123" s="45" t="str">
        <f aca="false">IF(AND(M123="",B123="",D123=""),"",IF(AND(N(F123)&gt;0,N(G123)&gt;0),"⚠ Fill deposit OR payment",IF(M123="","⚠ Enter amount",IF(B123="","⚠ Enter date",IF(AND(Setup!$C$8&lt;&gt;"",B123&gt;Setup!$C$8),"⚠ Date after period",IF(AND(O123&lt;&gt;"",COUNTIF($O$8:$O$507,O123)&gt;1),"⚠ Cheque no. used twice","✔"))))))</f>
        <v/>
      </c>
      <c r="M123" s="9" t="str">
        <f aca="false">IF(N(F123)&gt;0,"IN",IF(N(G123)&gt;0,"OUT",""))</f>
        <v/>
      </c>
      <c r="N123" s="9" t="str">
        <f aca="false">IF(M123="","",M123&amp;"|"&amp;TEXT(ROUND(N(F123)+N(G123),2),"0.00"))</f>
        <v/>
      </c>
      <c r="O123" s="9" t="str">
        <f aca="false">IF(OR(N123="",TRIM(E123&amp;"")=""),"",N123&amp;"|"&amp;UPPER(TRIM(E123&amp;"")))</f>
        <v/>
      </c>
      <c r="P123" s="9" t="n">
        <f aca="false">IF(O123="",0,IFERROR(MATCH(O123,'Bank Statement'!$O$8:$O$507,0),0))</f>
        <v>0</v>
      </c>
      <c r="Q123" s="9" t="str">
        <f aca="false">IF(OR(N123="",P123&gt;0),"",N123&amp;"#"&amp;COUNTIFS($N$8:N123,N123,$P$8:P123,0))</f>
        <v/>
      </c>
      <c r="R123" s="9" t="n">
        <f aca="false">IF(Q123="",0,IFERROR(MATCH(Q123,'Bank Statement'!$Q$8:$Q$507,0),0))</f>
        <v>0</v>
      </c>
      <c r="S123" s="9" t="n">
        <f aca="false">IF(P123&gt;0,P123,R123)</f>
        <v>0</v>
      </c>
      <c r="T123" s="9" t="str">
        <f aca="false">IF(OR(S123=0,B123=""),"",INDEX('Bank Statement'!$B$8:$B$507,S123)-B123)</f>
        <v/>
      </c>
      <c r="U123" s="9" t="n">
        <f aca="false">IF(S123=0,0,IF(P123&gt;0,S123,IF(AND(ISNUMBER(T123),ABS(N(T123))&lt;=Setup!$C$11),S123,0)))</f>
        <v>0</v>
      </c>
      <c r="V123" s="9" t="str">
        <f aca="false">IF(AND(N123&lt;&gt;"",U123=0),IF(M123="OUT",1,2)*100000+ROW(),"")</f>
        <v/>
      </c>
      <c r="W123" s="9" t="n">
        <f aca="false">N(F123)+N(G123)</f>
        <v>0</v>
      </c>
    </row>
    <row r="124" customFormat="false" ht="15" hidden="false" customHeight="false" outlineLevel="0" collapsed="false">
      <c r="A124" s="37" t="str">
        <f aca="false">IF(M124="","",ROW()-7)</f>
        <v/>
      </c>
      <c r="B124" s="70"/>
      <c r="C124" s="71"/>
      <c r="D124" s="72"/>
      <c r="E124" s="71"/>
      <c r="F124" s="73"/>
      <c r="G124" s="73"/>
      <c r="H124" s="42" t="str">
        <f aca="false">IF(M124="","",IF(U124&gt;0,"✔ Matched",IF(M124="OUT","Not yet presented","Not yet credited")))</f>
        <v/>
      </c>
      <c r="I124" s="43" t="str">
        <f aca="false">IF(N(U124)&gt;0,U124,"")</f>
        <v/>
      </c>
      <c r="J124" s="44" t="str">
        <f aca="false">IF(N(U124)&gt;0,T124,"")</f>
        <v/>
      </c>
      <c r="K124" s="45" t="str">
        <f aca="false">IF(AND(M124="",B124="",D124=""),"",IF(AND(N(F124)&gt;0,N(G124)&gt;0),"⚠ Fill deposit OR payment",IF(M124="","⚠ Enter amount",IF(B124="","⚠ Enter date",IF(AND(Setup!$C$8&lt;&gt;"",B124&gt;Setup!$C$8),"⚠ Date after period",IF(AND(O124&lt;&gt;"",COUNTIF($O$8:$O$507,O124)&gt;1),"⚠ Cheque no. used twice","✔"))))))</f>
        <v/>
      </c>
      <c r="M124" s="9" t="str">
        <f aca="false">IF(N(F124)&gt;0,"IN",IF(N(G124)&gt;0,"OUT",""))</f>
        <v/>
      </c>
      <c r="N124" s="9" t="str">
        <f aca="false">IF(M124="","",M124&amp;"|"&amp;TEXT(ROUND(N(F124)+N(G124),2),"0.00"))</f>
        <v/>
      </c>
      <c r="O124" s="9" t="str">
        <f aca="false">IF(OR(N124="",TRIM(E124&amp;"")=""),"",N124&amp;"|"&amp;UPPER(TRIM(E124&amp;"")))</f>
        <v/>
      </c>
      <c r="P124" s="9" t="n">
        <f aca="false">IF(O124="",0,IFERROR(MATCH(O124,'Bank Statement'!$O$8:$O$507,0),0))</f>
        <v>0</v>
      </c>
      <c r="Q124" s="9" t="str">
        <f aca="false">IF(OR(N124="",P124&gt;0),"",N124&amp;"#"&amp;COUNTIFS($N$8:N124,N124,$P$8:P124,0))</f>
        <v/>
      </c>
      <c r="R124" s="9" t="n">
        <f aca="false">IF(Q124="",0,IFERROR(MATCH(Q124,'Bank Statement'!$Q$8:$Q$507,0),0))</f>
        <v>0</v>
      </c>
      <c r="S124" s="9" t="n">
        <f aca="false">IF(P124&gt;0,P124,R124)</f>
        <v>0</v>
      </c>
      <c r="T124" s="9" t="str">
        <f aca="false">IF(OR(S124=0,B124=""),"",INDEX('Bank Statement'!$B$8:$B$507,S124)-B124)</f>
        <v/>
      </c>
      <c r="U124" s="9" t="n">
        <f aca="false">IF(S124=0,0,IF(P124&gt;0,S124,IF(AND(ISNUMBER(T124),ABS(N(T124))&lt;=Setup!$C$11),S124,0)))</f>
        <v>0</v>
      </c>
      <c r="V124" s="9" t="str">
        <f aca="false">IF(AND(N124&lt;&gt;"",U124=0),IF(M124="OUT",1,2)*100000+ROW(),"")</f>
        <v/>
      </c>
      <c r="W124" s="9" t="n">
        <f aca="false">N(F124)+N(G124)</f>
        <v>0</v>
      </c>
    </row>
    <row r="125" customFormat="false" ht="15" hidden="false" customHeight="false" outlineLevel="0" collapsed="false">
      <c r="A125" s="37" t="str">
        <f aca="false">IF(M125="","",ROW()-7)</f>
        <v/>
      </c>
      <c r="B125" s="70"/>
      <c r="C125" s="71"/>
      <c r="D125" s="72"/>
      <c r="E125" s="71"/>
      <c r="F125" s="73"/>
      <c r="G125" s="73"/>
      <c r="H125" s="42" t="str">
        <f aca="false">IF(M125="","",IF(U125&gt;0,"✔ Matched",IF(M125="OUT","Not yet presented","Not yet credited")))</f>
        <v/>
      </c>
      <c r="I125" s="43" t="str">
        <f aca="false">IF(N(U125)&gt;0,U125,"")</f>
        <v/>
      </c>
      <c r="J125" s="44" t="str">
        <f aca="false">IF(N(U125)&gt;0,T125,"")</f>
        <v/>
      </c>
      <c r="K125" s="45" t="str">
        <f aca="false">IF(AND(M125="",B125="",D125=""),"",IF(AND(N(F125)&gt;0,N(G125)&gt;0),"⚠ Fill deposit OR payment",IF(M125="","⚠ Enter amount",IF(B125="","⚠ Enter date",IF(AND(Setup!$C$8&lt;&gt;"",B125&gt;Setup!$C$8),"⚠ Date after period",IF(AND(O125&lt;&gt;"",COUNTIF($O$8:$O$507,O125)&gt;1),"⚠ Cheque no. used twice","✔"))))))</f>
        <v/>
      </c>
      <c r="M125" s="9" t="str">
        <f aca="false">IF(N(F125)&gt;0,"IN",IF(N(G125)&gt;0,"OUT",""))</f>
        <v/>
      </c>
      <c r="N125" s="9" t="str">
        <f aca="false">IF(M125="","",M125&amp;"|"&amp;TEXT(ROUND(N(F125)+N(G125),2),"0.00"))</f>
        <v/>
      </c>
      <c r="O125" s="9" t="str">
        <f aca="false">IF(OR(N125="",TRIM(E125&amp;"")=""),"",N125&amp;"|"&amp;UPPER(TRIM(E125&amp;"")))</f>
        <v/>
      </c>
      <c r="P125" s="9" t="n">
        <f aca="false">IF(O125="",0,IFERROR(MATCH(O125,'Bank Statement'!$O$8:$O$507,0),0))</f>
        <v>0</v>
      </c>
      <c r="Q125" s="9" t="str">
        <f aca="false">IF(OR(N125="",P125&gt;0),"",N125&amp;"#"&amp;COUNTIFS($N$8:N125,N125,$P$8:P125,0))</f>
        <v/>
      </c>
      <c r="R125" s="9" t="n">
        <f aca="false">IF(Q125="",0,IFERROR(MATCH(Q125,'Bank Statement'!$Q$8:$Q$507,0),0))</f>
        <v>0</v>
      </c>
      <c r="S125" s="9" t="n">
        <f aca="false">IF(P125&gt;0,P125,R125)</f>
        <v>0</v>
      </c>
      <c r="T125" s="9" t="str">
        <f aca="false">IF(OR(S125=0,B125=""),"",INDEX('Bank Statement'!$B$8:$B$507,S125)-B125)</f>
        <v/>
      </c>
      <c r="U125" s="9" t="n">
        <f aca="false">IF(S125=0,0,IF(P125&gt;0,S125,IF(AND(ISNUMBER(T125),ABS(N(T125))&lt;=Setup!$C$11),S125,0)))</f>
        <v>0</v>
      </c>
      <c r="V125" s="9" t="str">
        <f aca="false">IF(AND(N125&lt;&gt;"",U125=0),IF(M125="OUT",1,2)*100000+ROW(),"")</f>
        <v/>
      </c>
      <c r="W125" s="9" t="n">
        <f aca="false">N(F125)+N(G125)</f>
        <v>0</v>
      </c>
    </row>
    <row r="126" customFormat="false" ht="15" hidden="false" customHeight="false" outlineLevel="0" collapsed="false">
      <c r="A126" s="37" t="str">
        <f aca="false">IF(M126="","",ROW()-7)</f>
        <v/>
      </c>
      <c r="B126" s="70"/>
      <c r="C126" s="71"/>
      <c r="D126" s="72"/>
      <c r="E126" s="71"/>
      <c r="F126" s="73"/>
      <c r="G126" s="73"/>
      <c r="H126" s="42" t="str">
        <f aca="false">IF(M126="","",IF(U126&gt;0,"✔ Matched",IF(M126="OUT","Not yet presented","Not yet credited")))</f>
        <v/>
      </c>
      <c r="I126" s="43" t="str">
        <f aca="false">IF(N(U126)&gt;0,U126,"")</f>
        <v/>
      </c>
      <c r="J126" s="44" t="str">
        <f aca="false">IF(N(U126)&gt;0,T126,"")</f>
        <v/>
      </c>
      <c r="K126" s="45" t="str">
        <f aca="false">IF(AND(M126="",B126="",D126=""),"",IF(AND(N(F126)&gt;0,N(G126)&gt;0),"⚠ Fill deposit OR payment",IF(M126="","⚠ Enter amount",IF(B126="","⚠ Enter date",IF(AND(Setup!$C$8&lt;&gt;"",B126&gt;Setup!$C$8),"⚠ Date after period",IF(AND(O126&lt;&gt;"",COUNTIF($O$8:$O$507,O126)&gt;1),"⚠ Cheque no. used twice","✔"))))))</f>
        <v/>
      </c>
      <c r="M126" s="9" t="str">
        <f aca="false">IF(N(F126)&gt;0,"IN",IF(N(G126)&gt;0,"OUT",""))</f>
        <v/>
      </c>
      <c r="N126" s="9" t="str">
        <f aca="false">IF(M126="","",M126&amp;"|"&amp;TEXT(ROUND(N(F126)+N(G126),2),"0.00"))</f>
        <v/>
      </c>
      <c r="O126" s="9" t="str">
        <f aca="false">IF(OR(N126="",TRIM(E126&amp;"")=""),"",N126&amp;"|"&amp;UPPER(TRIM(E126&amp;"")))</f>
        <v/>
      </c>
      <c r="P126" s="9" t="n">
        <f aca="false">IF(O126="",0,IFERROR(MATCH(O126,'Bank Statement'!$O$8:$O$507,0),0))</f>
        <v>0</v>
      </c>
      <c r="Q126" s="9" t="str">
        <f aca="false">IF(OR(N126="",P126&gt;0),"",N126&amp;"#"&amp;COUNTIFS($N$8:N126,N126,$P$8:P126,0))</f>
        <v/>
      </c>
      <c r="R126" s="9" t="n">
        <f aca="false">IF(Q126="",0,IFERROR(MATCH(Q126,'Bank Statement'!$Q$8:$Q$507,0),0))</f>
        <v>0</v>
      </c>
      <c r="S126" s="9" t="n">
        <f aca="false">IF(P126&gt;0,P126,R126)</f>
        <v>0</v>
      </c>
      <c r="T126" s="9" t="str">
        <f aca="false">IF(OR(S126=0,B126=""),"",INDEX('Bank Statement'!$B$8:$B$507,S126)-B126)</f>
        <v/>
      </c>
      <c r="U126" s="9" t="n">
        <f aca="false">IF(S126=0,0,IF(P126&gt;0,S126,IF(AND(ISNUMBER(T126),ABS(N(T126))&lt;=Setup!$C$11),S126,0)))</f>
        <v>0</v>
      </c>
      <c r="V126" s="9" t="str">
        <f aca="false">IF(AND(N126&lt;&gt;"",U126=0),IF(M126="OUT",1,2)*100000+ROW(),"")</f>
        <v/>
      </c>
      <c r="W126" s="9" t="n">
        <f aca="false">N(F126)+N(G126)</f>
        <v>0</v>
      </c>
    </row>
    <row r="127" customFormat="false" ht="15" hidden="false" customHeight="false" outlineLevel="0" collapsed="false">
      <c r="A127" s="37" t="str">
        <f aca="false">IF(M127="","",ROW()-7)</f>
        <v/>
      </c>
      <c r="B127" s="70"/>
      <c r="C127" s="71"/>
      <c r="D127" s="72"/>
      <c r="E127" s="71"/>
      <c r="F127" s="73"/>
      <c r="G127" s="73"/>
      <c r="H127" s="42" t="str">
        <f aca="false">IF(M127="","",IF(U127&gt;0,"✔ Matched",IF(M127="OUT","Not yet presented","Not yet credited")))</f>
        <v/>
      </c>
      <c r="I127" s="43" t="str">
        <f aca="false">IF(N(U127)&gt;0,U127,"")</f>
        <v/>
      </c>
      <c r="J127" s="44" t="str">
        <f aca="false">IF(N(U127)&gt;0,T127,"")</f>
        <v/>
      </c>
      <c r="K127" s="45" t="str">
        <f aca="false">IF(AND(M127="",B127="",D127=""),"",IF(AND(N(F127)&gt;0,N(G127)&gt;0),"⚠ Fill deposit OR payment",IF(M127="","⚠ Enter amount",IF(B127="","⚠ Enter date",IF(AND(Setup!$C$8&lt;&gt;"",B127&gt;Setup!$C$8),"⚠ Date after period",IF(AND(O127&lt;&gt;"",COUNTIF($O$8:$O$507,O127)&gt;1),"⚠ Cheque no. used twice","✔"))))))</f>
        <v/>
      </c>
      <c r="M127" s="9" t="str">
        <f aca="false">IF(N(F127)&gt;0,"IN",IF(N(G127)&gt;0,"OUT",""))</f>
        <v/>
      </c>
      <c r="N127" s="9" t="str">
        <f aca="false">IF(M127="","",M127&amp;"|"&amp;TEXT(ROUND(N(F127)+N(G127),2),"0.00"))</f>
        <v/>
      </c>
      <c r="O127" s="9" t="str">
        <f aca="false">IF(OR(N127="",TRIM(E127&amp;"")=""),"",N127&amp;"|"&amp;UPPER(TRIM(E127&amp;"")))</f>
        <v/>
      </c>
      <c r="P127" s="9" t="n">
        <f aca="false">IF(O127="",0,IFERROR(MATCH(O127,'Bank Statement'!$O$8:$O$507,0),0))</f>
        <v>0</v>
      </c>
      <c r="Q127" s="9" t="str">
        <f aca="false">IF(OR(N127="",P127&gt;0),"",N127&amp;"#"&amp;COUNTIFS($N$8:N127,N127,$P$8:P127,0))</f>
        <v/>
      </c>
      <c r="R127" s="9" t="n">
        <f aca="false">IF(Q127="",0,IFERROR(MATCH(Q127,'Bank Statement'!$Q$8:$Q$507,0),0))</f>
        <v>0</v>
      </c>
      <c r="S127" s="9" t="n">
        <f aca="false">IF(P127&gt;0,P127,R127)</f>
        <v>0</v>
      </c>
      <c r="T127" s="9" t="str">
        <f aca="false">IF(OR(S127=0,B127=""),"",INDEX('Bank Statement'!$B$8:$B$507,S127)-B127)</f>
        <v/>
      </c>
      <c r="U127" s="9" t="n">
        <f aca="false">IF(S127=0,0,IF(P127&gt;0,S127,IF(AND(ISNUMBER(T127),ABS(N(T127))&lt;=Setup!$C$11),S127,0)))</f>
        <v>0</v>
      </c>
      <c r="V127" s="9" t="str">
        <f aca="false">IF(AND(N127&lt;&gt;"",U127=0),IF(M127="OUT",1,2)*100000+ROW(),"")</f>
        <v/>
      </c>
      <c r="W127" s="9" t="n">
        <f aca="false">N(F127)+N(G127)</f>
        <v>0</v>
      </c>
    </row>
    <row r="128" customFormat="false" ht="15" hidden="false" customHeight="false" outlineLevel="0" collapsed="false">
      <c r="A128" s="37" t="str">
        <f aca="false">IF(M128="","",ROW()-7)</f>
        <v/>
      </c>
      <c r="B128" s="70"/>
      <c r="C128" s="71"/>
      <c r="D128" s="72"/>
      <c r="E128" s="71"/>
      <c r="F128" s="73"/>
      <c r="G128" s="73"/>
      <c r="H128" s="42" t="str">
        <f aca="false">IF(M128="","",IF(U128&gt;0,"✔ Matched",IF(M128="OUT","Not yet presented","Not yet credited")))</f>
        <v/>
      </c>
      <c r="I128" s="43" t="str">
        <f aca="false">IF(N(U128)&gt;0,U128,"")</f>
        <v/>
      </c>
      <c r="J128" s="44" t="str">
        <f aca="false">IF(N(U128)&gt;0,T128,"")</f>
        <v/>
      </c>
      <c r="K128" s="45" t="str">
        <f aca="false">IF(AND(M128="",B128="",D128=""),"",IF(AND(N(F128)&gt;0,N(G128)&gt;0),"⚠ Fill deposit OR payment",IF(M128="","⚠ Enter amount",IF(B128="","⚠ Enter date",IF(AND(Setup!$C$8&lt;&gt;"",B128&gt;Setup!$C$8),"⚠ Date after period",IF(AND(O128&lt;&gt;"",COUNTIF($O$8:$O$507,O128)&gt;1),"⚠ Cheque no. used twice","✔"))))))</f>
        <v/>
      </c>
      <c r="M128" s="9" t="str">
        <f aca="false">IF(N(F128)&gt;0,"IN",IF(N(G128)&gt;0,"OUT",""))</f>
        <v/>
      </c>
      <c r="N128" s="9" t="str">
        <f aca="false">IF(M128="","",M128&amp;"|"&amp;TEXT(ROUND(N(F128)+N(G128),2),"0.00"))</f>
        <v/>
      </c>
      <c r="O128" s="9" t="str">
        <f aca="false">IF(OR(N128="",TRIM(E128&amp;"")=""),"",N128&amp;"|"&amp;UPPER(TRIM(E128&amp;"")))</f>
        <v/>
      </c>
      <c r="P128" s="9" t="n">
        <f aca="false">IF(O128="",0,IFERROR(MATCH(O128,'Bank Statement'!$O$8:$O$507,0),0))</f>
        <v>0</v>
      </c>
      <c r="Q128" s="9" t="str">
        <f aca="false">IF(OR(N128="",P128&gt;0),"",N128&amp;"#"&amp;COUNTIFS($N$8:N128,N128,$P$8:P128,0))</f>
        <v/>
      </c>
      <c r="R128" s="9" t="n">
        <f aca="false">IF(Q128="",0,IFERROR(MATCH(Q128,'Bank Statement'!$Q$8:$Q$507,0),0))</f>
        <v>0</v>
      </c>
      <c r="S128" s="9" t="n">
        <f aca="false">IF(P128&gt;0,P128,R128)</f>
        <v>0</v>
      </c>
      <c r="T128" s="9" t="str">
        <f aca="false">IF(OR(S128=0,B128=""),"",INDEX('Bank Statement'!$B$8:$B$507,S128)-B128)</f>
        <v/>
      </c>
      <c r="U128" s="9" t="n">
        <f aca="false">IF(S128=0,0,IF(P128&gt;0,S128,IF(AND(ISNUMBER(T128),ABS(N(T128))&lt;=Setup!$C$11),S128,0)))</f>
        <v>0</v>
      </c>
      <c r="V128" s="9" t="str">
        <f aca="false">IF(AND(N128&lt;&gt;"",U128=0),IF(M128="OUT",1,2)*100000+ROW(),"")</f>
        <v/>
      </c>
      <c r="W128" s="9" t="n">
        <f aca="false">N(F128)+N(G128)</f>
        <v>0</v>
      </c>
    </row>
    <row r="129" customFormat="false" ht="15" hidden="false" customHeight="false" outlineLevel="0" collapsed="false">
      <c r="A129" s="37" t="str">
        <f aca="false">IF(M129="","",ROW()-7)</f>
        <v/>
      </c>
      <c r="B129" s="70"/>
      <c r="C129" s="71"/>
      <c r="D129" s="72"/>
      <c r="E129" s="71"/>
      <c r="F129" s="73"/>
      <c r="G129" s="73"/>
      <c r="H129" s="42" t="str">
        <f aca="false">IF(M129="","",IF(U129&gt;0,"✔ Matched",IF(M129="OUT","Not yet presented","Not yet credited")))</f>
        <v/>
      </c>
      <c r="I129" s="43" t="str">
        <f aca="false">IF(N(U129)&gt;0,U129,"")</f>
        <v/>
      </c>
      <c r="J129" s="44" t="str">
        <f aca="false">IF(N(U129)&gt;0,T129,"")</f>
        <v/>
      </c>
      <c r="K129" s="45" t="str">
        <f aca="false">IF(AND(M129="",B129="",D129=""),"",IF(AND(N(F129)&gt;0,N(G129)&gt;0),"⚠ Fill deposit OR payment",IF(M129="","⚠ Enter amount",IF(B129="","⚠ Enter date",IF(AND(Setup!$C$8&lt;&gt;"",B129&gt;Setup!$C$8),"⚠ Date after period",IF(AND(O129&lt;&gt;"",COUNTIF($O$8:$O$507,O129)&gt;1),"⚠ Cheque no. used twice","✔"))))))</f>
        <v/>
      </c>
      <c r="M129" s="9" t="str">
        <f aca="false">IF(N(F129)&gt;0,"IN",IF(N(G129)&gt;0,"OUT",""))</f>
        <v/>
      </c>
      <c r="N129" s="9" t="str">
        <f aca="false">IF(M129="","",M129&amp;"|"&amp;TEXT(ROUND(N(F129)+N(G129),2),"0.00"))</f>
        <v/>
      </c>
      <c r="O129" s="9" t="str">
        <f aca="false">IF(OR(N129="",TRIM(E129&amp;"")=""),"",N129&amp;"|"&amp;UPPER(TRIM(E129&amp;"")))</f>
        <v/>
      </c>
      <c r="P129" s="9" t="n">
        <f aca="false">IF(O129="",0,IFERROR(MATCH(O129,'Bank Statement'!$O$8:$O$507,0),0))</f>
        <v>0</v>
      </c>
      <c r="Q129" s="9" t="str">
        <f aca="false">IF(OR(N129="",P129&gt;0),"",N129&amp;"#"&amp;COUNTIFS($N$8:N129,N129,$P$8:P129,0))</f>
        <v/>
      </c>
      <c r="R129" s="9" t="n">
        <f aca="false">IF(Q129="",0,IFERROR(MATCH(Q129,'Bank Statement'!$Q$8:$Q$507,0),0))</f>
        <v>0</v>
      </c>
      <c r="S129" s="9" t="n">
        <f aca="false">IF(P129&gt;0,P129,R129)</f>
        <v>0</v>
      </c>
      <c r="T129" s="9" t="str">
        <f aca="false">IF(OR(S129=0,B129=""),"",INDEX('Bank Statement'!$B$8:$B$507,S129)-B129)</f>
        <v/>
      </c>
      <c r="U129" s="9" t="n">
        <f aca="false">IF(S129=0,0,IF(P129&gt;0,S129,IF(AND(ISNUMBER(T129),ABS(N(T129))&lt;=Setup!$C$11),S129,0)))</f>
        <v>0</v>
      </c>
      <c r="V129" s="9" t="str">
        <f aca="false">IF(AND(N129&lt;&gt;"",U129=0),IF(M129="OUT",1,2)*100000+ROW(),"")</f>
        <v/>
      </c>
      <c r="W129" s="9" t="n">
        <f aca="false">N(F129)+N(G129)</f>
        <v>0</v>
      </c>
    </row>
    <row r="130" customFormat="false" ht="15" hidden="false" customHeight="false" outlineLevel="0" collapsed="false">
      <c r="A130" s="37" t="str">
        <f aca="false">IF(M130="","",ROW()-7)</f>
        <v/>
      </c>
      <c r="B130" s="70"/>
      <c r="C130" s="71"/>
      <c r="D130" s="72"/>
      <c r="E130" s="71"/>
      <c r="F130" s="73"/>
      <c r="G130" s="73"/>
      <c r="H130" s="42" t="str">
        <f aca="false">IF(M130="","",IF(U130&gt;0,"✔ Matched",IF(M130="OUT","Not yet presented","Not yet credited")))</f>
        <v/>
      </c>
      <c r="I130" s="43" t="str">
        <f aca="false">IF(N(U130)&gt;0,U130,"")</f>
        <v/>
      </c>
      <c r="J130" s="44" t="str">
        <f aca="false">IF(N(U130)&gt;0,T130,"")</f>
        <v/>
      </c>
      <c r="K130" s="45" t="str">
        <f aca="false">IF(AND(M130="",B130="",D130=""),"",IF(AND(N(F130)&gt;0,N(G130)&gt;0),"⚠ Fill deposit OR payment",IF(M130="","⚠ Enter amount",IF(B130="","⚠ Enter date",IF(AND(Setup!$C$8&lt;&gt;"",B130&gt;Setup!$C$8),"⚠ Date after period",IF(AND(O130&lt;&gt;"",COUNTIF($O$8:$O$507,O130)&gt;1),"⚠ Cheque no. used twice","✔"))))))</f>
        <v/>
      </c>
      <c r="M130" s="9" t="str">
        <f aca="false">IF(N(F130)&gt;0,"IN",IF(N(G130)&gt;0,"OUT",""))</f>
        <v/>
      </c>
      <c r="N130" s="9" t="str">
        <f aca="false">IF(M130="","",M130&amp;"|"&amp;TEXT(ROUND(N(F130)+N(G130),2),"0.00"))</f>
        <v/>
      </c>
      <c r="O130" s="9" t="str">
        <f aca="false">IF(OR(N130="",TRIM(E130&amp;"")=""),"",N130&amp;"|"&amp;UPPER(TRIM(E130&amp;"")))</f>
        <v/>
      </c>
      <c r="P130" s="9" t="n">
        <f aca="false">IF(O130="",0,IFERROR(MATCH(O130,'Bank Statement'!$O$8:$O$507,0),0))</f>
        <v>0</v>
      </c>
      <c r="Q130" s="9" t="str">
        <f aca="false">IF(OR(N130="",P130&gt;0),"",N130&amp;"#"&amp;COUNTIFS($N$8:N130,N130,$P$8:P130,0))</f>
        <v/>
      </c>
      <c r="R130" s="9" t="n">
        <f aca="false">IF(Q130="",0,IFERROR(MATCH(Q130,'Bank Statement'!$Q$8:$Q$507,0),0))</f>
        <v>0</v>
      </c>
      <c r="S130" s="9" t="n">
        <f aca="false">IF(P130&gt;0,P130,R130)</f>
        <v>0</v>
      </c>
      <c r="T130" s="9" t="str">
        <f aca="false">IF(OR(S130=0,B130=""),"",INDEX('Bank Statement'!$B$8:$B$507,S130)-B130)</f>
        <v/>
      </c>
      <c r="U130" s="9" t="n">
        <f aca="false">IF(S130=0,0,IF(P130&gt;0,S130,IF(AND(ISNUMBER(T130),ABS(N(T130))&lt;=Setup!$C$11),S130,0)))</f>
        <v>0</v>
      </c>
      <c r="V130" s="9" t="str">
        <f aca="false">IF(AND(N130&lt;&gt;"",U130=0),IF(M130="OUT",1,2)*100000+ROW(),"")</f>
        <v/>
      </c>
      <c r="W130" s="9" t="n">
        <f aca="false">N(F130)+N(G130)</f>
        <v>0</v>
      </c>
    </row>
    <row r="131" customFormat="false" ht="15" hidden="false" customHeight="false" outlineLevel="0" collapsed="false">
      <c r="A131" s="37" t="str">
        <f aca="false">IF(M131="","",ROW()-7)</f>
        <v/>
      </c>
      <c r="B131" s="70"/>
      <c r="C131" s="71"/>
      <c r="D131" s="72"/>
      <c r="E131" s="71"/>
      <c r="F131" s="73"/>
      <c r="G131" s="73"/>
      <c r="H131" s="42" t="str">
        <f aca="false">IF(M131="","",IF(U131&gt;0,"✔ Matched",IF(M131="OUT","Not yet presented","Not yet credited")))</f>
        <v/>
      </c>
      <c r="I131" s="43" t="str">
        <f aca="false">IF(N(U131)&gt;0,U131,"")</f>
        <v/>
      </c>
      <c r="J131" s="44" t="str">
        <f aca="false">IF(N(U131)&gt;0,T131,"")</f>
        <v/>
      </c>
      <c r="K131" s="45" t="str">
        <f aca="false">IF(AND(M131="",B131="",D131=""),"",IF(AND(N(F131)&gt;0,N(G131)&gt;0),"⚠ Fill deposit OR payment",IF(M131="","⚠ Enter amount",IF(B131="","⚠ Enter date",IF(AND(Setup!$C$8&lt;&gt;"",B131&gt;Setup!$C$8),"⚠ Date after period",IF(AND(O131&lt;&gt;"",COUNTIF($O$8:$O$507,O131)&gt;1),"⚠ Cheque no. used twice","✔"))))))</f>
        <v/>
      </c>
      <c r="M131" s="9" t="str">
        <f aca="false">IF(N(F131)&gt;0,"IN",IF(N(G131)&gt;0,"OUT",""))</f>
        <v/>
      </c>
      <c r="N131" s="9" t="str">
        <f aca="false">IF(M131="","",M131&amp;"|"&amp;TEXT(ROUND(N(F131)+N(G131),2),"0.00"))</f>
        <v/>
      </c>
      <c r="O131" s="9" t="str">
        <f aca="false">IF(OR(N131="",TRIM(E131&amp;"")=""),"",N131&amp;"|"&amp;UPPER(TRIM(E131&amp;"")))</f>
        <v/>
      </c>
      <c r="P131" s="9" t="n">
        <f aca="false">IF(O131="",0,IFERROR(MATCH(O131,'Bank Statement'!$O$8:$O$507,0),0))</f>
        <v>0</v>
      </c>
      <c r="Q131" s="9" t="str">
        <f aca="false">IF(OR(N131="",P131&gt;0),"",N131&amp;"#"&amp;COUNTIFS($N$8:N131,N131,$P$8:P131,0))</f>
        <v/>
      </c>
      <c r="R131" s="9" t="n">
        <f aca="false">IF(Q131="",0,IFERROR(MATCH(Q131,'Bank Statement'!$Q$8:$Q$507,0),0))</f>
        <v>0</v>
      </c>
      <c r="S131" s="9" t="n">
        <f aca="false">IF(P131&gt;0,P131,R131)</f>
        <v>0</v>
      </c>
      <c r="T131" s="9" t="str">
        <f aca="false">IF(OR(S131=0,B131=""),"",INDEX('Bank Statement'!$B$8:$B$507,S131)-B131)</f>
        <v/>
      </c>
      <c r="U131" s="9" t="n">
        <f aca="false">IF(S131=0,0,IF(P131&gt;0,S131,IF(AND(ISNUMBER(T131),ABS(N(T131))&lt;=Setup!$C$11),S131,0)))</f>
        <v>0</v>
      </c>
      <c r="V131" s="9" t="str">
        <f aca="false">IF(AND(N131&lt;&gt;"",U131=0),IF(M131="OUT",1,2)*100000+ROW(),"")</f>
        <v/>
      </c>
      <c r="W131" s="9" t="n">
        <f aca="false">N(F131)+N(G131)</f>
        <v>0</v>
      </c>
    </row>
    <row r="132" customFormat="false" ht="15" hidden="false" customHeight="false" outlineLevel="0" collapsed="false">
      <c r="A132" s="37" t="str">
        <f aca="false">IF(M132="","",ROW()-7)</f>
        <v/>
      </c>
      <c r="B132" s="70"/>
      <c r="C132" s="71"/>
      <c r="D132" s="72"/>
      <c r="E132" s="71"/>
      <c r="F132" s="73"/>
      <c r="G132" s="73"/>
      <c r="H132" s="42" t="str">
        <f aca="false">IF(M132="","",IF(U132&gt;0,"✔ Matched",IF(M132="OUT","Not yet presented","Not yet credited")))</f>
        <v/>
      </c>
      <c r="I132" s="43" t="str">
        <f aca="false">IF(N(U132)&gt;0,U132,"")</f>
        <v/>
      </c>
      <c r="J132" s="44" t="str">
        <f aca="false">IF(N(U132)&gt;0,T132,"")</f>
        <v/>
      </c>
      <c r="K132" s="45" t="str">
        <f aca="false">IF(AND(M132="",B132="",D132=""),"",IF(AND(N(F132)&gt;0,N(G132)&gt;0),"⚠ Fill deposit OR payment",IF(M132="","⚠ Enter amount",IF(B132="","⚠ Enter date",IF(AND(Setup!$C$8&lt;&gt;"",B132&gt;Setup!$C$8),"⚠ Date after period",IF(AND(O132&lt;&gt;"",COUNTIF($O$8:$O$507,O132)&gt;1),"⚠ Cheque no. used twice","✔"))))))</f>
        <v/>
      </c>
      <c r="M132" s="9" t="str">
        <f aca="false">IF(N(F132)&gt;0,"IN",IF(N(G132)&gt;0,"OUT",""))</f>
        <v/>
      </c>
      <c r="N132" s="9" t="str">
        <f aca="false">IF(M132="","",M132&amp;"|"&amp;TEXT(ROUND(N(F132)+N(G132),2),"0.00"))</f>
        <v/>
      </c>
      <c r="O132" s="9" t="str">
        <f aca="false">IF(OR(N132="",TRIM(E132&amp;"")=""),"",N132&amp;"|"&amp;UPPER(TRIM(E132&amp;"")))</f>
        <v/>
      </c>
      <c r="P132" s="9" t="n">
        <f aca="false">IF(O132="",0,IFERROR(MATCH(O132,'Bank Statement'!$O$8:$O$507,0),0))</f>
        <v>0</v>
      </c>
      <c r="Q132" s="9" t="str">
        <f aca="false">IF(OR(N132="",P132&gt;0),"",N132&amp;"#"&amp;COUNTIFS($N$8:N132,N132,$P$8:P132,0))</f>
        <v/>
      </c>
      <c r="R132" s="9" t="n">
        <f aca="false">IF(Q132="",0,IFERROR(MATCH(Q132,'Bank Statement'!$Q$8:$Q$507,0),0))</f>
        <v>0</v>
      </c>
      <c r="S132" s="9" t="n">
        <f aca="false">IF(P132&gt;0,P132,R132)</f>
        <v>0</v>
      </c>
      <c r="T132" s="9" t="str">
        <f aca="false">IF(OR(S132=0,B132=""),"",INDEX('Bank Statement'!$B$8:$B$507,S132)-B132)</f>
        <v/>
      </c>
      <c r="U132" s="9" t="n">
        <f aca="false">IF(S132=0,0,IF(P132&gt;0,S132,IF(AND(ISNUMBER(T132),ABS(N(T132))&lt;=Setup!$C$11),S132,0)))</f>
        <v>0</v>
      </c>
      <c r="V132" s="9" t="str">
        <f aca="false">IF(AND(N132&lt;&gt;"",U132=0),IF(M132="OUT",1,2)*100000+ROW(),"")</f>
        <v/>
      </c>
      <c r="W132" s="9" t="n">
        <f aca="false">N(F132)+N(G132)</f>
        <v>0</v>
      </c>
    </row>
    <row r="133" customFormat="false" ht="15" hidden="false" customHeight="false" outlineLevel="0" collapsed="false">
      <c r="A133" s="37" t="str">
        <f aca="false">IF(M133="","",ROW()-7)</f>
        <v/>
      </c>
      <c r="B133" s="70"/>
      <c r="C133" s="71"/>
      <c r="D133" s="72"/>
      <c r="E133" s="71"/>
      <c r="F133" s="73"/>
      <c r="G133" s="73"/>
      <c r="H133" s="42" t="str">
        <f aca="false">IF(M133="","",IF(U133&gt;0,"✔ Matched",IF(M133="OUT","Not yet presented","Not yet credited")))</f>
        <v/>
      </c>
      <c r="I133" s="43" t="str">
        <f aca="false">IF(N(U133)&gt;0,U133,"")</f>
        <v/>
      </c>
      <c r="J133" s="44" t="str">
        <f aca="false">IF(N(U133)&gt;0,T133,"")</f>
        <v/>
      </c>
      <c r="K133" s="45" t="str">
        <f aca="false">IF(AND(M133="",B133="",D133=""),"",IF(AND(N(F133)&gt;0,N(G133)&gt;0),"⚠ Fill deposit OR payment",IF(M133="","⚠ Enter amount",IF(B133="","⚠ Enter date",IF(AND(Setup!$C$8&lt;&gt;"",B133&gt;Setup!$C$8),"⚠ Date after period",IF(AND(O133&lt;&gt;"",COUNTIF($O$8:$O$507,O133)&gt;1),"⚠ Cheque no. used twice","✔"))))))</f>
        <v/>
      </c>
      <c r="M133" s="9" t="str">
        <f aca="false">IF(N(F133)&gt;0,"IN",IF(N(G133)&gt;0,"OUT",""))</f>
        <v/>
      </c>
      <c r="N133" s="9" t="str">
        <f aca="false">IF(M133="","",M133&amp;"|"&amp;TEXT(ROUND(N(F133)+N(G133),2),"0.00"))</f>
        <v/>
      </c>
      <c r="O133" s="9" t="str">
        <f aca="false">IF(OR(N133="",TRIM(E133&amp;"")=""),"",N133&amp;"|"&amp;UPPER(TRIM(E133&amp;"")))</f>
        <v/>
      </c>
      <c r="P133" s="9" t="n">
        <f aca="false">IF(O133="",0,IFERROR(MATCH(O133,'Bank Statement'!$O$8:$O$507,0),0))</f>
        <v>0</v>
      </c>
      <c r="Q133" s="9" t="str">
        <f aca="false">IF(OR(N133="",P133&gt;0),"",N133&amp;"#"&amp;COUNTIFS($N$8:N133,N133,$P$8:P133,0))</f>
        <v/>
      </c>
      <c r="R133" s="9" t="n">
        <f aca="false">IF(Q133="",0,IFERROR(MATCH(Q133,'Bank Statement'!$Q$8:$Q$507,0),0))</f>
        <v>0</v>
      </c>
      <c r="S133" s="9" t="n">
        <f aca="false">IF(P133&gt;0,P133,R133)</f>
        <v>0</v>
      </c>
      <c r="T133" s="9" t="str">
        <f aca="false">IF(OR(S133=0,B133=""),"",INDEX('Bank Statement'!$B$8:$B$507,S133)-B133)</f>
        <v/>
      </c>
      <c r="U133" s="9" t="n">
        <f aca="false">IF(S133=0,0,IF(P133&gt;0,S133,IF(AND(ISNUMBER(T133),ABS(N(T133))&lt;=Setup!$C$11),S133,0)))</f>
        <v>0</v>
      </c>
      <c r="V133" s="9" t="str">
        <f aca="false">IF(AND(N133&lt;&gt;"",U133=0),IF(M133="OUT",1,2)*100000+ROW(),"")</f>
        <v/>
      </c>
      <c r="W133" s="9" t="n">
        <f aca="false">N(F133)+N(G133)</f>
        <v>0</v>
      </c>
    </row>
    <row r="134" customFormat="false" ht="15" hidden="false" customHeight="false" outlineLevel="0" collapsed="false">
      <c r="A134" s="37" t="str">
        <f aca="false">IF(M134="","",ROW()-7)</f>
        <v/>
      </c>
      <c r="B134" s="70"/>
      <c r="C134" s="71"/>
      <c r="D134" s="72"/>
      <c r="E134" s="71"/>
      <c r="F134" s="73"/>
      <c r="G134" s="73"/>
      <c r="H134" s="42" t="str">
        <f aca="false">IF(M134="","",IF(U134&gt;0,"✔ Matched",IF(M134="OUT","Not yet presented","Not yet credited")))</f>
        <v/>
      </c>
      <c r="I134" s="43" t="str">
        <f aca="false">IF(N(U134)&gt;0,U134,"")</f>
        <v/>
      </c>
      <c r="J134" s="44" t="str">
        <f aca="false">IF(N(U134)&gt;0,T134,"")</f>
        <v/>
      </c>
      <c r="K134" s="45" t="str">
        <f aca="false">IF(AND(M134="",B134="",D134=""),"",IF(AND(N(F134)&gt;0,N(G134)&gt;0),"⚠ Fill deposit OR payment",IF(M134="","⚠ Enter amount",IF(B134="","⚠ Enter date",IF(AND(Setup!$C$8&lt;&gt;"",B134&gt;Setup!$C$8),"⚠ Date after period",IF(AND(O134&lt;&gt;"",COUNTIF($O$8:$O$507,O134)&gt;1),"⚠ Cheque no. used twice","✔"))))))</f>
        <v/>
      </c>
      <c r="M134" s="9" t="str">
        <f aca="false">IF(N(F134)&gt;0,"IN",IF(N(G134)&gt;0,"OUT",""))</f>
        <v/>
      </c>
      <c r="N134" s="9" t="str">
        <f aca="false">IF(M134="","",M134&amp;"|"&amp;TEXT(ROUND(N(F134)+N(G134),2),"0.00"))</f>
        <v/>
      </c>
      <c r="O134" s="9" t="str">
        <f aca="false">IF(OR(N134="",TRIM(E134&amp;"")=""),"",N134&amp;"|"&amp;UPPER(TRIM(E134&amp;"")))</f>
        <v/>
      </c>
      <c r="P134" s="9" t="n">
        <f aca="false">IF(O134="",0,IFERROR(MATCH(O134,'Bank Statement'!$O$8:$O$507,0),0))</f>
        <v>0</v>
      </c>
      <c r="Q134" s="9" t="str">
        <f aca="false">IF(OR(N134="",P134&gt;0),"",N134&amp;"#"&amp;COUNTIFS($N$8:N134,N134,$P$8:P134,0))</f>
        <v/>
      </c>
      <c r="R134" s="9" t="n">
        <f aca="false">IF(Q134="",0,IFERROR(MATCH(Q134,'Bank Statement'!$Q$8:$Q$507,0),0))</f>
        <v>0</v>
      </c>
      <c r="S134" s="9" t="n">
        <f aca="false">IF(P134&gt;0,P134,R134)</f>
        <v>0</v>
      </c>
      <c r="T134" s="9" t="str">
        <f aca="false">IF(OR(S134=0,B134=""),"",INDEX('Bank Statement'!$B$8:$B$507,S134)-B134)</f>
        <v/>
      </c>
      <c r="U134" s="9" t="n">
        <f aca="false">IF(S134=0,0,IF(P134&gt;0,S134,IF(AND(ISNUMBER(T134),ABS(N(T134))&lt;=Setup!$C$11),S134,0)))</f>
        <v>0</v>
      </c>
      <c r="V134" s="9" t="str">
        <f aca="false">IF(AND(N134&lt;&gt;"",U134=0),IF(M134="OUT",1,2)*100000+ROW(),"")</f>
        <v/>
      </c>
      <c r="W134" s="9" t="n">
        <f aca="false">N(F134)+N(G134)</f>
        <v>0</v>
      </c>
    </row>
    <row r="135" customFormat="false" ht="15" hidden="false" customHeight="false" outlineLevel="0" collapsed="false">
      <c r="A135" s="37" t="str">
        <f aca="false">IF(M135="","",ROW()-7)</f>
        <v/>
      </c>
      <c r="B135" s="70"/>
      <c r="C135" s="71"/>
      <c r="D135" s="72"/>
      <c r="E135" s="71"/>
      <c r="F135" s="73"/>
      <c r="G135" s="73"/>
      <c r="H135" s="42" t="str">
        <f aca="false">IF(M135="","",IF(U135&gt;0,"✔ Matched",IF(M135="OUT","Not yet presented","Not yet credited")))</f>
        <v/>
      </c>
      <c r="I135" s="43" t="str">
        <f aca="false">IF(N(U135)&gt;0,U135,"")</f>
        <v/>
      </c>
      <c r="J135" s="44" t="str">
        <f aca="false">IF(N(U135)&gt;0,T135,"")</f>
        <v/>
      </c>
      <c r="K135" s="45" t="str">
        <f aca="false">IF(AND(M135="",B135="",D135=""),"",IF(AND(N(F135)&gt;0,N(G135)&gt;0),"⚠ Fill deposit OR payment",IF(M135="","⚠ Enter amount",IF(B135="","⚠ Enter date",IF(AND(Setup!$C$8&lt;&gt;"",B135&gt;Setup!$C$8),"⚠ Date after period",IF(AND(O135&lt;&gt;"",COUNTIF($O$8:$O$507,O135)&gt;1),"⚠ Cheque no. used twice","✔"))))))</f>
        <v/>
      </c>
      <c r="M135" s="9" t="str">
        <f aca="false">IF(N(F135)&gt;0,"IN",IF(N(G135)&gt;0,"OUT",""))</f>
        <v/>
      </c>
      <c r="N135" s="9" t="str">
        <f aca="false">IF(M135="","",M135&amp;"|"&amp;TEXT(ROUND(N(F135)+N(G135),2),"0.00"))</f>
        <v/>
      </c>
      <c r="O135" s="9" t="str">
        <f aca="false">IF(OR(N135="",TRIM(E135&amp;"")=""),"",N135&amp;"|"&amp;UPPER(TRIM(E135&amp;"")))</f>
        <v/>
      </c>
      <c r="P135" s="9" t="n">
        <f aca="false">IF(O135="",0,IFERROR(MATCH(O135,'Bank Statement'!$O$8:$O$507,0),0))</f>
        <v>0</v>
      </c>
      <c r="Q135" s="9" t="str">
        <f aca="false">IF(OR(N135="",P135&gt;0),"",N135&amp;"#"&amp;COUNTIFS($N$8:N135,N135,$P$8:P135,0))</f>
        <v/>
      </c>
      <c r="R135" s="9" t="n">
        <f aca="false">IF(Q135="",0,IFERROR(MATCH(Q135,'Bank Statement'!$Q$8:$Q$507,0),0))</f>
        <v>0</v>
      </c>
      <c r="S135" s="9" t="n">
        <f aca="false">IF(P135&gt;0,P135,R135)</f>
        <v>0</v>
      </c>
      <c r="T135" s="9" t="str">
        <f aca="false">IF(OR(S135=0,B135=""),"",INDEX('Bank Statement'!$B$8:$B$507,S135)-B135)</f>
        <v/>
      </c>
      <c r="U135" s="9" t="n">
        <f aca="false">IF(S135=0,0,IF(P135&gt;0,S135,IF(AND(ISNUMBER(T135),ABS(N(T135))&lt;=Setup!$C$11),S135,0)))</f>
        <v>0</v>
      </c>
      <c r="V135" s="9" t="str">
        <f aca="false">IF(AND(N135&lt;&gt;"",U135=0),IF(M135="OUT",1,2)*100000+ROW(),"")</f>
        <v/>
      </c>
      <c r="W135" s="9" t="n">
        <f aca="false">N(F135)+N(G135)</f>
        <v>0</v>
      </c>
    </row>
    <row r="136" customFormat="false" ht="15" hidden="false" customHeight="false" outlineLevel="0" collapsed="false">
      <c r="A136" s="37" t="str">
        <f aca="false">IF(M136="","",ROW()-7)</f>
        <v/>
      </c>
      <c r="B136" s="70"/>
      <c r="C136" s="71"/>
      <c r="D136" s="72"/>
      <c r="E136" s="71"/>
      <c r="F136" s="73"/>
      <c r="G136" s="73"/>
      <c r="H136" s="42" t="str">
        <f aca="false">IF(M136="","",IF(U136&gt;0,"✔ Matched",IF(M136="OUT","Not yet presented","Not yet credited")))</f>
        <v/>
      </c>
      <c r="I136" s="43" t="str">
        <f aca="false">IF(N(U136)&gt;0,U136,"")</f>
        <v/>
      </c>
      <c r="J136" s="44" t="str">
        <f aca="false">IF(N(U136)&gt;0,T136,"")</f>
        <v/>
      </c>
      <c r="K136" s="45" t="str">
        <f aca="false">IF(AND(M136="",B136="",D136=""),"",IF(AND(N(F136)&gt;0,N(G136)&gt;0),"⚠ Fill deposit OR payment",IF(M136="","⚠ Enter amount",IF(B136="","⚠ Enter date",IF(AND(Setup!$C$8&lt;&gt;"",B136&gt;Setup!$C$8),"⚠ Date after period",IF(AND(O136&lt;&gt;"",COUNTIF($O$8:$O$507,O136)&gt;1),"⚠ Cheque no. used twice","✔"))))))</f>
        <v/>
      </c>
      <c r="M136" s="9" t="str">
        <f aca="false">IF(N(F136)&gt;0,"IN",IF(N(G136)&gt;0,"OUT",""))</f>
        <v/>
      </c>
      <c r="N136" s="9" t="str">
        <f aca="false">IF(M136="","",M136&amp;"|"&amp;TEXT(ROUND(N(F136)+N(G136),2),"0.00"))</f>
        <v/>
      </c>
      <c r="O136" s="9" t="str">
        <f aca="false">IF(OR(N136="",TRIM(E136&amp;"")=""),"",N136&amp;"|"&amp;UPPER(TRIM(E136&amp;"")))</f>
        <v/>
      </c>
      <c r="P136" s="9" t="n">
        <f aca="false">IF(O136="",0,IFERROR(MATCH(O136,'Bank Statement'!$O$8:$O$507,0),0))</f>
        <v>0</v>
      </c>
      <c r="Q136" s="9" t="str">
        <f aca="false">IF(OR(N136="",P136&gt;0),"",N136&amp;"#"&amp;COUNTIFS($N$8:N136,N136,$P$8:P136,0))</f>
        <v/>
      </c>
      <c r="R136" s="9" t="n">
        <f aca="false">IF(Q136="",0,IFERROR(MATCH(Q136,'Bank Statement'!$Q$8:$Q$507,0),0))</f>
        <v>0</v>
      </c>
      <c r="S136" s="9" t="n">
        <f aca="false">IF(P136&gt;0,P136,R136)</f>
        <v>0</v>
      </c>
      <c r="T136" s="9" t="str">
        <f aca="false">IF(OR(S136=0,B136=""),"",INDEX('Bank Statement'!$B$8:$B$507,S136)-B136)</f>
        <v/>
      </c>
      <c r="U136" s="9" t="n">
        <f aca="false">IF(S136=0,0,IF(P136&gt;0,S136,IF(AND(ISNUMBER(T136),ABS(N(T136))&lt;=Setup!$C$11),S136,0)))</f>
        <v>0</v>
      </c>
      <c r="V136" s="9" t="str">
        <f aca="false">IF(AND(N136&lt;&gt;"",U136=0),IF(M136="OUT",1,2)*100000+ROW(),"")</f>
        <v/>
      </c>
      <c r="W136" s="9" t="n">
        <f aca="false">N(F136)+N(G136)</f>
        <v>0</v>
      </c>
    </row>
    <row r="137" customFormat="false" ht="15" hidden="false" customHeight="false" outlineLevel="0" collapsed="false">
      <c r="A137" s="37" t="str">
        <f aca="false">IF(M137="","",ROW()-7)</f>
        <v/>
      </c>
      <c r="B137" s="70"/>
      <c r="C137" s="71"/>
      <c r="D137" s="72"/>
      <c r="E137" s="71"/>
      <c r="F137" s="73"/>
      <c r="G137" s="73"/>
      <c r="H137" s="42" t="str">
        <f aca="false">IF(M137="","",IF(U137&gt;0,"✔ Matched",IF(M137="OUT","Not yet presented","Not yet credited")))</f>
        <v/>
      </c>
      <c r="I137" s="43" t="str">
        <f aca="false">IF(N(U137)&gt;0,U137,"")</f>
        <v/>
      </c>
      <c r="J137" s="44" t="str">
        <f aca="false">IF(N(U137)&gt;0,T137,"")</f>
        <v/>
      </c>
      <c r="K137" s="45" t="str">
        <f aca="false">IF(AND(M137="",B137="",D137=""),"",IF(AND(N(F137)&gt;0,N(G137)&gt;0),"⚠ Fill deposit OR payment",IF(M137="","⚠ Enter amount",IF(B137="","⚠ Enter date",IF(AND(Setup!$C$8&lt;&gt;"",B137&gt;Setup!$C$8),"⚠ Date after period",IF(AND(O137&lt;&gt;"",COUNTIF($O$8:$O$507,O137)&gt;1),"⚠ Cheque no. used twice","✔"))))))</f>
        <v/>
      </c>
      <c r="M137" s="9" t="str">
        <f aca="false">IF(N(F137)&gt;0,"IN",IF(N(G137)&gt;0,"OUT",""))</f>
        <v/>
      </c>
      <c r="N137" s="9" t="str">
        <f aca="false">IF(M137="","",M137&amp;"|"&amp;TEXT(ROUND(N(F137)+N(G137),2),"0.00"))</f>
        <v/>
      </c>
      <c r="O137" s="9" t="str">
        <f aca="false">IF(OR(N137="",TRIM(E137&amp;"")=""),"",N137&amp;"|"&amp;UPPER(TRIM(E137&amp;"")))</f>
        <v/>
      </c>
      <c r="P137" s="9" t="n">
        <f aca="false">IF(O137="",0,IFERROR(MATCH(O137,'Bank Statement'!$O$8:$O$507,0),0))</f>
        <v>0</v>
      </c>
      <c r="Q137" s="9" t="str">
        <f aca="false">IF(OR(N137="",P137&gt;0),"",N137&amp;"#"&amp;COUNTIFS($N$8:N137,N137,$P$8:P137,0))</f>
        <v/>
      </c>
      <c r="R137" s="9" t="n">
        <f aca="false">IF(Q137="",0,IFERROR(MATCH(Q137,'Bank Statement'!$Q$8:$Q$507,0),0))</f>
        <v>0</v>
      </c>
      <c r="S137" s="9" t="n">
        <f aca="false">IF(P137&gt;0,P137,R137)</f>
        <v>0</v>
      </c>
      <c r="T137" s="9" t="str">
        <f aca="false">IF(OR(S137=0,B137=""),"",INDEX('Bank Statement'!$B$8:$B$507,S137)-B137)</f>
        <v/>
      </c>
      <c r="U137" s="9" t="n">
        <f aca="false">IF(S137=0,0,IF(P137&gt;0,S137,IF(AND(ISNUMBER(T137),ABS(N(T137))&lt;=Setup!$C$11),S137,0)))</f>
        <v>0</v>
      </c>
      <c r="V137" s="9" t="str">
        <f aca="false">IF(AND(N137&lt;&gt;"",U137=0),IF(M137="OUT",1,2)*100000+ROW(),"")</f>
        <v/>
      </c>
      <c r="W137" s="9" t="n">
        <f aca="false">N(F137)+N(G137)</f>
        <v>0</v>
      </c>
    </row>
    <row r="138" customFormat="false" ht="15" hidden="false" customHeight="false" outlineLevel="0" collapsed="false">
      <c r="A138" s="37" t="str">
        <f aca="false">IF(M138="","",ROW()-7)</f>
        <v/>
      </c>
      <c r="B138" s="70"/>
      <c r="C138" s="71"/>
      <c r="D138" s="72"/>
      <c r="E138" s="71"/>
      <c r="F138" s="73"/>
      <c r="G138" s="73"/>
      <c r="H138" s="42" t="str">
        <f aca="false">IF(M138="","",IF(U138&gt;0,"✔ Matched",IF(M138="OUT","Not yet presented","Not yet credited")))</f>
        <v/>
      </c>
      <c r="I138" s="43" t="str">
        <f aca="false">IF(N(U138)&gt;0,U138,"")</f>
        <v/>
      </c>
      <c r="J138" s="44" t="str">
        <f aca="false">IF(N(U138)&gt;0,T138,"")</f>
        <v/>
      </c>
      <c r="K138" s="45" t="str">
        <f aca="false">IF(AND(M138="",B138="",D138=""),"",IF(AND(N(F138)&gt;0,N(G138)&gt;0),"⚠ Fill deposit OR payment",IF(M138="","⚠ Enter amount",IF(B138="","⚠ Enter date",IF(AND(Setup!$C$8&lt;&gt;"",B138&gt;Setup!$C$8),"⚠ Date after period",IF(AND(O138&lt;&gt;"",COUNTIF($O$8:$O$507,O138)&gt;1),"⚠ Cheque no. used twice","✔"))))))</f>
        <v/>
      </c>
      <c r="M138" s="9" t="str">
        <f aca="false">IF(N(F138)&gt;0,"IN",IF(N(G138)&gt;0,"OUT",""))</f>
        <v/>
      </c>
      <c r="N138" s="9" t="str">
        <f aca="false">IF(M138="","",M138&amp;"|"&amp;TEXT(ROUND(N(F138)+N(G138),2),"0.00"))</f>
        <v/>
      </c>
      <c r="O138" s="9" t="str">
        <f aca="false">IF(OR(N138="",TRIM(E138&amp;"")=""),"",N138&amp;"|"&amp;UPPER(TRIM(E138&amp;"")))</f>
        <v/>
      </c>
      <c r="P138" s="9" t="n">
        <f aca="false">IF(O138="",0,IFERROR(MATCH(O138,'Bank Statement'!$O$8:$O$507,0),0))</f>
        <v>0</v>
      </c>
      <c r="Q138" s="9" t="str">
        <f aca="false">IF(OR(N138="",P138&gt;0),"",N138&amp;"#"&amp;COUNTIFS($N$8:N138,N138,$P$8:P138,0))</f>
        <v/>
      </c>
      <c r="R138" s="9" t="n">
        <f aca="false">IF(Q138="",0,IFERROR(MATCH(Q138,'Bank Statement'!$Q$8:$Q$507,0),0))</f>
        <v>0</v>
      </c>
      <c r="S138" s="9" t="n">
        <f aca="false">IF(P138&gt;0,P138,R138)</f>
        <v>0</v>
      </c>
      <c r="T138" s="9" t="str">
        <f aca="false">IF(OR(S138=0,B138=""),"",INDEX('Bank Statement'!$B$8:$B$507,S138)-B138)</f>
        <v/>
      </c>
      <c r="U138" s="9" t="n">
        <f aca="false">IF(S138=0,0,IF(P138&gt;0,S138,IF(AND(ISNUMBER(T138),ABS(N(T138))&lt;=Setup!$C$11),S138,0)))</f>
        <v>0</v>
      </c>
      <c r="V138" s="9" t="str">
        <f aca="false">IF(AND(N138&lt;&gt;"",U138=0),IF(M138="OUT",1,2)*100000+ROW(),"")</f>
        <v/>
      </c>
      <c r="W138" s="9" t="n">
        <f aca="false">N(F138)+N(G138)</f>
        <v>0</v>
      </c>
    </row>
    <row r="139" customFormat="false" ht="15" hidden="false" customHeight="false" outlineLevel="0" collapsed="false">
      <c r="A139" s="37" t="str">
        <f aca="false">IF(M139="","",ROW()-7)</f>
        <v/>
      </c>
      <c r="B139" s="70"/>
      <c r="C139" s="71"/>
      <c r="D139" s="72"/>
      <c r="E139" s="71"/>
      <c r="F139" s="73"/>
      <c r="G139" s="73"/>
      <c r="H139" s="42" t="str">
        <f aca="false">IF(M139="","",IF(U139&gt;0,"✔ Matched",IF(M139="OUT","Not yet presented","Not yet credited")))</f>
        <v/>
      </c>
      <c r="I139" s="43" t="str">
        <f aca="false">IF(N(U139)&gt;0,U139,"")</f>
        <v/>
      </c>
      <c r="J139" s="44" t="str">
        <f aca="false">IF(N(U139)&gt;0,T139,"")</f>
        <v/>
      </c>
      <c r="K139" s="45" t="str">
        <f aca="false">IF(AND(M139="",B139="",D139=""),"",IF(AND(N(F139)&gt;0,N(G139)&gt;0),"⚠ Fill deposit OR payment",IF(M139="","⚠ Enter amount",IF(B139="","⚠ Enter date",IF(AND(Setup!$C$8&lt;&gt;"",B139&gt;Setup!$C$8),"⚠ Date after period",IF(AND(O139&lt;&gt;"",COUNTIF($O$8:$O$507,O139)&gt;1),"⚠ Cheque no. used twice","✔"))))))</f>
        <v/>
      </c>
      <c r="M139" s="9" t="str">
        <f aca="false">IF(N(F139)&gt;0,"IN",IF(N(G139)&gt;0,"OUT",""))</f>
        <v/>
      </c>
      <c r="N139" s="9" t="str">
        <f aca="false">IF(M139="","",M139&amp;"|"&amp;TEXT(ROUND(N(F139)+N(G139),2),"0.00"))</f>
        <v/>
      </c>
      <c r="O139" s="9" t="str">
        <f aca="false">IF(OR(N139="",TRIM(E139&amp;"")=""),"",N139&amp;"|"&amp;UPPER(TRIM(E139&amp;"")))</f>
        <v/>
      </c>
      <c r="P139" s="9" t="n">
        <f aca="false">IF(O139="",0,IFERROR(MATCH(O139,'Bank Statement'!$O$8:$O$507,0),0))</f>
        <v>0</v>
      </c>
      <c r="Q139" s="9" t="str">
        <f aca="false">IF(OR(N139="",P139&gt;0),"",N139&amp;"#"&amp;COUNTIFS($N$8:N139,N139,$P$8:P139,0))</f>
        <v/>
      </c>
      <c r="R139" s="9" t="n">
        <f aca="false">IF(Q139="",0,IFERROR(MATCH(Q139,'Bank Statement'!$Q$8:$Q$507,0),0))</f>
        <v>0</v>
      </c>
      <c r="S139" s="9" t="n">
        <f aca="false">IF(P139&gt;0,P139,R139)</f>
        <v>0</v>
      </c>
      <c r="T139" s="9" t="str">
        <f aca="false">IF(OR(S139=0,B139=""),"",INDEX('Bank Statement'!$B$8:$B$507,S139)-B139)</f>
        <v/>
      </c>
      <c r="U139" s="9" t="n">
        <f aca="false">IF(S139=0,0,IF(P139&gt;0,S139,IF(AND(ISNUMBER(T139),ABS(N(T139))&lt;=Setup!$C$11),S139,0)))</f>
        <v>0</v>
      </c>
      <c r="V139" s="9" t="str">
        <f aca="false">IF(AND(N139&lt;&gt;"",U139=0),IF(M139="OUT",1,2)*100000+ROW(),"")</f>
        <v/>
      </c>
      <c r="W139" s="9" t="n">
        <f aca="false">N(F139)+N(G139)</f>
        <v>0</v>
      </c>
    </row>
    <row r="140" customFormat="false" ht="15" hidden="false" customHeight="false" outlineLevel="0" collapsed="false">
      <c r="A140" s="37" t="str">
        <f aca="false">IF(M140="","",ROW()-7)</f>
        <v/>
      </c>
      <c r="B140" s="70"/>
      <c r="C140" s="71"/>
      <c r="D140" s="72"/>
      <c r="E140" s="71"/>
      <c r="F140" s="73"/>
      <c r="G140" s="73"/>
      <c r="H140" s="42" t="str">
        <f aca="false">IF(M140="","",IF(U140&gt;0,"✔ Matched",IF(M140="OUT","Not yet presented","Not yet credited")))</f>
        <v/>
      </c>
      <c r="I140" s="43" t="str">
        <f aca="false">IF(N(U140)&gt;0,U140,"")</f>
        <v/>
      </c>
      <c r="J140" s="44" t="str">
        <f aca="false">IF(N(U140)&gt;0,T140,"")</f>
        <v/>
      </c>
      <c r="K140" s="45" t="str">
        <f aca="false">IF(AND(M140="",B140="",D140=""),"",IF(AND(N(F140)&gt;0,N(G140)&gt;0),"⚠ Fill deposit OR payment",IF(M140="","⚠ Enter amount",IF(B140="","⚠ Enter date",IF(AND(Setup!$C$8&lt;&gt;"",B140&gt;Setup!$C$8),"⚠ Date after period",IF(AND(O140&lt;&gt;"",COUNTIF($O$8:$O$507,O140)&gt;1),"⚠ Cheque no. used twice","✔"))))))</f>
        <v/>
      </c>
      <c r="M140" s="9" t="str">
        <f aca="false">IF(N(F140)&gt;0,"IN",IF(N(G140)&gt;0,"OUT",""))</f>
        <v/>
      </c>
      <c r="N140" s="9" t="str">
        <f aca="false">IF(M140="","",M140&amp;"|"&amp;TEXT(ROUND(N(F140)+N(G140),2),"0.00"))</f>
        <v/>
      </c>
      <c r="O140" s="9" t="str">
        <f aca="false">IF(OR(N140="",TRIM(E140&amp;"")=""),"",N140&amp;"|"&amp;UPPER(TRIM(E140&amp;"")))</f>
        <v/>
      </c>
      <c r="P140" s="9" t="n">
        <f aca="false">IF(O140="",0,IFERROR(MATCH(O140,'Bank Statement'!$O$8:$O$507,0),0))</f>
        <v>0</v>
      </c>
      <c r="Q140" s="9" t="str">
        <f aca="false">IF(OR(N140="",P140&gt;0),"",N140&amp;"#"&amp;COUNTIFS($N$8:N140,N140,$P$8:P140,0))</f>
        <v/>
      </c>
      <c r="R140" s="9" t="n">
        <f aca="false">IF(Q140="",0,IFERROR(MATCH(Q140,'Bank Statement'!$Q$8:$Q$507,0),0))</f>
        <v>0</v>
      </c>
      <c r="S140" s="9" t="n">
        <f aca="false">IF(P140&gt;0,P140,R140)</f>
        <v>0</v>
      </c>
      <c r="T140" s="9" t="str">
        <f aca="false">IF(OR(S140=0,B140=""),"",INDEX('Bank Statement'!$B$8:$B$507,S140)-B140)</f>
        <v/>
      </c>
      <c r="U140" s="9" t="n">
        <f aca="false">IF(S140=0,0,IF(P140&gt;0,S140,IF(AND(ISNUMBER(T140),ABS(N(T140))&lt;=Setup!$C$11),S140,0)))</f>
        <v>0</v>
      </c>
      <c r="V140" s="9" t="str">
        <f aca="false">IF(AND(N140&lt;&gt;"",U140=0),IF(M140="OUT",1,2)*100000+ROW(),"")</f>
        <v/>
      </c>
      <c r="W140" s="9" t="n">
        <f aca="false">N(F140)+N(G140)</f>
        <v>0</v>
      </c>
    </row>
    <row r="141" customFormat="false" ht="15" hidden="false" customHeight="false" outlineLevel="0" collapsed="false">
      <c r="A141" s="37" t="str">
        <f aca="false">IF(M141="","",ROW()-7)</f>
        <v/>
      </c>
      <c r="B141" s="70"/>
      <c r="C141" s="71"/>
      <c r="D141" s="72"/>
      <c r="E141" s="71"/>
      <c r="F141" s="73"/>
      <c r="G141" s="73"/>
      <c r="H141" s="42" t="str">
        <f aca="false">IF(M141="","",IF(U141&gt;0,"✔ Matched",IF(M141="OUT","Not yet presented","Not yet credited")))</f>
        <v/>
      </c>
      <c r="I141" s="43" t="str">
        <f aca="false">IF(N(U141)&gt;0,U141,"")</f>
        <v/>
      </c>
      <c r="J141" s="44" t="str">
        <f aca="false">IF(N(U141)&gt;0,T141,"")</f>
        <v/>
      </c>
      <c r="K141" s="45" t="str">
        <f aca="false">IF(AND(M141="",B141="",D141=""),"",IF(AND(N(F141)&gt;0,N(G141)&gt;0),"⚠ Fill deposit OR payment",IF(M141="","⚠ Enter amount",IF(B141="","⚠ Enter date",IF(AND(Setup!$C$8&lt;&gt;"",B141&gt;Setup!$C$8),"⚠ Date after period",IF(AND(O141&lt;&gt;"",COUNTIF($O$8:$O$507,O141)&gt;1),"⚠ Cheque no. used twice","✔"))))))</f>
        <v/>
      </c>
      <c r="M141" s="9" t="str">
        <f aca="false">IF(N(F141)&gt;0,"IN",IF(N(G141)&gt;0,"OUT",""))</f>
        <v/>
      </c>
      <c r="N141" s="9" t="str">
        <f aca="false">IF(M141="","",M141&amp;"|"&amp;TEXT(ROUND(N(F141)+N(G141),2),"0.00"))</f>
        <v/>
      </c>
      <c r="O141" s="9" t="str">
        <f aca="false">IF(OR(N141="",TRIM(E141&amp;"")=""),"",N141&amp;"|"&amp;UPPER(TRIM(E141&amp;"")))</f>
        <v/>
      </c>
      <c r="P141" s="9" t="n">
        <f aca="false">IF(O141="",0,IFERROR(MATCH(O141,'Bank Statement'!$O$8:$O$507,0),0))</f>
        <v>0</v>
      </c>
      <c r="Q141" s="9" t="str">
        <f aca="false">IF(OR(N141="",P141&gt;0),"",N141&amp;"#"&amp;COUNTIFS($N$8:N141,N141,$P$8:P141,0))</f>
        <v/>
      </c>
      <c r="R141" s="9" t="n">
        <f aca="false">IF(Q141="",0,IFERROR(MATCH(Q141,'Bank Statement'!$Q$8:$Q$507,0),0))</f>
        <v>0</v>
      </c>
      <c r="S141" s="9" t="n">
        <f aca="false">IF(P141&gt;0,P141,R141)</f>
        <v>0</v>
      </c>
      <c r="T141" s="9" t="str">
        <f aca="false">IF(OR(S141=0,B141=""),"",INDEX('Bank Statement'!$B$8:$B$507,S141)-B141)</f>
        <v/>
      </c>
      <c r="U141" s="9" t="n">
        <f aca="false">IF(S141=0,0,IF(P141&gt;0,S141,IF(AND(ISNUMBER(T141),ABS(N(T141))&lt;=Setup!$C$11),S141,0)))</f>
        <v>0</v>
      </c>
      <c r="V141" s="9" t="str">
        <f aca="false">IF(AND(N141&lt;&gt;"",U141=0),IF(M141="OUT",1,2)*100000+ROW(),"")</f>
        <v/>
      </c>
      <c r="W141" s="9" t="n">
        <f aca="false">N(F141)+N(G141)</f>
        <v>0</v>
      </c>
    </row>
    <row r="142" customFormat="false" ht="15" hidden="false" customHeight="false" outlineLevel="0" collapsed="false">
      <c r="A142" s="37" t="str">
        <f aca="false">IF(M142="","",ROW()-7)</f>
        <v/>
      </c>
      <c r="B142" s="70"/>
      <c r="C142" s="71"/>
      <c r="D142" s="72"/>
      <c r="E142" s="71"/>
      <c r="F142" s="73"/>
      <c r="G142" s="73"/>
      <c r="H142" s="42" t="str">
        <f aca="false">IF(M142="","",IF(U142&gt;0,"✔ Matched",IF(M142="OUT","Not yet presented","Not yet credited")))</f>
        <v/>
      </c>
      <c r="I142" s="43" t="str">
        <f aca="false">IF(N(U142)&gt;0,U142,"")</f>
        <v/>
      </c>
      <c r="J142" s="44" t="str">
        <f aca="false">IF(N(U142)&gt;0,T142,"")</f>
        <v/>
      </c>
      <c r="K142" s="45" t="str">
        <f aca="false">IF(AND(M142="",B142="",D142=""),"",IF(AND(N(F142)&gt;0,N(G142)&gt;0),"⚠ Fill deposit OR payment",IF(M142="","⚠ Enter amount",IF(B142="","⚠ Enter date",IF(AND(Setup!$C$8&lt;&gt;"",B142&gt;Setup!$C$8),"⚠ Date after period",IF(AND(O142&lt;&gt;"",COUNTIF($O$8:$O$507,O142)&gt;1),"⚠ Cheque no. used twice","✔"))))))</f>
        <v/>
      </c>
      <c r="M142" s="9" t="str">
        <f aca="false">IF(N(F142)&gt;0,"IN",IF(N(G142)&gt;0,"OUT",""))</f>
        <v/>
      </c>
      <c r="N142" s="9" t="str">
        <f aca="false">IF(M142="","",M142&amp;"|"&amp;TEXT(ROUND(N(F142)+N(G142),2),"0.00"))</f>
        <v/>
      </c>
      <c r="O142" s="9" t="str">
        <f aca="false">IF(OR(N142="",TRIM(E142&amp;"")=""),"",N142&amp;"|"&amp;UPPER(TRIM(E142&amp;"")))</f>
        <v/>
      </c>
      <c r="P142" s="9" t="n">
        <f aca="false">IF(O142="",0,IFERROR(MATCH(O142,'Bank Statement'!$O$8:$O$507,0),0))</f>
        <v>0</v>
      </c>
      <c r="Q142" s="9" t="str">
        <f aca="false">IF(OR(N142="",P142&gt;0),"",N142&amp;"#"&amp;COUNTIFS($N$8:N142,N142,$P$8:P142,0))</f>
        <v/>
      </c>
      <c r="R142" s="9" t="n">
        <f aca="false">IF(Q142="",0,IFERROR(MATCH(Q142,'Bank Statement'!$Q$8:$Q$507,0),0))</f>
        <v>0</v>
      </c>
      <c r="S142" s="9" t="n">
        <f aca="false">IF(P142&gt;0,P142,R142)</f>
        <v>0</v>
      </c>
      <c r="T142" s="9" t="str">
        <f aca="false">IF(OR(S142=0,B142=""),"",INDEX('Bank Statement'!$B$8:$B$507,S142)-B142)</f>
        <v/>
      </c>
      <c r="U142" s="9" t="n">
        <f aca="false">IF(S142=0,0,IF(P142&gt;0,S142,IF(AND(ISNUMBER(T142),ABS(N(T142))&lt;=Setup!$C$11),S142,0)))</f>
        <v>0</v>
      </c>
      <c r="V142" s="9" t="str">
        <f aca="false">IF(AND(N142&lt;&gt;"",U142=0),IF(M142="OUT",1,2)*100000+ROW(),"")</f>
        <v/>
      </c>
      <c r="W142" s="9" t="n">
        <f aca="false">N(F142)+N(G142)</f>
        <v>0</v>
      </c>
    </row>
    <row r="143" customFormat="false" ht="15" hidden="false" customHeight="false" outlineLevel="0" collapsed="false">
      <c r="A143" s="37" t="str">
        <f aca="false">IF(M143="","",ROW()-7)</f>
        <v/>
      </c>
      <c r="B143" s="70"/>
      <c r="C143" s="71"/>
      <c r="D143" s="72"/>
      <c r="E143" s="71"/>
      <c r="F143" s="73"/>
      <c r="G143" s="73"/>
      <c r="H143" s="42" t="str">
        <f aca="false">IF(M143="","",IF(U143&gt;0,"✔ Matched",IF(M143="OUT","Not yet presented","Not yet credited")))</f>
        <v/>
      </c>
      <c r="I143" s="43" t="str">
        <f aca="false">IF(N(U143)&gt;0,U143,"")</f>
        <v/>
      </c>
      <c r="J143" s="44" t="str">
        <f aca="false">IF(N(U143)&gt;0,T143,"")</f>
        <v/>
      </c>
      <c r="K143" s="45" t="str">
        <f aca="false">IF(AND(M143="",B143="",D143=""),"",IF(AND(N(F143)&gt;0,N(G143)&gt;0),"⚠ Fill deposit OR payment",IF(M143="","⚠ Enter amount",IF(B143="","⚠ Enter date",IF(AND(Setup!$C$8&lt;&gt;"",B143&gt;Setup!$C$8),"⚠ Date after period",IF(AND(O143&lt;&gt;"",COUNTIF($O$8:$O$507,O143)&gt;1),"⚠ Cheque no. used twice","✔"))))))</f>
        <v/>
      </c>
      <c r="M143" s="9" t="str">
        <f aca="false">IF(N(F143)&gt;0,"IN",IF(N(G143)&gt;0,"OUT",""))</f>
        <v/>
      </c>
      <c r="N143" s="9" t="str">
        <f aca="false">IF(M143="","",M143&amp;"|"&amp;TEXT(ROUND(N(F143)+N(G143),2),"0.00"))</f>
        <v/>
      </c>
      <c r="O143" s="9" t="str">
        <f aca="false">IF(OR(N143="",TRIM(E143&amp;"")=""),"",N143&amp;"|"&amp;UPPER(TRIM(E143&amp;"")))</f>
        <v/>
      </c>
      <c r="P143" s="9" t="n">
        <f aca="false">IF(O143="",0,IFERROR(MATCH(O143,'Bank Statement'!$O$8:$O$507,0),0))</f>
        <v>0</v>
      </c>
      <c r="Q143" s="9" t="str">
        <f aca="false">IF(OR(N143="",P143&gt;0),"",N143&amp;"#"&amp;COUNTIFS($N$8:N143,N143,$P$8:P143,0))</f>
        <v/>
      </c>
      <c r="R143" s="9" t="n">
        <f aca="false">IF(Q143="",0,IFERROR(MATCH(Q143,'Bank Statement'!$Q$8:$Q$507,0),0))</f>
        <v>0</v>
      </c>
      <c r="S143" s="9" t="n">
        <f aca="false">IF(P143&gt;0,P143,R143)</f>
        <v>0</v>
      </c>
      <c r="T143" s="9" t="str">
        <f aca="false">IF(OR(S143=0,B143=""),"",INDEX('Bank Statement'!$B$8:$B$507,S143)-B143)</f>
        <v/>
      </c>
      <c r="U143" s="9" t="n">
        <f aca="false">IF(S143=0,0,IF(P143&gt;0,S143,IF(AND(ISNUMBER(T143),ABS(N(T143))&lt;=Setup!$C$11),S143,0)))</f>
        <v>0</v>
      </c>
      <c r="V143" s="9" t="str">
        <f aca="false">IF(AND(N143&lt;&gt;"",U143=0),IF(M143="OUT",1,2)*100000+ROW(),"")</f>
        <v/>
      </c>
      <c r="W143" s="9" t="n">
        <f aca="false">N(F143)+N(G143)</f>
        <v>0</v>
      </c>
    </row>
    <row r="144" customFormat="false" ht="15" hidden="false" customHeight="false" outlineLevel="0" collapsed="false">
      <c r="A144" s="37" t="str">
        <f aca="false">IF(M144="","",ROW()-7)</f>
        <v/>
      </c>
      <c r="B144" s="70"/>
      <c r="C144" s="71"/>
      <c r="D144" s="72"/>
      <c r="E144" s="71"/>
      <c r="F144" s="73"/>
      <c r="G144" s="73"/>
      <c r="H144" s="42" t="str">
        <f aca="false">IF(M144="","",IF(U144&gt;0,"✔ Matched",IF(M144="OUT","Not yet presented","Not yet credited")))</f>
        <v/>
      </c>
      <c r="I144" s="43" t="str">
        <f aca="false">IF(N(U144)&gt;0,U144,"")</f>
        <v/>
      </c>
      <c r="J144" s="44" t="str">
        <f aca="false">IF(N(U144)&gt;0,T144,"")</f>
        <v/>
      </c>
      <c r="K144" s="45" t="str">
        <f aca="false">IF(AND(M144="",B144="",D144=""),"",IF(AND(N(F144)&gt;0,N(G144)&gt;0),"⚠ Fill deposit OR payment",IF(M144="","⚠ Enter amount",IF(B144="","⚠ Enter date",IF(AND(Setup!$C$8&lt;&gt;"",B144&gt;Setup!$C$8),"⚠ Date after period",IF(AND(O144&lt;&gt;"",COUNTIF($O$8:$O$507,O144)&gt;1),"⚠ Cheque no. used twice","✔"))))))</f>
        <v/>
      </c>
      <c r="M144" s="9" t="str">
        <f aca="false">IF(N(F144)&gt;0,"IN",IF(N(G144)&gt;0,"OUT",""))</f>
        <v/>
      </c>
      <c r="N144" s="9" t="str">
        <f aca="false">IF(M144="","",M144&amp;"|"&amp;TEXT(ROUND(N(F144)+N(G144),2),"0.00"))</f>
        <v/>
      </c>
      <c r="O144" s="9" t="str">
        <f aca="false">IF(OR(N144="",TRIM(E144&amp;"")=""),"",N144&amp;"|"&amp;UPPER(TRIM(E144&amp;"")))</f>
        <v/>
      </c>
      <c r="P144" s="9" t="n">
        <f aca="false">IF(O144="",0,IFERROR(MATCH(O144,'Bank Statement'!$O$8:$O$507,0),0))</f>
        <v>0</v>
      </c>
      <c r="Q144" s="9" t="str">
        <f aca="false">IF(OR(N144="",P144&gt;0),"",N144&amp;"#"&amp;COUNTIFS($N$8:N144,N144,$P$8:P144,0))</f>
        <v/>
      </c>
      <c r="R144" s="9" t="n">
        <f aca="false">IF(Q144="",0,IFERROR(MATCH(Q144,'Bank Statement'!$Q$8:$Q$507,0),0))</f>
        <v>0</v>
      </c>
      <c r="S144" s="9" t="n">
        <f aca="false">IF(P144&gt;0,P144,R144)</f>
        <v>0</v>
      </c>
      <c r="T144" s="9" t="str">
        <f aca="false">IF(OR(S144=0,B144=""),"",INDEX('Bank Statement'!$B$8:$B$507,S144)-B144)</f>
        <v/>
      </c>
      <c r="U144" s="9" t="n">
        <f aca="false">IF(S144=0,0,IF(P144&gt;0,S144,IF(AND(ISNUMBER(T144),ABS(N(T144))&lt;=Setup!$C$11),S144,0)))</f>
        <v>0</v>
      </c>
      <c r="V144" s="9" t="str">
        <f aca="false">IF(AND(N144&lt;&gt;"",U144=0),IF(M144="OUT",1,2)*100000+ROW(),"")</f>
        <v/>
      </c>
      <c r="W144" s="9" t="n">
        <f aca="false">N(F144)+N(G144)</f>
        <v>0</v>
      </c>
    </row>
    <row r="145" customFormat="false" ht="15" hidden="false" customHeight="false" outlineLevel="0" collapsed="false">
      <c r="A145" s="37" t="str">
        <f aca="false">IF(M145="","",ROW()-7)</f>
        <v/>
      </c>
      <c r="B145" s="70"/>
      <c r="C145" s="71"/>
      <c r="D145" s="72"/>
      <c r="E145" s="71"/>
      <c r="F145" s="73"/>
      <c r="G145" s="73"/>
      <c r="H145" s="42" t="str">
        <f aca="false">IF(M145="","",IF(U145&gt;0,"✔ Matched",IF(M145="OUT","Not yet presented","Not yet credited")))</f>
        <v/>
      </c>
      <c r="I145" s="43" t="str">
        <f aca="false">IF(N(U145)&gt;0,U145,"")</f>
        <v/>
      </c>
      <c r="J145" s="44" t="str">
        <f aca="false">IF(N(U145)&gt;0,T145,"")</f>
        <v/>
      </c>
      <c r="K145" s="45" t="str">
        <f aca="false">IF(AND(M145="",B145="",D145=""),"",IF(AND(N(F145)&gt;0,N(G145)&gt;0),"⚠ Fill deposit OR payment",IF(M145="","⚠ Enter amount",IF(B145="","⚠ Enter date",IF(AND(Setup!$C$8&lt;&gt;"",B145&gt;Setup!$C$8),"⚠ Date after period",IF(AND(O145&lt;&gt;"",COUNTIF($O$8:$O$507,O145)&gt;1),"⚠ Cheque no. used twice","✔"))))))</f>
        <v/>
      </c>
      <c r="M145" s="9" t="str">
        <f aca="false">IF(N(F145)&gt;0,"IN",IF(N(G145)&gt;0,"OUT",""))</f>
        <v/>
      </c>
      <c r="N145" s="9" t="str">
        <f aca="false">IF(M145="","",M145&amp;"|"&amp;TEXT(ROUND(N(F145)+N(G145),2),"0.00"))</f>
        <v/>
      </c>
      <c r="O145" s="9" t="str">
        <f aca="false">IF(OR(N145="",TRIM(E145&amp;"")=""),"",N145&amp;"|"&amp;UPPER(TRIM(E145&amp;"")))</f>
        <v/>
      </c>
      <c r="P145" s="9" t="n">
        <f aca="false">IF(O145="",0,IFERROR(MATCH(O145,'Bank Statement'!$O$8:$O$507,0),0))</f>
        <v>0</v>
      </c>
      <c r="Q145" s="9" t="str">
        <f aca="false">IF(OR(N145="",P145&gt;0),"",N145&amp;"#"&amp;COUNTIFS($N$8:N145,N145,$P$8:P145,0))</f>
        <v/>
      </c>
      <c r="R145" s="9" t="n">
        <f aca="false">IF(Q145="",0,IFERROR(MATCH(Q145,'Bank Statement'!$Q$8:$Q$507,0),0))</f>
        <v>0</v>
      </c>
      <c r="S145" s="9" t="n">
        <f aca="false">IF(P145&gt;0,P145,R145)</f>
        <v>0</v>
      </c>
      <c r="T145" s="9" t="str">
        <f aca="false">IF(OR(S145=0,B145=""),"",INDEX('Bank Statement'!$B$8:$B$507,S145)-B145)</f>
        <v/>
      </c>
      <c r="U145" s="9" t="n">
        <f aca="false">IF(S145=0,0,IF(P145&gt;0,S145,IF(AND(ISNUMBER(T145),ABS(N(T145))&lt;=Setup!$C$11),S145,0)))</f>
        <v>0</v>
      </c>
      <c r="V145" s="9" t="str">
        <f aca="false">IF(AND(N145&lt;&gt;"",U145=0),IF(M145="OUT",1,2)*100000+ROW(),"")</f>
        <v/>
      </c>
      <c r="W145" s="9" t="n">
        <f aca="false">N(F145)+N(G145)</f>
        <v>0</v>
      </c>
    </row>
    <row r="146" customFormat="false" ht="15" hidden="false" customHeight="false" outlineLevel="0" collapsed="false">
      <c r="A146" s="37" t="str">
        <f aca="false">IF(M146="","",ROW()-7)</f>
        <v/>
      </c>
      <c r="B146" s="70"/>
      <c r="C146" s="71"/>
      <c r="D146" s="72"/>
      <c r="E146" s="71"/>
      <c r="F146" s="73"/>
      <c r="G146" s="73"/>
      <c r="H146" s="42" t="str">
        <f aca="false">IF(M146="","",IF(U146&gt;0,"✔ Matched",IF(M146="OUT","Not yet presented","Not yet credited")))</f>
        <v/>
      </c>
      <c r="I146" s="43" t="str">
        <f aca="false">IF(N(U146)&gt;0,U146,"")</f>
        <v/>
      </c>
      <c r="J146" s="44" t="str">
        <f aca="false">IF(N(U146)&gt;0,T146,"")</f>
        <v/>
      </c>
      <c r="K146" s="45" t="str">
        <f aca="false">IF(AND(M146="",B146="",D146=""),"",IF(AND(N(F146)&gt;0,N(G146)&gt;0),"⚠ Fill deposit OR payment",IF(M146="","⚠ Enter amount",IF(B146="","⚠ Enter date",IF(AND(Setup!$C$8&lt;&gt;"",B146&gt;Setup!$C$8),"⚠ Date after period",IF(AND(O146&lt;&gt;"",COUNTIF($O$8:$O$507,O146)&gt;1),"⚠ Cheque no. used twice","✔"))))))</f>
        <v/>
      </c>
      <c r="M146" s="9" t="str">
        <f aca="false">IF(N(F146)&gt;0,"IN",IF(N(G146)&gt;0,"OUT",""))</f>
        <v/>
      </c>
      <c r="N146" s="9" t="str">
        <f aca="false">IF(M146="","",M146&amp;"|"&amp;TEXT(ROUND(N(F146)+N(G146),2),"0.00"))</f>
        <v/>
      </c>
      <c r="O146" s="9" t="str">
        <f aca="false">IF(OR(N146="",TRIM(E146&amp;"")=""),"",N146&amp;"|"&amp;UPPER(TRIM(E146&amp;"")))</f>
        <v/>
      </c>
      <c r="P146" s="9" t="n">
        <f aca="false">IF(O146="",0,IFERROR(MATCH(O146,'Bank Statement'!$O$8:$O$507,0),0))</f>
        <v>0</v>
      </c>
      <c r="Q146" s="9" t="str">
        <f aca="false">IF(OR(N146="",P146&gt;0),"",N146&amp;"#"&amp;COUNTIFS($N$8:N146,N146,$P$8:P146,0))</f>
        <v/>
      </c>
      <c r="R146" s="9" t="n">
        <f aca="false">IF(Q146="",0,IFERROR(MATCH(Q146,'Bank Statement'!$Q$8:$Q$507,0),0))</f>
        <v>0</v>
      </c>
      <c r="S146" s="9" t="n">
        <f aca="false">IF(P146&gt;0,P146,R146)</f>
        <v>0</v>
      </c>
      <c r="T146" s="9" t="str">
        <f aca="false">IF(OR(S146=0,B146=""),"",INDEX('Bank Statement'!$B$8:$B$507,S146)-B146)</f>
        <v/>
      </c>
      <c r="U146" s="9" t="n">
        <f aca="false">IF(S146=0,0,IF(P146&gt;0,S146,IF(AND(ISNUMBER(T146),ABS(N(T146))&lt;=Setup!$C$11),S146,0)))</f>
        <v>0</v>
      </c>
      <c r="V146" s="9" t="str">
        <f aca="false">IF(AND(N146&lt;&gt;"",U146=0),IF(M146="OUT",1,2)*100000+ROW(),"")</f>
        <v/>
      </c>
      <c r="W146" s="9" t="n">
        <f aca="false">N(F146)+N(G146)</f>
        <v>0</v>
      </c>
    </row>
    <row r="147" customFormat="false" ht="15" hidden="false" customHeight="false" outlineLevel="0" collapsed="false">
      <c r="A147" s="37" t="str">
        <f aca="false">IF(M147="","",ROW()-7)</f>
        <v/>
      </c>
      <c r="B147" s="70"/>
      <c r="C147" s="71"/>
      <c r="D147" s="72"/>
      <c r="E147" s="71"/>
      <c r="F147" s="73"/>
      <c r="G147" s="73"/>
      <c r="H147" s="42" t="str">
        <f aca="false">IF(M147="","",IF(U147&gt;0,"✔ Matched",IF(M147="OUT","Not yet presented","Not yet credited")))</f>
        <v/>
      </c>
      <c r="I147" s="43" t="str">
        <f aca="false">IF(N(U147)&gt;0,U147,"")</f>
        <v/>
      </c>
      <c r="J147" s="44" t="str">
        <f aca="false">IF(N(U147)&gt;0,T147,"")</f>
        <v/>
      </c>
      <c r="K147" s="45" t="str">
        <f aca="false">IF(AND(M147="",B147="",D147=""),"",IF(AND(N(F147)&gt;0,N(G147)&gt;0),"⚠ Fill deposit OR payment",IF(M147="","⚠ Enter amount",IF(B147="","⚠ Enter date",IF(AND(Setup!$C$8&lt;&gt;"",B147&gt;Setup!$C$8),"⚠ Date after period",IF(AND(O147&lt;&gt;"",COUNTIF($O$8:$O$507,O147)&gt;1),"⚠ Cheque no. used twice","✔"))))))</f>
        <v/>
      </c>
      <c r="M147" s="9" t="str">
        <f aca="false">IF(N(F147)&gt;0,"IN",IF(N(G147)&gt;0,"OUT",""))</f>
        <v/>
      </c>
      <c r="N147" s="9" t="str">
        <f aca="false">IF(M147="","",M147&amp;"|"&amp;TEXT(ROUND(N(F147)+N(G147),2),"0.00"))</f>
        <v/>
      </c>
      <c r="O147" s="9" t="str">
        <f aca="false">IF(OR(N147="",TRIM(E147&amp;"")=""),"",N147&amp;"|"&amp;UPPER(TRIM(E147&amp;"")))</f>
        <v/>
      </c>
      <c r="P147" s="9" t="n">
        <f aca="false">IF(O147="",0,IFERROR(MATCH(O147,'Bank Statement'!$O$8:$O$507,0),0))</f>
        <v>0</v>
      </c>
      <c r="Q147" s="9" t="str">
        <f aca="false">IF(OR(N147="",P147&gt;0),"",N147&amp;"#"&amp;COUNTIFS($N$8:N147,N147,$P$8:P147,0))</f>
        <v/>
      </c>
      <c r="R147" s="9" t="n">
        <f aca="false">IF(Q147="",0,IFERROR(MATCH(Q147,'Bank Statement'!$Q$8:$Q$507,0),0))</f>
        <v>0</v>
      </c>
      <c r="S147" s="9" t="n">
        <f aca="false">IF(P147&gt;0,P147,R147)</f>
        <v>0</v>
      </c>
      <c r="T147" s="9" t="str">
        <f aca="false">IF(OR(S147=0,B147=""),"",INDEX('Bank Statement'!$B$8:$B$507,S147)-B147)</f>
        <v/>
      </c>
      <c r="U147" s="9" t="n">
        <f aca="false">IF(S147=0,0,IF(P147&gt;0,S147,IF(AND(ISNUMBER(T147),ABS(N(T147))&lt;=Setup!$C$11),S147,0)))</f>
        <v>0</v>
      </c>
      <c r="V147" s="9" t="str">
        <f aca="false">IF(AND(N147&lt;&gt;"",U147=0),IF(M147="OUT",1,2)*100000+ROW(),"")</f>
        <v/>
      </c>
      <c r="W147" s="9" t="n">
        <f aca="false">N(F147)+N(G147)</f>
        <v>0</v>
      </c>
    </row>
    <row r="148" customFormat="false" ht="15" hidden="false" customHeight="false" outlineLevel="0" collapsed="false">
      <c r="A148" s="37" t="str">
        <f aca="false">IF(M148="","",ROW()-7)</f>
        <v/>
      </c>
      <c r="B148" s="70"/>
      <c r="C148" s="71"/>
      <c r="D148" s="72"/>
      <c r="E148" s="71"/>
      <c r="F148" s="73"/>
      <c r="G148" s="73"/>
      <c r="H148" s="42" t="str">
        <f aca="false">IF(M148="","",IF(U148&gt;0,"✔ Matched",IF(M148="OUT","Not yet presented","Not yet credited")))</f>
        <v/>
      </c>
      <c r="I148" s="43" t="str">
        <f aca="false">IF(N(U148)&gt;0,U148,"")</f>
        <v/>
      </c>
      <c r="J148" s="44" t="str">
        <f aca="false">IF(N(U148)&gt;0,T148,"")</f>
        <v/>
      </c>
      <c r="K148" s="45" t="str">
        <f aca="false">IF(AND(M148="",B148="",D148=""),"",IF(AND(N(F148)&gt;0,N(G148)&gt;0),"⚠ Fill deposit OR payment",IF(M148="","⚠ Enter amount",IF(B148="","⚠ Enter date",IF(AND(Setup!$C$8&lt;&gt;"",B148&gt;Setup!$C$8),"⚠ Date after period",IF(AND(O148&lt;&gt;"",COUNTIF($O$8:$O$507,O148)&gt;1),"⚠ Cheque no. used twice","✔"))))))</f>
        <v/>
      </c>
      <c r="M148" s="9" t="str">
        <f aca="false">IF(N(F148)&gt;0,"IN",IF(N(G148)&gt;0,"OUT",""))</f>
        <v/>
      </c>
      <c r="N148" s="9" t="str">
        <f aca="false">IF(M148="","",M148&amp;"|"&amp;TEXT(ROUND(N(F148)+N(G148),2),"0.00"))</f>
        <v/>
      </c>
      <c r="O148" s="9" t="str">
        <f aca="false">IF(OR(N148="",TRIM(E148&amp;"")=""),"",N148&amp;"|"&amp;UPPER(TRIM(E148&amp;"")))</f>
        <v/>
      </c>
      <c r="P148" s="9" t="n">
        <f aca="false">IF(O148="",0,IFERROR(MATCH(O148,'Bank Statement'!$O$8:$O$507,0),0))</f>
        <v>0</v>
      </c>
      <c r="Q148" s="9" t="str">
        <f aca="false">IF(OR(N148="",P148&gt;0),"",N148&amp;"#"&amp;COUNTIFS($N$8:N148,N148,$P$8:P148,0))</f>
        <v/>
      </c>
      <c r="R148" s="9" t="n">
        <f aca="false">IF(Q148="",0,IFERROR(MATCH(Q148,'Bank Statement'!$Q$8:$Q$507,0),0))</f>
        <v>0</v>
      </c>
      <c r="S148" s="9" t="n">
        <f aca="false">IF(P148&gt;0,P148,R148)</f>
        <v>0</v>
      </c>
      <c r="T148" s="9" t="str">
        <f aca="false">IF(OR(S148=0,B148=""),"",INDEX('Bank Statement'!$B$8:$B$507,S148)-B148)</f>
        <v/>
      </c>
      <c r="U148" s="9" t="n">
        <f aca="false">IF(S148=0,0,IF(P148&gt;0,S148,IF(AND(ISNUMBER(T148),ABS(N(T148))&lt;=Setup!$C$11),S148,0)))</f>
        <v>0</v>
      </c>
      <c r="V148" s="9" t="str">
        <f aca="false">IF(AND(N148&lt;&gt;"",U148=0),IF(M148="OUT",1,2)*100000+ROW(),"")</f>
        <v/>
      </c>
      <c r="W148" s="9" t="n">
        <f aca="false">N(F148)+N(G148)</f>
        <v>0</v>
      </c>
    </row>
    <row r="149" customFormat="false" ht="15" hidden="false" customHeight="false" outlineLevel="0" collapsed="false">
      <c r="A149" s="37" t="str">
        <f aca="false">IF(M149="","",ROW()-7)</f>
        <v/>
      </c>
      <c r="B149" s="70"/>
      <c r="C149" s="71"/>
      <c r="D149" s="72"/>
      <c r="E149" s="71"/>
      <c r="F149" s="73"/>
      <c r="G149" s="73"/>
      <c r="H149" s="42" t="str">
        <f aca="false">IF(M149="","",IF(U149&gt;0,"✔ Matched",IF(M149="OUT","Not yet presented","Not yet credited")))</f>
        <v/>
      </c>
      <c r="I149" s="43" t="str">
        <f aca="false">IF(N(U149)&gt;0,U149,"")</f>
        <v/>
      </c>
      <c r="J149" s="44" t="str">
        <f aca="false">IF(N(U149)&gt;0,T149,"")</f>
        <v/>
      </c>
      <c r="K149" s="45" t="str">
        <f aca="false">IF(AND(M149="",B149="",D149=""),"",IF(AND(N(F149)&gt;0,N(G149)&gt;0),"⚠ Fill deposit OR payment",IF(M149="","⚠ Enter amount",IF(B149="","⚠ Enter date",IF(AND(Setup!$C$8&lt;&gt;"",B149&gt;Setup!$C$8),"⚠ Date after period",IF(AND(O149&lt;&gt;"",COUNTIF($O$8:$O$507,O149)&gt;1),"⚠ Cheque no. used twice","✔"))))))</f>
        <v/>
      </c>
      <c r="M149" s="9" t="str">
        <f aca="false">IF(N(F149)&gt;0,"IN",IF(N(G149)&gt;0,"OUT",""))</f>
        <v/>
      </c>
      <c r="N149" s="9" t="str">
        <f aca="false">IF(M149="","",M149&amp;"|"&amp;TEXT(ROUND(N(F149)+N(G149),2),"0.00"))</f>
        <v/>
      </c>
      <c r="O149" s="9" t="str">
        <f aca="false">IF(OR(N149="",TRIM(E149&amp;"")=""),"",N149&amp;"|"&amp;UPPER(TRIM(E149&amp;"")))</f>
        <v/>
      </c>
      <c r="P149" s="9" t="n">
        <f aca="false">IF(O149="",0,IFERROR(MATCH(O149,'Bank Statement'!$O$8:$O$507,0),0))</f>
        <v>0</v>
      </c>
      <c r="Q149" s="9" t="str">
        <f aca="false">IF(OR(N149="",P149&gt;0),"",N149&amp;"#"&amp;COUNTIFS($N$8:N149,N149,$P$8:P149,0))</f>
        <v/>
      </c>
      <c r="R149" s="9" t="n">
        <f aca="false">IF(Q149="",0,IFERROR(MATCH(Q149,'Bank Statement'!$Q$8:$Q$507,0),0))</f>
        <v>0</v>
      </c>
      <c r="S149" s="9" t="n">
        <f aca="false">IF(P149&gt;0,P149,R149)</f>
        <v>0</v>
      </c>
      <c r="T149" s="9" t="str">
        <f aca="false">IF(OR(S149=0,B149=""),"",INDEX('Bank Statement'!$B$8:$B$507,S149)-B149)</f>
        <v/>
      </c>
      <c r="U149" s="9" t="n">
        <f aca="false">IF(S149=0,0,IF(P149&gt;0,S149,IF(AND(ISNUMBER(T149),ABS(N(T149))&lt;=Setup!$C$11),S149,0)))</f>
        <v>0</v>
      </c>
      <c r="V149" s="9" t="str">
        <f aca="false">IF(AND(N149&lt;&gt;"",U149=0),IF(M149="OUT",1,2)*100000+ROW(),"")</f>
        <v/>
      </c>
      <c r="W149" s="9" t="n">
        <f aca="false">N(F149)+N(G149)</f>
        <v>0</v>
      </c>
    </row>
    <row r="150" customFormat="false" ht="15" hidden="false" customHeight="false" outlineLevel="0" collapsed="false">
      <c r="A150" s="37" t="str">
        <f aca="false">IF(M150="","",ROW()-7)</f>
        <v/>
      </c>
      <c r="B150" s="70"/>
      <c r="C150" s="71"/>
      <c r="D150" s="72"/>
      <c r="E150" s="71"/>
      <c r="F150" s="73"/>
      <c r="G150" s="73"/>
      <c r="H150" s="42" t="str">
        <f aca="false">IF(M150="","",IF(U150&gt;0,"✔ Matched",IF(M150="OUT","Not yet presented","Not yet credited")))</f>
        <v/>
      </c>
      <c r="I150" s="43" t="str">
        <f aca="false">IF(N(U150)&gt;0,U150,"")</f>
        <v/>
      </c>
      <c r="J150" s="44" t="str">
        <f aca="false">IF(N(U150)&gt;0,T150,"")</f>
        <v/>
      </c>
      <c r="K150" s="45" t="str">
        <f aca="false">IF(AND(M150="",B150="",D150=""),"",IF(AND(N(F150)&gt;0,N(G150)&gt;0),"⚠ Fill deposit OR payment",IF(M150="","⚠ Enter amount",IF(B150="","⚠ Enter date",IF(AND(Setup!$C$8&lt;&gt;"",B150&gt;Setup!$C$8),"⚠ Date after period",IF(AND(O150&lt;&gt;"",COUNTIF($O$8:$O$507,O150)&gt;1),"⚠ Cheque no. used twice","✔"))))))</f>
        <v/>
      </c>
      <c r="M150" s="9" t="str">
        <f aca="false">IF(N(F150)&gt;0,"IN",IF(N(G150)&gt;0,"OUT",""))</f>
        <v/>
      </c>
      <c r="N150" s="9" t="str">
        <f aca="false">IF(M150="","",M150&amp;"|"&amp;TEXT(ROUND(N(F150)+N(G150),2),"0.00"))</f>
        <v/>
      </c>
      <c r="O150" s="9" t="str">
        <f aca="false">IF(OR(N150="",TRIM(E150&amp;"")=""),"",N150&amp;"|"&amp;UPPER(TRIM(E150&amp;"")))</f>
        <v/>
      </c>
      <c r="P150" s="9" t="n">
        <f aca="false">IF(O150="",0,IFERROR(MATCH(O150,'Bank Statement'!$O$8:$O$507,0),0))</f>
        <v>0</v>
      </c>
      <c r="Q150" s="9" t="str">
        <f aca="false">IF(OR(N150="",P150&gt;0),"",N150&amp;"#"&amp;COUNTIFS($N$8:N150,N150,$P$8:P150,0))</f>
        <v/>
      </c>
      <c r="R150" s="9" t="n">
        <f aca="false">IF(Q150="",0,IFERROR(MATCH(Q150,'Bank Statement'!$Q$8:$Q$507,0),0))</f>
        <v>0</v>
      </c>
      <c r="S150" s="9" t="n">
        <f aca="false">IF(P150&gt;0,P150,R150)</f>
        <v>0</v>
      </c>
      <c r="T150" s="9" t="str">
        <f aca="false">IF(OR(S150=0,B150=""),"",INDEX('Bank Statement'!$B$8:$B$507,S150)-B150)</f>
        <v/>
      </c>
      <c r="U150" s="9" t="n">
        <f aca="false">IF(S150=0,0,IF(P150&gt;0,S150,IF(AND(ISNUMBER(T150),ABS(N(T150))&lt;=Setup!$C$11),S150,0)))</f>
        <v>0</v>
      </c>
      <c r="V150" s="9" t="str">
        <f aca="false">IF(AND(N150&lt;&gt;"",U150=0),IF(M150="OUT",1,2)*100000+ROW(),"")</f>
        <v/>
      </c>
      <c r="W150" s="9" t="n">
        <f aca="false">N(F150)+N(G150)</f>
        <v>0</v>
      </c>
    </row>
    <row r="151" customFormat="false" ht="15" hidden="false" customHeight="false" outlineLevel="0" collapsed="false">
      <c r="A151" s="37" t="str">
        <f aca="false">IF(M151="","",ROW()-7)</f>
        <v/>
      </c>
      <c r="B151" s="70"/>
      <c r="C151" s="71"/>
      <c r="D151" s="72"/>
      <c r="E151" s="71"/>
      <c r="F151" s="73"/>
      <c r="G151" s="73"/>
      <c r="H151" s="42" t="str">
        <f aca="false">IF(M151="","",IF(U151&gt;0,"✔ Matched",IF(M151="OUT","Not yet presented","Not yet credited")))</f>
        <v/>
      </c>
      <c r="I151" s="43" t="str">
        <f aca="false">IF(N(U151)&gt;0,U151,"")</f>
        <v/>
      </c>
      <c r="J151" s="44" t="str">
        <f aca="false">IF(N(U151)&gt;0,T151,"")</f>
        <v/>
      </c>
      <c r="K151" s="45" t="str">
        <f aca="false">IF(AND(M151="",B151="",D151=""),"",IF(AND(N(F151)&gt;0,N(G151)&gt;0),"⚠ Fill deposit OR payment",IF(M151="","⚠ Enter amount",IF(B151="","⚠ Enter date",IF(AND(Setup!$C$8&lt;&gt;"",B151&gt;Setup!$C$8),"⚠ Date after period",IF(AND(O151&lt;&gt;"",COUNTIF($O$8:$O$507,O151)&gt;1),"⚠ Cheque no. used twice","✔"))))))</f>
        <v/>
      </c>
      <c r="M151" s="9" t="str">
        <f aca="false">IF(N(F151)&gt;0,"IN",IF(N(G151)&gt;0,"OUT",""))</f>
        <v/>
      </c>
      <c r="N151" s="9" t="str">
        <f aca="false">IF(M151="","",M151&amp;"|"&amp;TEXT(ROUND(N(F151)+N(G151),2),"0.00"))</f>
        <v/>
      </c>
      <c r="O151" s="9" t="str">
        <f aca="false">IF(OR(N151="",TRIM(E151&amp;"")=""),"",N151&amp;"|"&amp;UPPER(TRIM(E151&amp;"")))</f>
        <v/>
      </c>
      <c r="P151" s="9" t="n">
        <f aca="false">IF(O151="",0,IFERROR(MATCH(O151,'Bank Statement'!$O$8:$O$507,0),0))</f>
        <v>0</v>
      </c>
      <c r="Q151" s="9" t="str">
        <f aca="false">IF(OR(N151="",P151&gt;0),"",N151&amp;"#"&amp;COUNTIFS($N$8:N151,N151,$P$8:P151,0))</f>
        <v/>
      </c>
      <c r="R151" s="9" t="n">
        <f aca="false">IF(Q151="",0,IFERROR(MATCH(Q151,'Bank Statement'!$Q$8:$Q$507,0),0))</f>
        <v>0</v>
      </c>
      <c r="S151" s="9" t="n">
        <f aca="false">IF(P151&gt;0,P151,R151)</f>
        <v>0</v>
      </c>
      <c r="T151" s="9" t="str">
        <f aca="false">IF(OR(S151=0,B151=""),"",INDEX('Bank Statement'!$B$8:$B$507,S151)-B151)</f>
        <v/>
      </c>
      <c r="U151" s="9" t="n">
        <f aca="false">IF(S151=0,0,IF(P151&gt;0,S151,IF(AND(ISNUMBER(T151),ABS(N(T151))&lt;=Setup!$C$11),S151,0)))</f>
        <v>0</v>
      </c>
      <c r="V151" s="9" t="str">
        <f aca="false">IF(AND(N151&lt;&gt;"",U151=0),IF(M151="OUT",1,2)*100000+ROW(),"")</f>
        <v/>
      </c>
      <c r="W151" s="9" t="n">
        <f aca="false">N(F151)+N(G151)</f>
        <v>0</v>
      </c>
    </row>
    <row r="152" customFormat="false" ht="15" hidden="false" customHeight="false" outlineLevel="0" collapsed="false">
      <c r="A152" s="37" t="str">
        <f aca="false">IF(M152="","",ROW()-7)</f>
        <v/>
      </c>
      <c r="B152" s="70"/>
      <c r="C152" s="71"/>
      <c r="D152" s="72"/>
      <c r="E152" s="71"/>
      <c r="F152" s="73"/>
      <c r="G152" s="73"/>
      <c r="H152" s="42" t="str">
        <f aca="false">IF(M152="","",IF(U152&gt;0,"✔ Matched",IF(M152="OUT","Not yet presented","Not yet credited")))</f>
        <v/>
      </c>
      <c r="I152" s="43" t="str">
        <f aca="false">IF(N(U152)&gt;0,U152,"")</f>
        <v/>
      </c>
      <c r="J152" s="44" t="str">
        <f aca="false">IF(N(U152)&gt;0,T152,"")</f>
        <v/>
      </c>
      <c r="K152" s="45" t="str">
        <f aca="false">IF(AND(M152="",B152="",D152=""),"",IF(AND(N(F152)&gt;0,N(G152)&gt;0),"⚠ Fill deposit OR payment",IF(M152="","⚠ Enter amount",IF(B152="","⚠ Enter date",IF(AND(Setup!$C$8&lt;&gt;"",B152&gt;Setup!$C$8),"⚠ Date after period",IF(AND(O152&lt;&gt;"",COUNTIF($O$8:$O$507,O152)&gt;1),"⚠ Cheque no. used twice","✔"))))))</f>
        <v/>
      </c>
      <c r="M152" s="9" t="str">
        <f aca="false">IF(N(F152)&gt;0,"IN",IF(N(G152)&gt;0,"OUT",""))</f>
        <v/>
      </c>
      <c r="N152" s="9" t="str">
        <f aca="false">IF(M152="","",M152&amp;"|"&amp;TEXT(ROUND(N(F152)+N(G152),2),"0.00"))</f>
        <v/>
      </c>
      <c r="O152" s="9" t="str">
        <f aca="false">IF(OR(N152="",TRIM(E152&amp;"")=""),"",N152&amp;"|"&amp;UPPER(TRIM(E152&amp;"")))</f>
        <v/>
      </c>
      <c r="P152" s="9" t="n">
        <f aca="false">IF(O152="",0,IFERROR(MATCH(O152,'Bank Statement'!$O$8:$O$507,0),0))</f>
        <v>0</v>
      </c>
      <c r="Q152" s="9" t="str">
        <f aca="false">IF(OR(N152="",P152&gt;0),"",N152&amp;"#"&amp;COUNTIFS($N$8:N152,N152,$P$8:P152,0))</f>
        <v/>
      </c>
      <c r="R152" s="9" t="n">
        <f aca="false">IF(Q152="",0,IFERROR(MATCH(Q152,'Bank Statement'!$Q$8:$Q$507,0),0))</f>
        <v>0</v>
      </c>
      <c r="S152" s="9" t="n">
        <f aca="false">IF(P152&gt;0,P152,R152)</f>
        <v>0</v>
      </c>
      <c r="T152" s="9" t="str">
        <f aca="false">IF(OR(S152=0,B152=""),"",INDEX('Bank Statement'!$B$8:$B$507,S152)-B152)</f>
        <v/>
      </c>
      <c r="U152" s="9" t="n">
        <f aca="false">IF(S152=0,0,IF(P152&gt;0,S152,IF(AND(ISNUMBER(T152),ABS(N(T152))&lt;=Setup!$C$11),S152,0)))</f>
        <v>0</v>
      </c>
      <c r="V152" s="9" t="str">
        <f aca="false">IF(AND(N152&lt;&gt;"",U152=0),IF(M152="OUT",1,2)*100000+ROW(),"")</f>
        <v/>
      </c>
      <c r="W152" s="9" t="n">
        <f aca="false">N(F152)+N(G152)</f>
        <v>0</v>
      </c>
    </row>
    <row r="153" customFormat="false" ht="15" hidden="false" customHeight="false" outlineLevel="0" collapsed="false">
      <c r="A153" s="37" t="str">
        <f aca="false">IF(M153="","",ROW()-7)</f>
        <v/>
      </c>
      <c r="B153" s="70"/>
      <c r="C153" s="71"/>
      <c r="D153" s="72"/>
      <c r="E153" s="71"/>
      <c r="F153" s="73"/>
      <c r="G153" s="73"/>
      <c r="H153" s="42" t="str">
        <f aca="false">IF(M153="","",IF(U153&gt;0,"✔ Matched",IF(M153="OUT","Not yet presented","Not yet credited")))</f>
        <v/>
      </c>
      <c r="I153" s="43" t="str">
        <f aca="false">IF(N(U153)&gt;0,U153,"")</f>
        <v/>
      </c>
      <c r="J153" s="44" t="str">
        <f aca="false">IF(N(U153)&gt;0,T153,"")</f>
        <v/>
      </c>
      <c r="K153" s="45" t="str">
        <f aca="false">IF(AND(M153="",B153="",D153=""),"",IF(AND(N(F153)&gt;0,N(G153)&gt;0),"⚠ Fill deposit OR payment",IF(M153="","⚠ Enter amount",IF(B153="","⚠ Enter date",IF(AND(Setup!$C$8&lt;&gt;"",B153&gt;Setup!$C$8),"⚠ Date after period",IF(AND(O153&lt;&gt;"",COUNTIF($O$8:$O$507,O153)&gt;1),"⚠ Cheque no. used twice","✔"))))))</f>
        <v/>
      </c>
      <c r="M153" s="9" t="str">
        <f aca="false">IF(N(F153)&gt;0,"IN",IF(N(G153)&gt;0,"OUT",""))</f>
        <v/>
      </c>
      <c r="N153" s="9" t="str">
        <f aca="false">IF(M153="","",M153&amp;"|"&amp;TEXT(ROUND(N(F153)+N(G153),2),"0.00"))</f>
        <v/>
      </c>
      <c r="O153" s="9" t="str">
        <f aca="false">IF(OR(N153="",TRIM(E153&amp;"")=""),"",N153&amp;"|"&amp;UPPER(TRIM(E153&amp;"")))</f>
        <v/>
      </c>
      <c r="P153" s="9" t="n">
        <f aca="false">IF(O153="",0,IFERROR(MATCH(O153,'Bank Statement'!$O$8:$O$507,0),0))</f>
        <v>0</v>
      </c>
      <c r="Q153" s="9" t="str">
        <f aca="false">IF(OR(N153="",P153&gt;0),"",N153&amp;"#"&amp;COUNTIFS($N$8:N153,N153,$P$8:P153,0))</f>
        <v/>
      </c>
      <c r="R153" s="9" t="n">
        <f aca="false">IF(Q153="",0,IFERROR(MATCH(Q153,'Bank Statement'!$Q$8:$Q$507,0),0))</f>
        <v>0</v>
      </c>
      <c r="S153" s="9" t="n">
        <f aca="false">IF(P153&gt;0,P153,R153)</f>
        <v>0</v>
      </c>
      <c r="T153" s="9" t="str">
        <f aca="false">IF(OR(S153=0,B153=""),"",INDEX('Bank Statement'!$B$8:$B$507,S153)-B153)</f>
        <v/>
      </c>
      <c r="U153" s="9" t="n">
        <f aca="false">IF(S153=0,0,IF(P153&gt;0,S153,IF(AND(ISNUMBER(T153),ABS(N(T153))&lt;=Setup!$C$11),S153,0)))</f>
        <v>0</v>
      </c>
      <c r="V153" s="9" t="str">
        <f aca="false">IF(AND(N153&lt;&gt;"",U153=0),IF(M153="OUT",1,2)*100000+ROW(),"")</f>
        <v/>
      </c>
      <c r="W153" s="9" t="n">
        <f aca="false">N(F153)+N(G153)</f>
        <v>0</v>
      </c>
    </row>
    <row r="154" customFormat="false" ht="15" hidden="false" customHeight="false" outlineLevel="0" collapsed="false">
      <c r="A154" s="37" t="str">
        <f aca="false">IF(M154="","",ROW()-7)</f>
        <v/>
      </c>
      <c r="B154" s="70"/>
      <c r="C154" s="71"/>
      <c r="D154" s="72"/>
      <c r="E154" s="71"/>
      <c r="F154" s="73"/>
      <c r="G154" s="73"/>
      <c r="H154" s="42" t="str">
        <f aca="false">IF(M154="","",IF(U154&gt;0,"✔ Matched",IF(M154="OUT","Not yet presented","Not yet credited")))</f>
        <v/>
      </c>
      <c r="I154" s="43" t="str">
        <f aca="false">IF(N(U154)&gt;0,U154,"")</f>
        <v/>
      </c>
      <c r="J154" s="44" t="str">
        <f aca="false">IF(N(U154)&gt;0,T154,"")</f>
        <v/>
      </c>
      <c r="K154" s="45" t="str">
        <f aca="false">IF(AND(M154="",B154="",D154=""),"",IF(AND(N(F154)&gt;0,N(G154)&gt;0),"⚠ Fill deposit OR payment",IF(M154="","⚠ Enter amount",IF(B154="","⚠ Enter date",IF(AND(Setup!$C$8&lt;&gt;"",B154&gt;Setup!$C$8),"⚠ Date after period",IF(AND(O154&lt;&gt;"",COUNTIF($O$8:$O$507,O154)&gt;1),"⚠ Cheque no. used twice","✔"))))))</f>
        <v/>
      </c>
      <c r="M154" s="9" t="str">
        <f aca="false">IF(N(F154)&gt;0,"IN",IF(N(G154)&gt;0,"OUT",""))</f>
        <v/>
      </c>
      <c r="N154" s="9" t="str">
        <f aca="false">IF(M154="","",M154&amp;"|"&amp;TEXT(ROUND(N(F154)+N(G154),2),"0.00"))</f>
        <v/>
      </c>
      <c r="O154" s="9" t="str">
        <f aca="false">IF(OR(N154="",TRIM(E154&amp;"")=""),"",N154&amp;"|"&amp;UPPER(TRIM(E154&amp;"")))</f>
        <v/>
      </c>
      <c r="P154" s="9" t="n">
        <f aca="false">IF(O154="",0,IFERROR(MATCH(O154,'Bank Statement'!$O$8:$O$507,0),0))</f>
        <v>0</v>
      </c>
      <c r="Q154" s="9" t="str">
        <f aca="false">IF(OR(N154="",P154&gt;0),"",N154&amp;"#"&amp;COUNTIFS($N$8:N154,N154,$P$8:P154,0))</f>
        <v/>
      </c>
      <c r="R154" s="9" t="n">
        <f aca="false">IF(Q154="",0,IFERROR(MATCH(Q154,'Bank Statement'!$Q$8:$Q$507,0),0))</f>
        <v>0</v>
      </c>
      <c r="S154" s="9" t="n">
        <f aca="false">IF(P154&gt;0,P154,R154)</f>
        <v>0</v>
      </c>
      <c r="T154" s="9" t="str">
        <f aca="false">IF(OR(S154=0,B154=""),"",INDEX('Bank Statement'!$B$8:$B$507,S154)-B154)</f>
        <v/>
      </c>
      <c r="U154" s="9" t="n">
        <f aca="false">IF(S154=0,0,IF(P154&gt;0,S154,IF(AND(ISNUMBER(T154),ABS(N(T154))&lt;=Setup!$C$11),S154,0)))</f>
        <v>0</v>
      </c>
      <c r="V154" s="9" t="str">
        <f aca="false">IF(AND(N154&lt;&gt;"",U154=0),IF(M154="OUT",1,2)*100000+ROW(),"")</f>
        <v/>
      </c>
      <c r="W154" s="9" t="n">
        <f aca="false">N(F154)+N(G154)</f>
        <v>0</v>
      </c>
    </row>
    <row r="155" customFormat="false" ht="15" hidden="false" customHeight="false" outlineLevel="0" collapsed="false">
      <c r="A155" s="37" t="str">
        <f aca="false">IF(M155="","",ROW()-7)</f>
        <v/>
      </c>
      <c r="B155" s="70"/>
      <c r="C155" s="71"/>
      <c r="D155" s="72"/>
      <c r="E155" s="71"/>
      <c r="F155" s="73"/>
      <c r="G155" s="73"/>
      <c r="H155" s="42" t="str">
        <f aca="false">IF(M155="","",IF(U155&gt;0,"✔ Matched",IF(M155="OUT","Not yet presented","Not yet credited")))</f>
        <v/>
      </c>
      <c r="I155" s="43" t="str">
        <f aca="false">IF(N(U155)&gt;0,U155,"")</f>
        <v/>
      </c>
      <c r="J155" s="44" t="str">
        <f aca="false">IF(N(U155)&gt;0,T155,"")</f>
        <v/>
      </c>
      <c r="K155" s="45" t="str">
        <f aca="false">IF(AND(M155="",B155="",D155=""),"",IF(AND(N(F155)&gt;0,N(G155)&gt;0),"⚠ Fill deposit OR payment",IF(M155="","⚠ Enter amount",IF(B155="","⚠ Enter date",IF(AND(Setup!$C$8&lt;&gt;"",B155&gt;Setup!$C$8),"⚠ Date after period",IF(AND(O155&lt;&gt;"",COUNTIF($O$8:$O$507,O155)&gt;1),"⚠ Cheque no. used twice","✔"))))))</f>
        <v/>
      </c>
      <c r="M155" s="9" t="str">
        <f aca="false">IF(N(F155)&gt;0,"IN",IF(N(G155)&gt;0,"OUT",""))</f>
        <v/>
      </c>
      <c r="N155" s="9" t="str">
        <f aca="false">IF(M155="","",M155&amp;"|"&amp;TEXT(ROUND(N(F155)+N(G155),2),"0.00"))</f>
        <v/>
      </c>
      <c r="O155" s="9" t="str">
        <f aca="false">IF(OR(N155="",TRIM(E155&amp;"")=""),"",N155&amp;"|"&amp;UPPER(TRIM(E155&amp;"")))</f>
        <v/>
      </c>
      <c r="P155" s="9" t="n">
        <f aca="false">IF(O155="",0,IFERROR(MATCH(O155,'Bank Statement'!$O$8:$O$507,0),0))</f>
        <v>0</v>
      </c>
      <c r="Q155" s="9" t="str">
        <f aca="false">IF(OR(N155="",P155&gt;0),"",N155&amp;"#"&amp;COUNTIFS($N$8:N155,N155,$P$8:P155,0))</f>
        <v/>
      </c>
      <c r="R155" s="9" t="n">
        <f aca="false">IF(Q155="",0,IFERROR(MATCH(Q155,'Bank Statement'!$Q$8:$Q$507,0),0))</f>
        <v>0</v>
      </c>
      <c r="S155" s="9" t="n">
        <f aca="false">IF(P155&gt;0,P155,R155)</f>
        <v>0</v>
      </c>
      <c r="T155" s="9" t="str">
        <f aca="false">IF(OR(S155=0,B155=""),"",INDEX('Bank Statement'!$B$8:$B$507,S155)-B155)</f>
        <v/>
      </c>
      <c r="U155" s="9" t="n">
        <f aca="false">IF(S155=0,0,IF(P155&gt;0,S155,IF(AND(ISNUMBER(T155),ABS(N(T155))&lt;=Setup!$C$11),S155,0)))</f>
        <v>0</v>
      </c>
      <c r="V155" s="9" t="str">
        <f aca="false">IF(AND(N155&lt;&gt;"",U155=0),IF(M155="OUT",1,2)*100000+ROW(),"")</f>
        <v/>
      </c>
      <c r="W155" s="9" t="n">
        <f aca="false">N(F155)+N(G155)</f>
        <v>0</v>
      </c>
    </row>
    <row r="156" customFormat="false" ht="15" hidden="false" customHeight="false" outlineLevel="0" collapsed="false">
      <c r="A156" s="37" t="str">
        <f aca="false">IF(M156="","",ROW()-7)</f>
        <v/>
      </c>
      <c r="B156" s="70"/>
      <c r="C156" s="71"/>
      <c r="D156" s="72"/>
      <c r="E156" s="71"/>
      <c r="F156" s="73"/>
      <c r="G156" s="73"/>
      <c r="H156" s="42" t="str">
        <f aca="false">IF(M156="","",IF(U156&gt;0,"✔ Matched",IF(M156="OUT","Not yet presented","Not yet credited")))</f>
        <v/>
      </c>
      <c r="I156" s="43" t="str">
        <f aca="false">IF(N(U156)&gt;0,U156,"")</f>
        <v/>
      </c>
      <c r="J156" s="44" t="str">
        <f aca="false">IF(N(U156)&gt;0,T156,"")</f>
        <v/>
      </c>
      <c r="K156" s="45" t="str">
        <f aca="false">IF(AND(M156="",B156="",D156=""),"",IF(AND(N(F156)&gt;0,N(G156)&gt;0),"⚠ Fill deposit OR payment",IF(M156="","⚠ Enter amount",IF(B156="","⚠ Enter date",IF(AND(Setup!$C$8&lt;&gt;"",B156&gt;Setup!$C$8),"⚠ Date after period",IF(AND(O156&lt;&gt;"",COUNTIF($O$8:$O$507,O156)&gt;1),"⚠ Cheque no. used twice","✔"))))))</f>
        <v/>
      </c>
      <c r="M156" s="9" t="str">
        <f aca="false">IF(N(F156)&gt;0,"IN",IF(N(G156)&gt;0,"OUT",""))</f>
        <v/>
      </c>
      <c r="N156" s="9" t="str">
        <f aca="false">IF(M156="","",M156&amp;"|"&amp;TEXT(ROUND(N(F156)+N(G156),2),"0.00"))</f>
        <v/>
      </c>
      <c r="O156" s="9" t="str">
        <f aca="false">IF(OR(N156="",TRIM(E156&amp;"")=""),"",N156&amp;"|"&amp;UPPER(TRIM(E156&amp;"")))</f>
        <v/>
      </c>
      <c r="P156" s="9" t="n">
        <f aca="false">IF(O156="",0,IFERROR(MATCH(O156,'Bank Statement'!$O$8:$O$507,0),0))</f>
        <v>0</v>
      </c>
      <c r="Q156" s="9" t="str">
        <f aca="false">IF(OR(N156="",P156&gt;0),"",N156&amp;"#"&amp;COUNTIFS($N$8:N156,N156,$P$8:P156,0))</f>
        <v/>
      </c>
      <c r="R156" s="9" t="n">
        <f aca="false">IF(Q156="",0,IFERROR(MATCH(Q156,'Bank Statement'!$Q$8:$Q$507,0),0))</f>
        <v>0</v>
      </c>
      <c r="S156" s="9" t="n">
        <f aca="false">IF(P156&gt;0,P156,R156)</f>
        <v>0</v>
      </c>
      <c r="T156" s="9" t="str">
        <f aca="false">IF(OR(S156=0,B156=""),"",INDEX('Bank Statement'!$B$8:$B$507,S156)-B156)</f>
        <v/>
      </c>
      <c r="U156" s="9" t="n">
        <f aca="false">IF(S156=0,0,IF(P156&gt;0,S156,IF(AND(ISNUMBER(T156),ABS(N(T156))&lt;=Setup!$C$11),S156,0)))</f>
        <v>0</v>
      </c>
      <c r="V156" s="9" t="str">
        <f aca="false">IF(AND(N156&lt;&gt;"",U156=0),IF(M156="OUT",1,2)*100000+ROW(),"")</f>
        <v/>
      </c>
      <c r="W156" s="9" t="n">
        <f aca="false">N(F156)+N(G156)</f>
        <v>0</v>
      </c>
    </row>
    <row r="157" customFormat="false" ht="15" hidden="false" customHeight="false" outlineLevel="0" collapsed="false">
      <c r="A157" s="37" t="str">
        <f aca="false">IF(M157="","",ROW()-7)</f>
        <v/>
      </c>
      <c r="B157" s="70"/>
      <c r="C157" s="71"/>
      <c r="D157" s="72"/>
      <c r="E157" s="71"/>
      <c r="F157" s="73"/>
      <c r="G157" s="73"/>
      <c r="H157" s="42" t="str">
        <f aca="false">IF(M157="","",IF(U157&gt;0,"✔ Matched",IF(M157="OUT","Not yet presented","Not yet credited")))</f>
        <v/>
      </c>
      <c r="I157" s="43" t="str">
        <f aca="false">IF(N(U157)&gt;0,U157,"")</f>
        <v/>
      </c>
      <c r="J157" s="44" t="str">
        <f aca="false">IF(N(U157)&gt;0,T157,"")</f>
        <v/>
      </c>
      <c r="K157" s="45" t="str">
        <f aca="false">IF(AND(M157="",B157="",D157=""),"",IF(AND(N(F157)&gt;0,N(G157)&gt;0),"⚠ Fill deposit OR payment",IF(M157="","⚠ Enter amount",IF(B157="","⚠ Enter date",IF(AND(Setup!$C$8&lt;&gt;"",B157&gt;Setup!$C$8),"⚠ Date after period",IF(AND(O157&lt;&gt;"",COUNTIF($O$8:$O$507,O157)&gt;1),"⚠ Cheque no. used twice","✔"))))))</f>
        <v/>
      </c>
      <c r="M157" s="9" t="str">
        <f aca="false">IF(N(F157)&gt;0,"IN",IF(N(G157)&gt;0,"OUT",""))</f>
        <v/>
      </c>
      <c r="N157" s="9" t="str">
        <f aca="false">IF(M157="","",M157&amp;"|"&amp;TEXT(ROUND(N(F157)+N(G157),2),"0.00"))</f>
        <v/>
      </c>
      <c r="O157" s="9" t="str">
        <f aca="false">IF(OR(N157="",TRIM(E157&amp;"")=""),"",N157&amp;"|"&amp;UPPER(TRIM(E157&amp;"")))</f>
        <v/>
      </c>
      <c r="P157" s="9" t="n">
        <f aca="false">IF(O157="",0,IFERROR(MATCH(O157,'Bank Statement'!$O$8:$O$507,0),0))</f>
        <v>0</v>
      </c>
      <c r="Q157" s="9" t="str">
        <f aca="false">IF(OR(N157="",P157&gt;0),"",N157&amp;"#"&amp;COUNTIFS($N$8:N157,N157,$P$8:P157,0))</f>
        <v/>
      </c>
      <c r="R157" s="9" t="n">
        <f aca="false">IF(Q157="",0,IFERROR(MATCH(Q157,'Bank Statement'!$Q$8:$Q$507,0),0))</f>
        <v>0</v>
      </c>
      <c r="S157" s="9" t="n">
        <f aca="false">IF(P157&gt;0,P157,R157)</f>
        <v>0</v>
      </c>
      <c r="T157" s="9" t="str">
        <f aca="false">IF(OR(S157=0,B157=""),"",INDEX('Bank Statement'!$B$8:$B$507,S157)-B157)</f>
        <v/>
      </c>
      <c r="U157" s="9" t="n">
        <f aca="false">IF(S157=0,0,IF(P157&gt;0,S157,IF(AND(ISNUMBER(T157),ABS(N(T157))&lt;=Setup!$C$11),S157,0)))</f>
        <v>0</v>
      </c>
      <c r="V157" s="9" t="str">
        <f aca="false">IF(AND(N157&lt;&gt;"",U157=0),IF(M157="OUT",1,2)*100000+ROW(),"")</f>
        <v/>
      </c>
      <c r="W157" s="9" t="n">
        <f aca="false">N(F157)+N(G157)</f>
        <v>0</v>
      </c>
    </row>
    <row r="158" customFormat="false" ht="15" hidden="false" customHeight="false" outlineLevel="0" collapsed="false">
      <c r="A158" s="37" t="str">
        <f aca="false">IF(M158="","",ROW()-7)</f>
        <v/>
      </c>
      <c r="B158" s="70"/>
      <c r="C158" s="71"/>
      <c r="D158" s="72"/>
      <c r="E158" s="71"/>
      <c r="F158" s="73"/>
      <c r="G158" s="73"/>
      <c r="H158" s="42" t="str">
        <f aca="false">IF(M158="","",IF(U158&gt;0,"✔ Matched",IF(M158="OUT","Not yet presented","Not yet credited")))</f>
        <v/>
      </c>
      <c r="I158" s="43" t="str">
        <f aca="false">IF(N(U158)&gt;0,U158,"")</f>
        <v/>
      </c>
      <c r="J158" s="44" t="str">
        <f aca="false">IF(N(U158)&gt;0,T158,"")</f>
        <v/>
      </c>
      <c r="K158" s="45" t="str">
        <f aca="false">IF(AND(M158="",B158="",D158=""),"",IF(AND(N(F158)&gt;0,N(G158)&gt;0),"⚠ Fill deposit OR payment",IF(M158="","⚠ Enter amount",IF(B158="","⚠ Enter date",IF(AND(Setup!$C$8&lt;&gt;"",B158&gt;Setup!$C$8),"⚠ Date after period",IF(AND(O158&lt;&gt;"",COUNTIF($O$8:$O$507,O158)&gt;1),"⚠ Cheque no. used twice","✔"))))))</f>
        <v/>
      </c>
      <c r="M158" s="9" t="str">
        <f aca="false">IF(N(F158)&gt;0,"IN",IF(N(G158)&gt;0,"OUT",""))</f>
        <v/>
      </c>
      <c r="N158" s="9" t="str">
        <f aca="false">IF(M158="","",M158&amp;"|"&amp;TEXT(ROUND(N(F158)+N(G158),2),"0.00"))</f>
        <v/>
      </c>
      <c r="O158" s="9" t="str">
        <f aca="false">IF(OR(N158="",TRIM(E158&amp;"")=""),"",N158&amp;"|"&amp;UPPER(TRIM(E158&amp;"")))</f>
        <v/>
      </c>
      <c r="P158" s="9" t="n">
        <f aca="false">IF(O158="",0,IFERROR(MATCH(O158,'Bank Statement'!$O$8:$O$507,0),0))</f>
        <v>0</v>
      </c>
      <c r="Q158" s="9" t="str">
        <f aca="false">IF(OR(N158="",P158&gt;0),"",N158&amp;"#"&amp;COUNTIFS($N$8:N158,N158,$P$8:P158,0))</f>
        <v/>
      </c>
      <c r="R158" s="9" t="n">
        <f aca="false">IF(Q158="",0,IFERROR(MATCH(Q158,'Bank Statement'!$Q$8:$Q$507,0),0))</f>
        <v>0</v>
      </c>
      <c r="S158" s="9" t="n">
        <f aca="false">IF(P158&gt;0,P158,R158)</f>
        <v>0</v>
      </c>
      <c r="T158" s="9" t="str">
        <f aca="false">IF(OR(S158=0,B158=""),"",INDEX('Bank Statement'!$B$8:$B$507,S158)-B158)</f>
        <v/>
      </c>
      <c r="U158" s="9" t="n">
        <f aca="false">IF(S158=0,0,IF(P158&gt;0,S158,IF(AND(ISNUMBER(T158),ABS(N(T158))&lt;=Setup!$C$11),S158,0)))</f>
        <v>0</v>
      </c>
      <c r="V158" s="9" t="str">
        <f aca="false">IF(AND(N158&lt;&gt;"",U158=0),IF(M158="OUT",1,2)*100000+ROW(),"")</f>
        <v/>
      </c>
      <c r="W158" s="9" t="n">
        <f aca="false">N(F158)+N(G158)</f>
        <v>0</v>
      </c>
    </row>
    <row r="159" customFormat="false" ht="15" hidden="false" customHeight="false" outlineLevel="0" collapsed="false">
      <c r="A159" s="37" t="str">
        <f aca="false">IF(M159="","",ROW()-7)</f>
        <v/>
      </c>
      <c r="B159" s="70"/>
      <c r="C159" s="71"/>
      <c r="D159" s="72"/>
      <c r="E159" s="71"/>
      <c r="F159" s="73"/>
      <c r="G159" s="73"/>
      <c r="H159" s="42" t="str">
        <f aca="false">IF(M159="","",IF(U159&gt;0,"✔ Matched",IF(M159="OUT","Not yet presented","Not yet credited")))</f>
        <v/>
      </c>
      <c r="I159" s="43" t="str">
        <f aca="false">IF(N(U159)&gt;0,U159,"")</f>
        <v/>
      </c>
      <c r="J159" s="44" t="str">
        <f aca="false">IF(N(U159)&gt;0,T159,"")</f>
        <v/>
      </c>
      <c r="K159" s="45" t="str">
        <f aca="false">IF(AND(M159="",B159="",D159=""),"",IF(AND(N(F159)&gt;0,N(G159)&gt;0),"⚠ Fill deposit OR payment",IF(M159="","⚠ Enter amount",IF(B159="","⚠ Enter date",IF(AND(Setup!$C$8&lt;&gt;"",B159&gt;Setup!$C$8),"⚠ Date after period",IF(AND(O159&lt;&gt;"",COUNTIF($O$8:$O$507,O159)&gt;1),"⚠ Cheque no. used twice","✔"))))))</f>
        <v/>
      </c>
      <c r="M159" s="9" t="str">
        <f aca="false">IF(N(F159)&gt;0,"IN",IF(N(G159)&gt;0,"OUT",""))</f>
        <v/>
      </c>
      <c r="N159" s="9" t="str">
        <f aca="false">IF(M159="","",M159&amp;"|"&amp;TEXT(ROUND(N(F159)+N(G159),2),"0.00"))</f>
        <v/>
      </c>
      <c r="O159" s="9" t="str">
        <f aca="false">IF(OR(N159="",TRIM(E159&amp;"")=""),"",N159&amp;"|"&amp;UPPER(TRIM(E159&amp;"")))</f>
        <v/>
      </c>
      <c r="P159" s="9" t="n">
        <f aca="false">IF(O159="",0,IFERROR(MATCH(O159,'Bank Statement'!$O$8:$O$507,0),0))</f>
        <v>0</v>
      </c>
      <c r="Q159" s="9" t="str">
        <f aca="false">IF(OR(N159="",P159&gt;0),"",N159&amp;"#"&amp;COUNTIFS($N$8:N159,N159,$P$8:P159,0))</f>
        <v/>
      </c>
      <c r="R159" s="9" t="n">
        <f aca="false">IF(Q159="",0,IFERROR(MATCH(Q159,'Bank Statement'!$Q$8:$Q$507,0),0))</f>
        <v>0</v>
      </c>
      <c r="S159" s="9" t="n">
        <f aca="false">IF(P159&gt;0,P159,R159)</f>
        <v>0</v>
      </c>
      <c r="T159" s="9" t="str">
        <f aca="false">IF(OR(S159=0,B159=""),"",INDEX('Bank Statement'!$B$8:$B$507,S159)-B159)</f>
        <v/>
      </c>
      <c r="U159" s="9" t="n">
        <f aca="false">IF(S159=0,0,IF(P159&gt;0,S159,IF(AND(ISNUMBER(T159),ABS(N(T159))&lt;=Setup!$C$11),S159,0)))</f>
        <v>0</v>
      </c>
      <c r="V159" s="9" t="str">
        <f aca="false">IF(AND(N159&lt;&gt;"",U159=0),IF(M159="OUT",1,2)*100000+ROW(),"")</f>
        <v/>
      </c>
      <c r="W159" s="9" t="n">
        <f aca="false">N(F159)+N(G159)</f>
        <v>0</v>
      </c>
    </row>
    <row r="160" customFormat="false" ht="15" hidden="false" customHeight="false" outlineLevel="0" collapsed="false">
      <c r="A160" s="37" t="str">
        <f aca="false">IF(M160="","",ROW()-7)</f>
        <v/>
      </c>
      <c r="B160" s="70"/>
      <c r="C160" s="71"/>
      <c r="D160" s="72"/>
      <c r="E160" s="71"/>
      <c r="F160" s="73"/>
      <c r="G160" s="73"/>
      <c r="H160" s="42" t="str">
        <f aca="false">IF(M160="","",IF(U160&gt;0,"✔ Matched",IF(M160="OUT","Not yet presented","Not yet credited")))</f>
        <v/>
      </c>
      <c r="I160" s="43" t="str">
        <f aca="false">IF(N(U160)&gt;0,U160,"")</f>
        <v/>
      </c>
      <c r="J160" s="44" t="str">
        <f aca="false">IF(N(U160)&gt;0,T160,"")</f>
        <v/>
      </c>
      <c r="K160" s="45" t="str">
        <f aca="false">IF(AND(M160="",B160="",D160=""),"",IF(AND(N(F160)&gt;0,N(G160)&gt;0),"⚠ Fill deposit OR payment",IF(M160="","⚠ Enter amount",IF(B160="","⚠ Enter date",IF(AND(Setup!$C$8&lt;&gt;"",B160&gt;Setup!$C$8),"⚠ Date after period",IF(AND(O160&lt;&gt;"",COUNTIF($O$8:$O$507,O160)&gt;1),"⚠ Cheque no. used twice","✔"))))))</f>
        <v/>
      </c>
      <c r="M160" s="9" t="str">
        <f aca="false">IF(N(F160)&gt;0,"IN",IF(N(G160)&gt;0,"OUT",""))</f>
        <v/>
      </c>
      <c r="N160" s="9" t="str">
        <f aca="false">IF(M160="","",M160&amp;"|"&amp;TEXT(ROUND(N(F160)+N(G160),2),"0.00"))</f>
        <v/>
      </c>
      <c r="O160" s="9" t="str">
        <f aca="false">IF(OR(N160="",TRIM(E160&amp;"")=""),"",N160&amp;"|"&amp;UPPER(TRIM(E160&amp;"")))</f>
        <v/>
      </c>
      <c r="P160" s="9" t="n">
        <f aca="false">IF(O160="",0,IFERROR(MATCH(O160,'Bank Statement'!$O$8:$O$507,0),0))</f>
        <v>0</v>
      </c>
      <c r="Q160" s="9" t="str">
        <f aca="false">IF(OR(N160="",P160&gt;0),"",N160&amp;"#"&amp;COUNTIFS($N$8:N160,N160,$P$8:P160,0))</f>
        <v/>
      </c>
      <c r="R160" s="9" t="n">
        <f aca="false">IF(Q160="",0,IFERROR(MATCH(Q160,'Bank Statement'!$Q$8:$Q$507,0),0))</f>
        <v>0</v>
      </c>
      <c r="S160" s="9" t="n">
        <f aca="false">IF(P160&gt;0,P160,R160)</f>
        <v>0</v>
      </c>
      <c r="T160" s="9" t="str">
        <f aca="false">IF(OR(S160=0,B160=""),"",INDEX('Bank Statement'!$B$8:$B$507,S160)-B160)</f>
        <v/>
      </c>
      <c r="U160" s="9" t="n">
        <f aca="false">IF(S160=0,0,IF(P160&gt;0,S160,IF(AND(ISNUMBER(T160),ABS(N(T160))&lt;=Setup!$C$11),S160,0)))</f>
        <v>0</v>
      </c>
      <c r="V160" s="9" t="str">
        <f aca="false">IF(AND(N160&lt;&gt;"",U160=0),IF(M160="OUT",1,2)*100000+ROW(),"")</f>
        <v/>
      </c>
      <c r="W160" s="9" t="n">
        <f aca="false">N(F160)+N(G160)</f>
        <v>0</v>
      </c>
    </row>
    <row r="161" customFormat="false" ht="15" hidden="false" customHeight="false" outlineLevel="0" collapsed="false">
      <c r="A161" s="37" t="str">
        <f aca="false">IF(M161="","",ROW()-7)</f>
        <v/>
      </c>
      <c r="B161" s="70"/>
      <c r="C161" s="71"/>
      <c r="D161" s="72"/>
      <c r="E161" s="71"/>
      <c r="F161" s="73"/>
      <c r="G161" s="73"/>
      <c r="H161" s="42" t="str">
        <f aca="false">IF(M161="","",IF(U161&gt;0,"✔ Matched",IF(M161="OUT","Not yet presented","Not yet credited")))</f>
        <v/>
      </c>
      <c r="I161" s="43" t="str">
        <f aca="false">IF(N(U161)&gt;0,U161,"")</f>
        <v/>
      </c>
      <c r="J161" s="44" t="str">
        <f aca="false">IF(N(U161)&gt;0,T161,"")</f>
        <v/>
      </c>
      <c r="K161" s="45" t="str">
        <f aca="false">IF(AND(M161="",B161="",D161=""),"",IF(AND(N(F161)&gt;0,N(G161)&gt;0),"⚠ Fill deposit OR payment",IF(M161="","⚠ Enter amount",IF(B161="","⚠ Enter date",IF(AND(Setup!$C$8&lt;&gt;"",B161&gt;Setup!$C$8),"⚠ Date after period",IF(AND(O161&lt;&gt;"",COUNTIF($O$8:$O$507,O161)&gt;1),"⚠ Cheque no. used twice","✔"))))))</f>
        <v/>
      </c>
      <c r="M161" s="9" t="str">
        <f aca="false">IF(N(F161)&gt;0,"IN",IF(N(G161)&gt;0,"OUT",""))</f>
        <v/>
      </c>
      <c r="N161" s="9" t="str">
        <f aca="false">IF(M161="","",M161&amp;"|"&amp;TEXT(ROUND(N(F161)+N(G161),2),"0.00"))</f>
        <v/>
      </c>
      <c r="O161" s="9" t="str">
        <f aca="false">IF(OR(N161="",TRIM(E161&amp;"")=""),"",N161&amp;"|"&amp;UPPER(TRIM(E161&amp;"")))</f>
        <v/>
      </c>
      <c r="P161" s="9" t="n">
        <f aca="false">IF(O161="",0,IFERROR(MATCH(O161,'Bank Statement'!$O$8:$O$507,0),0))</f>
        <v>0</v>
      </c>
      <c r="Q161" s="9" t="str">
        <f aca="false">IF(OR(N161="",P161&gt;0),"",N161&amp;"#"&amp;COUNTIFS($N$8:N161,N161,$P$8:P161,0))</f>
        <v/>
      </c>
      <c r="R161" s="9" t="n">
        <f aca="false">IF(Q161="",0,IFERROR(MATCH(Q161,'Bank Statement'!$Q$8:$Q$507,0),0))</f>
        <v>0</v>
      </c>
      <c r="S161" s="9" t="n">
        <f aca="false">IF(P161&gt;0,P161,R161)</f>
        <v>0</v>
      </c>
      <c r="T161" s="9" t="str">
        <f aca="false">IF(OR(S161=0,B161=""),"",INDEX('Bank Statement'!$B$8:$B$507,S161)-B161)</f>
        <v/>
      </c>
      <c r="U161" s="9" t="n">
        <f aca="false">IF(S161=0,0,IF(P161&gt;0,S161,IF(AND(ISNUMBER(T161),ABS(N(T161))&lt;=Setup!$C$11),S161,0)))</f>
        <v>0</v>
      </c>
      <c r="V161" s="9" t="str">
        <f aca="false">IF(AND(N161&lt;&gt;"",U161=0),IF(M161="OUT",1,2)*100000+ROW(),"")</f>
        <v/>
      </c>
      <c r="W161" s="9" t="n">
        <f aca="false">N(F161)+N(G161)</f>
        <v>0</v>
      </c>
    </row>
    <row r="162" customFormat="false" ht="15" hidden="false" customHeight="false" outlineLevel="0" collapsed="false">
      <c r="A162" s="37" t="str">
        <f aca="false">IF(M162="","",ROW()-7)</f>
        <v/>
      </c>
      <c r="B162" s="70"/>
      <c r="C162" s="71"/>
      <c r="D162" s="72"/>
      <c r="E162" s="71"/>
      <c r="F162" s="73"/>
      <c r="G162" s="73"/>
      <c r="H162" s="42" t="str">
        <f aca="false">IF(M162="","",IF(U162&gt;0,"✔ Matched",IF(M162="OUT","Not yet presented","Not yet credited")))</f>
        <v/>
      </c>
      <c r="I162" s="43" t="str">
        <f aca="false">IF(N(U162)&gt;0,U162,"")</f>
        <v/>
      </c>
      <c r="J162" s="44" t="str">
        <f aca="false">IF(N(U162)&gt;0,T162,"")</f>
        <v/>
      </c>
      <c r="K162" s="45" t="str">
        <f aca="false">IF(AND(M162="",B162="",D162=""),"",IF(AND(N(F162)&gt;0,N(G162)&gt;0),"⚠ Fill deposit OR payment",IF(M162="","⚠ Enter amount",IF(B162="","⚠ Enter date",IF(AND(Setup!$C$8&lt;&gt;"",B162&gt;Setup!$C$8),"⚠ Date after period",IF(AND(O162&lt;&gt;"",COUNTIF($O$8:$O$507,O162)&gt;1),"⚠ Cheque no. used twice","✔"))))))</f>
        <v/>
      </c>
      <c r="M162" s="9" t="str">
        <f aca="false">IF(N(F162)&gt;0,"IN",IF(N(G162)&gt;0,"OUT",""))</f>
        <v/>
      </c>
      <c r="N162" s="9" t="str">
        <f aca="false">IF(M162="","",M162&amp;"|"&amp;TEXT(ROUND(N(F162)+N(G162),2),"0.00"))</f>
        <v/>
      </c>
      <c r="O162" s="9" t="str">
        <f aca="false">IF(OR(N162="",TRIM(E162&amp;"")=""),"",N162&amp;"|"&amp;UPPER(TRIM(E162&amp;"")))</f>
        <v/>
      </c>
      <c r="P162" s="9" t="n">
        <f aca="false">IF(O162="",0,IFERROR(MATCH(O162,'Bank Statement'!$O$8:$O$507,0),0))</f>
        <v>0</v>
      </c>
      <c r="Q162" s="9" t="str">
        <f aca="false">IF(OR(N162="",P162&gt;0),"",N162&amp;"#"&amp;COUNTIFS($N$8:N162,N162,$P$8:P162,0))</f>
        <v/>
      </c>
      <c r="R162" s="9" t="n">
        <f aca="false">IF(Q162="",0,IFERROR(MATCH(Q162,'Bank Statement'!$Q$8:$Q$507,0),0))</f>
        <v>0</v>
      </c>
      <c r="S162" s="9" t="n">
        <f aca="false">IF(P162&gt;0,P162,R162)</f>
        <v>0</v>
      </c>
      <c r="T162" s="9" t="str">
        <f aca="false">IF(OR(S162=0,B162=""),"",INDEX('Bank Statement'!$B$8:$B$507,S162)-B162)</f>
        <v/>
      </c>
      <c r="U162" s="9" t="n">
        <f aca="false">IF(S162=0,0,IF(P162&gt;0,S162,IF(AND(ISNUMBER(T162),ABS(N(T162))&lt;=Setup!$C$11),S162,0)))</f>
        <v>0</v>
      </c>
      <c r="V162" s="9" t="str">
        <f aca="false">IF(AND(N162&lt;&gt;"",U162=0),IF(M162="OUT",1,2)*100000+ROW(),"")</f>
        <v/>
      </c>
      <c r="W162" s="9" t="n">
        <f aca="false">N(F162)+N(G162)</f>
        <v>0</v>
      </c>
    </row>
    <row r="163" customFormat="false" ht="15" hidden="false" customHeight="false" outlineLevel="0" collapsed="false">
      <c r="A163" s="37" t="str">
        <f aca="false">IF(M163="","",ROW()-7)</f>
        <v/>
      </c>
      <c r="B163" s="70"/>
      <c r="C163" s="71"/>
      <c r="D163" s="72"/>
      <c r="E163" s="71"/>
      <c r="F163" s="73"/>
      <c r="G163" s="73"/>
      <c r="H163" s="42" t="str">
        <f aca="false">IF(M163="","",IF(U163&gt;0,"✔ Matched",IF(M163="OUT","Not yet presented","Not yet credited")))</f>
        <v/>
      </c>
      <c r="I163" s="43" t="str">
        <f aca="false">IF(N(U163)&gt;0,U163,"")</f>
        <v/>
      </c>
      <c r="J163" s="44" t="str">
        <f aca="false">IF(N(U163)&gt;0,T163,"")</f>
        <v/>
      </c>
      <c r="K163" s="45" t="str">
        <f aca="false">IF(AND(M163="",B163="",D163=""),"",IF(AND(N(F163)&gt;0,N(G163)&gt;0),"⚠ Fill deposit OR payment",IF(M163="","⚠ Enter amount",IF(B163="","⚠ Enter date",IF(AND(Setup!$C$8&lt;&gt;"",B163&gt;Setup!$C$8),"⚠ Date after period",IF(AND(O163&lt;&gt;"",COUNTIF($O$8:$O$507,O163)&gt;1),"⚠ Cheque no. used twice","✔"))))))</f>
        <v/>
      </c>
      <c r="M163" s="9" t="str">
        <f aca="false">IF(N(F163)&gt;0,"IN",IF(N(G163)&gt;0,"OUT",""))</f>
        <v/>
      </c>
      <c r="N163" s="9" t="str">
        <f aca="false">IF(M163="","",M163&amp;"|"&amp;TEXT(ROUND(N(F163)+N(G163),2),"0.00"))</f>
        <v/>
      </c>
      <c r="O163" s="9" t="str">
        <f aca="false">IF(OR(N163="",TRIM(E163&amp;"")=""),"",N163&amp;"|"&amp;UPPER(TRIM(E163&amp;"")))</f>
        <v/>
      </c>
      <c r="P163" s="9" t="n">
        <f aca="false">IF(O163="",0,IFERROR(MATCH(O163,'Bank Statement'!$O$8:$O$507,0),0))</f>
        <v>0</v>
      </c>
      <c r="Q163" s="9" t="str">
        <f aca="false">IF(OR(N163="",P163&gt;0),"",N163&amp;"#"&amp;COUNTIFS($N$8:N163,N163,$P$8:P163,0))</f>
        <v/>
      </c>
      <c r="R163" s="9" t="n">
        <f aca="false">IF(Q163="",0,IFERROR(MATCH(Q163,'Bank Statement'!$Q$8:$Q$507,0),0))</f>
        <v>0</v>
      </c>
      <c r="S163" s="9" t="n">
        <f aca="false">IF(P163&gt;0,P163,R163)</f>
        <v>0</v>
      </c>
      <c r="T163" s="9" t="str">
        <f aca="false">IF(OR(S163=0,B163=""),"",INDEX('Bank Statement'!$B$8:$B$507,S163)-B163)</f>
        <v/>
      </c>
      <c r="U163" s="9" t="n">
        <f aca="false">IF(S163=0,0,IF(P163&gt;0,S163,IF(AND(ISNUMBER(T163),ABS(N(T163))&lt;=Setup!$C$11),S163,0)))</f>
        <v>0</v>
      </c>
      <c r="V163" s="9" t="str">
        <f aca="false">IF(AND(N163&lt;&gt;"",U163=0),IF(M163="OUT",1,2)*100000+ROW(),"")</f>
        <v/>
      </c>
      <c r="W163" s="9" t="n">
        <f aca="false">N(F163)+N(G163)</f>
        <v>0</v>
      </c>
    </row>
    <row r="164" customFormat="false" ht="15" hidden="false" customHeight="false" outlineLevel="0" collapsed="false">
      <c r="A164" s="37" t="str">
        <f aca="false">IF(M164="","",ROW()-7)</f>
        <v/>
      </c>
      <c r="B164" s="70"/>
      <c r="C164" s="71"/>
      <c r="D164" s="72"/>
      <c r="E164" s="71"/>
      <c r="F164" s="73"/>
      <c r="G164" s="73"/>
      <c r="H164" s="42" t="str">
        <f aca="false">IF(M164="","",IF(U164&gt;0,"✔ Matched",IF(M164="OUT","Not yet presented","Not yet credited")))</f>
        <v/>
      </c>
      <c r="I164" s="43" t="str">
        <f aca="false">IF(N(U164)&gt;0,U164,"")</f>
        <v/>
      </c>
      <c r="J164" s="44" t="str">
        <f aca="false">IF(N(U164)&gt;0,T164,"")</f>
        <v/>
      </c>
      <c r="K164" s="45" t="str">
        <f aca="false">IF(AND(M164="",B164="",D164=""),"",IF(AND(N(F164)&gt;0,N(G164)&gt;0),"⚠ Fill deposit OR payment",IF(M164="","⚠ Enter amount",IF(B164="","⚠ Enter date",IF(AND(Setup!$C$8&lt;&gt;"",B164&gt;Setup!$C$8),"⚠ Date after period",IF(AND(O164&lt;&gt;"",COUNTIF($O$8:$O$507,O164)&gt;1),"⚠ Cheque no. used twice","✔"))))))</f>
        <v/>
      </c>
      <c r="M164" s="9" t="str">
        <f aca="false">IF(N(F164)&gt;0,"IN",IF(N(G164)&gt;0,"OUT",""))</f>
        <v/>
      </c>
      <c r="N164" s="9" t="str">
        <f aca="false">IF(M164="","",M164&amp;"|"&amp;TEXT(ROUND(N(F164)+N(G164),2),"0.00"))</f>
        <v/>
      </c>
      <c r="O164" s="9" t="str">
        <f aca="false">IF(OR(N164="",TRIM(E164&amp;"")=""),"",N164&amp;"|"&amp;UPPER(TRIM(E164&amp;"")))</f>
        <v/>
      </c>
      <c r="P164" s="9" t="n">
        <f aca="false">IF(O164="",0,IFERROR(MATCH(O164,'Bank Statement'!$O$8:$O$507,0),0))</f>
        <v>0</v>
      </c>
      <c r="Q164" s="9" t="str">
        <f aca="false">IF(OR(N164="",P164&gt;0),"",N164&amp;"#"&amp;COUNTIFS($N$8:N164,N164,$P$8:P164,0))</f>
        <v/>
      </c>
      <c r="R164" s="9" t="n">
        <f aca="false">IF(Q164="",0,IFERROR(MATCH(Q164,'Bank Statement'!$Q$8:$Q$507,0),0))</f>
        <v>0</v>
      </c>
      <c r="S164" s="9" t="n">
        <f aca="false">IF(P164&gt;0,P164,R164)</f>
        <v>0</v>
      </c>
      <c r="T164" s="9" t="str">
        <f aca="false">IF(OR(S164=0,B164=""),"",INDEX('Bank Statement'!$B$8:$B$507,S164)-B164)</f>
        <v/>
      </c>
      <c r="U164" s="9" t="n">
        <f aca="false">IF(S164=0,0,IF(P164&gt;0,S164,IF(AND(ISNUMBER(T164),ABS(N(T164))&lt;=Setup!$C$11),S164,0)))</f>
        <v>0</v>
      </c>
      <c r="V164" s="9" t="str">
        <f aca="false">IF(AND(N164&lt;&gt;"",U164=0),IF(M164="OUT",1,2)*100000+ROW(),"")</f>
        <v/>
      </c>
      <c r="W164" s="9" t="n">
        <f aca="false">N(F164)+N(G164)</f>
        <v>0</v>
      </c>
    </row>
    <row r="165" customFormat="false" ht="15" hidden="false" customHeight="false" outlineLevel="0" collapsed="false">
      <c r="A165" s="37" t="str">
        <f aca="false">IF(M165="","",ROW()-7)</f>
        <v/>
      </c>
      <c r="B165" s="70"/>
      <c r="C165" s="71"/>
      <c r="D165" s="72"/>
      <c r="E165" s="71"/>
      <c r="F165" s="73"/>
      <c r="G165" s="73"/>
      <c r="H165" s="42" t="str">
        <f aca="false">IF(M165="","",IF(U165&gt;0,"✔ Matched",IF(M165="OUT","Not yet presented","Not yet credited")))</f>
        <v/>
      </c>
      <c r="I165" s="43" t="str">
        <f aca="false">IF(N(U165)&gt;0,U165,"")</f>
        <v/>
      </c>
      <c r="J165" s="44" t="str">
        <f aca="false">IF(N(U165)&gt;0,T165,"")</f>
        <v/>
      </c>
      <c r="K165" s="45" t="str">
        <f aca="false">IF(AND(M165="",B165="",D165=""),"",IF(AND(N(F165)&gt;0,N(G165)&gt;0),"⚠ Fill deposit OR payment",IF(M165="","⚠ Enter amount",IF(B165="","⚠ Enter date",IF(AND(Setup!$C$8&lt;&gt;"",B165&gt;Setup!$C$8),"⚠ Date after period",IF(AND(O165&lt;&gt;"",COUNTIF($O$8:$O$507,O165)&gt;1),"⚠ Cheque no. used twice","✔"))))))</f>
        <v/>
      </c>
      <c r="M165" s="9" t="str">
        <f aca="false">IF(N(F165)&gt;0,"IN",IF(N(G165)&gt;0,"OUT",""))</f>
        <v/>
      </c>
      <c r="N165" s="9" t="str">
        <f aca="false">IF(M165="","",M165&amp;"|"&amp;TEXT(ROUND(N(F165)+N(G165),2),"0.00"))</f>
        <v/>
      </c>
      <c r="O165" s="9" t="str">
        <f aca="false">IF(OR(N165="",TRIM(E165&amp;"")=""),"",N165&amp;"|"&amp;UPPER(TRIM(E165&amp;"")))</f>
        <v/>
      </c>
      <c r="P165" s="9" t="n">
        <f aca="false">IF(O165="",0,IFERROR(MATCH(O165,'Bank Statement'!$O$8:$O$507,0),0))</f>
        <v>0</v>
      </c>
      <c r="Q165" s="9" t="str">
        <f aca="false">IF(OR(N165="",P165&gt;0),"",N165&amp;"#"&amp;COUNTIFS($N$8:N165,N165,$P$8:P165,0))</f>
        <v/>
      </c>
      <c r="R165" s="9" t="n">
        <f aca="false">IF(Q165="",0,IFERROR(MATCH(Q165,'Bank Statement'!$Q$8:$Q$507,0),0))</f>
        <v>0</v>
      </c>
      <c r="S165" s="9" t="n">
        <f aca="false">IF(P165&gt;0,P165,R165)</f>
        <v>0</v>
      </c>
      <c r="T165" s="9" t="str">
        <f aca="false">IF(OR(S165=0,B165=""),"",INDEX('Bank Statement'!$B$8:$B$507,S165)-B165)</f>
        <v/>
      </c>
      <c r="U165" s="9" t="n">
        <f aca="false">IF(S165=0,0,IF(P165&gt;0,S165,IF(AND(ISNUMBER(T165),ABS(N(T165))&lt;=Setup!$C$11),S165,0)))</f>
        <v>0</v>
      </c>
      <c r="V165" s="9" t="str">
        <f aca="false">IF(AND(N165&lt;&gt;"",U165=0),IF(M165="OUT",1,2)*100000+ROW(),"")</f>
        <v/>
      </c>
      <c r="W165" s="9" t="n">
        <f aca="false">N(F165)+N(G165)</f>
        <v>0</v>
      </c>
    </row>
    <row r="166" customFormat="false" ht="15" hidden="false" customHeight="false" outlineLevel="0" collapsed="false">
      <c r="A166" s="37" t="str">
        <f aca="false">IF(M166="","",ROW()-7)</f>
        <v/>
      </c>
      <c r="B166" s="70"/>
      <c r="C166" s="71"/>
      <c r="D166" s="72"/>
      <c r="E166" s="71"/>
      <c r="F166" s="73"/>
      <c r="G166" s="73"/>
      <c r="H166" s="42" t="str">
        <f aca="false">IF(M166="","",IF(U166&gt;0,"✔ Matched",IF(M166="OUT","Not yet presented","Not yet credited")))</f>
        <v/>
      </c>
      <c r="I166" s="43" t="str">
        <f aca="false">IF(N(U166)&gt;0,U166,"")</f>
        <v/>
      </c>
      <c r="J166" s="44" t="str">
        <f aca="false">IF(N(U166)&gt;0,T166,"")</f>
        <v/>
      </c>
      <c r="K166" s="45" t="str">
        <f aca="false">IF(AND(M166="",B166="",D166=""),"",IF(AND(N(F166)&gt;0,N(G166)&gt;0),"⚠ Fill deposit OR payment",IF(M166="","⚠ Enter amount",IF(B166="","⚠ Enter date",IF(AND(Setup!$C$8&lt;&gt;"",B166&gt;Setup!$C$8),"⚠ Date after period",IF(AND(O166&lt;&gt;"",COUNTIF($O$8:$O$507,O166)&gt;1),"⚠ Cheque no. used twice","✔"))))))</f>
        <v/>
      </c>
      <c r="M166" s="9" t="str">
        <f aca="false">IF(N(F166)&gt;0,"IN",IF(N(G166)&gt;0,"OUT",""))</f>
        <v/>
      </c>
      <c r="N166" s="9" t="str">
        <f aca="false">IF(M166="","",M166&amp;"|"&amp;TEXT(ROUND(N(F166)+N(G166),2),"0.00"))</f>
        <v/>
      </c>
      <c r="O166" s="9" t="str">
        <f aca="false">IF(OR(N166="",TRIM(E166&amp;"")=""),"",N166&amp;"|"&amp;UPPER(TRIM(E166&amp;"")))</f>
        <v/>
      </c>
      <c r="P166" s="9" t="n">
        <f aca="false">IF(O166="",0,IFERROR(MATCH(O166,'Bank Statement'!$O$8:$O$507,0),0))</f>
        <v>0</v>
      </c>
      <c r="Q166" s="9" t="str">
        <f aca="false">IF(OR(N166="",P166&gt;0),"",N166&amp;"#"&amp;COUNTIFS($N$8:N166,N166,$P$8:P166,0))</f>
        <v/>
      </c>
      <c r="R166" s="9" t="n">
        <f aca="false">IF(Q166="",0,IFERROR(MATCH(Q166,'Bank Statement'!$Q$8:$Q$507,0),0))</f>
        <v>0</v>
      </c>
      <c r="S166" s="9" t="n">
        <f aca="false">IF(P166&gt;0,P166,R166)</f>
        <v>0</v>
      </c>
      <c r="T166" s="9" t="str">
        <f aca="false">IF(OR(S166=0,B166=""),"",INDEX('Bank Statement'!$B$8:$B$507,S166)-B166)</f>
        <v/>
      </c>
      <c r="U166" s="9" t="n">
        <f aca="false">IF(S166=0,0,IF(P166&gt;0,S166,IF(AND(ISNUMBER(T166),ABS(N(T166))&lt;=Setup!$C$11),S166,0)))</f>
        <v>0</v>
      </c>
      <c r="V166" s="9" t="str">
        <f aca="false">IF(AND(N166&lt;&gt;"",U166=0),IF(M166="OUT",1,2)*100000+ROW(),"")</f>
        <v/>
      </c>
      <c r="W166" s="9" t="n">
        <f aca="false">N(F166)+N(G166)</f>
        <v>0</v>
      </c>
    </row>
    <row r="167" customFormat="false" ht="15" hidden="false" customHeight="false" outlineLevel="0" collapsed="false">
      <c r="A167" s="37" t="str">
        <f aca="false">IF(M167="","",ROW()-7)</f>
        <v/>
      </c>
      <c r="B167" s="70"/>
      <c r="C167" s="71"/>
      <c r="D167" s="72"/>
      <c r="E167" s="71"/>
      <c r="F167" s="73"/>
      <c r="G167" s="73"/>
      <c r="H167" s="42" t="str">
        <f aca="false">IF(M167="","",IF(U167&gt;0,"✔ Matched",IF(M167="OUT","Not yet presented","Not yet credited")))</f>
        <v/>
      </c>
      <c r="I167" s="43" t="str">
        <f aca="false">IF(N(U167)&gt;0,U167,"")</f>
        <v/>
      </c>
      <c r="J167" s="44" t="str">
        <f aca="false">IF(N(U167)&gt;0,T167,"")</f>
        <v/>
      </c>
      <c r="K167" s="45" t="str">
        <f aca="false">IF(AND(M167="",B167="",D167=""),"",IF(AND(N(F167)&gt;0,N(G167)&gt;0),"⚠ Fill deposit OR payment",IF(M167="","⚠ Enter amount",IF(B167="","⚠ Enter date",IF(AND(Setup!$C$8&lt;&gt;"",B167&gt;Setup!$C$8),"⚠ Date after period",IF(AND(O167&lt;&gt;"",COUNTIF($O$8:$O$507,O167)&gt;1),"⚠ Cheque no. used twice","✔"))))))</f>
        <v/>
      </c>
      <c r="M167" s="9" t="str">
        <f aca="false">IF(N(F167)&gt;0,"IN",IF(N(G167)&gt;0,"OUT",""))</f>
        <v/>
      </c>
      <c r="N167" s="9" t="str">
        <f aca="false">IF(M167="","",M167&amp;"|"&amp;TEXT(ROUND(N(F167)+N(G167),2),"0.00"))</f>
        <v/>
      </c>
      <c r="O167" s="9" t="str">
        <f aca="false">IF(OR(N167="",TRIM(E167&amp;"")=""),"",N167&amp;"|"&amp;UPPER(TRIM(E167&amp;"")))</f>
        <v/>
      </c>
      <c r="P167" s="9" t="n">
        <f aca="false">IF(O167="",0,IFERROR(MATCH(O167,'Bank Statement'!$O$8:$O$507,0),0))</f>
        <v>0</v>
      </c>
      <c r="Q167" s="9" t="str">
        <f aca="false">IF(OR(N167="",P167&gt;0),"",N167&amp;"#"&amp;COUNTIFS($N$8:N167,N167,$P$8:P167,0))</f>
        <v/>
      </c>
      <c r="R167" s="9" t="n">
        <f aca="false">IF(Q167="",0,IFERROR(MATCH(Q167,'Bank Statement'!$Q$8:$Q$507,0),0))</f>
        <v>0</v>
      </c>
      <c r="S167" s="9" t="n">
        <f aca="false">IF(P167&gt;0,P167,R167)</f>
        <v>0</v>
      </c>
      <c r="T167" s="9" t="str">
        <f aca="false">IF(OR(S167=0,B167=""),"",INDEX('Bank Statement'!$B$8:$B$507,S167)-B167)</f>
        <v/>
      </c>
      <c r="U167" s="9" t="n">
        <f aca="false">IF(S167=0,0,IF(P167&gt;0,S167,IF(AND(ISNUMBER(T167),ABS(N(T167))&lt;=Setup!$C$11),S167,0)))</f>
        <v>0</v>
      </c>
      <c r="V167" s="9" t="str">
        <f aca="false">IF(AND(N167&lt;&gt;"",U167=0),IF(M167="OUT",1,2)*100000+ROW(),"")</f>
        <v/>
      </c>
      <c r="W167" s="9" t="n">
        <f aca="false">N(F167)+N(G167)</f>
        <v>0</v>
      </c>
    </row>
    <row r="168" customFormat="false" ht="15" hidden="false" customHeight="false" outlineLevel="0" collapsed="false">
      <c r="A168" s="37" t="str">
        <f aca="false">IF(M168="","",ROW()-7)</f>
        <v/>
      </c>
      <c r="B168" s="70"/>
      <c r="C168" s="71"/>
      <c r="D168" s="72"/>
      <c r="E168" s="71"/>
      <c r="F168" s="73"/>
      <c r="G168" s="73"/>
      <c r="H168" s="42" t="str">
        <f aca="false">IF(M168="","",IF(U168&gt;0,"✔ Matched",IF(M168="OUT","Not yet presented","Not yet credited")))</f>
        <v/>
      </c>
      <c r="I168" s="43" t="str">
        <f aca="false">IF(N(U168)&gt;0,U168,"")</f>
        <v/>
      </c>
      <c r="J168" s="44" t="str">
        <f aca="false">IF(N(U168)&gt;0,T168,"")</f>
        <v/>
      </c>
      <c r="K168" s="45" t="str">
        <f aca="false">IF(AND(M168="",B168="",D168=""),"",IF(AND(N(F168)&gt;0,N(G168)&gt;0),"⚠ Fill deposit OR payment",IF(M168="","⚠ Enter amount",IF(B168="","⚠ Enter date",IF(AND(Setup!$C$8&lt;&gt;"",B168&gt;Setup!$C$8),"⚠ Date after period",IF(AND(O168&lt;&gt;"",COUNTIF($O$8:$O$507,O168)&gt;1),"⚠ Cheque no. used twice","✔"))))))</f>
        <v/>
      </c>
      <c r="M168" s="9" t="str">
        <f aca="false">IF(N(F168)&gt;0,"IN",IF(N(G168)&gt;0,"OUT",""))</f>
        <v/>
      </c>
      <c r="N168" s="9" t="str">
        <f aca="false">IF(M168="","",M168&amp;"|"&amp;TEXT(ROUND(N(F168)+N(G168),2),"0.00"))</f>
        <v/>
      </c>
      <c r="O168" s="9" t="str">
        <f aca="false">IF(OR(N168="",TRIM(E168&amp;"")=""),"",N168&amp;"|"&amp;UPPER(TRIM(E168&amp;"")))</f>
        <v/>
      </c>
      <c r="P168" s="9" t="n">
        <f aca="false">IF(O168="",0,IFERROR(MATCH(O168,'Bank Statement'!$O$8:$O$507,0),0))</f>
        <v>0</v>
      </c>
      <c r="Q168" s="9" t="str">
        <f aca="false">IF(OR(N168="",P168&gt;0),"",N168&amp;"#"&amp;COUNTIFS($N$8:N168,N168,$P$8:P168,0))</f>
        <v/>
      </c>
      <c r="R168" s="9" t="n">
        <f aca="false">IF(Q168="",0,IFERROR(MATCH(Q168,'Bank Statement'!$Q$8:$Q$507,0),0))</f>
        <v>0</v>
      </c>
      <c r="S168" s="9" t="n">
        <f aca="false">IF(P168&gt;0,P168,R168)</f>
        <v>0</v>
      </c>
      <c r="T168" s="9" t="str">
        <f aca="false">IF(OR(S168=0,B168=""),"",INDEX('Bank Statement'!$B$8:$B$507,S168)-B168)</f>
        <v/>
      </c>
      <c r="U168" s="9" t="n">
        <f aca="false">IF(S168=0,0,IF(P168&gt;0,S168,IF(AND(ISNUMBER(T168),ABS(N(T168))&lt;=Setup!$C$11),S168,0)))</f>
        <v>0</v>
      </c>
      <c r="V168" s="9" t="str">
        <f aca="false">IF(AND(N168&lt;&gt;"",U168=0),IF(M168="OUT",1,2)*100000+ROW(),"")</f>
        <v/>
      </c>
      <c r="W168" s="9" t="n">
        <f aca="false">N(F168)+N(G168)</f>
        <v>0</v>
      </c>
    </row>
    <row r="169" customFormat="false" ht="15" hidden="false" customHeight="false" outlineLevel="0" collapsed="false">
      <c r="A169" s="37" t="str">
        <f aca="false">IF(M169="","",ROW()-7)</f>
        <v/>
      </c>
      <c r="B169" s="70"/>
      <c r="C169" s="71"/>
      <c r="D169" s="72"/>
      <c r="E169" s="71"/>
      <c r="F169" s="73"/>
      <c r="G169" s="73"/>
      <c r="H169" s="42" t="str">
        <f aca="false">IF(M169="","",IF(U169&gt;0,"✔ Matched",IF(M169="OUT","Not yet presented","Not yet credited")))</f>
        <v/>
      </c>
      <c r="I169" s="43" t="str">
        <f aca="false">IF(N(U169)&gt;0,U169,"")</f>
        <v/>
      </c>
      <c r="J169" s="44" t="str">
        <f aca="false">IF(N(U169)&gt;0,T169,"")</f>
        <v/>
      </c>
      <c r="K169" s="45" t="str">
        <f aca="false">IF(AND(M169="",B169="",D169=""),"",IF(AND(N(F169)&gt;0,N(G169)&gt;0),"⚠ Fill deposit OR payment",IF(M169="","⚠ Enter amount",IF(B169="","⚠ Enter date",IF(AND(Setup!$C$8&lt;&gt;"",B169&gt;Setup!$C$8),"⚠ Date after period",IF(AND(O169&lt;&gt;"",COUNTIF($O$8:$O$507,O169)&gt;1),"⚠ Cheque no. used twice","✔"))))))</f>
        <v/>
      </c>
      <c r="M169" s="9" t="str">
        <f aca="false">IF(N(F169)&gt;0,"IN",IF(N(G169)&gt;0,"OUT",""))</f>
        <v/>
      </c>
      <c r="N169" s="9" t="str">
        <f aca="false">IF(M169="","",M169&amp;"|"&amp;TEXT(ROUND(N(F169)+N(G169),2),"0.00"))</f>
        <v/>
      </c>
      <c r="O169" s="9" t="str">
        <f aca="false">IF(OR(N169="",TRIM(E169&amp;"")=""),"",N169&amp;"|"&amp;UPPER(TRIM(E169&amp;"")))</f>
        <v/>
      </c>
      <c r="P169" s="9" t="n">
        <f aca="false">IF(O169="",0,IFERROR(MATCH(O169,'Bank Statement'!$O$8:$O$507,0),0))</f>
        <v>0</v>
      </c>
      <c r="Q169" s="9" t="str">
        <f aca="false">IF(OR(N169="",P169&gt;0),"",N169&amp;"#"&amp;COUNTIFS($N$8:N169,N169,$P$8:P169,0))</f>
        <v/>
      </c>
      <c r="R169" s="9" t="n">
        <f aca="false">IF(Q169="",0,IFERROR(MATCH(Q169,'Bank Statement'!$Q$8:$Q$507,0),0))</f>
        <v>0</v>
      </c>
      <c r="S169" s="9" t="n">
        <f aca="false">IF(P169&gt;0,P169,R169)</f>
        <v>0</v>
      </c>
      <c r="T169" s="9" t="str">
        <f aca="false">IF(OR(S169=0,B169=""),"",INDEX('Bank Statement'!$B$8:$B$507,S169)-B169)</f>
        <v/>
      </c>
      <c r="U169" s="9" t="n">
        <f aca="false">IF(S169=0,0,IF(P169&gt;0,S169,IF(AND(ISNUMBER(T169),ABS(N(T169))&lt;=Setup!$C$11),S169,0)))</f>
        <v>0</v>
      </c>
      <c r="V169" s="9" t="str">
        <f aca="false">IF(AND(N169&lt;&gt;"",U169=0),IF(M169="OUT",1,2)*100000+ROW(),"")</f>
        <v/>
      </c>
      <c r="W169" s="9" t="n">
        <f aca="false">N(F169)+N(G169)</f>
        <v>0</v>
      </c>
    </row>
    <row r="170" customFormat="false" ht="15" hidden="false" customHeight="false" outlineLevel="0" collapsed="false">
      <c r="A170" s="37" t="str">
        <f aca="false">IF(M170="","",ROW()-7)</f>
        <v/>
      </c>
      <c r="B170" s="70"/>
      <c r="C170" s="71"/>
      <c r="D170" s="72"/>
      <c r="E170" s="71"/>
      <c r="F170" s="73"/>
      <c r="G170" s="73"/>
      <c r="H170" s="42" t="str">
        <f aca="false">IF(M170="","",IF(U170&gt;0,"✔ Matched",IF(M170="OUT","Not yet presented","Not yet credited")))</f>
        <v/>
      </c>
      <c r="I170" s="43" t="str">
        <f aca="false">IF(N(U170)&gt;0,U170,"")</f>
        <v/>
      </c>
      <c r="J170" s="44" t="str">
        <f aca="false">IF(N(U170)&gt;0,T170,"")</f>
        <v/>
      </c>
      <c r="K170" s="45" t="str">
        <f aca="false">IF(AND(M170="",B170="",D170=""),"",IF(AND(N(F170)&gt;0,N(G170)&gt;0),"⚠ Fill deposit OR payment",IF(M170="","⚠ Enter amount",IF(B170="","⚠ Enter date",IF(AND(Setup!$C$8&lt;&gt;"",B170&gt;Setup!$C$8),"⚠ Date after period",IF(AND(O170&lt;&gt;"",COUNTIF($O$8:$O$507,O170)&gt;1),"⚠ Cheque no. used twice","✔"))))))</f>
        <v/>
      </c>
      <c r="M170" s="9" t="str">
        <f aca="false">IF(N(F170)&gt;0,"IN",IF(N(G170)&gt;0,"OUT",""))</f>
        <v/>
      </c>
      <c r="N170" s="9" t="str">
        <f aca="false">IF(M170="","",M170&amp;"|"&amp;TEXT(ROUND(N(F170)+N(G170),2),"0.00"))</f>
        <v/>
      </c>
      <c r="O170" s="9" t="str">
        <f aca="false">IF(OR(N170="",TRIM(E170&amp;"")=""),"",N170&amp;"|"&amp;UPPER(TRIM(E170&amp;"")))</f>
        <v/>
      </c>
      <c r="P170" s="9" t="n">
        <f aca="false">IF(O170="",0,IFERROR(MATCH(O170,'Bank Statement'!$O$8:$O$507,0),0))</f>
        <v>0</v>
      </c>
      <c r="Q170" s="9" t="str">
        <f aca="false">IF(OR(N170="",P170&gt;0),"",N170&amp;"#"&amp;COUNTIFS($N$8:N170,N170,$P$8:P170,0))</f>
        <v/>
      </c>
      <c r="R170" s="9" t="n">
        <f aca="false">IF(Q170="",0,IFERROR(MATCH(Q170,'Bank Statement'!$Q$8:$Q$507,0),0))</f>
        <v>0</v>
      </c>
      <c r="S170" s="9" t="n">
        <f aca="false">IF(P170&gt;0,P170,R170)</f>
        <v>0</v>
      </c>
      <c r="T170" s="9" t="str">
        <f aca="false">IF(OR(S170=0,B170=""),"",INDEX('Bank Statement'!$B$8:$B$507,S170)-B170)</f>
        <v/>
      </c>
      <c r="U170" s="9" t="n">
        <f aca="false">IF(S170=0,0,IF(P170&gt;0,S170,IF(AND(ISNUMBER(T170),ABS(N(T170))&lt;=Setup!$C$11),S170,0)))</f>
        <v>0</v>
      </c>
      <c r="V170" s="9" t="str">
        <f aca="false">IF(AND(N170&lt;&gt;"",U170=0),IF(M170="OUT",1,2)*100000+ROW(),"")</f>
        <v/>
      </c>
      <c r="W170" s="9" t="n">
        <f aca="false">N(F170)+N(G170)</f>
        <v>0</v>
      </c>
    </row>
    <row r="171" customFormat="false" ht="15" hidden="false" customHeight="false" outlineLevel="0" collapsed="false">
      <c r="A171" s="37" t="str">
        <f aca="false">IF(M171="","",ROW()-7)</f>
        <v/>
      </c>
      <c r="B171" s="70"/>
      <c r="C171" s="71"/>
      <c r="D171" s="72"/>
      <c r="E171" s="71"/>
      <c r="F171" s="73"/>
      <c r="G171" s="73"/>
      <c r="H171" s="42" t="str">
        <f aca="false">IF(M171="","",IF(U171&gt;0,"✔ Matched",IF(M171="OUT","Not yet presented","Not yet credited")))</f>
        <v/>
      </c>
      <c r="I171" s="43" t="str">
        <f aca="false">IF(N(U171)&gt;0,U171,"")</f>
        <v/>
      </c>
      <c r="J171" s="44" t="str">
        <f aca="false">IF(N(U171)&gt;0,T171,"")</f>
        <v/>
      </c>
      <c r="K171" s="45" t="str">
        <f aca="false">IF(AND(M171="",B171="",D171=""),"",IF(AND(N(F171)&gt;0,N(G171)&gt;0),"⚠ Fill deposit OR payment",IF(M171="","⚠ Enter amount",IF(B171="","⚠ Enter date",IF(AND(Setup!$C$8&lt;&gt;"",B171&gt;Setup!$C$8),"⚠ Date after period",IF(AND(O171&lt;&gt;"",COUNTIF($O$8:$O$507,O171)&gt;1),"⚠ Cheque no. used twice","✔"))))))</f>
        <v/>
      </c>
      <c r="M171" s="9" t="str">
        <f aca="false">IF(N(F171)&gt;0,"IN",IF(N(G171)&gt;0,"OUT",""))</f>
        <v/>
      </c>
      <c r="N171" s="9" t="str">
        <f aca="false">IF(M171="","",M171&amp;"|"&amp;TEXT(ROUND(N(F171)+N(G171),2),"0.00"))</f>
        <v/>
      </c>
      <c r="O171" s="9" t="str">
        <f aca="false">IF(OR(N171="",TRIM(E171&amp;"")=""),"",N171&amp;"|"&amp;UPPER(TRIM(E171&amp;"")))</f>
        <v/>
      </c>
      <c r="P171" s="9" t="n">
        <f aca="false">IF(O171="",0,IFERROR(MATCH(O171,'Bank Statement'!$O$8:$O$507,0),0))</f>
        <v>0</v>
      </c>
      <c r="Q171" s="9" t="str">
        <f aca="false">IF(OR(N171="",P171&gt;0),"",N171&amp;"#"&amp;COUNTIFS($N$8:N171,N171,$P$8:P171,0))</f>
        <v/>
      </c>
      <c r="R171" s="9" t="n">
        <f aca="false">IF(Q171="",0,IFERROR(MATCH(Q171,'Bank Statement'!$Q$8:$Q$507,0),0))</f>
        <v>0</v>
      </c>
      <c r="S171" s="9" t="n">
        <f aca="false">IF(P171&gt;0,P171,R171)</f>
        <v>0</v>
      </c>
      <c r="T171" s="9" t="str">
        <f aca="false">IF(OR(S171=0,B171=""),"",INDEX('Bank Statement'!$B$8:$B$507,S171)-B171)</f>
        <v/>
      </c>
      <c r="U171" s="9" t="n">
        <f aca="false">IF(S171=0,0,IF(P171&gt;0,S171,IF(AND(ISNUMBER(T171),ABS(N(T171))&lt;=Setup!$C$11),S171,0)))</f>
        <v>0</v>
      </c>
      <c r="V171" s="9" t="str">
        <f aca="false">IF(AND(N171&lt;&gt;"",U171=0),IF(M171="OUT",1,2)*100000+ROW(),"")</f>
        <v/>
      </c>
      <c r="W171" s="9" t="n">
        <f aca="false">N(F171)+N(G171)</f>
        <v>0</v>
      </c>
    </row>
    <row r="172" customFormat="false" ht="15" hidden="false" customHeight="false" outlineLevel="0" collapsed="false">
      <c r="A172" s="37" t="str">
        <f aca="false">IF(M172="","",ROW()-7)</f>
        <v/>
      </c>
      <c r="B172" s="70"/>
      <c r="C172" s="71"/>
      <c r="D172" s="72"/>
      <c r="E172" s="71"/>
      <c r="F172" s="73"/>
      <c r="G172" s="73"/>
      <c r="H172" s="42" t="str">
        <f aca="false">IF(M172="","",IF(U172&gt;0,"✔ Matched",IF(M172="OUT","Not yet presented","Not yet credited")))</f>
        <v/>
      </c>
      <c r="I172" s="43" t="str">
        <f aca="false">IF(N(U172)&gt;0,U172,"")</f>
        <v/>
      </c>
      <c r="J172" s="44" t="str">
        <f aca="false">IF(N(U172)&gt;0,T172,"")</f>
        <v/>
      </c>
      <c r="K172" s="45" t="str">
        <f aca="false">IF(AND(M172="",B172="",D172=""),"",IF(AND(N(F172)&gt;0,N(G172)&gt;0),"⚠ Fill deposit OR payment",IF(M172="","⚠ Enter amount",IF(B172="","⚠ Enter date",IF(AND(Setup!$C$8&lt;&gt;"",B172&gt;Setup!$C$8),"⚠ Date after period",IF(AND(O172&lt;&gt;"",COUNTIF($O$8:$O$507,O172)&gt;1),"⚠ Cheque no. used twice","✔"))))))</f>
        <v/>
      </c>
      <c r="M172" s="9" t="str">
        <f aca="false">IF(N(F172)&gt;0,"IN",IF(N(G172)&gt;0,"OUT",""))</f>
        <v/>
      </c>
      <c r="N172" s="9" t="str">
        <f aca="false">IF(M172="","",M172&amp;"|"&amp;TEXT(ROUND(N(F172)+N(G172),2),"0.00"))</f>
        <v/>
      </c>
      <c r="O172" s="9" t="str">
        <f aca="false">IF(OR(N172="",TRIM(E172&amp;"")=""),"",N172&amp;"|"&amp;UPPER(TRIM(E172&amp;"")))</f>
        <v/>
      </c>
      <c r="P172" s="9" t="n">
        <f aca="false">IF(O172="",0,IFERROR(MATCH(O172,'Bank Statement'!$O$8:$O$507,0),0))</f>
        <v>0</v>
      </c>
      <c r="Q172" s="9" t="str">
        <f aca="false">IF(OR(N172="",P172&gt;0),"",N172&amp;"#"&amp;COUNTIFS($N$8:N172,N172,$P$8:P172,0))</f>
        <v/>
      </c>
      <c r="R172" s="9" t="n">
        <f aca="false">IF(Q172="",0,IFERROR(MATCH(Q172,'Bank Statement'!$Q$8:$Q$507,0),0))</f>
        <v>0</v>
      </c>
      <c r="S172" s="9" t="n">
        <f aca="false">IF(P172&gt;0,P172,R172)</f>
        <v>0</v>
      </c>
      <c r="T172" s="9" t="str">
        <f aca="false">IF(OR(S172=0,B172=""),"",INDEX('Bank Statement'!$B$8:$B$507,S172)-B172)</f>
        <v/>
      </c>
      <c r="U172" s="9" t="n">
        <f aca="false">IF(S172=0,0,IF(P172&gt;0,S172,IF(AND(ISNUMBER(T172),ABS(N(T172))&lt;=Setup!$C$11),S172,0)))</f>
        <v>0</v>
      </c>
      <c r="V172" s="9" t="str">
        <f aca="false">IF(AND(N172&lt;&gt;"",U172=0),IF(M172="OUT",1,2)*100000+ROW(),"")</f>
        <v/>
      </c>
      <c r="W172" s="9" t="n">
        <f aca="false">N(F172)+N(G172)</f>
        <v>0</v>
      </c>
    </row>
    <row r="173" customFormat="false" ht="15" hidden="false" customHeight="false" outlineLevel="0" collapsed="false">
      <c r="A173" s="37" t="str">
        <f aca="false">IF(M173="","",ROW()-7)</f>
        <v/>
      </c>
      <c r="B173" s="70"/>
      <c r="C173" s="71"/>
      <c r="D173" s="72"/>
      <c r="E173" s="71"/>
      <c r="F173" s="73"/>
      <c r="G173" s="73"/>
      <c r="H173" s="42" t="str">
        <f aca="false">IF(M173="","",IF(U173&gt;0,"✔ Matched",IF(M173="OUT","Not yet presented","Not yet credited")))</f>
        <v/>
      </c>
      <c r="I173" s="43" t="str">
        <f aca="false">IF(N(U173)&gt;0,U173,"")</f>
        <v/>
      </c>
      <c r="J173" s="44" t="str">
        <f aca="false">IF(N(U173)&gt;0,T173,"")</f>
        <v/>
      </c>
      <c r="K173" s="45" t="str">
        <f aca="false">IF(AND(M173="",B173="",D173=""),"",IF(AND(N(F173)&gt;0,N(G173)&gt;0),"⚠ Fill deposit OR payment",IF(M173="","⚠ Enter amount",IF(B173="","⚠ Enter date",IF(AND(Setup!$C$8&lt;&gt;"",B173&gt;Setup!$C$8),"⚠ Date after period",IF(AND(O173&lt;&gt;"",COUNTIF($O$8:$O$507,O173)&gt;1),"⚠ Cheque no. used twice","✔"))))))</f>
        <v/>
      </c>
      <c r="M173" s="9" t="str">
        <f aca="false">IF(N(F173)&gt;0,"IN",IF(N(G173)&gt;0,"OUT",""))</f>
        <v/>
      </c>
      <c r="N173" s="9" t="str">
        <f aca="false">IF(M173="","",M173&amp;"|"&amp;TEXT(ROUND(N(F173)+N(G173),2),"0.00"))</f>
        <v/>
      </c>
      <c r="O173" s="9" t="str">
        <f aca="false">IF(OR(N173="",TRIM(E173&amp;"")=""),"",N173&amp;"|"&amp;UPPER(TRIM(E173&amp;"")))</f>
        <v/>
      </c>
      <c r="P173" s="9" t="n">
        <f aca="false">IF(O173="",0,IFERROR(MATCH(O173,'Bank Statement'!$O$8:$O$507,0),0))</f>
        <v>0</v>
      </c>
      <c r="Q173" s="9" t="str">
        <f aca="false">IF(OR(N173="",P173&gt;0),"",N173&amp;"#"&amp;COUNTIFS($N$8:N173,N173,$P$8:P173,0))</f>
        <v/>
      </c>
      <c r="R173" s="9" t="n">
        <f aca="false">IF(Q173="",0,IFERROR(MATCH(Q173,'Bank Statement'!$Q$8:$Q$507,0),0))</f>
        <v>0</v>
      </c>
      <c r="S173" s="9" t="n">
        <f aca="false">IF(P173&gt;0,P173,R173)</f>
        <v>0</v>
      </c>
      <c r="T173" s="9" t="str">
        <f aca="false">IF(OR(S173=0,B173=""),"",INDEX('Bank Statement'!$B$8:$B$507,S173)-B173)</f>
        <v/>
      </c>
      <c r="U173" s="9" t="n">
        <f aca="false">IF(S173=0,0,IF(P173&gt;0,S173,IF(AND(ISNUMBER(T173),ABS(N(T173))&lt;=Setup!$C$11),S173,0)))</f>
        <v>0</v>
      </c>
      <c r="V173" s="9" t="str">
        <f aca="false">IF(AND(N173&lt;&gt;"",U173=0),IF(M173="OUT",1,2)*100000+ROW(),"")</f>
        <v/>
      </c>
      <c r="W173" s="9" t="n">
        <f aca="false">N(F173)+N(G173)</f>
        <v>0</v>
      </c>
    </row>
    <row r="174" customFormat="false" ht="15" hidden="false" customHeight="false" outlineLevel="0" collapsed="false">
      <c r="A174" s="37" t="str">
        <f aca="false">IF(M174="","",ROW()-7)</f>
        <v/>
      </c>
      <c r="B174" s="70"/>
      <c r="C174" s="71"/>
      <c r="D174" s="72"/>
      <c r="E174" s="71"/>
      <c r="F174" s="73"/>
      <c r="G174" s="73"/>
      <c r="H174" s="42" t="str">
        <f aca="false">IF(M174="","",IF(U174&gt;0,"✔ Matched",IF(M174="OUT","Not yet presented","Not yet credited")))</f>
        <v/>
      </c>
      <c r="I174" s="43" t="str">
        <f aca="false">IF(N(U174)&gt;0,U174,"")</f>
        <v/>
      </c>
      <c r="J174" s="44" t="str">
        <f aca="false">IF(N(U174)&gt;0,T174,"")</f>
        <v/>
      </c>
      <c r="K174" s="45" t="str">
        <f aca="false">IF(AND(M174="",B174="",D174=""),"",IF(AND(N(F174)&gt;0,N(G174)&gt;0),"⚠ Fill deposit OR payment",IF(M174="","⚠ Enter amount",IF(B174="","⚠ Enter date",IF(AND(Setup!$C$8&lt;&gt;"",B174&gt;Setup!$C$8),"⚠ Date after period",IF(AND(O174&lt;&gt;"",COUNTIF($O$8:$O$507,O174)&gt;1),"⚠ Cheque no. used twice","✔"))))))</f>
        <v/>
      </c>
      <c r="M174" s="9" t="str">
        <f aca="false">IF(N(F174)&gt;0,"IN",IF(N(G174)&gt;0,"OUT",""))</f>
        <v/>
      </c>
      <c r="N174" s="9" t="str">
        <f aca="false">IF(M174="","",M174&amp;"|"&amp;TEXT(ROUND(N(F174)+N(G174),2),"0.00"))</f>
        <v/>
      </c>
      <c r="O174" s="9" t="str">
        <f aca="false">IF(OR(N174="",TRIM(E174&amp;"")=""),"",N174&amp;"|"&amp;UPPER(TRIM(E174&amp;"")))</f>
        <v/>
      </c>
      <c r="P174" s="9" t="n">
        <f aca="false">IF(O174="",0,IFERROR(MATCH(O174,'Bank Statement'!$O$8:$O$507,0),0))</f>
        <v>0</v>
      </c>
      <c r="Q174" s="9" t="str">
        <f aca="false">IF(OR(N174="",P174&gt;0),"",N174&amp;"#"&amp;COUNTIFS($N$8:N174,N174,$P$8:P174,0))</f>
        <v/>
      </c>
      <c r="R174" s="9" t="n">
        <f aca="false">IF(Q174="",0,IFERROR(MATCH(Q174,'Bank Statement'!$Q$8:$Q$507,0),0))</f>
        <v>0</v>
      </c>
      <c r="S174" s="9" t="n">
        <f aca="false">IF(P174&gt;0,P174,R174)</f>
        <v>0</v>
      </c>
      <c r="T174" s="9" t="str">
        <f aca="false">IF(OR(S174=0,B174=""),"",INDEX('Bank Statement'!$B$8:$B$507,S174)-B174)</f>
        <v/>
      </c>
      <c r="U174" s="9" t="n">
        <f aca="false">IF(S174=0,0,IF(P174&gt;0,S174,IF(AND(ISNUMBER(T174),ABS(N(T174))&lt;=Setup!$C$11),S174,0)))</f>
        <v>0</v>
      </c>
      <c r="V174" s="9" t="str">
        <f aca="false">IF(AND(N174&lt;&gt;"",U174=0),IF(M174="OUT",1,2)*100000+ROW(),"")</f>
        <v/>
      </c>
      <c r="W174" s="9" t="n">
        <f aca="false">N(F174)+N(G174)</f>
        <v>0</v>
      </c>
    </row>
    <row r="175" customFormat="false" ht="15" hidden="false" customHeight="false" outlineLevel="0" collapsed="false">
      <c r="A175" s="37" t="str">
        <f aca="false">IF(M175="","",ROW()-7)</f>
        <v/>
      </c>
      <c r="B175" s="70"/>
      <c r="C175" s="71"/>
      <c r="D175" s="72"/>
      <c r="E175" s="71"/>
      <c r="F175" s="73"/>
      <c r="G175" s="73"/>
      <c r="H175" s="42" t="str">
        <f aca="false">IF(M175="","",IF(U175&gt;0,"✔ Matched",IF(M175="OUT","Not yet presented","Not yet credited")))</f>
        <v/>
      </c>
      <c r="I175" s="43" t="str">
        <f aca="false">IF(N(U175)&gt;0,U175,"")</f>
        <v/>
      </c>
      <c r="J175" s="44" t="str">
        <f aca="false">IF(N(U175)&gt;0,T175,"")</f>
        <v/>
      </c>
      <c r="K175" s="45" t="str">
        <f aca="false">IF(AND(M175="",B175="",D175=""),"",IF(AND(N(F175)&gt;0,N(G175)&gt;0),"⚠ Fill deposit OR payment",IF(M175="","⚠ Enter amount",IF(B175="","⚠ Enter date",IF(AND(Setup!$C$8&lt;&gt;"",B175&gt;Setup!$C$8),"⚠ Date after period",IF(AND(O175&lt;&gt;"",COUNTIF($O$8:$O$507,O175)&gt;1),"⚠ Cheque no. used twice","✔"))))))</f>
        <v/>
      </c>
      <c r="M175" s="9" t="str">
        <f aca="false">IF(N(F175)&gt;0,"IN",IF(N(G175)&gt;0,"OUT",""))</f>
        <v/>
      </c>
      <c r="N175" s="9" t="str">
        <f aca="false">IF(M175="","",M175&amp;"|"&amp;TEXT(ROUND(N(F175)+N(G175),2),"0.00"))</f>
        <v/>
      </c>
      <c r="O175" s="9" t="str">
        <f aca="false">IF(OR(N175="",TRIM(E175&amp;"")=""),"",N175&amp;"|"&amp;UPPER(TRIM(E175&amp;"")))</f>
        <v/>
      </c>
      <c r="P175" s="9" t="n">
        <f aca="false">IF(O175="",0,IFERROR(MATCH(O175,'Bank Statement'!$O$8:$O$507,0),0))</f>
        <v>0</v>
      </c>
      <c r="Q175" s="9" t="str">
        <f aca="false">IF(OR(N175="",P175&gt;0),"",N175&amp;"#"&amp;COUNTIFS($N$8:N175,N175,$P$8:P175,0))</f>
        <v/>
      </c>
      <c r="R175" s="9" t="n">
        <f aca="false">IF(Q175="",0,IFERROR(MATCH(Q175,'Bank Statement'!$Q$8:$Q$507,0),0))</f>
        <v>0</v>
      </c>
      <c r="S175" s="9" t="n">
        <f aca="false">IF(P175&gt;0,P175,R175)</f>
        <v>0</v>
      </c>
      <c r="T175" s="9" t="str">
        <f aca="false">IF(OR(S175=0,B175=""),"",INDEX('Bank Statement'!$B$8:$B$507,S175)-B175)</f>
        <v/>
      </c>
      <c r="U175" s="9" t="n">
        <f aca="false">IF(S175=0,0,IF(P175&gt;0,S175,IF(AND(ISNUMBER(T175),ABS(N(T175))&lt;=Setup!$C$11),S175,0)))</f>
        <v>0</v>
      </c>
      <c r="V175" s="9" t="str">
        <f aca="false">IF(AND(N175&lt;&gt;"",U175=0),IF(M175="OUT",1,2)*100000+ROW(),"")</f>
        <v/>
      </c>
      <c r="W175" s="9" t="n">
        <f aca="false">N(F175)+N(G175)</f>
        <v>0</v>
      </c>
    </row>
    <row r="176" customFormat="false" ht="15" hidden="false" customHeight="false" outlineLevel="0" collapsed="false">
      <c r="A176" s="37" t="str">
        <f aca="false">IF(M176="","",ROW()-7)</f>
        <v/>
      </c>
      <c r="B176" s="70"/>
      <c r="C176" s="71"/>
      <c r="D176" s="72"/>
      <c r="E176" s="71"/>
      <c r="F176" s="73"/>
      <c r="G176" s="73"/>
      <c r="H176" s="42" t="str">
        <f aca="false">IF(M176="","",IF(U176&gt;0,"✔ Matched",IF(M176="OUT","Not yet presented","Not yet credited")))</f>
        <v/>
      </c>
      <c r="I176" s="43" t="str">
        <f aca="false">IF(N(U176)&gt;0,U176,"")</f>
        <v/>
      </c>
      <c r="J176" s="44" t="str">
        <f aca="false">IF(N(U176)&gt;0,T176,"")</f>
        <v/>
      </c>
      <c r="K176" s="45" t="str">
        <f aca="false">IF(AND(M176="",B176="",D176=""),"",IF(AND(N(F176)&gt;0,N(G176)&gt;0),"⚠ Fill deposit OR payment",IF(M176="","⚠ Enter amount",IF(B176="","⚠ Enter date",IF(AND(Setup!$C$8&lt;&gt;"",B176&gt;Setup!$C$8),"⚠ Date after period",IF(AND(O176&lt;&gt;"",COUNTIF($O$8:$O$507,O176)&gt;1),"⚠ Cheque no. used twice","✔"))))))</f>
        <v/>
      </c>
      <c r="M176" s="9" t="str">
        <f aca="false">IF(N(F176)&gt;0,"IN",IF(N(G176)&gt;0,"OUT",""))</f>
        <v/>
      </c>
      <c r="N176" s="9" t="str">
        <f aca="false">IF(M176="","",M176&amp;"|"&amp;TEXT(ROUND(N(F176)+N(G176),2),"0.00"))</f>
        <v/>
      </c>
      <c r="O176" s="9" t="str">
        <f aca="false">IF(OR(N176="",TRIM(E176&amp;"")=""),"",N176&amp;"|"&amp;UPPER(TRIM(E176&amp;"")))</f>
        <v/>
      </c>
      <c r="P176" s="9" t="n">
        <f aca="false">IF(O176="",0,IFERROR(MATCH(O176,'Bank Statement'!$O$8:$O$507,0),0))</f>
        <v>0</v>
      </c>
      <c r="Q176" s="9" t="str">
        <f aca="false">IF(OR(N176="",P176&gt;0),"",N176&amp;"#"&amp;COUNTIFS($N$8:N176,N176,$P$8:P176,0))</f>
        <v/>
      </c>
      <c r="R176" s="9" t="n">
        <f aca="false">IF(Q176="",0,IFERROR(MATCH(Q176,'Bank Statement'!$Q$8:$Q$507,0),0))</f>
        <v>0</v>
      </c>
      <c r="S176" s="9" t="n">
        <f aca="false">IF(P176&gt;0,P176,R176)</f>
        <v>0</v>
      </c>
      <c r="T176" s="9" t="str">
        <f aca="false">IF(OR(S176=0,B176=""),"",INDEX('Bank Statement'!$B$8:$B$507,S176)-B176)</f>
        <v/>
      </c>
      <c r="U176" s="9" t="n">
        <f aca="false">IF(S176=0,0,IF(P176&gt;0,S176,IF(AND(ISNUMBER(T176),ABS(N(T176))&lt;=Setup!$C$11),S176,0)))</f>
        <v>0</v>
      </c>
      <c r="V176" s="9" t="str">
        <f aca="false">IF(AND(N176&lt;&gt;"",U176=0),IF(M176="OUT",1,2)*100000+ROW(),"")</f>
        <v/>
      </c>
      <c r="W176" s="9" t="n">
        <f aca="false">N(F176)+N(G176)</f>
        <v>0</v>
      </c>
    </row>
    <row r="177" customFormat="false" ht="15" hidden="false" customHeight="false" outlineLevel="0" collapsed="false">
      <c r="A177" s="37" t="str">
        <f aca="false">IF(M177="","",ROW()-7)</f>
        <v/>
      </c>
      <c r="B177" s="70"/>
      <c r="C177" s="71"/>
      <c r="D177" s="72"/>
      <c r="E177" s="71"/>
      <c r="F177" s="73"/>
      <c r="G177" s="73"/>
      <c r="H177" s="42" t="str">
        <f aca="false">IF(M177="","",IF(U177&gt;0,"✔ Matched",IF(M177="OUT","Not yet presented","Not yet credited")))</f>
        <v/>
      </c>
      <c r="I177" s="43" t="str">
        <f aca="false">IF(N(U177)&gt;0,U177,"")</f>
        <v/>
      </c>
      <c r="J177" s="44" t="str">
        <f aca="false">IF(N(U177)&gt;0,T177,"")</f>
        <v/>
      </c>
      <c r="K177" s="45" t="str">
        <f aca="false">IF(AND(M177="",B177="",D177=""),"",IF(AND(N(F177)&gt;0,N(G177)&gt;0),"⚠ Fill deposit OR payment",IF(M177="","⚠ Enter amount",IF(B177="","⚠ Enter date",IF(AND(Setup!$C$8&lt;&gt;"",B177&gt;Setup!$C$8),"⚠ Date after period",IF(AND(O177&lt;&gt;"",COUNTIF($O$8:$O$507,O177)&gt;1),"⚠ Cheque no. used twice","✔"))))))</f>
        <v/>
      </c>
      <c r="M177" s="9" t="str">
        <f aca="false">IF(N(F177)&gt;0,"IN",IF(N(G177)&gt;0,"OUT",""))</f>
        <v/>
      </c>
      <c r="N177" s="9" t="str">
        <f aca="false">IF(M177="","",M177&amp;"|"&amp;TEXT(ROUND(N(F177)+N(G177),2),"0.00"))</f>
        <v/>
      </c>
      <c r="O177" s="9" t="str">
        <f aca="false">IF(OR(N177="",TRIM(E177&amp;"")=""),"",N177&amp;"|"&amp;UPPER(TRIM(E177&amp;"")))</f>
        <v/>
      </c>
      <c r="P177" s="9" t="n">
        <f aca="false">IF(O177="",0,IFERROR(MATCH(O177,'Bank Statement'!$O$8:$O$507,0),0))</f>
        <v>0</v>
      </c>
      <c r="Q177" s="9" t="str">
        <f aca="false">IF(OR(N177="",P177&gt;0),"",N177&amp;"#"&amp;COUNTIFS($N$8:N177,N177,$P$8:P177,0))</f>
        <v/>
      </c>
      <c r="R177" s="9" t="n">
        <f aca="false">IF(Q177="",0,IFERROR(MATCH(Q177,'Bank Statement'!$Q$8:$Q$507,0),0))</f>
        <v>0</v>
      </c>
      <c r="S177" s="9" t="n">
        <f aca="false">IF(P177&gt;0,P177,R177)</f>
        <v>0</v>
      </c>
      <c r="T177" s="9" t="str">
        <f aca="false">IF(OR(S177=0,B177=""),"",INDEX('Bank Statement'!$B$8:$B$507,S177)-B177)</f>
        <v/>
      </c>
      <c r="U177" s="9" t="n">
        <f aca="false">IF(S177=0,0,IF(P177&gt;0,S177,IF(AND(ISNUMBER(T177),ABS(N(T177))&lt;=Setup!$C$11),S177,0)))</f>
        <v>0</v>
      </c>
      <c r="V177" s="9" t="str">
        <f aca="false">IF(AND(N177&lt;&gt;"",U177=0),IF(M177="OUT",1,2)*100000+ROW(),"")</f>
        <v/>
      </c>
      <c r="W177" s="9" t="n">
        <f aca="false">N(F177)+N(G177)</f>
        <v>0</v>
      </c>
    </row>
    <row r="178" customFormat="false" ht="15" hidden="false" customHeight="false" outlineLevel="0" collapsed="false">
      <c r="A178" s="37" t="str">
        <f aca="false">IF(M178="","",ROW()-7)</f>
        <v/>
      </c>
      <c r="B178" s="70"/>
      <c r="C178" s="71"/>
      <c r="D178" s="72"/>
      <c r="E178" s="71"/>
      <c r="F178" s="73"/>
      <c r="G178" s="73"/>
      <c r="H178" s="42" t="str">
        <f aca="false">IF(M178="","",IF(U178&gt;0,"✔ Matched",IF(M178="OUT","Not yet presented","Not yet credited")))</f>
        <v/>
      </c>
      <c r="I178" s="43" t="str">
        <f aca="false">IF(N(U178)&gt;0,U178,"")</f>
        <v/>
      </c>
      <c r="J178" s="44" t="str">
        <f aca="false">IF(N(U178)&gt;0,T178,"")</f>
        <v/>
      </c>
      <c r="K178" s="45" t="str">
        <f aca="false">IF(AND(M178="",B178="",D178=""),"",IF(AND(N(F178)&gt;0,N(G178)&gt;0),"⚠ Fill deposit OR payment",IF(M178="","⚠ Enter amount",IF(B178="","⚠ Enter date",IF(AND(Setup!$C$8&lt;&gt;"",B178&gt;Setup!$C$8),"⚠ Date after period",IF(AND(O178&lt;&gt;"",COUNTIF($O$8:$O$507,O178)&gt;1),"⚠ Cheque no. used twice","✔"))))))</f>
        <v/>
      </c>
      <c r="M178" s="9" t="str">
        <f aca="false">IF(N(F178)&gt;0,"IN",IF(N(G178)&gt;0,"OUT",""))</f>
        <v/>
      </c>
      <c r="N178" s="9" t="str">
        <f aca="false">IF(M178="","",M178&amp;"|"&amp;TEXT(ROUND(N(F178)+N(G178),2),"0.00"))</f>
        <v/>
      </c>
      <c r="O178" s="9" t="str">
        <f aca="false">IF(OR(N178="",TRIM(E178&amp;"")=""),"",N178&amp;"|"&amp;UPPER(TRIM(E178&amp;"")))</f>
        <v/>
      </c>
      <c r="P178" s="9" t="n">
        <f aca="false">IF(O178="",0,IFERROR(MATCH(O178,'Bank Statement'!$O$8:$O$507,0),0))</f>
        <v>0</v>
      </c>
      <c r="Q178" s="9" t="str">
        <f aca="false">IF(OR(N178="",P178&gt;0),"",N178&amp;"#"&amp;COUNTIFS($N$8:N178,N178,$P$8:P178,0))</f>
        <v/>
      </c>
      <c r="R178" s="9" t="n">
        <f aca="false">IF(Q178="",0,IFERROR(MATCH(Q178,'Bank Statement'!$Q$8:$Q$507,0),0))</f>
        <v>0</v>
      </c>
      <c r="S178" s="9" t="n">
        <f aca="false">IF(P178&gt;0,P178,R178)</f>
        <v>0</v>
      </c>
      <c r="T178" s="9" t="str">
        <f aca="false">IF(OR(S178=0,B178=""),"",INDEX('Bank Statement'!$B$8:$B$507,S178)-B178)</f>
        <v/>
      </c>
      <c r="U178" s="9" t="n">
        <f aca="false">IF(S178=0,0,IF(P178&gt;0,S178,IF(AND(ISNUMBER(T178),ABS(N(T178))&lt;=Setup!$C$11),S178,0)))</f>
        <v>0</v>
      </c>
      <c r="V178" s="9" t="str">
        <f aca="false">IF(AND(N178&lt;&gt;"",U178=0),IF(M178="OUT",1,2)*100000+ROW(),"")</f>
        <v/>
      </c>
      <c r="W178" s="9" t="n">
        <f aca="false">N(F178)+N(G178)</f>
        <v>0</v>
      </c>
    </row>
    <row r="179" customFormat="false" ht="15" hidden="false" customHeight="false" outlineLevel="0" collapsed="false">
      <c r="A179" s="37" t="str">
        <f aca="false">IF(M179="","",ROW()-7)</f>
        <v/>
      </c>
      <c r="B179" s="70"/>
      <c r="C179" s="71"/>
      <c r="D179" s="72"/>
      <c r="E179" s="71"/>
      <c r="F179" s="73"/>
      <c r="G179" s="73"/>
      <c r="H179" s="42" t="str">
        <f aca="false">IF(M179="","",IF(U179&gt;0,"✔ Matched",IF(M179="OUT","Not yet presented","Not yet credited")))</f>
        <v/>
      </c>
      <c r="I179" s="43" t="str">
        <f aca="false">IF(N(U179)&gt;0,U179,"")</f>
        <v/>
      </c>
      <c r="J179" s="44" t="str">
        <f aca="false">IF(N(U179)&gt;0,T179,"")</f>
        <v/>
      </c>
      <c r="K179" s="45" t="str">
        <f aca="false">IF(AND(M179="",B179="",D179=""),"",IF(AND(N(F179)&gt;0,N(G179)&gt;0),"⚠ Fill deposit OR payment",IF(M179="","⚠ Enter amount",IF(B179="","⚠ Enter date",IF(AND(Setup!$C$8&lt;&gt;"",B179&gt;Setup!$C$8),"⚠ Date after period",IF(AND(O179&lt;&gt;"",COUNTIF($O$8:$O$507,O179)&gt;1),"⚠ Cheque no. used twice","✔"))))))</f>
        <v/>
      </c>
      <c r="M179" s="9" t="str">
        <f aca="false">IF(N(F179)&gt;0,"IN",IF(N(G179)&gt;0,"OUT",""))</f>
        <v/>
      </c>
      <c r="N179" s="9" t="str">
        <f aca="false">IF(M179="","",M179&amp;"|"&amp;TEXT(ROUND(N(F179)+N(G179),2),"0.00"))</f>
        <v/>
      </c>
      <c r="O179" s="9" t="str">
        <f aca="false">IF(OR(N179="",TRIM(E179&amp;"")=""),"",N179&amp;"|"&amp;UPPER(TRIM(E179&amp;"")))</f>
        <v/>
      </c>
      <c r="P179" s="9" t="n">
        <f aca="false">IF(O179="",0,IFERROR(MATCH(O179,'Bank Statement'!$O$8:$O$507,0),0))</f>
        <v>0</v>
      </c>
      <c r="Q179" s="9" t="str">
        <f aca="false">IF(OR(N179="",P179&gt;0),"",N179&amp;"#"&amp;COUNTIFS($N$8:N179,N179,$P$8:P179,0))</f>
        <v/>
      </c>
      <c r="R179" s="9" t="n">
        <f aca="false">IF(Q179="",0,IFERROR(MATCH(Q179,'Bank Statement'!$Q$8:$Q$507,0),0))</f>
        <v>0</v>
      </c>
      <c r="S179" s="9" t="n">
        <f aca="false">IF(P179&gt;0,P179,R179)</f>
        <v>0</v>
      </c>
      <c r="T179" s="9" t="str">
        <f aca="false">IF(OR(S179=0,B179=""),"",INDEX('Bank Statement'!$B$8:$B$507,S179)-B179)</f>
        <v/>
      </c>
      <c r="U179" s="9" t="n">
        <f aca="false">IF(S179=0,0,IF(P179&gt;0,S179,IF(AND(ISNUMBER(T179),ABS(N(T179))&lt;=Setup!$C$11),S179,0)))</f>
        <v>0</v>
      </c>
      <c r="V179" s="9" t="str">
        <f aca="false">IF(AND(N179&lt;&gt;"",U179=0),IF(M179="OUT",1,2)*100000+ROW(),"")</f>
        <v/>
      </c>
      <c r="W179" s="9" t="n">
        <f aca="false">N(F179)+N(G179)</f>
        <v>0</v>
      </c>
    </row>
    <row r="180" customFormat="false" ht="15" hidden="false" customHeight="false" outlineLevel="0" collapsed="false">
      <c r="A180" s="37" t="str">
        <f aca="false">IF(M180="","",ROW()-7)</f>
        <v/>
      </c>
      <c r="B180" s="70"/>
      <c r="C180" s="71"/>
      <c r="D180" s="72"/>
      <c r="E180" s="71"/>
      <c r="F180" s="73"/>
      <c r="G180" s="73"/>
      <c r="H180" s="42" t="str">
        <f aca="false">IF(M180="","",IF(U180&gt;0,"✔ Matched",IF(M180="OUT","Not yet presented","Not yet credited")))</f>
        <v/>
      </c>
      <c r="I180" s="43" t="str">
        <f aca="false">IF(N(U180)&gt;0,U180,"")</f>
        <v/>
      </c>
      <c r="J180" s="44" t="str">
        <f aca="false">IF(N(U180)&gt;0,T180,"")</f>
        <v/>
      </c>
      <c r="K180" s="45" t="str">
        <f aca="false">IF(AND(M180="",B180="",D180=""),"",IF(AND(N(F180)&gt;0,N(G180)&gt;0),"⚠ Fill deposit OR payment",IF(M180="","⚠ Enter amount",IF(B180="","⚠ Enter date",IF(AND(Setup!$C$8&lt;&gt;"",B180&gt;Setup!$C$8),"⚠ Date after period",IF(AND(O180&lt;&gt;"",COUNTIF($O$8:$O$507,O180)&gt;1),"⚠ Cheque no. used twice","✔"))))))</f>
        <v/>
      </c>
      <c r="M180" s="9" t="str">
        <f aca="false">IF(N(F180)&gt;0,"IN",IF(N(G180)&gt;0,"OUT",""))</f>
        <v/>
      </c>
      <c r="N180" s="9" t="str">
        <f aca="false">IF(M180="","",M180&amp;"|"&amp;TEXT(ROUND(N(F180)+N(G180),2),"0.00"))</f>
        <v/>
      </c>
      <c r="O180" s="9" t="str">
        <f aca="false">IF(OR(N180="",TRIM(E180&amp;"")=""),"",N180&amp;"|"&amp;UPPER(TRIM(E180&amp;"")))</f>
        <v/>
      </c>
      <c r="P180" s="9" t="n">
        <f aca="false">IF(O180="",0,IFERROR(MATCH(O180,'Bank Statement'!$O$8:$O$507,0),0))</f>
        <v>0</v>
      </c>
      <c r="Q180" s="9" t="str">
        <f aca="false">IF(OR(N180="",P180&gt;0),"",N180&amp;"#"&amp;COUNTIFS($N$8:N180,N180,$P$8:P180,0))</f>
        <v/>
      </c>
      <c r="R180" s="9" t="n">
        <f aca="false">IF(Q180="",0,IFERROR(MATCH(Q180,'Bank Statement'!$Q$8:$Q$507,0),0))</f>
        <v>0</v>
      </c>
      <c r="S180" s="9" t="n">
        <f aca="false">IF(P180&gt;0,P180,R180)</f>
        <v>0</v>
      </c>
      <c r="T180" s="9" t="str">
        <f aca="false">IF(OR(S180=0,B180=""),"",INDEX('Bank Statement'!$B$8:$B$507,S180)-B180)</f>
        <v/>
      </c>
      <c r="U180" s="9" t="n">
        <f aca="false">IF(S180=0,0,IF(P180&gt;0,S180,IF(AND(ISNUMBER(T180),ABS(N(T180))&lt;=Setup!$C$11),S180,0)))</f>
        <v>0</v>
      </c>
      <c r="V180" s="9" t="str">
        <f aca="false">IF(AND(N180&lt;&gt;"",U180=0),IF(M180="OUT",1,2)*100000+ROW(),"")</f>
        <v/>
      </c>
      <c r="W180" s="9" t="n">
        <f aca="false">N(F180)+N(G180)</f>
        <v>0</v>
      </c>
    </row>
    <row r="181" customFormat="false" ht="15" hidden="false" customHeight="false" outlineLevel="0" collapsed="false">
      <c r="A181" s="37" t="str">
        <f aca="false">IF(M181="","",ROW()-7)</f>
        <v/>
      </c>
      <c r="B181" s="70"/>
      <c r="C181" s="71"/>
      <c r="D181" s="72"/>
      <c r="E181" s="71"/>
      <c r="F181" s="73"/>
      <c r="G181" s="73"/>
      <c r="H181" s="42" t="str">
        <f aca="false">IF(M181="","",IF(U181&gt;0,"✔ Matched",IF(M181="OUT","Not yet presented","Not yet credited")))</f>
        <v/>
      </c>
      <c r="I181" s="43" t="str">
        <f aca="false">IF(N(U181)&gt;0,U181,"")</f>
        <v/>
      </c>
      <c r="J181" s="44" t="str">
        <f aca="false">IF(N(U181)&gt;0,T181,"")</f>
        <v/>
      </c>
      <c r="K181" s="45" t="str">
        <f aca="false">IF(AND(M181="",B181="",D181=""),"",IF(AND(N(F181)&gt;0,N(G181)&gt;0),"⚠ Fill deposit OR payment",IF(M181="","⚠ Enter amount",IF(B181="","⚠ Enter date",IF(AND(Setup!$C$8&lt;&gt;"",B181&gt;Setup!$C$8),"⚠ Date after period",IF(AND(O181&lt;&gt;"",COUNTIF($O$8:$O$507,O181)&gt;1),"⚠ Cheque no. used twice","✔"))))))</f>
        <v/>
      </c>
      <c r="M181" s="9" t="str">
        <f aca="false">IF(N(F181)&gt;0,"IN",IF(N(G181)&gt;0,"OUT",""))</f>
        <v/>
      </c>
      <c r="N181" s="9" t="str">
        <f aca="false">IF(M181="","",M181&amp;"|"&amp;TEXT(ROUND(N(F181)+N(G181),2),"0.00"))</f>
        <v/>
      </c>
      <c r="O181" s="9" t="str">
        <f aca="false">IF(OR(N181="",TRIM(E181&amp;"")=""),"",N181&amp;"|"&amp;UPPER(TRIM(E181&amp;"")))</f>
        <v/>
      </c>
      <c r="P181" s="9" t="n">
        <f aca="false">IF(O181="",0,IFERROR(MATCH(O181,'Bank Statement'!$O$8:$O$507,0),0))</f>
        <v>0</v>
      </c>
      <c r="Q181" s="9" t="str">
        <f aca="false">IF(OR(N181="",P181&gt;0),"",N181&amp;"#"&amp;COUNTIFS($N$8:N181,N181,$P$8:P181,0))</f>
        <v/>
      </c>
      <c r="R181" s="9" t="n">
        <f aca="false">IF(Q181="",0,IFERROR(MATCH(Q181,'Bank Statement'!$Q$8:$Q$507,0),0))</f>
        <v>0</v>
      </c>
      <c r="S181" s="9" t="n">
        <f aca="false">IF(P181&gt;0,P181,R181)</f>
        <v>0</v>
      </c>
      <c r="T181" s="9" t="str">
        <f aca="false">IF(OR(S181=0,B181=""),"",INDEX('Bank Statement'!$B$8:$B$507,S181)-B181)</f>
        <v/>
      </c>
      <c r="U181" s="9" t="n">
        <f aca="false">IF(S181=0,0,IF(P181&gt;0,S181,IF(AND(ISNUMBER(T181),ABS(N(T181))&lt;=Setup!$C$11),S181,0)))</f>
        <v>0</v>
      </c>
      <c r="V181" s="9" t="str">
        <f aca="false">IF(AND(N181&lt;&gt;"",U181=0),IF(M181="OUT",1,2)*100000+ROW(),"")</f>
        <v/>
      </c>
      <c r="W181" s="9" t="n">
        <f aca="false">N(F181)+N(G181)</f>
        <v>0</v>
      </c>
    </row>
    <row r="182" customFormat="false" ht="15" hidden="false" customHeight="false" outlineLevel="0" collapsed="false">
      <c r="A182" s="37" t="str">
        <f aca="false">IF(M182="","",ROW()-7)</f>
        <v/>
      </c>
      <c r="B182" s="70"/>
      <c r="C182" s="71"/>
      <c r="D182" s="72"/>
      <c r="E182" s="71"/>
      <c r="F182" s="73"/>
      <c r="G182" s="73"/>
      <c r="H182" s="42" t="str">
        <f aca="false">IF(M182="","",IF(U182&gt;0,"✔ Matched",IF(M182="OUT","Not yet presented","Not yet credited")))</f>
        <v/>
      </c>
      <c r="I182" s="43" t="str">
        <f aca="false">IF(N(U182)&gt;0,U182,"")</f>
        <v/>
      </c>
      <c r="J182" s="44" t="str">
        <f aca="false">IF(N(U182)&gt;0,T182,"")</f>
        <v/>
      </c>
      <c r="K182" s="45" t="str">
        <f aca="false">IF(AND(M182="",B182="",D182=""),"",IF(AND(N(F182)&gt;0,N(G182)&gt;0),"⚠ Fill deposit OR payment",IF(M182="","⚠ Enter amount",IF(B182="","⚠ Enter date",IF(AND(Setup!$C$8&lt;&gt;"",B182&gt;Setup!$C$8),"⚠ Date after period",IF(AND(O182&lt;&gt;"",COUNTIF($O$8:$O$507,O182)&gt;1),"⚠ Cheque no. used twice","✔"))))))</f>
        <v/>
      </c>
      <c r="M182" s="9" t="str">
        <f aca="false">IF(N(F182)&gt;0,"IN",IF(N(G182)&gt;0,"OUT",""))</f>
        <v/>
      </c>
      <c r="N182" s="9" t="str">
        <f aca="false">IF(M182="","",M182&amp;"|"&amp;TEXT(ROUND(N(F182)+N(G182),2),"0.00"))</f>
        <v/>
      </c>
      <c r="O182" s="9" t="str">
        <f aca="false">IF(OR(N182="",TRIM(E182&amp;"")=""),"",N182&amp;"|"&amp;UPPER(TRIM(E182&amp;"")))</f>
        <v/>
      </c>
      <c r="P182" s="9" t="n">
        <f aca="false">IF(O182="",0,IFERROR(MATCH(O182,'Bank Statement'!$O$8:$O$507,0),0))</f>
        <v>0</v>
      </c>
      <c r="Q182" s="9" t="str">
        <f aca="false">IF(OR(N182="",P182&gt;0),"",N182&amp;"#"&amp;COUNTIFS($N$8:N182,N182,$P$8:P182,0))</f>
        <v/>
      </c>
      <c r="R182" s="9" t="n">
        <f aca="false">IF(Q182="",0,IFERROR(MATCH(Q182,'Bank Statement'!$Q$8:$Q$507,0),0))</f>
        <v>0</v>
      </c>
      <c r="S182" s="9" t="n">
        <f aca="false">IF(P182&gt;0,P182,R182)</f>
        <v>0</v>
      </c>
      <c r="T182" s="9" t="str">
        <f aca="false">IF(OR(S182=0,B182=""),"",INDEX('Bank Statement'!$B$8:$B$507,S182)-B182)</f>
        <v/>
      </c>
      <c r="U182" s="9" t="n">
        <f aca="false">IF(S182=0,0,IF(P182&gt;0,S182,IF(AND(ISNUMBER(T182),ABS(N(T182))&lt;=Setup!$C$11),S182,0)))</f>
        <v>0</v>
      </c>
      <c r="V182" s="9" t="str">
        <f aca="false">IF(AND(N182&lt;&gt;"",U182=0),IF(M182="OUT",1,2)*100000+ROW(),"")</f>
        <v/>
      </c>
      <c r="W182" s="9" t="n">
        <f aca="false">N(F182)+N(G182)</f>
        <v>0</v>
      </c>
    </row>
    <row r="183" customFormat="false" ht="15" hidden="false" customHeight="false" outlineLevel="0" collapsed="false">
      <c r="A183" s="37" t="str">
        <f aca="false">IF(M183="","",ROW()-7)</f>
        <v/>
      </c>
      <c r="B183" s="70"/>
      <c r="C183" s="71"/>
      <c r="D183" s="72"/>
      <c r="E183" s="71"/>
      <c r="F183" s="73"/>
      <c r="G183" s="73"/>
      <c r="H183" s="42" t="str">
        <f aca="false">IF(M183="","",IF(U183&gt;0,"✔ Matched",IF(M183="OUT","Not yet presented","Not yet credited")))</f>
        <v/>
      </c>
      <c r="I183" s="43" t="str">
        <f aca="false">IF(N(U183)&gt;0,U183,"")</f>
        <v/>
      </c>
      <c r="J183" s="44" t="str">
        <f aca="false">IF(N(U183)&gt;0,T183,"")</f>
        <v/>
      </c>
      <c r="K183" s="45" t="str">
        <f aca="false">IF(AND(M183="",B183="",D183=""),"",IF(AND(N(F183)&gt;0,N(G183)&gt;0),"⚠ Fill deposit OR payment",IF(M183="","⚠ Enter amount",IF(B183="","⚠ Enter date",IF(AND(Setup!$C$8&lt;&gt;"",B183&gt;Setup!$C$8),"⚠ Date after period",IF(AND(O183&lt;&gt;"",COUNTIF($O$8:$O$507,O183)&gt;1),"⚠ Cheque no. used twice","✔"))))))</f>
        <v/>
      </c>
      <c r="M183" s="9" t="str">
        <f aca="false">IF(N(F183)&gt;0,"IN",IF(N(G183)&gt;0,"OUT",""))</f>
        <v/>
      </c>
      <c r="N183" s="9" t="str">
        <f aca="false">IF(M183="","",M183&amp;"|"&amp;TEXT(ROUND(N(F183)+N(G183),2),"0.00"))</f>
        <v/>
      </c>
      <c r="O183" s="9" t="str">
        <f aca="false">IF(OR(N183="",TRIM(E183&amp;"")=""),"",N183&amp;"|"&amp;UPPER(TRIM(E183&amp;"")))</f>
        <v/>
      </c>
      <c r="P183" s="9" t="n">
        <f aca="false">IF(O183="",0,IFERROR(MATCH(O183,'Bank Statement'!$O$8:$O$507,0),0))</f>
        <v>0</v>
      </c>
      <c r="Q183" s="9" t="str">
        <f aca="false">IF(OR(N183="",P183&gt;0),"",N183&amp;"#"&amp;COUNTIFS($N$8:N183,N183,$P$8:P183,0))</f>
        <v/>
      </c>
      <c r="R183" s="9" t="n">
        <f aca="false">IF(Q183="",0,IFERROR(MATCH(Q183,'Bank Statement'!$Q$8:$Q$507,0),0))</f>
        <v>0</v>
      </c>
      <c r="S183" s="9" t="n">
        <f aca="false">IF(P183&gt;0,P183,R183)</f>
        <v>0</v>
      </c>
      <c r="T183" s="9" t="str">
        <f aca="false">IF(OR(S183=0,B183=""),"",INDEX('Bank Statement'!$B$8:$B$507,S183)-B183)</f>
        <v/>
      </c>
      <c r="U183" s="9" t="n">
        <f aca="false">IF(S183=0,0,IF(P183&gt;0,S183,IF(AND(ISNUMBER(T183),ABS(N(T183))&lt;=Setup!$C$11),S183,0)))</f>
        <v>0</v>
      </c>
      <c r="V183" s="9" t="str">
        <f aca="false">IF(AND(N183&lt;&gt;"",U183=0),IF(M183="OUT",1,2)*100000+ROW(),"")</f>
        <v/>
      </c>
      <c r="W183" s="9" t="n">
        <f aca="false">N(F183)+N(G183)</f>
        <v>0</v>
      </c>
    </row>
    <row r="184" customFormat="false" ht="15" hidden="false" customHeight="false" outlineLevel="0" collapsed="false">
      <c r="A184" s="37" t="str">
        <f aca="false">IF(M184="","",ROW()-7)</f>
        <v/>
      </c>
      <c r="B184" s="70"/>
      <c r="C184" s="71"/>
      <c r="D184" s="72"/>
      <c r="E184" s="71"/>
      <c r="F184" s="73"/>
      <c r="G184" s="73"/>
      <c r="H184" s="42" t="str">
        <f aca="false">IF(M184="","",IF(U184&gt;0,"✔ Matched",IF(M184="OUT","Not yet presented","Not yet credited")))</f>
        <v/>
      </c>
      <c r="I184" s="43" t="str">
        <f aca="false">IF(N(U184)&gt;0,U184,"")</f>
        <v/>
      </c>
      <c r="J184" s="44" t="str">
        <f aca="false">IF(N(U184)&gt;0,T184,"")</f>
        <v/>
      </c>
      <c r="K184" s="45" t="str">
        <f aca="false">IF(AND(M184="",B184="",D184=""),"",IF(AND(N(F184)&gt;0,N(G184)&gt;0),"⚠ Fill deposit OR payment",IF(M184="","⚠ Enter amount",IF(B184="","⚠ Enter date",IF(AND(Setup!$C$8&lt;&gt;"",B184&gt;Setup!$C$8),"⚠ Date after period",IF(AND(O184&lt;&gt;"",COUNTIF($O$8:$O$507,O184)&gt;1),"⚠ Cheque no. used twice","✔"))))))</f>
        <v/>
      </c>
      <c r="M184" s="9" t="str">
        <f aca="false">IF(N(F184)&gt;0,"IN",IF(N(G184)&gt;0,"OUT",""))</f>
        <v/>
      </c>
      <c r="N184" s="9" t="str">
        <f aca="false">IF(M184="","",M184&amp;"|"&amp;TEXT(ROUND(N(F184)+N(G184),2),"0.00"))</f>
        <v/>
      </c>
      <c r="O184" s="9" t="str">
        <f aca="false">IF(OR(N184="",TRIM(E184&amp;"")=""),"",N184&amp;"|"&amp;UPPER(TRIM(E184&amp;"")))</f>
        <v/>
      </c>
      <c r="P184" s="9" t="n">
        <f aca="false">IF(O184="",0,IFERROR(MATCH(O184,'Bank Statement'!$O$8:$O$507,0),0))</f>
        <v>0</v>
      </c>
      <c r="Q184" s="9" t="str">
        <f aca="false">IF(OR(N184="",P184&gt;0),"",N184&amp;"#"&amp;COUNTIFS($N$8:N184,N184,$P$8:P184,0))</f>
        <v/>
      </c>
      <c r="R184" s="9" t="n">
        <f aca="false">IF(Q184="",0,IFERROR(MATCH(Q184,'Bank Statement'!$Q$8:$Q$507,0),0))</f>
        <v>0</v>
      </c>
      <c r="S184" s="9" t="n">
        <f aca="false">IF(P184&gt;0,P184,R184)</f>
        <v>0</v>
      </c>
      <c r="T184" s="9" t="str">
        <f aca="false">IF(OR(S184=0,B184=""),"",INDEX('Bank Statement'!$B$8:$B$507,S184)-B184)</f>
        <v/>
      </c>
      <c r="U184" s="9" t="n">
        <f aca="false">IF(S184=0,0,IF(P184&gt;0,S184,IF(AND(ISNUMBER(T184),ABS(N(T184))&lt;=Setup!$C$11),S184,0)))</f>
        <v>0</v>
      </c>
      <c r="V184" s="9" t="str">
        <f aca="false">IF(AND(N184&lt;&gt;"",U184=0),IF(M184="OUT",1,2)*100000+ROW(),"")</f>
        <v/>
      </c>
      <c r="W184" s="9" t="n">
        <f aca="false">N(F184)+N(G184)</f>
        <v>0</v>
      </c>
    </row>
    <row r="185" customFormat="false" ht="15" hidden="false" customHeight="false" outlineLevel="0" collapsed="false">
      <c r="A185" s="37" t="str">
        <f aca="false">IF(M185="","",ROW()-7)</f>
        <v/>
      </c>
      <c r="B185" s="70"/>
      <c r="C185" s="71"/>
      <c r="D185" s="72"/>
      <c r="E185" s="71"/>
      <c r="F185" s="73"/>
      <c r="G185" s="73"/>
      <c r="H185" s="42" t="str">
        <f aca="false">IF(M185="","",IF(U185&gt;0,"✔ Matched",IF(M185="OUT","Not yet presented","Not yet credited")))</f>
        <v/>
      </c>
      <c r="I185" s="43" t="str">
        <f aca="false">IF(N(U185)&gt;0,U185,"")</f>
        <v/>
      </c>
      <c r="J185" s="44" t="str">
        <f aca="false">IF(N(U185)&gt;0,T185,"")</f>
        <v/>
      </c>
      <c r="K185" s="45" t="str">
        <f aca="false">IF(AND(M185="",B185="",D185=""),"",IF(AND(N(F185)&gt;0,N(G185)&gt;0),"⚠ Fill deposit OR payment",IF(M185="","⚠ Enter amount",IF(B185="","⚠ Enter date",IF(AND(Setup!$C$8&lt;&gt;"",B185&gt;Setup!$C$8),"⚠ Date after period",IF(AND(O185&lt;&gt;"",COUNTIF($O$8:$O$507,O185)&gt;1),"⚠ Cheque no. used twice","✔"))))))</f>
        <v/>
      </c>
      <c r="M185" s="9" t="str">
        <f aca="false">IF(N(F185)&gt;0,"IN",IF(N(G185)&gt;0,"OUT",""))</f>
        <v/>
      </c>
      <c r="N185" s="9" t="str">
        <f aca="false">IF(M185="","",M185&amp;"|"&amp;TEXT(ROUND(N(F185)+N(G185),2),"0.00"))</f>
        <v/>
      </c>
      <c r="O185" s="9" t="str">
        <f aca="false">IF(OR(N185="",TRIM(E185&amp;"")=""),"",N185&amp;"|"&amp;UPPER(TRIM(E185&amp;"")))</f>
        <v/>
      </c>
      <c r="P185" s="9" t="n">
        <f aca="false">IF(O185="",0,IFERROR(MATCH(O185,'Bank Statement'!$O$8:$O$507,0),0))</f>
        <v>0</v>
      </c>
      <c r="Q185" s="9" t="str">
        <f aca="false">IF(OR(N185="",P185&gt;0),"",N185&amp;"#"&amp;COUNTIFS($N$8:N185,N185,$P$8:P185,0))</f>
        <v/>
      </c>
      <c r="R185" s="9" t="n">
        <f aca="false">IF(Q185="",0,IFERROR(MATCH(Q185,'Bank Statement'!$Q$8:$Q$507,0),0))</f>
        <v>0</v>
      </c>
      <c r="S185" s="9" t="n">
        <f aca="false">IF(P185&gt;0,P185,R185)</f>
        <v>0</v>
      </c>
      <c r="T185" s="9" t="str">
        <f aca="false">IF(OR(S185=0,B185=""),"",INDEX('Bank Statement'!$B$8:$B$507,S185)-B185)</f>
        <v/>
      </c>
      <c r="U185" s="9" t="n">
        <f aca="false">IF(S185=0,0,IF(P185&gt;0,S185,IF(AND(ISNUMBER(T185),ABS(N(T185))&lt;=Setup!$C$11),S185,0)))</f>
        <v>0</v>
      </c>
      <c r="V185" s="9" t="str">
        <f aca="false">IF(AND(N185&lt;&gt;"",U185=0),IF(M185="OUT",1,2)*100000+ROW(),"")</f>
        <v/>
      </c>
      <c r="W185" s="9" t="n">
        <f aca="false">N(F185)+N(G185)</f>
        <v>0</v>
      </c>
    </row>
    <row r="186" customFormat="false" ht="15" hidden="false" customHeight="false" outlineLevel="0" collapsed="false">
      <c r="A186" s="37" t="str">
        <f aca="false">IF(M186="","",ROW()-7)</f>
        <v/>
      </c>
      <c r="B186" s="70"/>
      <c r="C186" s="71"/>
      <c r="D186" s="72"/>
      <c r="E186" s="71"/>
      <c r="F186" s="73"/>
      <c r="G186" s="73"/>
      <c r="H186" s="42" t="str">
        <f aca="false">IF(M186="","",IF(U186&gt;0,"✔ Matched",IF(M186="OUT","Not yet presented","Not yet credited")))</f>
        <v/>
      </c>
      <c r="I186" s="43" t="str">
        <f aca="false">IF(N(U186)&gt;0,U186,"")</f>
        <v/>
      </c>
      <c r="J186" s="44" t="str">
        <f aca="false">IF(N(U186)&gt;0,T186,"")</f>
        <v/>
      </c>
      <c r="K186" s="45" t="str">
        <f aca="false">IF(AND(M186="",B186="",D186=""),"",IF(AND(N(F186)&gt;0,N(G186)&gt;0),"⚠ Fill deposit OR payment",IF(M186="","⚠ Enter amount",IF(B186="","⚠ Enter date",IF(AND(Setup!$C$8&lt;&gt;"",B186&gt;Setup!$C$8),"⚠ Date after period",IF(AND(O186&lt;&gt;"",COUNTIF($O$8:$O$507,O186)&gt;1),"⚠ Cheque no. used twice","✔"))))))</f>
        <v/>
      </c>
      <c r="M186" s="9" t="str">
        <f aca="false">IF(N(F186)&gt;0,"IN",IF(N(G186)&gt;0,"OUT",""))</f>
        <v/>
      </c>
      <c r="N186" s="9" t="str">
        <f aca="false">IF(M186="","",M186&amp;"|"&amp;TEXT(ROUND(N(F186)+N(G186),2),"0.00"))</f>
        <v/>
      </c>
      <c r="O186" s="9" t="str">
        <f aca="false">IF(OR(N186="",TRIM(E186&amp;"")=""),"",N186&amp;"|"&amp;UPPER(TRIM(E186&amp;"")))</f>
        <v/>
      </c>
      <c r="P186" s="9" t="n">
        <f aca="false">IF(O186="",0,IFERROR(MATCH(O186,'Bank Statement'!$O$8:$O$507,0),0))</f>
        <v>0</v>
      </c>
      <c r="Q186" s="9" t="str">
        <f aca="false">IF(OR(N186="",P186&gt;0),"",N186&amp;"#"&amp;COUNTIFS($N$8:N186,N186,$P$8:P186,0))</f>
        <v/>
      </c>
      <c r="R186" s="9" t="n">
        <f aca="false">IF(Q186="",0,IFERROR(MATCH(Q186,'Bank Statement'!$Q$8:$Q$507,0),0))</f>
        <v>0</v>
      </c>
      <c r="S186" s="9" t="n">
        <f aca="false">IF(P186&gt;0,P186,R186)</f>
        <v>0</v>
      </c>
      <c r="T186" s="9" t="str">
        <f aca="false">IF(OR(S186=0,B186=""),"",INDEX('Bank Statement'!$B$8:$B$507,S186)-B186)</f>
        <v/>
      </c>
      <c r="U186" s="9" t="n">
        <f aca="false">IF(S186=0,0,IF(P186&gt;0,S186,IF(AND(ISNUMBER(T186),ABS(N(T186))&lt;=Setup!$C$11),S186,0)))</f>
        <v>0</v>
      </c>
      <c r="V186" s="9" t="str">
        <f aca="false">IF(AND(N186&lt;&gt;"",U186=0),IF(M186="OUT",1,2)*100000+ROW(),"")</f>
        <v/>
      </c>
      <c r="W186" s="9" t="n">
        <f aca="false">N(F186)+N(G186)</f>
        <v>0</v>
      </c>
    </row>
    <row r="187" customFormat="false" ht="15" hidden="false" customHeight="false" outlineLevel="0" collapsed="false">
      <c r="A187" s="37" t="str">
        <f aca="false">IF(M187="","",ROW()-7)</f>
        <v/>
      </c>
      <c r="B187" s="70"/>
      <c r="C187" s="71"/>
      <c r="D187" s="72"/>
      <c r="E187" s="71"/>
      <c r="F187" s="73"/>
      <c r="G187" s="73"/>
      <c r="H187" s="42" t="str">
        <f aca="false">IF(M187="","",IF(U187&gt;0,"✔ Matched",IF(M187="OUT","Not yet presented","Not yet credited")))</f>
        <v/>
      </c>
      <c r="I187" s="43" t="str">
        <f aca="false">IF(N(U187)&gt;0,U187,"")</f>
        <v/>
      </c>
      <c r="J187" s="44" t="str">
        <f aca="false">IF(N(U187)&gt;0,T187,"")</f>
        <v/>
      </c>
      <c r="K187" s="45" t="str">
        <f aca="false">IF(AND(M187="",B187="",D187=""),"",IF(AND(N(F187)&gt;0,N(G187)&gt;0),"⚠ Fill deposit OR payment",IF(M187="","⚠ Enter amount",IF(B187="","⚠ Enter date",IF(AND(Setup!$C$8&lt;&gt;"",B187&gt;Setup!$C$8),"⚠ Date after period",IF(AND(O187&lt;&gt;"",COUNTIF($O$8:$O$507,O187)&gt;1),"⚠ Cheque no. used twice","✔"))))))</f>
        <v/>
      </c>
      <c r="M187" s="9" t="str">
        <f aca="false">IF(N(F187)&gt;0,"IN",IF(N(G187)&gt;0,"OUT",""))</f>
        <v/>
      </c>
      <c r="N187" s="9" t="str">
        <f aca="false">IF(M187="","",M187&amp;"|"&amp;TEXT(ROUND(N(F187)+N(G187),2),"0.00"))</f>
        <v/>
      </c>
      <c r="O187" s="9" t="str">
        <f aca="false">IF(OR(N187="",TRIM(E187&amp;"")=""),"",N187&amp;"|"&amp;UPPER(TRIM(E187&amp;"")))</f>
        <v/>
      </c>
      <c r="P187" s="9" t="n">
        <f aca="false">IF(O187="",0,IFERROR(MATCH(O187,'Bank Statement'!$O$8:$O$507,0),0))</f>
        <v>0</v>
      </c>
      <c r="Q187" s="9" t="str">
        <f aca="false">IF(OR(N187="",P187&gt;0),"",N187&amp;"#"&amp;COUNTIFS($N$8:N187,N187,$P$8:P187,0))</f>
        <v/>
      </c>
      <c r="R187" s="9" t="n">
        <f aca="false">IF(Q187="",0,IFERROR(MATCH(Q187,'Bank Statement'!$Q$8:$Q$507,0),0))</f>
        <v>0</v>
      </c>
      <c r="S187" s="9" t="n">
        <f aca="false">IF(P187&gt;0,P187,R187)</f>
        <v>0</v>
      </c>
      <c r="T187" s="9" t="str">
        <f aca="false">IF(OR(S187=0,B187=""),"",INDEX('Bank Statement'!$B$8:$B$507,S187)-B187)</f>
        <v/>
      </c>
      <c r="U187" s="9" t="n">
        <f aca="false">IF(S187=0,0,IF(P187&gt;0,S187,IF(AND(ISNUMBER(T187),ABS(N(T187))&lt;=Setup!$C$11),S187,0)))</f>
        <v>0</v>
      </c>
      <c r="V187" s="9" t="str">
        <f aca="false">IF(AND(N187&lt;&gt;"",U187=0),IF(M187="OUT",1,2)*100000+ROW(),"")</f>
        <v/>
      </c>
      <c r="W187" s="9" t="n">
        <f aca="false">N(F187)+N(G187)</f>
        <v>0</v>
      </c>
    </row>
    <row r="188" customFormat="false" ht="15" hidden="false" customHeight="false" outlineLevel="0" collapsed="false">
      <c r="A188" s="37" t="str">
        <f aca="false">IF(M188="","",ROW()-7)</f>
        <v/>
      </c>
      <c r="B188" s="70"/>
      <c r="C188" s="71"/>
      <c r="D188" s="72"/>
      <c r="E188" s="71"/>
      <c r="F188" s="73"/>
      <c r="G188" s="73"/>
      <c r="H188" s="42" t="str">
        <f aca="false">IF(M188="","",IF(U188&gt;0,"✔ Matched",IF(M188="OUT","Not yet presented","Not yet credited")))</f>
        <v/>
      </c>
      <c r="I188" s="43" t="str">
        <f aca="false">IF(N(U188)&gt;0,U188,"")</f>
        <v/>
      </c>
      <c r="J188" s="44" t="str">
        <f aca="false">IF(N(U188)&gt;0,T188,"")</f>
        <v/>
      </c>
      <c r="K188" s="45" t="str">
        <f aca="false">IF(AND(M188="",B188="",D188=""),"",IF(AND(N(F188)&gt;0,N(G188)&gt;0),"⚠ Fill deposit OR payment",IF(M188="","⚠ Enter amount",IF(B188="","⚠ Enter date",IF(AND(Setup!$C$8&lt;&gt;"",B188&gt;Setup!$C$8),"⚠ Date after period",IF(AND(O188&lt;&gt;"",COUNTIF($O$8:$O$507,O188)&gt;1),"⚠ Cheque no. used twice","✔"))))))</f>
        <v/>
      </c>
      <c r="M188" s="9" t="str">
        <f aca="false">IF(N(F188)&gt;0,"IN",IF(N(G188)&gt;0,"OUT",""))</f>
        <v/>
      </c>
      <c r="N188" s="9" t="str">
        <f aca="false">IF(M188="","",M188&amp;"|"&amp;TEXT(ROUND(N(F188)+N(G188),2),"0.00"))</f>
        <v/>
      </c>
      <c r="O188" s="9" t="str">
        <f aca="false">IF(OR(N188="",TRIM(E188&amp;"")=""),"",N188&amp;"|"&amp;UPPER(TRIM(E188&amp;"")))</f>
        <v/>
      </c>
      <c r="P188" s="9" t="n">
        <f aca="false">IF(O188="",0,IFERROR(MATCH(O188,'Bank Statement'!$O$8:$O$507,0),0))</f>
        <v>0</v>
      </c>
      <c r="Q188" s="9" t="str">
        <f aca="false">IF(OR(N188="",P188&gt;0),"",N188&amp;"#"&amp;COUNTIFS($N$8:N188,N188,$P$8:P188,0))</f>
        <v/>
      </c>
      <c r="R188" s="9" t="n">
        <f aca="false">IF(Q188="",0,IFERROR(MATCH(Q188,'Bank Statement'!$Q$8:$Q$507,0),0))</f>
        <v>0</v>
      </c>
      <c r="S188" s="9" t="n">
        <f aca="false">IF(P188&gt;0,P188,R188)</f>
        <v>0</v>
      </c>
      <c r="T188" s="9" t="str">
        <f aca="false">IF(OR(S188=0,B188=""),"",INDEX('Bank Statement'!$B$8:$B$507,S188)-B188)</f>
        <v/>
      </c>
      <c r="U188" s="9" t="n">
        <f aca="false">IF(S188=0,0,IF(P188&gt;0,S188,IF(AND(ISNUMBER(T188),ABS(N(T188))&lt;=Setup!$C$11),S188,0)))</f>
        <v>0</v>
      </c>
      <c r="V188" s="9" t="str">
        <f aca="false">IF(AND(N188&lt;&gt;"",U188=0),IF(M188="OUT",1,2)*100000+ROW(),"")</f>
        <v/>
      </c>
      <c r="W188" s="9" t="n">
        <f aca="false">N(F188)+N(G188)</f>
        <v>0</v>
      </c>
    </row>
    <row r="189" customFormat="false" ht="15" hidden="false" customHeight="false" outlineLevel="0" collapsed="false">
      <c r="A189" s="37" t="str">
        <f aca="false">IF(M189="","",ROW()-7)</f>
        <v/>
      </c>
      <c r="B189" s="70"/>
      <c r="C189" s="71"/>
      <c r="D189" s="72"/>
      <c r="E189" s="71"/>
      <c r="F189" s="73"/>
      <c r="G189" s="73"/>
      <c r="H189" s="42" t="str">
        <f aca="false">IF(M189="","",IF(U189&gt;0,"✔ Matched",IF(M189="OUT","Not yet presented","Not yet credited")))</f>
        <v/>
      </c>
      <c r="I189" s="43" t="str">
        <f aca="false">IF(N(U189)&gt;0,U189,"")</f>
        <v/>
      </c>
      <c r="J189" s="44" t="str">
        <f aca="false">IF(N(U189)&gt;0,T189,"")</f>
        <v/>
      </c>
      <c r="K189" s="45" t="str">
        <f aca="false">IF(AND(M189="",B189="",D189=""),"",IF(AND(N(F189)&gt;0,N(G189)&gt;0),"⚠ Fill deposit OR payment",IF(M189="","⚠ Enter amount",IF(B189="","⚠ Enter date",IF(AND(Setup!$C$8&lt;&gt;"",B189&gt;Setup!$C$8),"⚠ Date after period",IF(AND(O189&lt;&gt;"",COUNTIF($O$8:$O$507,O189)&gt;1),"⚠ Cheque no. used twice","✔"))))))</f>
        <v/>
      </c>
      <c r="M189" s="9" t="str">
        <f aca="false">IF(N(F189)&gt;0,"IN",IF(N(G189)&gt;0,"OUT",""))</f>
        <v/>
      </c>
      <c r="N189" s="9" t="str">
        <f aca="false">IF(M189="","",M189&amp;"|"&amp;TEXT(ROUND(N(F189)+N(G189),2),"0.00"))</f>
        <v/>
      </c>
      <c r="O189" s="9" t="str">
        <f aca="false">IF(OR(N189="",TRIM(E189&amp;"")=""),"",N189&amp;"|"&amp;UPPER(TRIM(E189&amp;"")))</f>
        <v/>
      </c>
      <c r="P189" s="9" t="n">
        <f aca="false">IF(O189="",0,IFERROR(MATCH(O189,'Bank Statement'!$O$8:$O$507,0),0))</f>
        <v>0</v>
      </c>
      <c r="Q189" s="9" t="str">
        <f aca="false">IF(OR(N189="",P189&gt;0),"",N189&amp;"#"&amp;COUNTIFS($N$8:N189,N189,$P$8:P189,0))</f>
        <v/>
      </c>
      <c r="R189" s="9" t="n">
        <f aca="false">IF(Q189="",0,IFERROR(MATCH(Q189,'Bank Statement'!$Q$8:$Q$507,0),0))</f>
        <v>0</v>
      </c>
      <c r="S189" s="9" t="n">
        <f aca="false">IF(P189&gt;0,P189,R189)</f>
        <v>0</v>
      </c>
      <c r="T189" s="9" t="str">
        <f aca="false">IF(OR(S189=0,B189=""),"",INDEX('Bank Statement'!$B$8:$B$507,S189)-B189)</f>
        <v/>
      </c>
      <c r="U189" s="9" t="n">
        <f aca="false">IF(S189=0,0,IF(P189&gt;0,S189,IF(AND(ISNUMBER(T189),ABS(N(T189))&lt;=Setup!$C$11),S189,0)))</f>
        <v>0</v>
      </c>
      <c r="V189" s="9" t="str">
        <f aca="false">IF(AND(N189&lt;&gt;"",U189=0),IF(M189="OUT",1,2)*100000+ROW(),"")</f>
        <v/>
      </c>
      <c r="W189" s="9" t="n">
        <f aca="false">N(F189)+N(G189)</f>
        <v>0</v>
      </c>
    </row>
    <row r="190" customFormat="false" ht="15" hidden="false" customHeight="false" outlineLevel="0" collapsed="false">
      <c r="A190" s="37" t="str">
        <f aca="false">IF(M190="","",ROW()-7)</f>
        <v/>
      </c>
      <c r="B190" s="70"/>
      <c r="C190" s="71"/>
      <c r="D190" s="72"/>
      <c r="E190" s="71"/>
      <c r="F190" s="73"/>
      <c r="G190" s="73"/>
      <c r="H190" s="42" t="str">
        <f aca="false">IF(M190="","",IF(U190&gt;0,"✔ Matched",IF(M190="OUT","Not yet presented","Not yet credited")))</f>
        <v/>
      </c>
      <c r="I190" s="43" t="str">
        <f aca="false">IF(N(U190)&gt;0,U190,"")</f>
        <v/>
      </c>
      <c r="J190" s="44" t="str">
        <f aca="false">IF(N(U190)&gt;0,T190,"")</f>
        <v/>
      </c>
      <c r="K190" s="45" t="str">
        <f aca="false">IF(AND(M190="",B190="",D190=""),"",IF(AND(N(F190)&gt;0,N(G190)&gt;0),"⚠ Fill deposit OR payment",IF(M190="","⚠ Enter amount",IF(B190="","⚠ Enter date",IF(AND(Setup!$C$8&lt;&gt;"",B190&gt;Setup!$C$8),"⚠ Date after period",IF(AND(O190&lt;&gt;"",COUNTIF($O$8:$O$507,O190)&gt;1),"⚠ Cheque no. used twice","✔"))))))</f>
        <v/>
      </c>
      <c r="M190" s="9" t="str">
        <f aca="false">IF(N(F190)&gt;0,"IN",IF(N(G190)&gt;0,"OUT",""))</f>
        <v/>
      </c>
      <c r="N190" s="9" t="str">
        <f aca="false">IF(M190="","",M190&amp;"|"&amp;TEXT(ROUND(N(F190)+N(G190),2),"0.00"))</f>
        <v/>
      </c>
      <c r="O190" s="9" t="str">
        <f aca="false">IF(OR(N190="",TRIM(E190&amp;"")=""),"",N190&amp;"|"&amp;UPPER(TRIM(E190&amp;"")))</f>
        <v/>
      </c>
      <c r="P190" s="9" t="n">
        <f aca="false">IF(O190="",0,IFERROR(MATCH(O190,'Bank Statement'!$O$8:$O$507,0),0))</f>
        <v>0</v>
      </c>
      <c r="Q190" s="9" t="str">
        <f aca="false">IF(OR(N190="",P190&gt;0),"",N190&amp;"#"&amp;COUNTIFS($N$8:N190,N190,$P$8:P190,0))</f>
        <v/>
      </c>
      <c r="R190" s="9" t="n">
        <f aca="false">IF(Q190="",0,IFERROR(MATCH(Q190,'Bank Statement'!$Q$8:$Q$507,0),0))</f>
        <v>0</v>
      </c>
      <c r="S190" s="9" t="n">
        <f aca="false">IF(P190&gt;0,P190,R190)</f>
        <v>0</v>
      </c>
      <c r="T190" s="9" t="str">
        <f aca="false">IF(OR(S190=0,B190=""),"",INDEX('Bank Statement'!$B$8:$B$507,S190)-B190)</f>
        <v/>
      </c>
      <c r="U190" s="9" t="n">
        <f aca="false">IF(S190=0,0,IF(P190&gt;0,S190,IF(AND(ISNUMBER(T190),ABS(N(T190))&lt;=Setup!$C$11),S190,0)))</f>
        <v>0</v>
      </c>
      <c r="V190" s="9" t="str">
        <f aca="false">IF(AND(N190&lt;&gt;"",U190=0),IF(M190="OUT",1,2)*100000+ROW(),"")</f>
        <v/>
      </c>
      <c r="W190" s="9" t="n">
        <f aca="false">N(F190)+N(G190)</f>
        <v>0</v>
      </c>
    </row>
    <row r="191" customFormat="false" ht="15" hidden="false" customHeight="false" outlineLevel="0" collapsed="false">
      <c r="A191" s="37" t="str">
        <f aca="false">IF(M191="","",ROW()-7)</f>
        <v/>
      </c>
      <c r="B191" s="70"/>
      <c r="C191" s="71"/>
      <c r="D191" s="72"/>
      <c r="E191" s="71"/>
      <c r="F191" s="73"/>
      <c r="G191" s="73"/>
      <c r="H191" s="42" t="str">
        <f aca="false">IF(M191="","",IF(U191&gt;0,"✔ Matched",IF(M191="OUT","Not yet presented","Not yet credited")))</f>
        <v/>
      </c>
      <c r="I191" s="43" t="str">
        <f aca="false">IF(N(U191)&gt;0,U191,"")</f>
        <v/>
      </c>
      <c r="J191" s="44" t="str">
        <f aca="false">IF(N(U191)&gt;0,T191,"")</f>
        <v/>
      </c>
      <c r="K191" s="45" t="str">
        <f aca="false">IF(AND(M191="",B191="",D191=""),"",IF(AND(N(F191)&gt;0,N(G191)&gt;0),"⚠ Fill deposit OR payment",IF(M191="","⚠ Enter amount",IF(B191="","⚠ Enter date",IF(AND(Setup!$C$8&lt;&gt;"",B191&gt;Setup!$C$8),"⚠ Date after period",IF(AND(O191&lt;&gt;"",COUNTIF($O$8:$O$507,O191)&gt;1),"⚠ Cheque no. used twice","✔"))))))</f>
        <v/>
      </c>
      <c r="M191" s="9" t="str">
        <f aca="false">IF(N(F191)&gt;0,"IN",IF(N(G191)&gt;0,"OUT",""))</f>
        <v/>
      </c>
      <c r="N191" s="9" t="str">
        <f aca="false">IF(M191="","",M191&amp;"|"&amp;TEXT(ROUND(N(F191)+N(G191),2),"0.00"))</f>
        <v/>
      </c>
      <c r="O191" s="9" t="str">
        <f aca="false">IF(OR(N191="",TRIM(E191&amp;"")=""),"",N191&amp;"|"&amp;UPPER(TRIM(E191&amp;"")))</f>
        <v/>
      </c>
      <c r="P191" s="9" t="n">
        <f aca="false">IF(O191="",0,IFERROR(MATCH(O191,'Bank Statement'!$O$8:$O$507,0),0))</f>
        <v>0</v>
      </c>
      <c r="Q191" s="9" t="str">
        <f aca="false">IF(OR(N191="",P191&gt;0),"",N191&amp;"#"&amp;COUNTIFS($N$8:N191,N191,$P$8:P191,0))</f>
        <v/>
      </c>
      <c r="R191" s="9" t="n">
        <f aca="false">IF(Q191="",0,IFERROR(MATCH(Q191,'Bank Statement'!$Q$8:$Q$507,0),0))</f>
        <v>0</v>
      </c>
      <c r="S191" s="9" t="n">
        <f aca="false">IF(P191&gt;0,P191,R191)</f>
        <v>0</v>
      </c>
      <c r="T191" s="9" t="str">
        <f aca="false">IF(OR(S191=0,B191=""),"",INDEX('Bank Statement'!$B$8:$B$507,S191)-B191)</f>
        <v/>
      </c>
      <c r="U191" s="9" t="n">
        <f aca="false">IF(S191=0,0,IF(P191&gt;0,S191,IF(AND(ISNUMBER(T191),ABS(N(T191))&lt;=Setup!$C$11),S191,0)))</f>
        <v>0</v>
      </c>
      <c r="V191" s="9" t="str">
        <f aca="false">IF(AND(N191&lt;&gt;"",U191=0),IF(M191="OUT",1,2)*100000+ROW(),"")</f>
        <v/>
      </c>
      <c r="W191" s="9" t="n">
        <f aca="false">N(F191)+N(G191)</f>
        <v>0</v>
      </c>
    </row>
    <row r="192" customFormat="false" ht="15" hidden="false" customHeight="false" outlineLevel="0" collapsed="false">
      <c r="A192" s="37" t="str">
        <f aca="false">IF(M192="","",ROW()-7)</f>
        <v/>
      </c>
      <c r="B192" s="70"/>
      <c r="C192" s="71"/>
      <c r="D192" s="72"/>
      <c r="E192" s="71"/>
      <c r="F192" s="73"/>
      <c r="G192" s="73"/>
      <c r="H192" s="42" t="str">
        <f aca="false">IF(M192="","",IF(U192&gt;0,"✔ Matched",IF(M192="OUT","Not yet presented","Not yet credited")))</f>
        <v/>
      </c>
      <c r="I192" s="43" t="str">
        <f aca="false">IF(N(U192)&gt;0,U192,"")</f>
        <v/>
      </c>
      <c r="J192" s="44" t="str">
        <f aca="false">IF(N(U192)&gt;0,T192,"")</f>
        <v/>
      </c>
      <c r="K192" s="45" t="str">
        <f aca="false">IF(AND(M192="",B192="",D192=""),"",IF(AND(N(F192)&gt;0,N(G192)&gt;0),"⚠ Fill deposit OR payment",IF(M192="","⚠ Enter amount",IF(B192="","⚠ Enter date",IF(AND(Setup!$C$8&lt;&gt;"",B192&gt;Setup!$C$8),"⚠ Date after period",IF(AND(O192&lt;&gt;"",COUNTIF($O$8:$O$507,O192)&gt;1),"⚠ Cheque no. used twice","✔"))))))</f>
        <v/>
      </c>
      <c r="M192" s="9" t="str">
        <f aca="false">IF(N(F192)&gt;0,"IN",IF(N(G192)&gt;0,"OUT",""))</f>
        <v/>
      </c>
      <c r="N192" s="9" t="str">
        <f aca="false">IF(M192="","",M192&amp;"|"&amp;TEXT(ROUND(N(F192)+N(G192),2),"0.00"))</f>
        <v/>
      </c>
      <c r="O192" s="9" t="str">
        <f aca="false">IF(OR(N192="",TRIM(E192&amp;"")=""),"",N192&amp;"|"&amp;UPPER(TRIM(E192&amp;"")))</f>
        <v/>
      </c>
      <c r="P192" s="9" t="n">
        <f aca="false">IF(O192="",0,IFERROR(MATCH(O192,'Bank Statement'!$O$8:$O$507,0),0))</f>
        <v>0</v>
      </c>
      <c r="Q192" s="9" t="str">
        <f aca="false">IF(OR(N192="",P192&gt;0),"",N192&amp;"#"&amp;COUNTIFS($N$8:N192,N192,$P$8:P192,0))</f>
        <v/>
      </c>
      <c r="R192" s="9" t="n">
        <f aca="false">IF(Q192="",0,IFERROR(MATCH(Q192,'Bank Statement'!$Q$8:$Q$507,0),0))</f>
        <v>0</v>
      </c>
      <c r="S192" s="9" t="n">
        <f aca="false">IF(P192&gt;0,P192,R192)</f>
        <v>0</v>
      </c>
      <c r="T192" s="9" t="str">
        <f aca="false">IF(OR(S192=0,B192=""),"",INDEX('Bank Statement'!$B$8:$B$507,S192)-B192)</f>
        <v/>
      </c>
      <c r="U192" s="9" t="n">
        <f aca="false">IF(S192=0,0,IF(P192&gt;0,S192,IF(AND(ISNUMBER(T192),ABS(N(T192))&lt;=Setup!$C$11),S192,0)))</f>
        <v>0</v>
      </c>
      <c r="V192" s="9" t="str">
        <f aca="false">IF(AND(N192&lt;&gt;"",U192=0),IF(M192="OUT",1,2)*100000+ROW(),"")</f>
        <v/>
      </c>
      <c r="W192" s="9" t="n">
        <f aca="false">N(F192)+N(G192)</f>
        <v>0</v>
      </c>
    </row>
    <row r="193" customFormat="false" ht="15" hidden="false" customHeight="false" outlineLevel="0" collapsed="false">
      <c r="A193" s="37" t="str">
        <f aca="false">IF(M193="","",ROW()-7)</f>
        <v/>
      </c>
      <c r="B193" s="70"/>
      <c r="C193" s="71"/>
      <c r="D193" s="72"/>
      <c r="E193" s="71"/>
      <c r="F193" s="73"/>
      <c r="G193" s="73"/>
      <c r="H193" s="42" t="str">
        <f aca="false">IF(M193="","",IF(U193&gt;0,"✔ Matched",IF(M193="OUT","Not yet presented","Not yet credited")))</f>
        <v/>
      </c>
      <c r="I193" s="43" t="str">
        <f aca="false">IF(N(U193)&gt;0,U193,"")</f>
        <v/>
      </c>
      <c r="J193" s="44" t="str">
        <f aca="false">IF(N(U193)&gt;0,T193,"")</f>
        <v/>
      </c>
      <c r="K193" s="45" t="str">
        <f aca="false">IF(AND(M193="",B193="",D193=""),"",IF(AND(N(F193)&gt;0,N(G193)&gt;0),"⚠ Fill deposit OR payment",IF(M193="","⚠ Enter amount",IF(B193="","⚠ Enter date",IF(AND(Setup!$C$8&lt;&gt;"",B193&gt;Setup!$C$8),"⚠ Date after period",IF(AND(O193&lt;&gt;"",COUNTIF($O$8:$O$507,O193)&gt;1),"⚠ Cheque no. used twice","✔"))))))</f>
        <v/>
      </c>
      <c r="M193" s="9" t="str">
        <f aca="false">IF(N(F193)&gt;0,"IN",IF(N(G193)&gt;0,"OUT",""))</f>
        <v/>
      </c>
      <c r="N193" s="9" t="str">
        <f aca="false">IF(M193="","",M193&amp;"|"&amp;TEXT(ROUND(N(F193)+N(G193),2),"0.00"))</f>
        <v/>
      </c>
      <c r="O193" s="9" t="str">
        <f aca="false">IF(OR(N193="",TRIM(E193&amp;"")=""),"",N193&amp;"|"&amp;UPPER(TRIM(E193&amp;"")))</f>
        <v/>
      </c>
      <c r="P193" s="9" t="n">
        <f aca="false">IF(O193="",0,IFERROR(MATCH(O193,'Bank Statement'!$O$8:$O$507,0),0))</f>
        <v>0</v>
      </c>
      <c r="Q193" s="9" t="str">
        <f aca="false">IF(OR(N193="",P193&gt;0),"",N193&amp;"#"&amp;COUNTIFS($N$8:N193,N193,$P$8:P193,0))</f>
        <v/>
      </c>
      <c r="R193" s="9" t="n">
        <f aca="false">IF(Q193="",0,IFERROR(MATCH(Q193,'Bank Statement'!$Q$8:$Q$507,0),0))</f>
        <v>0</v>
      </c>
      <c r="S193" s="9" t="n">
        <f aca="false">IF(P193&gt;0,P193,R193)</f>
        <v>0</v>
      </c>
      <c r="T193" s="9" t="str">
        <f aca="false">IF(OR(S193=0,B193=""),"",INDEX('Bank Statement'!$B$8:$B$507,S193)-B193)</f>
        <v/>
      </c>
      <c r="U193" s="9" t="n">
        <f aca="false">IF(S193=0,0,IF(P193&gt;0,S193,IF(AND(ISNUMBER(T193),ABS(N(T193))&lt;=Setup!$C$11),S193,0)))</f>
        <v>0</v>
      </c>
      <c r="V193" s="9" t="str">
        <f aca="false">IF(AND(N193&lt;&gt;"",U193=0),IF(M193="OUT",1,2)*100000+ROW(),"")</f>
        <v/>
      </c>
      <c r="W193" s="9" t="n">
        <f aca="false">N(F193)+N(G193)</f>
        <v>0</v>
      </c>
    </row>
    <row r="194" customFormat="false" ht="15" hidden="false" customHeight="false" outlineLevel="0" collapsed="false">
      <c r="A194" s="37" t="str">
        <f aca="false">IF(M194="","",ROW()-7)</f>
        <v/>
      </c>
      <c r="B194" s="70"/>
      <c r="C194" s="71"/>
      <c r="D194" s="72"/>
      <c r="E194" s="71"/>
      <c r="F194" s="73"/>
      <c r="G194" s="73"/>
      <c r="H194" s="42" t="str">
        <f aca="false">IF(M194="","",IF(U194&gt;0,"✔ Matched",IF(M194="OUT","Not yet presented","Not yet credited")))</f>
        <v/>
      </c>
      <c r="I194" s="43" t="str">
        <f aca="false">IF(N(U194)&gt;0,U194,"")</f>
        <v/>
      </c>
      <c r="J194" s="44" t="str">
        <f aca="false">IF(N(U194)&gt;0,T194,"")</f>
        <v/>
      </c>
      <c r="K194" s="45" t="str">
        <f aca="false">IF(AND(M194="",B194="",D194=""),"",IF(AND(N(F194)&gt;0,N(G194)&gt;0),"⚠ Fill deposit OR payment",IF(M194="","⚠ Enter amount",IF(B194="","⚠ Enter date",IF(AND(Setup!$C$8&lt;&gt;"",B194&gt;Setup!$C$8),"⚠ Date after period",IF(AND(O194&lt;&gt;"",COUNTIF($O$8:$O$507,O194)&gt;1),"⚠ Cheque no. used twice","✔"))))))</f>
        <v/>
      </c>
      <c r="M194" s="9" t="str">
        <f aca="false">IF(N(F194)&gt;0,"IN",IF(N(G194)&gt;0,"OUT",""))</f>
        <v/>
      </c>
      <c r="N194" s="9" t="str">
        <f aca="false">IF(M194="","",M194&amp;"|"&amp;TEXT(ROUND(N(F194)+N(G194),2),"0.00"))</f>
        <v/>
      </c>
      <c r="O194" s="9" t="str">
        <f aca="false">IF(OR(N194="",TRIM(E194&amp;"")=""),"",N194&amp;"|"&amp;UPPER(TRIM(E194&amp;"")))</f>
        <v/>
      </c>
      <c r="P194" s="9" t="n">
        <f aca="false">IF(O194="",0,IFERROR(MATCH(O194,'Bank Statement'!$O$8:$O$507,0),0))</f>
        <v>0</v>
      </c>
      <c r="Q194" s="9" t="str">
        <f aca="false">IF(OR(N194="",P194&gt;0),"",N194&amp;"#"&amp;COUNTIFS($N$8:N194,N194,$P$8:P194,0))</f>
        <v/>
      </c>
      <c r="R194" s="9" t="n">
        <f aca="false">IF(Q194="",0,IFERROR(MATCH(Q194,'Bank Statement'!$Q$8:$Q$507,0),0))</f>
        <v>0</v>
      </c>
      <c r="S194" s="9" t="n">
        <f aca="false">IF(P194&gt;0,P194,R194)</f>
        <v>0</v>
      </c>
      <c r="T194" s="9" t="str">
        <f aca="false">IF(OR(S194=0,B194=""),"",INDEX('Bank Statement'!$B$8:$B$507,S194)-B194)</f>
        <v/>
      </c>
      <c r="U194" s="9" t="n">
        <f aca="false">IF(S194=0,0,IF(P194&gt;0,S194,IF(AND(ISNUMBER(T194),ABS(N(T194))&lt;=Setup!$C$11),S194,0)))</f>
        <v>0</v>
      </c>
      <c r="V194" s="9" t="str">
        <f aca="false">IF(AND(N194&lt;&gt;"",U194=0),IF(M194="OUT",1,2)*100000+ROW(),"")</f>
        <v/>
      </c>
      <c r="W194" s="9" t="n">
        <f aca="false">N(F194)+N(G194)</f>
        <v>0</v>
      </c>
    </row>
    <row r="195" customFormat="false" ht="15" hidden="false" customHeight="false" outlineLevel="0" collapsed="false">
      <c r="A195" s="37" t="str">
        <f aca="false">IF(M195="","",ROW()-7)</f>
        <v/>
      </c>
      <c r="B195" s="70"/>
      <c r="C195" s="71"/>
      <c r="D195" s="72"/>
      <c r="E195" s="71"/>
      <c r="F195" s="73"/>
      <c r="G195" s="73"/>
      <c r="H195" s="42" t="str">
        <f aca="false">IF(M195="","",IF(U195&gt;0,"✔ Matched",IF(M195="OUT","Not yet presented","Not yet credited")))</f>
        <v/>
      </c>
      <c r="I195" s="43" t="str">
        <f aca="false">IF(N(U195)&gt;0,U195,"")</f>
        <v/>
      </c>
      <c r="J195" s="44" t="str">
        <f aca="false">IF(N(U195)&gt;0,T195,"")</f>
        <v/>
      </c>
      <c r="K195" s="45" t="str">
        <f aca="false">IF(AND(M195="",B195="",D195=""),"",IF(AND(N(F195)&gt;0,N(G195)&gt;0),"⚠ Fill deposit OR payment",IF(M195="","⚠ Enter amount",IF(B195="","⚠ Enter date",IF(AND(Setup!$C$8&lt;&gt;"",B195&gt;Setup!$C$8),"⚠ Date after period",IF(AND(O195&lt;&gt;"",COUNTIF($O$8:$O$507,O195)&gt;1),"⚠ Cheque no. used twice","✔"))))))</f>
        <v/>
      </c>
      <c r="M195" s="9" t="str">
        <f aca="false">IF(N(F195)&gt;0,"IN",IF(N(G195)&gt;0,"OUT",""))</f>
        <v/>
      </c>
      <c r="N195" s="9" t="str">
        <f aca="false">IF(M195="","",M195&amp;"|"&amp;TEXT(ROUND(N(F195)+N(G195),2),"0.00"))</f>
        <v/>
      </c>
      <c r="O195" s="9" t="str">
        <f aca="false">IF(OR(N195="",TRIM(E195&amp;"")=""),"",N195&amp;"|"&amp;UPPER(TRIM(E195&amp;"")))</f>
        <v/>
      </c>
      <c r="P195" s="9" t="n">
        <f aca="false">IF(O195="",0,IFERROR(MATCH(O195,'Bank Statement'!$O$8:$O$507,0),0))</f>
        <v>0</v>
      </c>
      <c r="Q195" s="9" t="str">
        <f aca="false">IF(OR(N195="",P195&gt;0),"",N195&amp;"#"&amp;COUNTIFS($N$8:N195,N195,$P$8:P195,0))</f>
        <v/>
      </c>
      <c r="R195" s="9" t="n">
        <f aca="false">IF(Q195="",0,IFERROR(MATCH(Q195,'Bank Statement'!$Q$8:$Q$507,0),0))</f>
        <v>0</v>
      </c>
      <c r="S195" s="9" t="n">
        <f aca="false">IF(P195&gt;0,P195,R195)</f>
        <v>0</v>
      </c>
      <c r="T195" s="9" t="str">
        <f aca="false">IF(OR(S195=0,B195=""),"",INDEX('Bank Statement'!$B$8:$B$507,S195)-B195)</f>
        <v/>
      </c>
      <c r="U195" s="9" t="n">
        <f aca="false">IF(S195=0,0,IF(P195&gt;0,S195,IF(AND(ISNUMBER(T195),ABS(N(T195))&lt;=Setup!$C$11),S195,0)))</f>
        <v>0</v>
      </c>
      <c r="V195" s="9" t="str">
        <f aca="false">IF(AND(N195&lt;&gt;"",U195=0),IF(M195="OUT",1,2)*100000+ROW(),"")</f>
        <v/>
      </c>
      <c r="W195" s="9" t="n">
        <f aca="false">N(F195)+N(G195)</f>
        <v>0</v>
      </c>
    </row>
    <row r="196" customFormat="false" ht="15" hidden="false" customHeight="false" outlineLevel="0" collapsed="false">
      <c r="A196" s="37" t="str">
        <f aca="false">IF(M196="","",ROW()-7)</f>
        <v/>
      </c>
      <c r="B196" s="70"/>
      <c r="C196" s="71"/>
      <c r="D196" s="72"/>
      <c r="E196" s="71"/>
      <c r="F196" s="73"/>
      <c r="G196" s="73"/>
      <c r="H196" s="42" t="str">
        <f aca="false">IF(M196="","",IF(U196&gt;0,"✔ Matched",IF(M196="OUT","Not yet presented","Not yet credited")))</f>
        <v/>
      </c>
      <c r="I196" s="43" t="str">
        <f aca="false">IF(N(U196)&gt;0,U196,"")</f>
        <v/>
      </c>
      <c r="J196" s="44" t="str">
        <f aca="false">IF(N(U196)&gt;0,T196,"")</f>
        <v/>
      </c>
      <c r="K196" s="45" t="str">
        <f aca="false">IF(AND(M196="",B196="",D196=""),"",IF(AND(N(F196)&gt;0,N(G196)&gt;0),"⚠ Fill deposit OR payment",IF(M196="","⚠ Enter amount",IF(B196="","⚠ Enter date",IF(AND(Setup!$C$8&lt;&gt;"",B196&gt;Setup!$C$8),"⚠ Date after period",IF(AND(O196&lt;&gt;"",COUNTIF($O$8:$O$507,O196)&gt;1),"⚠ Cheque no. used twice","✔"))))))</f>
        <v/>
      </c>
      <c r="M196" s="9" t="str">
        <f aca="false">IF(N(F196)&gt;0,"IN",IF(N(G196)&gt;0,"OUT",""))</f>
        <v/>
      </c>
      <c r="N196" s="9" t="str">
        <f aca="false">IF(M196="","",M196&amp;"|"&amp;TEXT(ROUND(N(F196)+N(G196),2),"0.00"))</f>
        <v/>
      </c>
      <c r="O196" s="9" t="str">
        <f aca="false">IF(OR(N196="",TRIM(E196&amp;"")=""),"",N196&amp;"|"&amp;UPPER(TRIM(E196&amp;"")))</f>
        <v/>
      </c>
      <c r="P196" s="9" t="n">
        <f aca="false">IF(O196="",0,IFERROR(MATCH(O196,'Bank Statement'!$O$8:$O$507,0),0))</f>
        <v>0</v>
      </c>
      <c r="Q196" s="9" t="str">
        <f aca="false">IF(OR(N196="",P196&gt;0),"",N196&amp;"#"&amp;COUNTIFS($N$8:N196,N196,$P$8:P196,0))</f>
        <v/>
      </c>
      <c r="R196" s="9" t="n">
        <f aca="false">IF(Q196="",0,IFERROR(MATCH(Q196,'Bank Statement'!$Q$8:$Q$507,0),0))</f>
        <v>0</v>
      </c>
      <c r="S196" s="9" t="n">
        <f aca="false">IF(P196&gt;0,P196,R196)</f>
        <v>0</v>
      </c>
      <c r="T196" s="9" t="str">
        <f aca="false">IF(OR(S196=0,B196=""),"",INDEX('Bank Statement'!$B$8:$B$507,S196)-B196)</f>
        <v/>
      </c>
      <c r="U196" s="9" t="n">
        <f aca="false">IF(S196=0,0,IF(P196&gt;0,S196,IF(AND(ISNUMBER(T196),ABS(N(T196))&lt;=Setup!$C$11),S196,0)))</f>
        <v>0</v>
      </c>
      <c r="V196" s="9" t="str">
        <f aca="false">IF(AND(N196&lt;&gt;"",U196=0),IF(M196="OUT",1,2)*100000+ROW(),"")</f>
        <v/>
      </c>
      <c r="W196" s="9" t="n">
        <f aca="false">N(F196)+N(G196)</f>
        <v>0</v>
      </c>
    </row>
    <row r="197" customFormat="false" ht="15" hidden="false" customHeight="false" outlineLevel="0" collapsed="false">
      <c r="A197" s="37" t="str">
        <f aca="false">IF(M197="","",ROW()-7)</f>
        <v/>
      </c>
      <c r="B197" s="70"/>
      <c r="C197" s="71"/>
      <c r="D197" s="72"/>
      <c r="E197" s="71"/>
      <c r="F197" s="73"/>
      <c r="G197" s="73"/>
      <c r="H197" s="42" t="str">
        <f aca="false">IF(M197="","",IF(U197&gt;0,"✔ Matched",IF(M197="OUT","Not yet presented","Not yet credited")))</f>
        <v/>
      </c>
      <c r="I197" s="43" t="str">
        <f aca="false">IF(N(U197)&gt;0,U197,"")</f>
        <v/>
      </c>
      <c r="J197" s="44" t="str">
        <f aca="false">IF(N(U197)&gt;0,T197,"")</f>
        <v/>
      </c>
      <c r="K197" s="45" t="str">
        <f aca="false">IF(AND(M197="",B197="",D197=""),"",IF(AND(N(F197)&gt;0,N(G197)&gt;0),"⚠ Fill deposit OR payment",IF(M197="","⚠ Enter amount",IF(B197="","⚠ Enter date",IF(AND(Setup!$C$8&lt;&gt;"",B197&gt;Setup!$C$8),"⚠ Date after period",IF(AND(O197&lt;&gt;"",COUNTIF($O$8:$O$507,O197)&gt;1),"⚠ Cheque no. used twice","✔"))))))</f>
        <v/>
      </c>
      <c r="M197" s="9" t="str">
        <f aca="false">IF(N(F197)&gt;0,"IN",IF(N(G197)&gt;0,"OUT",""))</f>
        <v/>
      </c>
      <c r="N197" s="9" t="str">
        <f aca="false">IF(M197="","",M197&amp;"|"&amp;TEXT(ROUND(N(F197)+N(G197),2),"0.00"))</f>
        <v/>
      </c>
      <c r="O197" s="9" t="str">
        <f aca="false">IF(OR(N197="",TRIM(E197&amp;"")=""),"",N197&amp;"|"&amp;UPPER(TRIM(E197&amp;"")))</f>
        <v/>
      </c>
      <c r="P197" s="9" t="n">
        <f aca="false">IF(O197="",0,IFERROR(MATCH(O197,'Bank Statement'!$O$8:$O$507,0),0))</f>
        <v>0</v>
      </c>
      <c r="Q197" s="9" t="str">
        <f aca="false">IF(OR(N197="",P197&gt;0),"",N197&amp;"#"&amp;COUNTIFS($N$8:N197,N197,$P$8:P197,0))</f>
        <v/>
      </c>
      <c r="R197" s="9" t="n">
        <f aca="false">IF(Q197="",0,IFERROR(MATCH(Q197,'Bank Statement'!$Q$8:$Q$507,0),0))</f>
        <v>0</v>
      </c>
      <c r="S197" s="9" t="n">
        <f aca="false">IF(P197&gt;0,P197,R197)</f>
        <v>0</v>
      </c>
      <c r="T197" s="9" t="str">
        <f aca="false">IF(OR(S197=0,B197=""),"",INDEX('Bank Statement'!$B$8:$B$507,S197)-B197)</f>
        <v/>
      </c>
      <c r="U197" s="9" t="n">
        <f aca="false">IF(S197=0,0,IF(P197&gt;0,S197,IF(AND(ISNUMBER(T197),ABS(N(T197))&lt;=Setup!$C$11),S197,0)))</f>
        <v>0</v>
      </c>
      <c r="V197" s="9" t="str">
        <f aca="false">IF(AND(N197&lt;&gt;"",U197=0),IF(M197="OUT",1,2)*100000+ROW(),"")</f>
        <v/>
      </c>
      <c r="W197" s="9" t="n">
        <f aca="false">N(F197)+N(G197)</f>
        <v>0</v>
      </c>
    </row>
    <row r="198" customFormat="false" ht="15" hidden="false" customHeight="false" outlineLevel="0" collapsed="false">
      <c r="A198" s="37" t="str">
        <f aca="false">IF(M198="","",ROW()-7)</f>
        <v/>
      </c>
      <c r="B198" s="70"/>
      <c r="C198" s="71"/>
      <c r="D198" s="72"/>
      <c r="E198" s="71"/>
      <c r="F198" s="73"/>
      <c r="G198" s="73"/>
      <c r="H198" s="42" t="str">
        <f aca="false">IF(M198="","",IF(U198&gt;0,"✔ Matched",IF(M198="OUT","Not yet presented","Not yet credited")))</f>
        <v/>
      </c>
      <c r="I198" s="43" t="str">
        <f aca="false">IF(N(U198)&gt;0,U198,"")</f>
        <v/>
      </c>
      <c r="J198" s="44" t="str">
        <f aca="false">IF(N(U198)&gt;0,T198,"")</f>
        <v/>
      </c>
      <c r="K198" s="45" t="str">
        <f aca="false">IF(AND(M198="",B198="",D198=""),"",IF(AND(N(F198)&gt;0,N(G198)&gt;0),"⚠ Fill deposit OR payment",IF(M198="","⚠ Enter amount",IF(B198="","⚠ Enter date",IF(AND(Setup!$C$8&lt;&gt;"",B198&gt;Setup!$C$8),"⚠ Date after period",IF(AND(O198&lt;&gt;"",COUNTIF($O$8:$O$507,O198)&gt;1),"⚠ Cheque no. used twice","✔"))))))</f>
        <v/>
      </c>
      <c r="M198" s="9" t="str">
        <f aca="false">IF(N(F198)&gt;0,"IN",IF(N(G198)&gt;0,"OUT",""))</f>
        <v/>
      </c>
      <c r="N198" s="9" t="str">
        <f aca="false">IF(M198="","",M198&amp;"|"&amp;TEXT(ROUND(N(F198)+N(G198),2),"0.00"))</f>
        <v/>
      </c>
      <c r="O198" s="9" t="str">
        <f aca="false">IF(OR(N198="",TRIM(E198&amp;"")=""),"",N198&amp;"|"&amp;UPPER(TRIM(E198&amp;"")))</f>
        <v/>
      </c>
      <c r="P198" s="9" t="n">
        <f aca="false">IF(O198="",0,IFERROR(MATCH(O198,'Bank Statement'!$O$8:$O$507,0),0))</f>
        <v>0</v>
      </c>
      <c r="Q198" s="9" t="str">
        <f aca="false">IF(OR(N198="",P198&gt;0),"",N198&amp;"#"&amp;COUNTIFS($N$8:N198,N198,$P$8:P198,0))</f>
        <v/>
      </c>
      <c r="R198" s="9" t="n">
        <f aca="false">IF(Q198="",0,IFERROR(MATCH(Q198,'Bank Statement'!$Q$8:$Q$507,0),0))</f>
        <v>0</v>
      </c>
      <c r="S198" s="9" t="n">
        <f aca="false">IF(P198&gt;0,P198,R198)</f>
        <v>0</v>
      </c>
      <c r="T198" s="9" t="str">
        <f aca="false">IF(OR(S198=0,B198=""),"",INDEX('Bank Statement'!$B$8:$B$507,S198)-B198)</f>
        <v/>
      </c>
      <c r="U198" s="9" t="n">
        <f aca="false">IF(S198=0,0,IF(P198&gt;0,S198,IF(AND(ISNUMBER(T198),ABS(N(T198))&lt;=Setup!$C$11),S198,0)))</f>
        <v>0</v>
      </c>
      <c r="V198" s="9" t="str">
        <f aca="false">IF(AND(N198&lt;&gt;"",U198=0),IF(M198="OUT",1,2)*100000+ROW(),"")</f>
        <v/>
      </c>
      <c r="W198" s="9" t="n">
        <f aca="false">N(F198)+N(G198)</f>
        <v>0</v>
      </c>
    </row>
    <row r="199" customFormat="false" ht="15" hidden="false" customHeight="false" outlineLevel="0" collapsed="false">
      <c r="A199" s="37" t="str">
        <f aca="false">IF(M199="","",ROW()-7)</f>
        <v/>
      </c>
      <c r="B199" s="70"/>
      <c r="C199" s="71"/>
      <c r="D199" s="72"/>
      <c r="E199" s="71"/>
      <c r="F199" s="73"/>
      <c r="G199" s="73"/>
      <c r="H199" s="42" t="str">
        <f aca="false">IF(M199="","",IF(U199&gt;0,"✔ Matched",IF(M199="OUT","Not yet presented","Not yet credited")))</f>
        <v/>
      </c>
      <c r="I199" s="43" t="str">
        <f aca="false">IF(N(U199)&gt;0,U199,"")</f>
        <v/>
      </c>
      <c r="J199" s="44" t="str">
        <f aca="false">IF(N(U199)&gt;0,T199,"")</f>
        <v/>
      </c>
      <c r="K199" s="45" t="str">
        <f aca="false">IF(AND(M199="",B199="",D199=""),"",IF(AND(N(F199)&gt;0,N(G199)&gt;0),"⚠ Fill deposit OR payment",IF(M199="","⚠ Enter amount",IF(B199="","⚠ Enter date",IF(AND(Setup!$C$8&lt;&gt;"",B199&gt;Setup!$C$8),"⚠ Date after period",IF(AND(O199&lt;&gt;"",COUNTIF($O$8:$O$507,O199)&gt;1),"⚠ Cheque no. used twice","✔"))))))</f>
        <v/>
      </c>
      <c r="M199" s="9" t="str">
        <f aca="false">IF(N(F199)&gt;0,"IN",IF(N(G199)&gt;0,"OUT",""))</f>
        <v/>
      </c>
      <c r="N199" s="9" t="str">
        <f aca="false">IF(M199="","",M199&amp;"|"&amp;TEXT(ROUND(N(F199)+N(G199),2),"0.00"))</f>
        <v/>
      </c>
      <c r="O199" s="9" t="str">
        <f aca="false">IF(OR(N199="",TRIM(E199&amp;"")=""),"",N199&amp;"|"&amp;UPPER(TRIM(E199&amp;"")))</f>
        <v/>
      </c>
      <c r="P199" s="9" t="n">
        <f aca="false">IF(O199="",0,IFERROR(MATCH(O199,'Bank Statement'!$O$8:$O$507,0),0))</f>
        <v>0</v>
      </c>
      <c r="Q199" s="9" t="str">
        <f aca="false">IF(OR(N199="",P199&gt;0),"",N199&amp;"#"&amp;COUNTIFS($N$8:N199,N199,$P$8:P199,0))</f>
        <v/>
      </c>
      <c r="R199" s="9" t="n">
        <f aca="false">IF(Q199="",0,IFERROR(MATCH(Q199,'Bank Statement'!$Q$8:$Q$507,0),0))</f>
        <v>0</v>
      </c>
      <c r="S199" s="9" t="n">
        <f aca="false">IF(P199&gt;0,P199,R199)</f>
        <v>0</v>
      </c>
      <c r="T199" s="9" t="str">
        <f aca="false">IF(OR(S199=0,B199=""),"",INDEX('Bank Statement'!$B$8:$B$507,S199)-B199)</f>
        <v/>
      </c>
      <c r="U199" s="9" t="n">
        <f aca="false">IF(S199=0,0,IF(P199&gt;0,S199,IF(AND(ISNUMBER(T199),ABS(N(T199))&lt;=Setup!$C$11),S199,0)))</f>
        <v>0</v>
      </c>
      <c r="V199" s="9" t="str">
        <f aca="false">IF(AND(N199&lt;&gt;"",U199=0),IF(M199="OUT",1,2)*100000+ROW(),"")</f>
        <v/>
      </c>
      <c r="W199" s="9" t="n">
        <f aca="false">N(F199)+N(G199)</f>
        <v>0</v>
      </c>
    </row>
    <row r="200" customFormat="false" ht="15" hidden="false" customHeight="false" outlineLevel="0" collapsed="false">
      <c r="A200" s="37" t="str">
        <f aca="false">IF(M200="","",ROW()-7)</f>
        <v/>
      </c>
      <c r="B200" s="70"/>
      <c r="C200" s="71"/>
      <c r="D200" s="72"/>
      <c r="E200" s="71"/>
      <c r="F200" s="73"/>
      <c r="G200" s="73"/>
      <c r="H200" s="42" t="str">
        <f aca="false">IF(M200="","",IF(U200&gt;0,"✔ Matched",IF(M200="OUT","Not yet presented","Not yet credited")))</f>
        <v/>
      </c>
      <c r="I200" s="43" t="str">
        <f aca="false">IF(N(U200)&gt;0,U200,"")</f>
        <v/>
      </c>
      <c r="J200" s="44" t="str">
        <f aca="false">IF(N(U200)&gt;0,T200,"")</f>
        <v/>
      </c>
      <c r="K200" s="45" t="str">
        <f aca="false">IF(AND(M200="",B200="",D200=""),"",IF(AND(N(F200)&gt;0,N(G200)&gt;0),"⚠ Fill deposit OR payment",IF(M200="","⚠ Enter amount",IF(B200="","⚠ Enter date",IF(AND(Setup!$C$8&lt;&gt;"",B200&gt;Setup!$C$8),"⚠ Date after period",IF(AND(O200&lt;&gt;"",COUNTIF($O$8:$O$507,O200)&gt;1),"⚠ Cheque no. used twice","✔"))))))</f>
        <v/>
      </c>
      <c r="M200" s="9" t="str">
        <f aca="false">IF(N(F200)&gt;0,"IN",IF(N(G200)&gt;0,"OUT",""))</f>
        <v/>
      </c>
      <c r="N200" s="9" t="str">
        <f aca="false">IF(M200="","",M200&amp;"|"&amp;TEXT(ROUND(N(F200)+N(G200),2),"0.00"))</f>
        <v/>
      </c>
      <c r="O200" s="9" t="str">
        <f aca="false">IF(OR(N200="",TRIM(E200&amp;"")=""),"",N200&amp;"|"&amp;UPPER(TRIM(E200&amp;"")))</f>
        <v/>
      </c>
      <c r="P200" s="9" t="n">
        <f aca="false">IF(O200="",0,IFERROR(MATCH(O200,'Bank Statement'!$O$8:$O$507,0),0))</f>
        <v>0</v>
      </c>
      <c r="Q200" s="9" t="str">
        <f aca="false">IF(OR(N200="",P200&gt;0),"",N200&amp;"#"&amp;COUNTIFS($N$8:N200,N200,$P$8:P200,0))</f>
        <v/>
      </c>
      <c r="R200" s="9" t="n">
        <f aca="false">IF(Q200="",0,IFERROR(MATCH(Q200,'Bank Statement'!$Q$8:$Q$507,0),0))</f>
        <v>0</v>
      </c>
      <c r="S200" s="9" t="n">
        <f aca="false">IF(P200&gt;0,P200,R200)</f>
        <v>0</v>
      </c>
      <c r="T200" s="9" t="str">
        <f aca="false">IF(OR(S200=0,B200=""),"",INDEX('Bank Statement'!$B$8:$B$507,S200)-B200)</f>
        <v/>
      </c>
      <c r="U200" s="9" t="n">
        <f aca="false">IF(S200=0,0,IF(P200&gt;0,S200,IF(AND(ISNUMBER(T200),ABS(N(T200))&lt;=Setup!$C$11),S200,0)))</f>
        <v>0</v>
      </c>
      <c r="V200" s="9" t="str">
        <f aca="false">IF(AND(N200&lt;&gt;"",U200=0),IF(M200="OUT",1,2)*100000+ROW(),"")</f>
        <v/>
      </c>
      <c r="W200" s="9" t="n">
        <f aca="false">N(F200)+N(G200)</f>
        <v>0</v>
      </c>
    </row>
    <row r="201" customFormat="false" ht="15" hidden="false" customHeight="false" outlineLevel="0" collapsed="false">
      <c r="A201" s="37" t="str">
        <f aca="false">IF(M201="","",ROW()-7)</f>
        <v/>
      </c>
      <c r="B201" s="70"/>
      <c r="C201" s="71"/>
      <c r="D201" s="72"/>
      <c r="E201" s="71"/>
      <c r="F201" s="73"/>
      <c r="G201" s="73"/>
      <c r="H201" s="42" t="str">
        <f aca="false">IF(M201="","",IF(U201&gt;0,"✔ Matched",IF(M201="OUT","Not yet presented","Not yet credited")))</f>
        <v/>
      </c>
      <c r="I201" s="43" t="str">
        <f aca="false">IF(N(U201)&gt;0,U201,"")</f>
        <v/>
      </c>
      <c r="J201" s="44" t="str">
        <f aca="false">IF(N(U201)&gt;0,T201,"")</f>
        <v/>
      </c>
      <c r="K201" s="45" t="str">
        <f aca="false">IF(AND(M201="",B201="",D201=""),"",IF(AND(N(F201)&gt;0,N(G201)&gt;0),"⚠ Fill deposit OR payment",IF(M201="","⚠ Enter amount",IF(B201="","⚠ Enter date",IF(AND(Setup!$C$8&lt;&gt;"",B201&gt;Setup!$C$8),"⚠ Date after period",IF(AND(O201&lt;&gt;"",COUNTIF($O$8:$O$507,O201)&gt;1),"⚠ Cheque no. used twice","✔"))))))</f>
        <v/>
      </c>
      <c r="M201" s="9" t="str">
        <f aca="false">IF(N(F201)&gt;0,"IN",IF(N(G201)&gt;0,"OUT",""))</f>
        <v/>
      </c>
      <c r="N201" s="9" t="str">
        <f aca="false">IF(M201="","",M201&amp;"|"&amp;TEXT(ROUND(N(F201)+N(G201),2),"0.00"))</f>
        <v/>
      </c>
      <c r="O201" s="9" t="str">
        <f aca="false">IF(OR(N201="",TRIM(E201&amp;"")=""),"",N201&amp;"|"&amp;UPPER(TRIM(E201&amp;"")))</f>
        <v/>
      </c>
      <c r="P201" s="9" t="n">
        <f aca="false">IF(O201="",0,IFERROR(MATCH(O201,'Bank Statement'!$O$8:$O$507,0),0))</f>
        <v>0</v>
      </c>
      <c r="Q201" s="9" t="str">
        <f aca="false">IF(OR(N201="",P201&gt;0),"",N201&amp;"#"&amp;COUNTIFS($N$8:N201,N201,$P$8:P201,0))</f>
        <v/>
      </c>
      <c r="R201" s="9" t="n">
        <f aca="false">IF(Q201="",0,IFERROR(MATCH(Q201,'Bank Statement'!$Q$8:$Q$507,0),0))</f>
        <v>0</v>
      </c>
      <c r="S201" s="9" t="n">
        <f aca="false">IF(P201&gt;0,P201,R201)</f>
        <v>0</v>
      </c>
      <c r="T201" s="9" t="str">
        <f aca="false">IF(OR(S201=0,B201=""),"",INDEX('Bank Statement'!$B$8:$B$507,S201)-B201)</f>
        <v/>
      </c>
      <c r="U201" s="9" t="n">
        <f aca="false">IF(S201=0,0,IF(P201&gt;0,S201,IF(AND(ISNUMBER(T201),ABS(N(T201))&lt;=Setup!$C$11),S201,0)))</f>
        <v>0</v>
      </c>
      <c r="V201" s="9" t="str">
        <f aca="false">IF(AND(N201&lt;&gt;"",U201=0),IF(M201="OUT",1,2)*100000+ROW(),"")</f>
        <v/>
      </c>
      <c r="W201" s="9" t="n">
        <f aca="false">N(F201)+N(G201)</f>
        <v>0</v>
      </c>
    </row>
    <row r="202" customFormat="false" ht="15" hidden="false" customHeight="false" outlineLevel="0" collapsed="false">
      <c r="A202" s="37" t="str">
        <f aca="false">IF(M202="","",ROW()-7)</f>
        <v/>
      </c>
      <c r="B202" s="70"/>
      <c r="C202" s="71"/>
      <c r="D202" s="72"/>
      <c r="E202" s="71"/>
      <c r="F202" s="73"/>
      <c r="G202" s="73"/>
      <c r="H202" s="42" t="str">
        <f aca="false">IF(M202="","",IF(U202&gt;0,"✔ Matched",IF(M202="OUT","Not yet presented","Not yet credited")))</f>
        <v/>
      </c>
      <c r="I202" s="43" t="str">
        <f aca="false">IF(N(U202)&gt;0,U202,"")</f>
        <v/>
      </c>
      <c r="J202" s="44" t="str">
        <f aca="false">IF(N(U202)&gt;0,T202,"")</f>
        <v/>
      </c>
      <c r="K202" s="45" t="str">
        <f aca="false">IF(AND(M202="",B202="",D202=""),"",IF(AND(N(F202)&gt;0,N(G202)&gt;0),"⚠ Fill deposit OR payment",IF(M202="","⚠ Enter amount",IF(B202="","⚠ Enter date",IF(AND(Setup!$C$8&lt;&gt;"",B202&gt;Setup!$C$8),"⚠ Date after period",IF(AND(O202&lt;&gt;"",COUNTIF($O$8:$O$507,O202)&gt;1),"⚠ Cheque no. used twice","✔"))))))</f>
        <v/>
      </c>
      <c r="M202" s="9" t="str">
        <f aca="false">IF(N(F202)&gt;0,"IN",IF(N(G202)&gt;0,"OUT",""))</f>
        <v/>
      </c>
      <c r="N202" s="9" t="str">
        <f aca="false">IF(M202="","",M202&amp;"|"&amp;TEXT(ROUND(N(F202)+N(G202),2),"0.00"))</f>
        <v/>
      </c>
      <c r="O202" s="9" t="str">
        <f aca="false">IF(OR(N202="",TRIM(E202&amp;"")=""),"",N202&amp;"|"&amp;UPPER(TRIM(E202&amp;"")))</f>
        <v/>
      </c>
      <c r="P202" s="9" t="n">
        <f aca="false">IF(O202="",0,IFERROR(MATCH(O202,'Bank Statement'!$O$8:$O$507,0),0))</f>
        <v>0</v>
      </c>
      <c r="Q202" s="9" t="str">
        <f aca="false">IF(OR(N202="",P202&gt;0),"",N202&amp;"#"&amp;COUNTIFS($N$8:N202,N202,$P$8:P202,0))</f>
        <v/>
      </c>
      <c r="R202" s="9" t="n">
        <f aca="false">IF(Q202="",0,IFERROR(MATCH(Q202,'Bank Statement'!$Q$8:$Q$507,0),0))</f>
        <v>0</v>
      </c>
      <c r="S202" s="9" t="n">
        <f aca="false">IF(P202&gt;0,P202,R202)</f>
        <v>0</v>
      </c>
      <c r="T202" s="9" t="str">
        <f aca="false">IF(OR(S202=0,B202=""),"",INDEX('Bank Statement'!$B$8:$B$507,S202)-B202)</f>
        <v/>
      </c>
      <c r="U202" s="9" t="n">
        <f aca="false">IF(S202=0,0,IF(P202&gt;0,S202,IF(AND(ISNUMBER(T202),ABS(N(T202))&lt;=Setup!$C$11),S202,0)))</f>
        <v>0</v>
      </c>
      <c r="V202" s="9" t="str">
        <f aca="false">IF(AND(N202&lt;&gt;"",U202=0),IF(M202="OUT",1,2)*100000+ROW(),"")</f>
        <v/>
      </c>
      <c r="W202" s="9" t="n">
        <f aca="false">N(F202)+N(G202)</f>
        <v>0</v>
      </c>
    </row>
    <row r="203" customFormat="false" ht="15" hidden="false" customHeight="false" outlineLevel="0" collapsed="false">
      <c r="A203" s="37" t="str">
        <f aca="false">IF(M203="","",ROW()-7)</f>
        <v/>
      </c>
      <c r="B203" s="70"/>
      <c r="C203" s="71"/>
      <c r="D203" s="72"/>
      <c r="E203" s="71"/>
      <c r="F203" s="73"/>
      <c r="G203" s="73"/>
      <c r="H203" s="42" t="str">
        <f aca="false">IF(M203="","",IF(U203&gt;0,"✔ Matched",IF(M203="OUT","Not yet presented","Not yet credited")))</f>
        <v/>
      </c>
      <c r="I203" s="43" t="str">
        <f aca="false">IF(N(U203)&gt;0,U203,"")</f>
        <v/>
      </c>
      <c r="J203" s="44" t="str">
        <f aca="false">IF(N(U203)&gt;0,T203,"")</f>
        <v/>
      </c>
      <c r="K203" s="45" t="str">
        <f aca="false">IF(AND(M203="",B203="",D203=""),"",IF(AND(N(F203)&gt;0,N(G203)&gt;0),"⚠ Fill deposit OR payment",IF(M203="","⚠ Enter amount",IF(B203="","⚠ Enter date",IF(AND(Setup!$C$8&lt;&gt;"",B203&gt;Setup!$C$8),"⚠ Date after period",IF(AND(O203&lt;&gt;"",COUNTIF($O$8:$O$507,O203)&gt;1),"⚠ Cheque no. used twice","✔"))))))</f>
        <v/>
      </c>
      <c r="M203" s="9" t="str">
        <f aca="false">IF(N(F203)&gt;0,"IN",IF(N(G203)&gt;0,"OUT",""))</f>
        <v/>
      </c>
      <c r="N203" s="9" t="str">
        <f aca="false">IF(M203="","",M203&amp;"|"&amp;TEXT(ROUND(N(F203)+N(G203),2),"0.00"))</f>
        <v/>
      </c>
      <c r="O203" s="9" t="str">
        <f aca="false">IF(OR(N203="",TRIM(E203&amp;"")=""),"",N203&amp;"|"&amp;UPPER(TRIM(E203&amp;"")))</f>
        <v/>
      </c>
      <c r="P203" s="9" t="n">
        <f aca="false">IF(O203="",0,IFERROR(MATCH(O203,'Bank Statement'!$O$8:$O$507,0),0))</f>
        <v>0</v>
      </c>
      <c r="Q203" s="9" t="str">
        <f aca="false">IF(OR(N203="",P203&gt;0),"",N203&amp;"#"&amp;COUNTIFS($N$8:N203,N203,$P$8:P203,0))</f>
        <v/>
      </c>
      <c r="R203" s="9" t="n">
        <f aca="false">IF(Q203="",0,IFERROR(MATCH(Q203,'Bank Statement'!$Q$8:$Q$507,0),0))</f>
        <v>0</v>
      </c>
      <c r="S203" s="9" t="n">
        <f aca="false">IF(P203&gt;0,P203,R203)</f>
        <v>0</v>
      </c>
      <c r="T203" s="9" t="str">
        <f aca="false">IF(OR(S203=0,B203=""),"",INDEX('Bank Statement'!$B$8:$B$507,S203)-B203)</f>
        <v/>
      </c>
      <c r="U203" s="9" t="n">
        <f aca="false">IF(S203=0,0,IF(P203&gt;0,S203,IF(AND(ISNUMBER(T203),ABS(N(T203))&lt;=Setup!$C$11),S203,0)))</f>
        <v>0</v>
      </c>
      <c r="V203" s="9" t="str">
        <f aca="false">IF(AND(N203&lt;&gt;"",U203=0),IF(M203="OUT",1,2)*100000+ROW(),"")</f>
        <v/>
      </c>
      <c r="W203" s="9" t="n">
        <f aca="false">N(F203)+N(G203)</f>
        <v>0</v>
      </c>
    </row>
    <row r="204" customFormat="false" ht="15" hidden="false" customHeight="false" outlineLevel="0" collapsed="false">
      <c r="A204" s="37" t="str">
        <f aca="false">IF(M204="","",ROW()-7)</f>
        <v/>
      </c>
      <c r="B204" s="70"/>
      <c r="C204" s="71"/>
      <c r="D204" s="72"/>
      <c r="E204" s="71"/>
      <c r="F204" s="73"/>
      <c r="G204" s="73"/>
      <c r="H204" s="42" t="str">
        <f aca="false">IF(M204="","",IF(U204&gt;0,"✔ Matched",IF(M204="OUT","Not yet presented","Not yet credited")))</f>
        <v/>
      </c>
      <c r="I204" s="43" t="str">
        <f aca="false">IF(N(U204)&gt;0,U204,"")</f>
        <v/>
      </c>
      <c r="J204" s="44" t="str">
        <f aca="false">IF(N(U204)&gt;0,T204,"")</f>
        <v/>
      </c>
      <c r="K204" s="45" t="str">
        <f aca="false">IF(AND(M204="",B204="",D204=""),"",IF(AND(N(F204)&gt;0,N(G204)&gt;0),"⚠ Fill deposit OR payment",IF(M204="","⚠ Enter amount",IF(B204="","⚠ Enter date",IF(AND(Setup!$C$8&lt;&gt;"",B204&gt;Setup!$C$8),"⚠ Date after period",IF(AND(O204&lt;&gt;"",COUNTIF($O$8:$O$507,O204)&gt;1),"⚠ Cheque no. used twice","✔"))))))</f>
        <v/>
      </c>
      <c r="M204" s="9" t="str">
        <f aca="false">IF(N(F204)&gt;0,"IN",IF(N(G204)&gt;0,"OUT",""))</f>
        <v/>
      </c>
      <c r="N204" s="9" t="str">
        <f aca="false">IF(M204="","",M204&amp;"|"&amp;TEXT(ROUND(N(F204)+N(G204),2),"0.00"))</f>
        <v/>
      </c>
      <c r="O204" s="9" t="str">
        <f aca="false">IF(OR(N204="",TRIM(E204&amp;"")=""),"",N204&amp;"|"&amp;UPPER(TRIM(E204&amp;"")))</f>
        <v/>
      </c>
      <c r="P204" s="9" t="n">
        <f aca="false">IF(O204="",0,IFERROR(MATCH(O204,'Bank Statement'!$O$8:$O$507,0),0))</f>
        <v>0</v>
      </c>
      <c r="Q204" s="9" t="str">
        <f aca="false">IF(OR(N204="",P204&gt;0),"",N204&amp;"#"&amp;COUNTIFS($N$8:N204,N204,$P$8:P204,0))</f>
        <v/>
      </c>
      <c r="R204" s="9" t="n">
        <f aca="false">IF(Q204="",0,IFERROR(MATCH(Q204,'Bank Statement'!$Q$8:$Q$507,0),0))</f>
        <v>0</v>
      </c>
      <c r="S204" s="9" t="n">
        <f aca="false">IF(P204&gt;0,P204,R204)</f>
        <v>0</v>
      </c>
      <c r="T204" s="9" t="str">
        <f aca="false">IF(OR(S204=0,B204=""),"",INDEX('Bank Statement'!$B$8:$B$507,S204)-B204)</f>
        <v/>
      </c>
      <c r="U204" s="9" t="n">
        <f aca="false">IF(S204=0,0,IF(P204&gt;0,S204,IF(AND(ISNUMBER(T204),ABS(N(T204))&lt;=Setup!$C$11),S204,0)))</f>
        <v>0</v>
      </c>
      <c r="V204" s="9" t="str">
        <f aca="false">IF(AND(N204&lt;&gt;"",U204=0),IF(M204="OUT",1,2)*100000+ROW(),"")</f>
        <v/>
      </c>
      <c r="W204" s="9" t="n">
        <f aca="false">N(F204)+N(G204)</f>
        <v>0</v>
      </c>
    </row>
    <row r="205" customFormat="false" ht="15" hidden="false" customHeight="false" outlineLevel="0" collapsed="false">
      <c r="A205" s="37" t="str">
        <f aca="false">IF(M205="","",ROW()-7)</f>
        <v/>
      </c>
      <c r="B205" s="70"/>
      <c r="C205" s="71"/>
      <c r="D205" s="72"/>
      <c r="E205" s="71"/>
      <c r="F205" s="73"/>
      <c r="G205" s="73"/>
      <c r="H205" s="42" t="str">
        <f aca="false">IF(M205="","",IF(U205&gt;0,"✔ Matched",IF(M205="OUT","Not yet presented","Not yet credited")))</f>
        <v/>
      </c>
      <c r="I205" s="43" t="str">
        <f aca="false">IF(N(U205)&gt;0,U205,"")</f>
        <v/>
      </c>
      <c r="J205" s="44" t="str">
        <f aca="false">IF(N(U205)&gt;0,T205,"")</f>
        <v/>
      </c>
      <c r="K205" s="45" t="str">
        <f aca="false">IF(AND(M205="",B205="",D205=""),"",IF(AND(N(F205)&gt;0,N(G205)&gt;0),"⚠ Fill deposit OR payment",IF(M205="","⚠ Enter amount",IF(B205="","⚠ Enter date",IF(AND(Setup!$C$8&lt;&gt;"",B205&gt;Setup!$C$8),"⚠ Date after period",IF(AND(O205&lt;&gt;"",COUNTIF($O$8:$O$507,O205)&gt;1),"⚠ Cheque no. used twice","✔"))))))</f>
        <v/>
      </c>
      <c r="M205" s="9" t="str">
        <f aca="false">IF(N(F205)&gt;0,"IN",IF(N(G205)&gt;0,"OUT",""))</f>
        <v/>
      </c>
      <c r="N205" s="9" t="str">
        <f aca="false">IF(M205="","",M205&amp;"|"&amp;TEXT(ROUND(N(F205)+N(G205),2),"0.00"))</f>
        <v/>
      </c>
      <c r="O205" s="9" t="str">
        <f aca="false">IF(OR(N205="",TRIM(E205&amp;"")=""),"",N205&amp;"|"&amp;UPPER(TRIM(E205&amp;"")))</f>
        <v/>
      </c>
      <c r="P205" s="9" t="n">
        <f aca="false">IF(O205="",0,IFERROR(MATCH(O205,'Bank Statement'!$O$8:$O$507,0),0))</f>
        <v>0</v>
      </c>
      <c r="Q205" s="9" t="str">
        <f aca="false">IF(OR(N205="",P205&gt;0),"",N205&amp;"#"&amp;COUNTIFS($N$8:N205,N205,$P$8:P205,0))</f>
        <v/>
      </c>
      <c r="R205" s="9" t="n">
        <f aca="false">IF(Q205="",0,IFERROR(MATCH(Q205,'Bank Statement'!$Q$8:$Q$507,0),0))</f>
        <v>0</v>
      </c>
      <c r="S205" s="9" t="n">
        <f aca="false">IF(P205&gt;0,P205,R205)</f>
        <v>0</v>
      </c>
      <c r="T205" s="9" t="str">
        <f aca="false">IF(OR(S205=0,B205=""),"",INDEX('Bank Statement'!$B$8:$B$507,S205)-B205)</f>
        <v/>
      </c>
      <c r="U205" s="9" t="n">
        <f aca="false">IF(S205=0,0,IF(P205&gt;0,S205,IF(AND(ISNUMBER(T205),ABS(N(T205))&lt;=Setup!$C$11),S205,0)))</f>
        <v>0</v>
      </c>
      <c r="V205" s="9" t="str">
        <f aca="false">IF(AND(N205&lt;&gt;"",U205=0),IF(M205="OUT",1,2)*100000+ROW(),"")</f>
        <v/>
      </c>
      <c r="W205" s="9" t="n">
        <f aca="false">N(F205)+N(G205)</f>
        <v>0</v>
      </c>
    </row>
    <row r="206" customFormat="false" ht="15" hidden="false" customHeight="false" outlineLevel="0" collapsed="false">
      <c r="A206" s="37" t="str">
        <f aca="false">IF(M206="","",ROW()-7)</f>
        <v/>
      </c>
      <c r="B206" s="70"/>
      <c r="C206" s="71"/>
      <c r="D206" s="72"/>
      <c r="E206" s="71"/>
      <c r="F206" s="73"/>
      <c r="G206" s="73"/>
      <c r="H206" s="42" t="str">
        <f aca="false">IF(M206="","",IF(U206&gt;0,"✔ Matched",IF(M206="OUT","Not yet presented","Not yet credited")))</f>
        <v/>
      </c>
      <c r="I206" s="43" t="str">
        <f aca="false">IF(N(U206)&gt;0,U206,"")</f>
        <v/>
      </c>
      <c r="J206" s="44" t="str">
        <f aca="false">IF(N(U206)&gt;0,T206,"")</f>
        <v/>
      </c>
      <c r="K206" s="45" t="str">
        <f aca="false">IF(AND(M206="",B206="",D206=""),"",IF(AND(N(F206)&gt;0,N(G206)&gt;0),"⚠ Fill deposit OR payment",IF(M206="","⚠ Enter amount",IF(B206="","⚠ Enter date",IF(AND(Setup!$C$8&lt;&gt;"",B206&gt;Setup!$C$8),"⚠ Date after period",IF(AND(O206&lt;&gt;"",COUNTIF($O$8:$O$507,O206)&gt;1),"⚠ Cheque no. used twice","✔"))))))</f>
        <v/>
      </c>
      <c r="M206" s="9" t="str">
        <f aca="false">IF(N(F206)&gt;0,"IN",IF(N(G206)&gt;0,"OUT",""))</f>
        <v/>
      </c>
      <c r="N206" s="9" t="str">
        <f aca="false">IF(M206="","",M206&amp;"|"&amp;TEXT(ROUND(N(F206)+N(G206),2),"0.00"))</f>
        <v/>
      </c>
      <c r="O206" s="9" t="str">
        <f aca="false">IF(OR(N206="",TRIM(E206&amp;"")=""),"",N206&amp;"|"&amp;UPPER(TRIM(E206&amp;"")))</f>
        <v/>
      </c>
      <c r="P206" s="9" t="n">
        <f aca="false">IF(O206="",0,IFERROR(MATCH(O206,'Bank Statement'!$O$8:$O$507,0),0))</f>
        <v>0</v>
      </c>
      <c r="Q206" s="9" t="str">
        <f aca="false">IF(OR(N206="",P206&gt;0),"",N206&amp;"#"&amp;COUNTIFS($N$8:N206,N206,$P$8:P206,0))</f>
        <v/>
      </c>
      <c r="R206" s="9" t="n">
        <f aca="false">IF(Q206="",0,IFERROR(MATCH(Q206,'Bank Statement'!$Q$8:$Q$507,0),0))</f>
        <v>0</v>
      </c>
      <c r="S206" s="9" t="n">
        <f aca="false">IF(P206&gt;0,P206,R206)</f>
        <v>0</v>
      </c>
      <c r="T206" s="9" t="str">
        <f aca="false">IF(OR(S206=0,B206=""),"",INDEX('Bank Statement'!$B$8:$B$507,S206)-B206)</f>
        <v/>
      </c>
      <c r="U206" s="9" t="n">
        <f aca="false">IF(S206=0,0,IF(P206&gt;0,S206,IF(AND(ISNUMBER(T206),ABS(N(T206))&lt;=Setup!$C$11),S206,0)))</f>
        <v>0</v>
      </c>
      <c r="V206" s="9" t="str">
        <f aca="false">IF(AND(N206&lt;&gt;"",U206=0),IF(M206="OUT",1,2)*100000+ROW(),"")</f>
        <v/>
      </c>
      <c r="W206" s="9" t="n">
        <f aca="false">N(F206)+N(G206)</f>
        <v>0</v>
      </c>
    </row>
    <row r="207" customFormat="false" ht="15" hidden="false" customHeight="false" outlineLevel="0" collapsed="false">
      <c r="A207" s="37" t="str">
        <f aca="false">IF(M207="","",ROW()-7)</f>
        <v/>
      </c>
      <c r="B207" s="70"/>
      <c r="C207" s="71"/>
      <c r="D207" s="72"/>
      <c r="E207" s="71"/>
      <c r="F207" s="73"/>
      <c r="G207" s="73"/>
      <c r="H207" s="42" t="str">
        <f aca="false">IF(M207="","",IF(U207&gt;0,"✔ Matched",IF(M207="OUT","Not yet presented","Not yet credited")))</f>
        <v/>
      </c>
      <c r="I207" s="43" t="str">
        <f aca="false">IF(N(U207)&gt;0,U207,"")</f>
        <v/>
      </c>
      <c r="J207" s="44" t="str">
        <f aca="false">IF(N(U207)&gt;0,T207,"")</f>
        <v/>
      </c>
      <c r="K207" s="45" t="str">
        <f aca="false">IF(AND(M207="",B207="",D207=""),"",IF(AND(N(F207)&gt;0,N(G207)&gt;0),"⚠ Fill deposit OR payment",IF(M207="","⚠ Enter amount",IF(B207="","⚠ Enter date",IF(AND(Setup!$C$8&lt;&gt;"",B207&gt;Setup!$C$8),"⚠ Date after period",IF(AND(O207&lt;&gt;"",COUNTIF($O$8:$O$507,O207)&gt;1),"⚠ Cheque no. used twice","✔"))))))</f>
        <v/>
      </c>
      <c r="M207" s="9" t="str">
        <f aca="false">IF(N(F207)&gt;0,"IN",IF(N(G207)&gt;0,"OUT",""))</f>
        <v/>
      </c>
      <c r="N207" s="9" t="str">
        <f aca="false">IF(M207="","",M207&amp;"|"&amp;TEXT(ROUND(N(F207)+N(G207),2),"0.00"))</f>
        <v/>
      </c>
      <c r="O207" s="9" t="str">
        <f aca="false">IF(OR(N207="",TRIM(E207&amp;"")=""),"",N207&amp;"|"&amp;UPPER(TRIM(E207&amp;"")))</f>
        <v/>
      </c>
      <c r="P207" s="9" t="n">
        <f aca="false">IF(O207="",0,IFERROR(MATCH(O207,'Bank Statement'!$O$8:$O$507,0),0))</f>
        <v>0</v>
      </c>
      <c r="Q207" s="9" t="str">
        <f aca="false">IF(OR(N207="",P207&gt;0),"",N207&amp;"#"&amp;COUNTIFS($N$8:N207,N207,$P$8:P207,0))</f>
        <v/>
      </c>
      <c r="R207" s="9" t="n">
        <f aca="false">IF(Q207="",0,IFERROR(MATCH(Q207,'Bank Statement'!$Q$8:$Q$507,0),0))</f>
        <v>0</v>
      </c>
      <c r="S207" s="9" t="n">
        <f aca="false">IF(P207&gt;0,P207,R207)</f>
        <v>0</v>
      </c>
      <c r="T207" s="9" t="str">
        <f aca="false">IF(OR(S207=0,B207=""),"",INDEX('Bank Statement'!$B$8:$B$507,S207)-B207)</f>
        <v/>
      </c>
      <c r="U207" s="9" t="n">
        <f aca="false">IF(S207=0,0,IF(P207&gt;0,S207,IF(AND(ISNUMBER(T207),ABS(N(T207))&lt;=Setup!$C$11),S207,0)))</f>
        <v>0</v>
      </c>
      <c r="V207" s="9" t="str">
        <f aca="false">IF(AND(N207&lt;&gt;"",U207=0),IF(M207="OUT",1,2)*100000+ROW(),"")</f>
        <v/>
      </c>
      <c r="W207" s="9" t="n">
        <f aca="false">N(F207)+N(G207)</f>
        <v>0</v>
      </c>
    </row>
    <row r="208" customFormat="false" ht="15" hidden="false" customHeight="false" outlineLevel="0" collapsed="false">
      <c r="A208" s="37" t="str">
        <f aca="false">IF(M208="","",ROW()-7)</f>
        <v/>
      </c>
      <c r="B208" s="70"/>
      <c r="C208" s="71"/>
      <c r="D208" s="72"/>
      <c r="E208" s="71"/>
      <c r="F208" s="73"/>
      <c r="G208" s="73"/>
      <c r="H208" s="42" t="str">
        <f aca="false">IF(M208="","",IF(U208&gt;0,"✔ Matched",IF(M208="OUT","Not yet presented","Not yet credited")))</f>
        <v/>
      </c>
      <c r="I208" s="43" t="str">
        <f aca="false">IF(N(U208)&gt;0,U208,"")</f>
        <v/>
      </c>
      <c r="J208" s="44" t="str">
        <f aca="false">IF(N(U208)&gt;0,T208,"")</f>
        <v/>
      </c>
      <c r="K208" s="45" t="str">
        <f aca="false">IF(AND(M208="",B208="",D208=""),"",IF(AND(N(F208)&gt;0,N(G208)&gt;0),"⚠ Fill deposit OR payment",IF(M208="","⚠ Enter amount",IF(B208="","⚠ Enter date",IF(AND(Setup!$C$8&lt;&gt;"",B208&gt;Setup!$C$8),"⚠ Date after period",IF(AND(O208&lt;&gt;"",COUNTIF($O$8:$O$507,O208)&gt;1),"⚠ Cheque no. used twice","✔"))))))</f>
        <v/>
      </c>
      <c r="M208" s="9" t="str">
        <f aca="false">IF(N(F208)&gt;0,"IN",IF(N(G208)&gt;0,"OUT",""))</f>
        <v/>
      </c>
      <c r="N208" s="9" t="str">
        <f aca="false">IF(M208="","",M208&amp;"|"&amp;TEXT(ROUND(N(F208)+N(G208),2),"0.00"))</f>
        <v/>
      </c>
      <c r="O208" s="9" t="str">
        <f aca="false">IF(OR(N208="",TRIM(E208&amp;"")=""),"",N208&amp;"|"&amp;UPPER(TRIM(E208&amp;"")))</f>
        <v/>
      </c>
      <c r="P208" s="9" t="n">
        <f aca="false">IF(O208="",0,IFERROR(MATCH(O208,'Bank Statement'!$O$8:$O$507,0),0))</f>
        <v>0</v>
      </c>
      <c r="Q208" s="9" t="str">
        <f aca="false">IF(OR(N208="",P208&gt;0),"",N208&amp;"#"&amp;COUNTIFS($N$8:N208,N208,$P$8:P208,0))</f>
        <v/>
      </c>
      <c r="R208" s="9" t="n">
        <f aca="false">IF(Q208="",0,IFERROR(MATCH(Q208,'Bank Statement'!$Q$8:$Q$507,0),0))</f>
        <v>0</v>
      </c>
      <c r="S208" s="9" t="n">
        <f aca="false">IF(P208&gt;0,P208,R208)</f>
        <v>0</v>
      </c>
      <c r="T208" s="9" t="str">
        <f aca="false">IF(OR(S208=0,B208=""),"",INDEX('Bank Statement'!$B$8:$B$507,S208)-B208)</f>
        <v/>
      </c>
      <c r="U208" s="9" t="n">
        <f aca="false">IF(S208=0,0,IF(P208&gt;0,S208,IF(AND(ISNUMBER(T208),ABS(N(T208))&lt;=Setup!$C$11),S208,0)))</f>
        <v>0</v>
      </c>
      <c r="V208" s="9" t="str">
        <f aca="false">IF(AND(N208&lt;&gt;"",U208=0),IF(M208="OUT",1,2)*100000+ROW(),"")</f>
        <v/>
      </c>
      <c r="W208" s="9" t="n">
        <f aca="false">N(F208)+N(G208)</f>
        <v>0</v>
      </c>
    </row>
    <row r="209" customFormat="false" ht="15" hidden="false" customHeight="false" outlineLevel="0" collapsed="false">
      <c r="A209" s="37" t="str">
        <f aca="false">IF(M209="","",ROW()-7)</f>
        <v/>
      </c>
      <c r="B209" s="70"/>
      <c r="C209" s="71"/>
      <c r="D209" s="72"/>
      <c r="E209" s="71"/>
      <c r="F209" s="73"/>
      <c r="G209" s="73"/>
      <c r="H209" s="42" t="str">
        <f aca="false">IF(M209="","",IF(U209&gt;0,"✔ Matched",IF(M209="OUT","Not yet presented","Not yet credited")))</f>
        <v/>
      </c>
      <c r="I209" s="43" t="str">
        <f aca="false">IF(N(U209)&gt;0,U209,"")</f>
        <v/>
      </c>
      <c r="J209" s="44" t="str">
        <f aca="false">IF(N(U209)&gt;0,T209,"")</f>
        <v/>
      </c>
      <c r="K209" s="45" t="str">
        <f aca="false">IF(AND(M209="",B209="",D209=""),"",IF(AND(N(F209)&gt;0,N(G209)&gt;0),"⚠ Fill deposit OR payment",IF(M209="","⚠ Enter amount",IF(B209="","⚠ Enter date",IF(AND(Setup!$C$8&lt;&gt;"",B209&gt;Setup!$C$8),"⚠ Date after period",IF(AND(O209&lt;&gt;"",COUNTIF($O$8:$O$507,O209)&gt;1),"⚠ Cheque no. used twice","✔"))))))</f>
        <v/>
      </c>
      <c r="M209" s="9" t="str">
        <f aca="false">IF(N(F209)&gt;0,"IN",IF(N(G209)&gt;0,"OUT",""))</f>
        <v/>
      </c>
      <c r="N209" s="9" t="str">
        <f aca="false">IF(M209="","",M209&amp;"|"&amp;TEXT(ROUND(N(F209)+N(G209),2),"0.00"))</f>
        <v/>
      </c>
      <c r="O209" s="9" t="str">
        <f aca="false">IF(OR(N209="",TRIM(E209&amp;"")=""),"",N209&amp;"|"&amp;UPPER(TRIM(E209&amp;"")))</f>
        <v/>
      </c>
      <c r="P209" s="9" t="n">
        <f aca="false">IF(O209="",0,IFERROR(MATCH(O209,'Bank Statement'!$O$8:$O$507,0),0))</f>
        <v>0</v>
      </c>
      <c r="Q209" s="9" t="str">
        <f aca="false">IF(OR(N209="",P209&gt;0),"",N209&amp;"#"&amp;COUNTIFS($N$8:N209,N209,$P$8:P209,0))</f>
        <v/>
      </c>
      <c r="R209" s="9" t="n">
        <f aca="false">IF(Q209="",0,IFERROR(MATCH(Q209,'Bank Statement'!$Q$8:$Q$507,0),0))</f>
        <v>0</v>
      </c>
      <c r="S209" s="9" t="n">
        <f aca="false">IF(P209&gt;0,P209,R209)</f>
        <v>0</v>
      </c>
      <c r="T209" s="9" t="str">
        <f aca="false">IF(OR(S209=0,B209=""),"",INDEX('Bank Statement'!$B$8:$B$507,S209)-B209)</f>
        <v/>
      </c>
      <c r="U209" s="9" t="n">
        <f aca="false">IF(S209=0,0,IF(P209&gt;0,S209,IF(AND(ISNUMBER(T209),ABS(N(T209))&lt;=Setup!$C$11),S209,0)))</f>
        <v>0</v>
      </c>
      <c r="V209" s="9" t="str">
        <f aca="false">IF(AND(N209&lt;&gt;"",U209=0),IF(M209="OUT",1,2)*100000+ROW(),"")</f>
        <v/>
      </c>
      <c r="W209" s="9" t="n">
        <f aca="false">N(F209)+N(G209)</f>
        <v>0</v>
      </c>
    </row>
    <row r="210" customFormat="false" ht="15" hidden="false" customHeight="false" outlineLevel="0" collapsed="false">
      <c r="A210" s="37" t="str">
        <f aca="false">IF(M210="","",ROW()-7)</f>
        <v/>
      </c>
      <c r="B210" s="70"/>
      <c r="C210" s="71"/>
      <c r="D210" s="72"/>
      <c r="E210" s="71"/>
      <c r="F210" s="73"/>
      <c r="G210" s="73"/>
      <c r="H210" s="42" t="str">
        <f aca="false">IF(M210="","",IF(U210&gt;0,"✔ Matched",IF(M210="OUT","Not yet presented","Not yet credited")))</f>
        <v/>
      </c>
      <c r="I210" s="43" t="str">
        <f aca="false">IF(N(U210)&gt;0,U210,"")</f>
        <v/>
      </c>
      <c r="J210" s="44" t="str">
        <f aca="false">IF(N(U210)&gt;0,T210,"")</f>
        <v/>
      </c>
      <c r="K210" s="45" t="str">
        <f aca="false">IF(AND(M210="",B210="",D210=""),"",IF(AND(N(F210)&gt;0,N(G210)&gt;0),"⚠ Fill deposit OR payment",IF(M210="","⚠ Enter amount",IF(B210="","⚠ Enter date",IF(AND(Setup!$C$8&lt;&gt;"",B210&gt;Setup!$C$8),"⚠ Date after period",IF(AND(O210&lt;&gt;"",COUNTIF($O$8:$O$507,O210)&gt;1),"⚠ Cheque no. used twice","✔"))))))</f>
        <v/>
      </c>
      <c r="M210" s="9" t="str">
        <f aca="false">IF(N(F210)&gt;0,"IN",IF(N(G210)&gt;0,"OUT",""))</f>
        <v/>
      </c>
      <c r="N210" s="9" t="str">
        <f aca="false">IF(M210="","",M210&amp;"|"&amp;TEXT(ROUND(N(F210)+N(G210),2),"0.00"))</f>
        <v/>
      </c>
      <c r="O210" s="9" t="str">
        <f aca="false">IF(OR(N210="",TRIM(E210&amp;"")=""),"",N210&amp;"|"&amp;UPPER(TRIM(E210&amp;"")))</f>
        <v/>
      </c>
      <c r="P210" s="9" t="n">
        <f aca="false">IF(O210="",0,IFERROR(MATCH(O210,'Bank Statement'!$O$8:$O$507,0),0))</f>
        <v>0</v>
      </c>
      <c r="Q210" s="9" t="str">
        <f aca="false">IF(OR(N210="",P210&gt;0),"",N210&amp;"#"&amp;COUNTIFS($N$8:N210,N210,$P$8:P210,0))</f>
        <v/>
      </c>
      <c r="R210" s="9" t="n">
        <f aca="false">IF(Q210="",0,IFERROR(MATCH(Q210,'Bank Statement'!$Q$8:$Q$507,0),0))</f>
        <v>0</v>
      </c>
      <c r="S210" s="9" t="n">
        <f aca="false">IF(P210&gt;0,P210,R210)</f>
        <v>0</v>
      </c>
      <c r="T210" s="9" t="str">
        <f aca="false">IF(OR(S210=0,B210=""),"",INDEX('Bank Statement'!$B$8:$B$507,S210)-B210)</f>
        <v/>
      </c>
      <c r="U210" s="9" t="n">
        <f aca="false">IF(S210=0,0,IF(P210&gt;0,S210,IF(AND(ISNUMBER(T210),ABS(N(T210))&lt;=Setup!$C$11),S210,0)))</f>
        <v>0</v>
      </c>
      <c r="V210" s="9" t="str">
        <f aca="false">IF(AND(N210&lt;&gt;"",U210=0),IF(M210="OUT",1,2)*100000+ROW(),"")</f>
        <v/>
      </c>
      <c r="W210" s="9" t="n">
        <f aca="false">N(F210)+N(G210)</f>
        <v>0</v>
      </c>
    </row>
    <row r="211" customFormat="false" ht="15" hidden="false" customHeight="false" outlineLevel="0" collapsed="false">
      <c r="A211" s="37" t="str">
        <f aca="false">IF(M211="","",ROW()-7)</f>
        <v/>
      </c>
      <c r="B211" s="70"/>
      <c r="C211" s="71"/>
      <c r="D211" s="72"/>
      <c r="E211" s="71"/>
      <c r="F211" s="73"/>
      <c r="G211" s="73"/>
      <c r="H211" s="42" t="str">
        <f aca="false">IF(M211="","",IF(U211&gt;0,"✔ Matched",IF(M211="OUT","Not yet presented","Not yet credited")))</f>
        <v/>
      </c>
      <c r="I211" s="43" t="str">
        <f aca="false">IF(N(U211)&gt;0,U211,"")</f>
        <v/>
      </c>
      <c r="J211" s="44" t="str">
        <f aca="false">IF(N(U211)&gt;0,T211,"")</f>
        <v/>
      </c>
      <c r="K211" s="45" t="str">
        <f aca="false">IF(AND(M211="",B211="",D211=""),"",IF(AND(N(F211)&gt;0,N(G211)&gt;0),"⚠ Fill deposit OR payment",IF(M211="","⚠ Enter amount",IF(B211="","⚠ Enter date",IF(AND(Setup!$C$8&lt;&gt;"",B211&gt;Setup!$C$8),"⚠ Date after period",IF(AND(O211&lt;&gt;"",COUNTIF($O$8:$O$507,O211)&gt;1),"⚠ Cheque no. used twice","✔"))))))</f>
        <v/>
      </c>
      <c r="M211" s="9" t="str">
        <f aca="false">IF(N(F211)&gt;0,"IN",IF(N(G211)&gt;0,"OUT",""))</f>
        <v/>
      </c>
      <c r="N211" s="9" t="str">
        <f aca="false">IF(M211="","",M211&amp;"|"&amp;TEXT(ROUND(N(F211)+N(G211),2),"0.00"))</f>
        <v/>
      </c>
      <c r="O211" s="9" t="str">
        <f aca="false">IF(OR(N211="",TRIM(E211&amp;"")=""),"",N211&amp;"|"&amp;UPPER(TRIM(E211&amp;"")))</f>
        <v/>
      </c>
      <c r="P211" s="9" t="n">
        <f aca="false">IF(O211="",0,IFERROR(MATCH(O211,'Bank Statement'!$O$8:$O$507,0),0))</f>
        <v>0</v>
      </c>
      <c r="Q211" s="9" t="str">
        <f aca="false">IF(OR(N211="",P211&gt;0),"",N211&amp;"#"&amp;COUNTIFS($N$8:N211,N211,$P$8:P211,0))</f>
        <v/>
      </c>
      <c r="R211" s="9" t="n">
        <f aca="false">IF(Q211="",0,IFERROR(MATCH(Q211,'Bank Statement'!$Q$8:$Q$507,0),0))</f>
        <v>0</v>
      </c>
      <c r="S211" s="9" t="n">
        <f aca="false">IF(P211&gt;0,P211,R211)</f>
        <v>0</v>
      </c>
      <c r="T211" s="9" t="str">
        <f aca="false">IF(OR(S211=0,B211=""),"",INDEX('Bank Statement'!$B$8:$B$507,S211)-B211)</f>
        <v/>
      </c>
      <c r="U211" s="9" t="n">
        <f aca="false">IF(S211=0,0,IF(P211&gt;0,S211,IF(AND(ISNUMBER(T211),ABS(N(T211))&lt;=Setup!$C$11),S211,0)))</f>
        <v>0</v>
      </c>
      <c r="V211" s="9" t="str">
        <f aca="false">IF(AND(N211&lt;&gt;"",U211=0),IF(M211="OUT",1,2)*100000+ROW(),"")</f>
        <v/>
      </c>
      <c r="W211" s="9" t="n">
        <f aca="false">N(F211)+N(G211)</f>
        <v>0</v>
      </c>
    </row>
    <row r="212" customFormat="false" ht="15" hidden="false" customHeight="false" outlineLevel="0" collapsed="false">
      <c r="A212" s="37" t="str">
        <f aca="false">IF(M212="","",ROW()-7)</f>
        <v/>
      </c>
      <c r="B212" s="70"/>
      <c r="C212" s="71"/>
      <c r="D212" s="72"/>
      <c r="E212" s="71"/>
      <c r="F212" s="73"/>
      <c r="G212" s="73"/>
      <c r="H212" s="42" t="str">
        <f aca="false">IF(M212="","",IF(U212&gt;0,"✔ Matched",IF(M212="OUT","Not yet presented","Not yet credited")))</f>
        <v/>
      </c>
      <c r="I212" s="43" t="str">
        <f aca="false">IF(N(U212)&gt;0,U212,"")</f>
        <v/>
      </c>
      <c r="J212" s="44" t="str">
        <f aca="false">IF(N(U212)&gt;0,T212,"")</f>
        <v/>
      </c>
      <c r="K212" s="45" t="str">
        <f aca="false">IF(AND(M212="",B212="",D212=""),"",IF(AND(N(F212)&gt;0,N(G212)&gt;0),"⚠ Fill deposit OR payment",IF(M212="","⚠ Enter amount",IF(B212="","⚠ Enter date",IF(AND(Setup!$C$8&lt;&gt;"",B212&gt;Setup!$C$8),"⚠ Date after period",IF(AND(O212&lt;&gt;"",COUNTIF($O$8:$O$507,O212)&gt;1),"⚠ Cheque no. used twice","✔"))))))</f>
        <v/>
      </c>
      <c r="M212" s="9" t="str">
        <f aca="false">IF(N(F212)&gt;0,"IN",IF(N(G212)&gt;0,"OUT",""))</f>
        <v/>
      </c>
      <c r="N212" s="9" t="str">
        <f aca="false">IF(M212="","",M212&amp;"|"&amp;TEXT(ROUND(N(F212)+N(G212),2),"0.00"))</f>
        <v/>
      </c>
      <c r="O212" s="9" t="str">
        <f aca="false">IF(OR(N212="",TRIM(E212&amp;"")=""),"",N212&amp;"|"&amp;UPPER(TRIM(E212&amp;"")))</f>
        <v/>
      </c>
      <c r="P212" s="9" t="n">
        <f aca="false">IF(O212="",0,IFERROR(MATCH(O212,'Bank Statement'!$O$8:$O$507,0),0))</f>
        <v>0</v>
      </c>
      <c r="Q212" s="9" t="str">
        <f aca="false">IF(OR(N212="",P212&gt;0),"",N212&amp;"#"&amp;COUNTIFS($N$8:N212,N212,$P$8:P212,0))</f>
        <v/>
      </c>
      <c r="R212" s="9" t="n">
        <f aca="false">IF(Q212="",0,IFERROR(MATCH(Q212,'Bank Statement'!$Q$8:$Q$507,0),0))</f>
        <v>0</v>
      </c>
      <c r="S212" s="9" t="n">
        <f aca="false">IF(P212&gt;0,P212,R212)</f>
        <v>0</v>
      </c>
      <c r="T212" s="9" t="str">
        <f aca="false">IF(OR(S212=0,B212=""),"",INDEX('Bank Statement'!$B$8:$B$507,S212)-B212)</f>
        <v/>
      </c>
      <c r="U212" s="9" t="n">
        <f aca="false">IF(S212=0,0,IF(P212&gt;0,S212,IF(AND(ISNUMBER(T212),ABS(N(T212))&lt;=Setup!$C$11),S212,0)))</f>
        <v>0</v>
      </c>
      <c r="V212" s="9" t="str">
        <f aca="false">IF(AND(N212&lt;&gt;"",U212=0),IF(M212="OUT",1,2)*100000+ROW(),"")</f>
        <v/>
      </c>
      <c r="W212" s="9" t="n">
        <f aca="false">N(F212)+N(G212)</f>
        <v>0</v>
      </c>
    </row>
    <row r="213" customFormat="false" ht="15" hidden="false" customHeight="false" outlineLevel="0" collapsed="false">
      <c r="A213" s="37" t="str">
        <f aca="false">IF(M213="","",ROW()-7)</f>
        <v/>
      </c>
      <c r="B213" s="70"/>
      <c r="C213" s="71"/>
      <c r="D213" s="72"/>
      <c r="E213" s="71"/>
      <c r="F213" s="73"/>
      <c r="G213" s="73"/>
      <c r="H213" s="42" t="str">
        <f aca="false">IF(M213="","",IF(U213&gt;0,"✔ Matched",IF(M213="OUT","Not yet presented","Not yet credited")))</f>
        <v/>
      </c>
      <c r="I213" s="43" t="str">
        <f aca="false">IF(N(U213)&gt;0,U213,"")</f>
        <v/>
      </c>
      <c r="J213" s="44" t="str">
        <f aca="false">IF(N(U213)&gt;0,T213,"")</f>
        <v/>
      </c>
      <c r="K213" s="45" t="str">
        <f aca="false">IF(AND(M213="",B213="",D213=""),"",IF(AND(N(F213)&gt;0,N(G213)&gt;0),"⚠ Fill deposit OR payment",IF(M213="","⚠ Enter amount",IF(B213="","⚠ Enter date",IF(AND(Setup!$C$8&lt;&gt;"",B213&gt;Setup!$C$8),"⚠ Date after period",IF(AND(O213&lt;&gt;"",COUNTIF($O$8:$O$507,O213)&gt;1),"⚠ Cheque no. used twice","✔"))))))</f>
        <v/>
      </c>
      <c r="M213" s="9" t="str">
        <f aca="false">IF(N(F213)&gt;0,"IN",IF(N(G213)&gt;0,"OUT",""))</f>
        <v/>
      </c>
      <c r="N213" s="9" t="str">
        <f aca="false">IF(M213="","",M213&amp;"|"&amp;TEXT(ROUND(N(F213)+N(G213),2),"0.00"))</f>
        <v/>
      </c>
      <c r="O213" s="9" t="str">
        <f aca="false">IF(OR(N213="",TRIM(E213&amp;"")=""),"",N213&amp;"|"&amp;UPPER(TRIM(E213&amp;"")))</f>
        <v/>
      </c>
      <c r="P213" s="9" t="n">
        <f aca="false">IF(O213="",0,IFERROR(MATCH(O213,'Bank Statement'!$O$8:$O$507,0),0))</f>
        <v>0</v>
      </c>
      <c r="Q213" s="9" t="str">
        <f aca="false">IF(OR(N213="",P213&gt;0),"",N213&amp;"#"&amp;COUNTIFS($N$8:N213,N213,$P$8:P213,0))</f>
        <v/>
      </c>
      <c r="R213" s="9" t="n">
        <f aca="false">IF(Q213="",0,IFERROR(MATCH(Q213,'Bank Statement'!$Q$8:$Q$507,0),0))</f>
        <v>0</v>
      </c>
      <c r="S213" s="9" t="n">
        <f aca="false">IF(P213&gt;0,P213,R213)</f>
        <v>0</v>
      </c>
      <c r="T213" s="9" t="str">
        <f aca="false">IF(OR(S213=0,B213=""),"",INDEX('Bank Statement'!$B$8:$B$507,S213)-B213)</f>
        <v/>
      </c>
      <c r="U213" s="9" t="n">
        <f aca="false">IF(S213=0,0,IF(P213&gt;0,S213,IF(AND(ISNUMBER(T213),ABS(N(T213))&lt;=Setup!$C$11),S213,0)))</f>
        <v>0</v>
      </c>
      <c r="V213" s="9" t="str">
        <f aca="false">IF(AND(N213&lt;&gt;"",U213=0),IF(M213="OUT",1,2)*100000+ROW(),"")</f>
        <v/>
      </c>
      <c r="W213" s="9" t="n">
        <f aca="false">N(F213)+N(G213)</f>
        <v>0</v>
      </c>
    </row>
    <row r="214" customFormat="false" ht="15" hidden="false" customHeight="false" outlineLevel="0" collapsed="false">
      <c r="A214" s="37" t="str">
        <f aca="false">IF(M214="","",ROW()-7)</f>
        <v/>
      </c>
      <c r="B214" s="70"/>
      <c r="C214" s="71"/>
      <c r="D214" s="72"/>
      <c r="E214" s="71"/>
      <c r="F214" s="73"/>
      <c r="G214" s="73"/>
      <c r="H214" s="42" t="str">
        <f aca="false">IF(M214="","",IF(U214&gt;0,"✔ Matched",IF(M214="OUT","Not yet presented","Not yet credited")))</f>
        <v/>
      </c>
      <c r="I214" s="43" t="str">
        <f aca="false">IF(N(U214)&gt;0,U214,"")</f>
        <v/>
      </c>
      <c r="J214" s="44" t="str">
        <f aca="false">IF(N(U214)&gt;0,T214,"")</f>
        <v/>
      </c>
      <c r="K214" s="45" t="str">
        <f aca="false">IF(AND(M214="",B214="",D214=""),"",IF(AND(N(F214)&gt;0,N(G214)&gt;0),"⚠ Fill deposit OR payment",IF(M214="","⚠ Enter amount",IF(B214="","⚠ Enter date",IF(AND(Setup!$C$8&lt;&gt;"",B214&gt;Setup!$C$8),"⚠ Date after period",IF(AND(O214&lt;&gt;"",COUNTIF($O$8:$O$507,O214)&gt;1),"⚠ Cheque no. used twice","✔"))))))</f>
        <v/>
      </c>
      <c r="M214" s="9" t="str">
        <f aca="false">IF(N(F214)&gt;0,"IN",IF(N(G214)&gt;0,"OUT",""))</f>
        <v/>
      </c>
      <c r="N214" s="9" t="str">
        <f aca="false">IF(M214="","",M214&amp;"|"&amp;TEXT(ROUND(N(F214)+N(G214),2),"0.00"))</f>
        <v/>
      </c>
      <c r="O214" s="9" t="str">
        <f aca="false">IF(OR(N214="",TRIM(E214&amp;"")=""),"",N214&amp;"|"&amp;UPPER(TRIM(E214&amp;"")))</f>
        <v/>
      </c>
      <c r="P214" s="9" t="n">
        <f aca="false">IF(O214="",0,IFERROR(MATCH(O214,'Bank Statement'!$O$8:$O$507,0),0))</f>
        <v>0</v>
      </c>
      <c r="Q214" s="9" t="str">
        <f aca="false">IF(OR(N214="",P214&gt;0),"",N214&amp;"#"&amp;COUNTIFS($N$8:N214,N214,$P$8:P214,0))</f>
        <v/>
      </c>
      <c r="R214" s="9" t="n">
        <f aca="false">IF(Q214="",0,IFERROR(MATCH(Q214,'Bank Statement'!$Q$8:$Q$507,0),0))</f>
        <v>0</v>
      </c>
      <c r="S214" s="9" t="n">
        <f aca="false">IF(P214&gt;0,P214,R214)</f>
        <v>0</v>
      </c>
      <c r="T214" s="9" t="str">
        <f aca="false">IF(OR(S214=0,B214=""),"",INDEX('Bank Statement'!$B$8:$B$507,S214)-B214)</f>
        <v/>
      </c>
      <c r="U214" s="9" t="n">
        <f aca="false">IF(S214=0,0,IF(P214&gt;0,S214,IF(AND(ISNUMBER(T214),ABS(N(T214))&lt;=Setup!$C$11),S214,0)))</f>
        <v>0</v>
      </c>
      <c r="V214" s="9" t="str">
        <f aca="false">IF(AND(N214&lt;&gt;"",U214=0),IF(M214="OUT",1,2)*100000+ROW(),"")</f>
        <v/>
      </c>
      <c r="W214" s="9" t="n">
        <f aca="false">N(F214)+N(G214)</f>
        <v>0</v>
      </c>
    </row>
    <row r="215" customFormat="false" ht="15" hidden="false" customHeight="false" outlineLevel="0" collapsed="false">
      <c r="A215" s="37" t="str">
        <f aca="false">IF(M215="","",ROW()-7)</f>
        <v/>
      </c>
      <c r="B215" s="70"/>
      <c r="C215" s="71"/>
      <c r="D215" s="72"/>
      <c r="E215" s="71"/>
      <c r="F215" s="73"/>
      <c r="G215" s="73"/>
      <c r="H215" s="42" t="str">
        <f aca="false">IF(M215="","",IF(U215&gt;0,"✔ Matched",IF(M215="OUT","Not yet presented","Not yet credited")))</f>
        <v/>
      </c>
      <c r="I215" s="43" t="str">
        <f aca="false">IF(N(U215)&gt;0,U215,"")</f>
        <v/>
      </c>
      <c r="J215" s="44" t="str">
        <f aca="false">IF(N(U215)&gt;0,T215,"")</f>
        <v/>
      </c>
      <c r="K215" s="45" t="str">
        <f aca="false">IF(AND(M215="",B215="",D215=""),"",IF(AND(N(F215)&gt;0,N(G215)&gt;0),"⚠ Fill deposit OR payment",IF(M215="","⚠ Enter amount",IF(B215="","⚠ Enter date",IF(AND(Setup!$C$8&lt;&gt;"",B215&gt;Setup!$C$8),"⚠ Date after period",IF(AND(O215&lt;&gt;"",COUNTIF($O$8:$O$507,O215)&gt;1),"⚠ Cheque no. used twice","✔"))))))</f>
        <v/>
      </c>
      <c r="M215" s="9" t="str">
        <f aca="false">IF(N(F215)&gt;0,"IN",IF(N(G215)&gt;0,"OUT",""))</f>
        <v/>
      </c>
      <c r="N215" s="9" t="str">
        <f aca="false">IF(M215="","",M215&amp;"|"&amp;TEXT(ROUND(N(F215)+N(G215),2),"0.00"))</f>
        <v/>
      </c>
      <c r="O215" s="9" t="str">
        <f aca="false">IF(OR(N215="",TRIM(E215&amp;"")=""),"",N215&amp;"|"&amp;UPPER(TRIM(E215&amp;"")))</f>
        <v/>
      </c>
      <c r="P215" s="9" t="n">
        <f aca="false">IF(O215="",0,IFERROR(MATCH(O215,'Bank Statement'!$O$8:$O$507,0),0))</f>
        <v>0</v>
      </c>
      <c r="Q215" s="9" t="str">
        <f aca="false">IF(OR(N215="",P215&gt;0),"",N215&amp;"#"&amp;COUNTIFS($N$8:N215,N215,$P$8:P215,0))</f>
        <v/>
      </c>
      <c r="R215" s="9" t="n">
        <f aca="false">IF(Q215="",0,IFERROR(MATCH(Q215,'Bank Statement'!$Q$8:$Q$507,0),0))</f>
        <v>0</v>
      </c>
      <c r="S215" s="9" t="n">
        <f aca="false">IF(P215&gt;0,P215,R215)</f>
        <v>0</v>
      </c>
      <c r="T215" s="9" t="str">
        <f aca="false">IF(OR(S215=0,B215=""),"",INDEX('Bank Statement'!$B$8:$B$507,S215)-B215)</f>
        <v/>
      </c>
      <c r="U215" s="9" t="n">
        <f aca="false">IF(S215=0,0,IF(P215&gt;0,S215,IF(AND(ISNUMBER(T215),ABS(N(T215))&lt;=Setup!$C$11),S215,0)))</f>
        <v>0</v>
      </c>
      <c r="V215" s="9" t="str">
        <f aca="false">IF(AND(N215&lt;&gt;"",U215=0),IF(M215="OUT",1,2)*100000+ROW(),"")</f>
        <v/>
      </c>
      <c r="W215" s="9" t="n">
        <f aca="false">N(F215)+N(G215)</f>
        <v>0</v>
      </c>
    </row>
    <row r="216" customFormat="false" ht="15" hidden="false" customHeight="false" outlineLevel="0" collapsed="false">
      <c r="A216" s="37" t="str">
        <f aca="false">IF(M216="","",ROW()-7)</f>
        <v/>
      </c>
      <c r="B216" s="70"/>
      <c r="C216" s="71"/>
      <c r="D216" s="72"/>
      <c r="E216" s="71"/>
      <c r="F216" s="73"/>
      <c r="G216" s="73"/>
      <c r="H216" s="42" t="str">
        <f aca="false">IF(M216="","",IF(U216&gt;0,"✔ Matched",IF(M216="OUT","Not yet presented","Not yet credited")))</f>
        <v/>
      </c>
      <c r="I216" s="43" t="str">
        <f aca="false">IF(N(U216)&gt;0,U216,"")</f>
        <v/>
      </c>
      <c r="J216" s="44" t="str">
        <f aca="false">IF(N(U216)&gt;0,T216,"")</f>
        <v/>
      </c>
      <c r="K216" s="45" t="str">
        <f aca="false">IF(AND(M216="",B216="",D216=""),"",IF(AND(N(F216)&gt;0,N(G216)&gt;0),"⚠ Fill deposit OR payment",IF(M216="","⚠ Enter amount",IF(B216="","⚠ Enter date",IF(AND(Setup!$C$8&lt;&gt;"",B216&gt;Setup!$C$8),"⚠ Date after period",IF(AND(O216&lt;&gt;"",COUNTIF($O$8:$O$507,O216)&gt;1),"⚠ Cheque no. used twice","✔"))))))</f>
        <v/>
      </c>
      <c r="M216" s="9" t="str">
        <f aca="false">IF(N(F216)&gt;0,"IN",IF(N(G216)&gt;0,"OUT",""))</f>
        <v/>
      </c>
      <c r="N216" s="9" t="str">
        <f aca="false">IF(M216="","",M216&amp;"|"&amp;TEXT(ROUND(N(F216)+N(G216),2),"0.00"))</f>
        <v/>
      </c>
      <c r="O216" s="9" t="str">
        <f aca="false">IF(OR(N216="",TRIM(E216&amp;"")=""),"",N216&amp;"|"&amp;UPPER(TRIM(E216&amp;"")))</f>
        <v/>
      </c>
      <c r="P216" s="9" t="n">
        <f aca="false">IF(O216="",0,IFERROR(MATCH(O216,'Bank Statement'!$O$8:$O$507,0),0))</f>
        <v>0</v>
      </c>
      <c r="Q216" s="9" t="str">
        <f aca="false">IF(OR(N216="",P216&gt;0),"",N216&amp;"#"&amp;COUNTIFS($N$8:N216,N216,$P$8:P216,0))</f>
        <v/>
      </c>
      <c r="R216" s="9" t="n">
        <f aca="false">IF(Q216="",0,IFERROR(MATCH(Q216,'Bank Statement'!$Q$8:$Q$507,0),0))</f>
        <v>0</v>
      </c>
      <c r="S216" s="9" t="n">
        <f aca="false">IF(P216&gt;0,P216,R216)</f>
        <v>0</v>
      </c>
      <c r="T216" s="9" t="str">
        <f aca="false">IF(OR(S216=0,B216=""),"",INDEX('Bank Statement'!$B$8:$B$507,S216)-B216)</f>
        <v/>
      </c>
      <c r="U216" s="9" t="n">
        <f aca="false">IF(S216=0,0,IF(P216&gt;0,S216,IF(AND(ISNUMBER(T216),ABS(N(T216))&lt;=Setup!$C$11),S216,0)))</f>
        <v>0</v>
      </c>
      <c r="V216" s="9" t="str">
        <f aca="false">IF(AND(N216&lt;&gt;"",U216=0),IF(M216="OUT",1,2)*100000+ROW(),"")</f>
        <v/>
      </c>
      <c r="W216" s="9" t="n">
        <f aca="false">N(F216)+N(G216)</f>
        <v>0</v>
      </c>
    </row>
    <row r="217" customFormat="false" ht="15" hidden="false" customHeight="false" outlineLevel="0" collapsed="false">
      <c r="A217" s="37" t="str">
        <f aca="false">IF(M217="","",ROW()-7)</f>
        <v/>
      </c>
      <c r="B217" s="70"/>
      <c r="C217" s="71"/>
      <c r="D217" s="72"/>
      <c r="E217" s="71"/>
      <c r="F217" s="73"/>
      <c r="G217" s="73"/>
      <c r="H217" s="42" t="str">
        <f aca="false">IF(M217="","",IF(U217&gt;0,"✔ Matched",IF(M217="OUT","Not yet presented","Not yet credited")))</f>
        <v/>
      </c>
      <c r="I217" s="43" t="str">
        <f aca="false">IF(N(U217)&gt;0,U217,"")</f>
        <v/>
      </c>
      <c r="J217" s="44" t="str">
        <f aca="false">IF(N(U217)&gt;0,T217,"")</f>
        <v/>
      </c>
      <c r="K217" s="45" t="str">
        <f aca="false">IF(AND(M217="",B217="",D217=""),"",IF(AND(N(F217)&gt;0,N(G217)&gt;0),"⚠ Fill deposit OR payment",IF(M217="","⚠ Enter amount",IF(B217="","⚠ Enter date",IF(AND(Setup!$C$8&lt;&gt;"",B217&gt;Setup!$C$8),"⚠ Date after period",IF(AND(O217&lt;&gt;"",COUNTIF($O$8:$O$507,O217)&gt;1),"⚠ Cheque no. used twice","✔"))))))</f>
        <v/>
      </c>
      <c r="M217" s="9" t="str">
        <f aca="false">IF(N(F217)&gt;0,"IN",IF(N(G217)&gt;0,"OUT",""))</f>
        <v/>
      </c>
      <c r="N217" s="9" t="str">
        <f aca="false">IF(M217="","",M217&amp;"|"&amp;TEXT(ROUND(N(F217)+N(G217),2),"0.00"))</f>
        <v/>
      </c>
      <c r="O217" s="9" t="str">
        <f aca="false">IF(OR(N217="",TRIM(E217&amp;"")=""),"",N217&amp;"|"&amp;UPPER(TRIM(E217&amp;"")))</f>
        <v/>
      </c>
      <c r="P217" s="9" t="n">
        <f aca="false">IF(O217="",0,IFERROR(MATCH(O217,'Bank Statement'!$O$8:$O$507,0),0))</f>
        <v>0</v>
      </c>
      <c r="Q217" s="9" t="str">
        <f aca="false">IF(OR(N217="",P217&gt;0),"",N217&amp;"#"&amp;COUNTIFS($N$8:N217,N217,$P$8:P217,0))</f>
        <v/>
      </c>
      <c r="R217" s="9" t="n">
        <f aca="false">IF(Q217="",0,IFERROR(MATCH(Q217,'Bank Statement'!$Q$8:$Q$507,0),0))</f>
        <v>0</v>
      </c>
      <c r="S217" s="9" t="n">
        <f aca="false">IF(P217&gt;0,P217,R217)</f>
        <v>0</v>
      </c>
      <c r="T217" s="9" t="str">
        <f aca="false">IF(OR(S217=0,B217=""),"",INDEX('Bank Statement'!$B$8:$B$507,S217)-B217)</f>
        <v/>
      </c>
      <c r="U217" s="9" t="n">
        <f aca="false">IF(S217=0,0,IF(P217&gt;0,S217,IF(AND(ISNUMBER(T217),ABS(N(T217))&lt;=Setup!$C$11),S217,0)))</f>
        <v>0</v>
      </c>
      <c r="V217" s="9" t="str">
        <f aca="false">IF(AND(N217&lt;&gt;"",U217=0),IF(M217="OUT",1,2)*100000+ROW(),"")</f>
        <v/>
      </c>
      <c r="W217" s="9" t="n">
        <f aca="false">N(F217)+N(G217)</f>
        <v>0</v>
      </c>
    </row>
    <row r="218" customFormat="false" ht="15" hidden="false" customHeight="false" outlineLevel="0" collapsed="false">
      <c r="A218" s="37" t="str">
        <f aca="false">IF(M218="","",ROW()-7)</f>
        <v/>
      </c>
      <c r="B218" s="70"/>
      <c r="C218" s="71"/>
      <c r="D218" s="72"/>
      <c r="E218" s="71"/>
      <c r="F218" s="73"/>
      <c r="G218" s="73"/>
      <c r="H218" s="42" t="str">
        <f aca="false">IF(M218="","",IF(U218&gt;0,"✔ Matched",IF(M218="OUT","Not yet presented","Not yet credited")))</f>
        <v/>
      </c>
      <c r="I218" s="43" t="str">
        <f aca="false">IF(N(U218)&gt;0,U218,"")</f>
        <v/>
      </c>
      <c r="J218" s="44" t="str">
        <f aca="false">IF(N(U218)&gt;0,T218,"")</f>
        <v/>
      </c>
      <c r="K218" s="45" t="str">
        <f aca="false">IF(AND(M218="",B218="",D218=""),"",IF(AND(N(F218)&gt;0,N(G218)&gt;0),"⚠ Fill deposit OR payment",IF(M218="","⚠ Enter amount",IF(B218="","⚠ Enter date",IF(AND(Setup!$C$8&lt;&gt;"",B218&gt;Setup!$C$8),"⚠ Date after period",IF(AND(O218&lt;&gt;"",COUNTIF($O$8:$O$507,O218)&gt;1),"⚠ Cheque no. used twice","✔"))))))</f>
        <v/>
      </c>
      <c r="M218" s="9" t="str">
        <f aca="false">IF(N(F218)&gt;0,"IN",IF(N(G218)&gt;0,"OUT",""))</f>
        <v/>
      </c>
      <c r="N218" s="9" t="str">
        <f aca="false">IF(M218="","",M218&amp;"|"&amp;TEXT(ROUND(N(F218)+N(G218),2),"0.00"))</f>
        <v/>
      </c>
      <c r="O218" s="9" t="str">
        <f aca="false">IF(OR(N218="",TRIM(E218&amp;"")=""),"",N218&amp;"|"&amp;UPPER(TRIM(E218&amp;"")))</f>
        <v/>
      </c>
      <c r="P218" s="9" t="n">
        <f aca="false">IF(O218="",0,IFERROR(MATCH(O218,'Bank Statement'!$O$8:$O$507,0),0))</f>
        <v>0</v>
      </c>
      <c r="Q218" s="9" t="str">
        <f aca="false">IF(OR(N218="",P218&gt;0),"",N218&amp;"#"&amp;COUNTIFS($N$8:N218,N218,$P$8:P218,0))</f>
        <v/>
      </c>
      <c r="R218" s="9" t="n">
        <f aca="false">IF(Q218="",0,IFERROR(MATCH(Q218,'Bank Statement'!$Q$8:$Q$507,0),0))</f>
        <v>0</v>
      </c>
      <c r="S218" s="9" t="n">
        <f aca="false">IF(P218&gt;0,P218,R218)</f>
        <v>0</v>
      </c>
      <c r="T218" s="9" t="str">
        <f aca="false">IF(OR(S218=0,B218=""),"",INDEX('Bank Statement'!$B$8:$B$507,S218)-B218)</f>
        <v/>
      </c>
      <c r="U218" s="9" t="n">
        <f aca="false">IF(S218=0,0,IF(P218&gt;0,S218,IF(AND(ISNUMBER(T218),ABS(N(T218))&lt;=Setup!$C$11),S218,0)))</f>
        <v>0</v>
      </c>
      <c r="V218" s="9" t="str">
        <f aca="false">IF(AND(N218&lt;&gt;"",U218=0),IF(M218="OUT",1,2)*100000+ROW(),"")</f>
        <v/>
      </c>
      <c r="W218" s="9" t="n">
        <f aca="false">N(F218)+N(G218)</f>
        <v>0</v>
      </c>
    </row>
    <row r="219" customFormat="false" ht="15" hidden="false" customHeight="false" outlineLevel="0" collapsed="false">
      <c r="A219" s="37" t="str">
        <f aca="false">IF(M219="","",ROW()-7)</f>
        <v/>
      </c>
      <c r="B219" s="70"/>
      <c r="C219" s="71"/>
      <c r="D219" s="72"/>
      <c r="E219" s="71"/>
      <c r="F219" s="73"/>
      <c r="G219" s="73"/>
      <c r="H219" s="42" t="str">
        <f aca="false">IF(M219="","",IF(U219&gt;0,"✔ Matched",IF(M219="OUT","Not yet presented","Not yet credited")))</f>
        <v/>
      </c>
      <c r="I219" s="43" t="str">
        <f aca="false">IF(N(U219)&gt;0,U219,"")</f>
        <v/>
      </c>
      <c r="J219" s="44" t="str">
        <f aca="false">IF(N(U219)&gt;0,T219,"")</f>
        <v/>
      </c>
      <c r="K219" s="45" t="str">
        <f aca="false">IF(AND(M219="",B219="",D219=""),"",IF(AND(N(F219)&gt;0,N(G219)&gt;0),"⚠ Fill deposit OR payment",IF(M219="","⚠ Enter amount",IF(B219="","⚠ Enter date",IF(AND(Setup!$C$8&lt;&gt;"",B219&gt;Setup!$C$8),"⚠ Date after period",IF(AND(O219&lt;&gt;"",COUNTIF($O$8:$O$507,O219)&gt;1),"⚠ Cheque no. used twice","✔"))))))</f>
        <v/>
      </c>
      <c r="M219" s="9" t="str">
        <f aca="false">IF(N(F219)&gt;0,"IN",IF(N(G219)&gt;0,"OUT",""))</f>
        <v/>
      </c>
      <c r="N219" s="9" t="str">
        <f aca="false">IF(M219="","",M219&amp;"|"&amp;TEXT(ROUND(N(F219)+N(G219),2),"0.00"))</f>
        <v/>
      </c>
      <c r="O219" s="9" t="str">
        <f aca="false">IF(OR(N219="",TRIM(E219&amp;"")=""),"",N219&amp;"|"&amp;UPPER(TRIM(E219&amp;"")))</f>
        <v/>
      </c>
      <c r="P219" s="9" t="n">
        <f aca="false">IF(O219="",0,IFERROR(MATCH(O219,'Bank Statement'!$O$8:$O$507,0),0))</f>
        <v>0</v>
      </c>
      <c r="Q219" s="9" t="str">
        <f aca="false">IF(OR(N219="",P219&gt;0),"",N219&amp;"#"&amp;COUNTIFS($N$8:N219,N219,$P$8:P219,0))</f>
        <v/>
      </c>
      <c r="R219" s="9" t="n">
        <f aca="false">IF(Q219="",0,IFERROR(MATCH(Q219,'Bank Statement'!$Q$8:$Q$507,0),0))</f>
        <v>0</v>
      </c>
      <c r="S219" s="9" t="n">
        <f aca="false">IF(P219&gt;0,P219,R219)</f>
        <v>0</v>
      </c>
      <c r="T219" s="9" t="str">
        <f aca="false">IF(OR(S219=0,B219=""),"",INDEX('Bank Statement'!$B$8:$B$507,S219)-B219)</f>
        <v/>
      </c>
      <c r="U219" s="9" t="n">
        <f aca="false">IF(S219=0,0,IF(P219&gt;0,S219,IF(AND(ISNUMBER(T219),ABS(N(T219))&lt;=Setup!$C$11),S219,0)))</f>
        <v>0</v>
      </c>
      <c r="V219" s="9" t="str">
        <f aca="false">IF(AND(N219&lt;&gt;"",U219=0),IF(M219="OUT",1,2)*100000+ROW(),"")</f>
        <v/>
      </c>
      <c r="W219" s="9" t="n">
        <f aca="false">N(F219)+N(G219)</f>
        <v>0</v>
      </c>
    </row>
    <row r="220" customFormat="false" ht="15" hidden="false" customHeight="false" outlineLevel="0" collapsed="false">
      <c r="A220" s="37" t="str">
        <f aca="false">IF(M220="","",ROW()-7)</f>
        <v/>
      </c>
      <c r="B220" s="70"/>
      <c r="C220" s="71"/>
      <c r="D220" s="72"/>
      <c r="E220" s="71"/>
      <c r="F220" s="73"/>
      <c r="G220" s="73"/>
      <c r="H220" s="42" t="str">
        <f aca="false">IF(M220="","",IF(U220&gt;0,"✔ Matched",IF(M220="OUT","Not yet presented","Not yet credited")))</f>
        <v/>
      </c>
      <c r="I220" s="43" t="str">
        <f aca="false">IF(N(U220)&gt;0,U220,"")</f>
        <v/>
      </c>
      <c r="J220" s="44" t="str">
        <f aca="false">IF(N(U220)&gt;0,T220,"")</f>
        <v/>
      </c>
      <c r="K220" s="45" t="str">
        <f aca="false">IF(AND(M220="",B220="",D220=""),"",IF(AND(N(F220)&gt;0,N(G220)&gt;0),"⚠ Fill deposit OR payment",IF(M220="","⚠ Enter amount",IF(B220="","⚠ Enter date",IF(AND(Setup!$C$8&lt;&gt;"",B220&gt;Setup!$C$8),"⚠ Date after period",IF(AND(O220&lt;&gt;"",COUNTIF($O$8:$O$507,O220)&gt;1),"⚠ Cheque no. used twice","✔"))))))</f>
        <v/>
      </c>
      <c r="M220" s="9" t="str">
        <f aca="false">IF(N(F220)&gt;0,"IN",IF(N(G220)&gt;0,"OUT",""))</f>
        <v/>
      </c>
      <c r="N220" s="9" t="str">
        <f aca="false">IF(M220="","",M220&amp;"|"&amp;TEXT(ROUND(N(F220)+N(G220),2),"0.00"))</f>
        <v/>
      </c>
      <c r="O220" s="9" t="str">
        <f aca="false">IF(OR(N220="",TRIM(E220&amp;"")=""),"",N220&amp;"|"&amp;UPPER(TRIM(E220&amp;"")))</f>
        <v/>
      </c>
      <c r="P220" s="9" t="n">
        <f aca="false">IF(O220="",0,IFERROR(MATCH(O220,'Bank Statement'!$O$8:$O$507,0),0))</f>
        <v>0</v>
      </c>
      <c r="Q220" s="9" t="str">
        <f aca="false">IF(OR(N220="",P220&gt;0),"",N220&amp;"#"&amp;COUNTIFS($N$8:N220,N220,$P$8:P220,0))</f>
        <v/>
      </c>
      <c r="R220" s="9" t="n">
        <f aca="false">IF(Q220="",0,IFERROR(MATCH(Q220,'Bank Statement'!$Q$8:$Q$507,0),0))</f>
        <v>0</v>
      </c>
      <c r="S220" s="9" t="n">
        <f aca="false">IF(P220&gt;0,P220,R220)</f>
        <v>0</v>
      </c>
      <c r="T220" s="9" t="str">
        <f aca="false">IF(OR(S220=0,B220=""),"",INDEX('Bank Statement'!$B$8:$B$507,S220)-B220)</f>
        <v/>
      </c>
      <c r="U220" s="9" t="n">
        <f aca="false">IF(S220=0,0,IF(P220&gt;0,S220,IF(AND(ISNUMBER(T220),ABS(N(T220))&lt;=Setup!$C$11),S220,0)))</f>
        <v>0</v>
      </c>
      <c r="V220" s="9" t="str">
        <f aca="false">IF(AND(N220&lt;&gt;"",U220=0),IF(M220="OUT",1,2)*100000+ROW(),"")</f>
        <v/>
      </c>
      <c r="W220" s="9" t="n">
        <f aca="false">N(F220)+N(G220)</f>
        <v>0</v>
      </c>
    </row>
    <row r="221" customFormat="false" ht="15" hidden="false" customHeight="false" outlineLevel="0" collapsed="false">
      <c r="A221" s="37" t="str">
        <f aca="false">IF(M221="","",ROW()-7)</f>
        <v/>
      </c>
      <c r="B221" s="70"/>
      <c r="C221" s="71"/>
      <c r="D221" s="72"/>
      <c r="E221" s="71"/>
      <c r="F221" s="73"/>
      <c r="G221" s="73"/>
      <c r="H221" s="42" t="str">
        <f aca="false">IF(M221="","",IF(U221&gt;0,"✔ Matched",IF(M221="OUT","Not yet presented","Not yet credited")))</f>
        <v/>
      </c>
      <c r="I221" s="43" t="str">
        <f aca="false">IF(N(U221)&gt;0,U221,"")</f>
        <v/>
      </c>
      <c r="J221" s="44" t="str">
        <f aca="false">IF(N(U221)&gt;0,T221,"")</f>
        <v/>
      </c>
      <c r="K221" s="45" t="str">
        <f aca="false">IF(AND(M221="",B221="",D221=""),"",IF(AND(N(F221)&gt;0,N(G221)&gt;0),"⚠ Fill deposit OR payment",IF(M221="","⚠ Enter amount",IF(B221="","⚠ Enter date",IF(AND(Setup!$C$8&lt;&gt;"",B221&gt;Setup!$C$8),"⚠ Date after period",IF(AND(O221&lt;&gt;"",COUNTIF($O$8:$O$507,O221)&gt;1),"⚠ Cheque no. used twice","✔"))))))</f>
        <v/>
      </c>
      <c r="M221" s="9" t="str">
        <f aca="false">IF(N(F221)&gt;0,"IN",IF(N(G221)&gt;0,"OUT",""))</f>
        <v/>
      </c>
      <c r="N221" s="9" t="str">
        <f aca="false">IF(M221="","",M221&amp;"|"&amp;TEXT(ROUND(N(F221)+N(G221),2),"0.00"))</f>
        <v/>
      </c>
      <c r="O221" s="9" t="str">
        <f aca="false">IF(OR(N221="",TRIM(E221&amp;"")=""),"",N221&amp;"|"&amp;UPPER(TRIM(E221&amp;"")))</f>
        <v/>
      </c>
      <c r="P221" s="9" t="n">
        <f aca="false">IF(O221="",0,IFERROR(MATCH(O221,'Bank Statement'!$O$8:$O$507,0),0))</f>
        <v>0</v>
      </c>
      <c r="Q221" s="9" t="str">
        <f aca="false">IF(OR(N221="",P221&gt;0),"",N221&amp;"#"&amp;COUNTIFS($N$8:N221,N221,$P$8:P221,0))</f>
        <v/>
      </c>
      <c r="R221" s="9" t="n">
        <f aca="false">IF(Q221="",0,IFERROR(MATCH(Q221,'Bank Statement'!$Q$8:$Q$507,0),0))</f>
        <v>0</v>
      </c>
      <c r="S221" s="9" t="n">
        <f aca="false">IF(P221&gt;0,P221,R221)</f>
        <v>0</v>
      </c>
      <c r="T221" s="9" t="str">
        <f aca="false">IF(OR(S221=0,B221=""),"",INDEX('Bank Statement'!$B$8:$B$507,S221)-B221)</f>
        <v/>
      </c>
      <c r="U221" s="9" t="n">
        <f aca="false">IF(S221=0,0,IF(P221&gt;0,S221,IF(AND(ISNUMBER(T221),ABS(N(T221))&lt;=Setup!$C$11),S221,0)))</f>
        <v>0</v>
      </c>
      <c r="V221" s="9" t="str">
        <f aca="false">IF(AND(N221&lt;&gt;"",U221=0),IF(M221="OUT",1,2)*100000+ROW(),"")</f>
        <v/>
      </c>
      <c r="W221" s="9" t="n">
        <f aca="false">N(F221)+N(G221)</f>
        <v>0</v>
      </c>
    </row>
    <row r="222" customFormat="false" ht="15" hidden="false" customHeight="false" outlineLevel="0" collapsed="false">
      <c r="A222" s="37" t="str">
        <f aca="false">IF(M222="","",ROW()-7)</f>
        <v/>
      </c>
      <c r="B222" s="70"/>
      <c r="C222" s="71"/>
      <c r="D222" s="72"/>
      <c r="E222" s="71"/>
      <c r="F222" s="73"/>
      <c r="G222" s="73"/>
      <c r="H222" s="42" t="str">
        <f aca="false">IF(M222="","",IF(U222&gt;0,"✔ Matched",IF(M222="OUT","Not yet presented","Not yet credited")))</f>
        <v/>
      </c>
      <c r="I222" s="43" t="str">
        <f aca="false">IF(N(U222)&gt;0,U222,"")</f>
        <v/>
      </c>
      <c r="J222" s="44" t="str">
        <f aca="false">IF(N(U222)&gt;0,T222,"")</f>
        <v/>
      </c>
      <c r="K222" s="45" t="str">
        <f aca="false">IF(AND(M222="",B222="",D222=""),"",IF(AND(N(F222)&gt;0,N(G222)&gt;0),"⚠ Fill deposit OR payment",IF(M222="","⚠ Enter amount",IF(B222="","⚠ Enter date",IF(AND(Setup!$C$8&lt;&gt;"",B222&gt;Setup!$C$8),"⚠ Date after period",IF(AND(O222&lt;&gt;"",COUNTIF($O$8:$O$507,O222)&gt;1),"⚠ Cheque no. used twice","✔"))))))</f>
        <v/>
      </c>
      <c r="M222" s="9" t="str">
        <f aca="false">IF(N(F222)&gt;0,"IN",IF(N(G222)&gt;0,"OUT",""))</f>
        <v/>
      </c>
      <c r="N222" s="9" t="str">
        <f aca="false">IF(M222="","",M222&amp;"|"&amp;TEXT(ROUND(N(F222)+N(G222),2),"0.00"))</f>
        <v/>
      </c>
      <c r="O222" s="9" t="str">
        <f aca="false">IF(OR(N222="",TRIM(E222&amp;"")=""),"",N222&amp;"|"&amp;UPPER(TRIM(E222&amp;"")))</f>
        <v/>
      </c>
      <c r="P222" s="9" t="n">
        <f aca="false">IF(O222="",0,IFERROR(MATCH(O222,'Bank Statement'!$O$8:$O$507,0),0))</f>
        <v>0</v>
      </c>
      <c r="Q222" s="9" t="str">
        <f aca="false">IF(OR(N222="",P222&gt;0),"",N222&amp;"#"&amp;COUNTIFS($N$8:N222,N222,$P$8:P222,0))</f>
        <v/>
      </c>
      <c r="R222" s="9" t="n">
        <f aca="false">IF(Q222="",0,IFERROR(MATCH(Q222,'Bank Statement'!$Q$8:$Q$507,0),0))</f>
        <v>0</v>
      </c>
      <c r="S222" s="9" t="n">
        <f aca="false">IF(P222&gt;0,P222,R222)</f>
        <v>0</v>
      </c>
      <c r="T222" s="9" t="str">
        <f aca="false">IF(OR(S222=0,B222=""),"",INDEX('Bank Statement'!$B$8:$B$507,S222)-B222)</f>
        <v/>
      </c>
      <c r="U222" s="9" t="n">
        <f aca="false">IF(S222=0,0,IF(P222&gt;0,S222,IF(AND(ISNUMBER(T222),ABS(N(T222))&lt;=Setup!$C$11),S222,0)))</f>
        <v>0</v>
      </c>
      <c r="V222" s="9" t="str">
        <f aca="false">IF(AND(N222&lt;&gt;"",U222=0),IF(M222="OUT",1,2)*100000+ROW(),"")</f>
        <v/>
      </c>
      <c r="W222" s="9" t="n">
        <f aca="false">N(F222)+N(G222)</f>
        <v>0</v>
      </c>
    </row>
    <row r="223" customFormat="false" ht="15" hidden="false" customHeight="false" outlineLevel="0" collapsed="false">
      <c r="A223" s="37" t="str">
        <f aca="false">IF(M223="","",ROW()-7)</f>
        <v/>
      </c>
      <c r="B223" s="70"/>
      <c r="C223" s="71"/>
      <c r="D223" s="72"/>
      <c r="E223" s="71"/>
      <c r="F223" s="73"/>
      <c r="G223" s="73"/>
      <c r="H223" s="42" t="str">
        <f aca="false">IF(M223="","",IF(U223&gt;0,"✔ Matched",IF(M223="OUT","Not yet presented","Not yet credited")))</f>
        <v/>
      </c>
      <c r="I223" s="43" t="str">
        <f aca="false">IF(N(U223)&gt;0,U223,"")</f>
        <v/>
      </c>
      <c r="J223" s="44" t="str">
        <f aca="false">IF(N(U223)&gt;0,T223,"")</f>
        <v/>
      </c>
      <c r="K223" s="45" t="str">
        <f aca="false">IF(AND(M223="",B223="",D223=""),"",IF(AND(N(F223)&gt;0,N(G223)&gt;0),"⚠ Fill deposit OR payment",IF(M223="","⚠ Enter amount",IF(B223="","⚠ Enter date",IF(AND(Setup!$C$8&lt;&gt;"",B223&gt;Setup!$C$8),"⚠ Date after period",IF(AND(O223&lt;&gt;"",COUNTIF($O$8:$O$507,O223)&gt;1),"⚠ Cheque no. used twice","✔"))))))</f>
        <v/>
      </c>
      <c r="M223" s="9" t="str">
        <f aca="false">IF(N(F223)&gt;0,"IN",IF(N(G223)&gt;0,"OUT",""))</f>
        <v/>
      </c>
      <c r="N223" s="9" t="str">
        <f aca="false">IF(M223="","",M223&amp;"|"&amp;TEXT(ROUND(N(F223)+N(G223),2),"0.00"))</f>
        <v/>
      </c>
      <c r="O223" s="9" t="str">
        <f aca="false">IF(OR(N223="",TRIM(E223&amp;"")=""),"",N223&amp;"|"&amp;UPPER(TRIM(E223&amp;"")))</f>
        <v/>
      </c>
      <c r="P223" s="9" t="n">
        <f aca="false">IF(O223="",0,IFERROR(MATCH(O223,'Bank Statement'!$O$8:$O$507,0),0))</f>
        <v>0</v>
      </c>
      <c r="Q223" s="9" t="str">
        <f aca="false">IF(OR(N223="",P223&gt;0),"",N223&amp;"#"&amp;COUNTIFS($N$8:N223,N223,$P$8:P223,0))</f>
        <v/>
      </c>
      <c r="R223" s="9" t="n">
        <f aca="false">IF(Q223="",0,IFERROR(MATCH(Q223,'Bank Statement'!$Q$8:$Q$507,0),0))</f>
        <v>0</v>
      </c>
      <c r="S223" s="9" t="n">
        <f aca="false">IF(P223&gt;0,P223,R223)</f>
        <v>0</v>
      </c>
      <c r="T223" s="9" t="str">
        <f aca="false">IF(OR(S223=0,B223=""),"",INDEX('Bank Statement'!$B$8:$B$507,S223)-B223)</f>
        <v/>
      </c>
      <c r="U223" s="9" t="n">
        <f aca="false">IF(S223=0,0,IF(P223&gt;0,S223,IF(AND(ISNUMBER(T223),ABS(N(T223))&lt;=Setup!$C$11),S223,0)))</f>
        <v>0</v>
      </c>
      <c r="V223" s="9" t="str">
        <f aca="false">IF(AND(N223&lt;&gt;"",U223=0),IF(M223="OUT",1,2)*100000+ROW(),"")</f>
        <v/>
      </c>
      <c r="W223" s="9" t="n">
        <f aca="false">N(F223)+N(G223)</f>
        <v>0</v>
      </c>
    </row>
    <row r="224" customFormat="false" ht="15" hidden="false" customHeight="false" outlineLevel="0" collapsed="false">
      <c r="A224" s="37" t="str">
        <f aca="false">IF(M224="","",ROW()-7)</f>
        <v/>
      </c>
      <c r="B224" s="70"/>
      <c r="C224" s="71"/>
      <c r="D224" s="72"/>
      <c r="E224" s="71"/>
      <c r="F224" s="73"/>
      <c r="G224" s="73"/>
      <c r="H224" s="42" t="str">
        <f aca="false">IF(M224="","",IF(U224&gt;0,"✔ Matched",IF(M224="OUT","Not yet presented","Not yet credited")))</f>
        <v/>
      </c>
      <c r="I224" s="43" t="str">
        <f aca="false">IF(N(U224)&gt;0,U224,"")</f>
        <v/>
      </c>
      <c r="J224" s="44" t="str">
        <f aca="false">IF(N(U224)&gt;0,T224,"")</f>
        <v/>
      </c>
      <c r="K224" s="45" t="str">
        <f aca="false">IF(AND(M224="",B224="",D224=""),"",IF(AND(N(F224)&gt;0,N(G224)&gt;0),"⚠ Fill deposit OR payment",IF(M224="","⚠ Enter amount",IF(B224="","⚠ Enter date",IF(AND(Setup!$C$8&lt;&gt;"",B224&gt;Setup!$C$8),"⚠ Date after period",IF(AND(O224&lt;&gt;"",COUNTIF($O$8:$O$507,O224)&gt;1),"⚠ Cheque no. used twice","✔"))))))</f>
        <v/>
      </c>
      <c r="M224" s="9" t="str">
        <f aca="false">IF(N(F224)&gt;0,"IN",IF(N(G224)&gt;0,"OUT",""))</f>
        <v/>
      </c>
      <c r="N224" s="9" t="str">
        <f aca="false">IF(M224="","",M224&amp;"|"&amp;TEXT(ROUND(N(F224)+N(G224),2),"0.00"))</f>
        <v/>
      </c>
      <c r="O224" s="9" t="str">
        <f aca="false">IF(OR(N224="",TRIM(E224&amp;"")=""),"",N224&amp;"|"&amp;UPPER(TRIM(E224&amp;"")))</f>
        <v/>
      </c>
      <c r="P224" s="9" t="n">
        <f aca="false">IF(O224="",0,IFERROR(MATCH(O224,'Bank Statement'!$O$8:$O$507,0),0))</f>
        <v>0</v>
      </c>
      <c r="Q224" s="9" t="str">
        <f aca="false">IF(OR(N224="",P224&gt;0),"",N224&amp;"#"&amp;COUNTIFS($N$8:N224,N224,$P$8:P224,0))</f>
        <v/>
      </c>
      <c r="R224" s="9" t="n">
        <f aca="false">IF(Q224="",0,IFERROR(MATCH(Q224,'Bank Statement'!$Q$8:$Q$507,0),0))</f>
        <v>0</v>
      </c>
      <c r="S224" s="9" t="n">
        <f aca="false">IF(P224&gt;0,P224,R224)</f>
        <v>0</v>
      </c>
      <c r="T224" s="9" t="str">
        <f aca="false">IF(OR(S224=0,B224=""),"",INDEX('Bank Statement'!$B$8:$B$507,S224)-B224)</f>
        <v/>
      </c>
      <c r="U224" s="9" t="n">
        <f aca="false">IF(S224=0,0,IF(P224&gt;0,S224,IF(AND(ISNUMBER(T224),ABS(N(T224))&lt;=Setup!$C$11),S224,0)))</f>
        <v>0</v>
      </c>
      <c r="V224" s="9" t="str">
        <f aca="false">IF(AND(N224&lt;&gt;"",U224=0),IF(M224="OUT",1,2)*100000+ROW(),"")</f>
        <v/>
      </c>
      <c r="W224" s="9" t="n">
        <f aca="false">N(F224)+N(G224)</f>
        <v>0</v>
      </c>
    </row>
    <row r="225" customFormat="false" ht="15" hidden="false" customHeight="false" outlineLevel="0" collapsed="false">
      <c r="A225" s="37" t="str">
        <f aca="false">IF(M225="","",ROW()-7)</f>
        <v/>
      </c>
      <c r="B225" s="70"/>
      <c r="C225" s="71"/>
      <c r="D225" s="72"/>
      <c r="E225" s="71"/>
      <c r="F225" s="73"/>
      <c r="G225" s="73"/>
      <c r="H225" s="42" t="str">
        <f aca="false">IF(M225="","",IF(U225&gt;0,"✔ Matched",IF(M225="OUT","Not yet presented","Not yet credited")))</f>
        <v/>
      </c>
      <c r="I225" s="43" t="str">
        <f aca="false">IF(N(U225)&gt;0,U225,"")</f>
        <v/>
      </c>
      <c r="J225" s="44" t="str">
        <f aca="false">IF(N(U225)&gt;0,T225,"")</f>
        <v/>
      </c>
      <c r="K225" s="45" t="str">
        <f aca="false">IF(AND(M225="",B225="",D225=""),"",IF(AND(N(F225)&gt;0,N(G225)&gt;0),"⚠ Fill deposit OR payment",IF(M225="","⚠ Enter amount",IF(B225="","⚠ Enter date",IF(AND(Setup!$C$8&lt;&gt;"",B225&gt;Setup!$C$8),"⚠ Date after period",IF(AND(O225&lt;&gt;"",COUNTIF($O$8:$O$507,O225)&gt;1),"⚠ Cheque no. used twice","✔"))))))</f>
        <v/>
      </c>
      <c r="M225" s="9" t="str">
        <f aca="false">IF(N(F225)&gt;0,"IN",IF(N(G225)&gt;0,"OUT",""))</f>
        <v/>
      </c>
      <c r="N225" s="9" t="str">
        <f aca="false">IF(M225="","",M225&amp;"|"&amp;TEXT(ROUND(N(F225)+N(G225),2),"0.00"))</f>
        <v/>
      </c>
      <c r="O225" s="9" t="str">
        <f aca="false">IF(OR(N225="",TRIM(E225&amp;"")=""),"",N225&amp;"|"&amp;UPPER(TRIM(E225&amp;"")))</f>
        <v/>
      </c>
      <c r="P225" s="9" t="n">
        <f aca="false">IF(O225="",0,IFERROR(MATCH(O225,'Bank Statement'!$O$8:$O$507,0),0))</f>
        <v>0</v>
      </c>
      <c r="Q225" s="9" t="str">
        <f aca="false">IF(OR(N225="",P225&gt;0),"",N225&amp;"#"&amp;COUNTIFS($N$8:N225,N225,$P$8:P225,0))</f>
        <v/>
      </c>
      <c r="R225" s="9" t="n">
        <f aca="false">IF(Q225="",0,IFERROR(MATCH(Q225,'Bank Statement'!$Q$8:$Q$507,0),0))</f>
        <v>0</v>
      </c>
      <c r="S225" s="9" t="n">
        <f aca="false">IF(P225&gt;0,P225,R225)</f>
        <v>0</v>
      </c>
      <c r="T225" s="9" t="str">
        <f aca="false">IF(OR(S225=0,B225=""),"",INDEX('Bank Statement'!$B$8:$B$507,S225)-B225)</f>
        <v/>
      </c>
      <c r="U225" s="9" t="n">
        <f aca="false">IF(S225=0,0,IF(P225&gt;0,S225,IF(AND(ISNUMBER(T225),ABS(N(T225))&lt;=Setup!$C$11),S225,0)))</f>
        <v>0</v>
      </c>
      <c r="V225" s="9" t="str">
        <f aca="false">IF(AND(N225&lt;&gt;"",U225=0),IF(M225="OUT",1,2)*100000+ROW(),"")</f>
        <v/>
      </c>
      <c r="W225" s="9" t="n">
        <f aca="false">N(F225)+N(G225)</f>
        <v>0</v>
      </c>
    </row>
    <row r="226" customFormat="false" ht="15" hidden="false" customHeight="false" outlineLevel="0" collapsed="false">
      <c r="A226" s="37" t="str">
        <f aca="false">IF(M226="","",ROW()-7)</f>
        <v/>
      </c>
      <c r="B226" s="70"/>
      <c r="C226" s="71"/>
      <c r="D226" s="72"/>
      <c r="E226" s="71"/>
      <c r="F226" s="73"/>
      <c r="G226" s="73"/>
      <c r="H226" s="42" t="str">
        <f aca="false">IF(M226="","",IF(U226&gt;0,"✔ Matched",IF(M226="OUT","Not yet presented","Not yet credited")))</f>
        <v/>
      </c>
      <c r="I226" s="43" t="str">
        <f aca="false">IF(N(U226)&gt;0,U226,"")</f>
        <v/>
      </c>
      <c r="J226" s="44" t="str">
        <f aca="false">IF(N(U226)&gt;0,T226,"")</f>
        <v/>
      </c>
      <c r="K226" s="45" t="str">
        <f aca="false">IF(AND(M226="",B226="",D226=""),"",IF(AND(N(F226)&gt;0,N(G226)&gt;0),"⚠ Fill deposit OR payment",IF(M226="","⚠ Enter amount",IF(B226="","⚠ Enter date",IF(AND(Setup!$C$8&lt;&gt;"",B226&gt;Setup!$C$8),"⚠ Date after period",IF(AND(O226&lt;&gt;"",COUNTIF($O$8:$O$507,O226)&gt;1),"⚠ Cheque no. used twice","✔"))))))</f>
        <v/>
      </c>
      <c r="M226" s="9" t="str">
        <f aca="false">IF(N(F226)&gt;0,"IN",IF(N(G226)&gt;0,"OUT",""))</f>
        <v/>
      </c>
      <c r="N226" s="9" t="str">
        <f aca="false">IF(M226="","",M226&amp;"|"&amp;TEXT(ROUND(N(F226)+N(G226),2),"0.00"))</f>
        <v/>
      </c>
      <c r="O226" s="9" t="str">
        <f aca="false">IF(OR(N226="",TRIM(E226&amp;"")=""),"",N226&amp;"|"&amp;UPPER(TRIM(E226&amp;"")))</f>
        <v/>
      </c>
      <c r="P226" s="9" t="n">
        <f aca="false">IF(O226="",0,IFERROR(MATCH(O226,'Bank Statement'!$O$8:$O$507,0),0))</f>
        <v>0</v>
      </c>
      <c r="Q226" s="9" t="str">
        <f aca="false">IF(OR(N226="",P226&gt;0),"",N226&amp;"#"&amp;COUNTIFS($N$8:N226,N226,$P$8:P226,0))</f>
        <v/>
      </c>
      <c r="R226" s="9" t="n">
        <f aca="false">IF(Q226="",0,IFERROR(MATCH(Q226,'Bank Statement'!$Q$8:$Q$507,0),0))</f>
        <v>0</v>
      </c>
      <c r="S226" s="9" t="n">
        <f aca="false">IF(P226&gt;0,P226,R226)</f>
        <v>0</v>
      </c>
      <c r="T226" s="9" t="str">
        <f aca="false">IF(OR(S226=0,B226=""),"",INDEX('Bank Statement'!$B$8:$B$507,S226)-B226)</f>
        <v/>
      </c>
      <c r="U226" s="9" t="n">
        <f aca="false">IF(S226=0,0,IF(P226&gt;0,S226,IF(AND(ISNUMBER(T226),ABS(N(T226))&lt;=Setup!$C$11),S226,0)))</f>
        <v>0</v>
      </c>
      <c r="V226" s="9" t="str">
        <f aca="false">IF(AND(N226&lt;&gt;"",U226=0),IF(M226="OUT",1,2)*100000+ROW(),"")</f>
        <v/>
      </c>
      <c r="W226" s="9" t="n">
        <f aca="false">N(F226)+N(G226)</f>
        <v>0</v>
      </c>
    </row>
    <row r="227" customFormat="false" ht="15" hidden="false" customHeight="false" outlineLevel="0" collapsed="false">
      <c r="A227" s="37" t="str">
        <f aca="false">IF(M227="","",ROW()-7)</f>
        <v/>
      </c>
      <c r="B227" s="70"/>
      <c r="C227" s="71"/>
      <c r="D227" s="72"/>
      <c r="E227" s="71"/>
      <c r="F227" s="73"/>
      <c r="G227" s="73"/>
      <c r="H227" s="42" t="str">
        <f aca="false">IF(M227="","",IF(U227&gt;0,"✔ Matched",IF(M227="OUT","Not yet presented","Not yet credited")))</f>
        <v/>
      </c>
      <c r="I227" s="43" t="str">
        <f aca="false">IF(N(U227)&gt;0,U227,"")</f>
        <v/>
      </c>
      <c r="J227" s="44" t="str">
        <f aca="false">IF(N(U227)&gt;0,T227,"")</f>
        <v/>
      </c>
      <c r="K227" s="45" t="str">
        <f aca="false">IF(AND(M227="",B227="",D227=""),"",IF(AND(N(F227)&gt;0,N(G227)&gt;0),"⚠ Fill deposit OR payment",IF(M227="","⚠ Enter amount",IF(B227="","⚠ Enter date",IF(AND(Setup!$C$8&lt;&gt;"",B227&gt;Setup!$C$8),"⚠ Date after period",IF(AND(O227&lt;&gt;"",COUNTIF($O$8:$O$507,O227)&gt;1),"⚠ Cheque no. used twice","✔"))))))</f>
        <v/>
      </c>
      <c r="M227" s="9" t="str">
        <f aca="false">IF(N(F227)&gt;0,"IN",IF(N(G227)&gt;0,"OUT",""))</f>
        <v/>
      </c>
      <c r="N227" s="9" t="str">
        <f aca="false">IF(M227="","",M227&amp;"|"&amp;TEXT(ROUND(N(F227)+N(G227),2),"0.00"))</f>
        <v/>
      </c>
      <c r="O227" s="9" t="str">
        <f aca="false">IF(OR(N227="",TRIM(E227&amp;"")=""),"",N227&amp;"|"&amp;UPPER(TRIM(E227&amp;"")))</f>
        <v/>
      </c>
      <c r="P227" s="9" t="n">
        <f aca="false">IF(O227="",0,IFERROR(MATCH(O227,'Bank Statement'!$O$8:$O$507,0),0))</f>
        <v>0</v>
      </c>
      <c r="Q227" s="9" t="str">
        <f aca="false">IF(OR(N227="",P227&gt;0),"",N227&amp;"#"&amp;COUNTIFS($N$8:N227,N227,$P$8:P227,0))</f>
        <v/>
      </c>
      <c r="R227" s="9" t="n">
        <f aca="false">IF(Q227="",0,IFERROR(MATCH(Q227,'Bank Statement'!$Q$8:$Q$507,0),0))</f>
        <v>0</v>
      </c>
      <c r="S227" s="9" t="n">
        <f aca="false">IF(P227&gt;0,P227,R227)</f>
        <v>0</v>
      </c>
      <c r="T227" s="9" t="str">
        <f aca="false">IF(OR(S227=0,B227=""),"",INDEX('Bank Statement'!$B$8:$B$507,S227)-B227)</f>
        <v/>
      </c>
      <c r="U227" s="9" t="n">
        <f aca="false">IF(S227=0,0,IF(P227&gt;0,S227,IF(AND(ISNUMBER(T227),ABS(N(T227))&lt;=Setup!$C$11),S227,0)))</f>
        <v>0</v>
      </c>
      <c r="V227" s="9" t="str">
        <f aca="false">IF(AND(N227&lt;&gt;"",U227=0),IF(M227="OUT",1,2)*100000+ROW(),"")</f>
        <v/>
      </c>
      <c r="W227" s="9" t="n">
        <f aca="false">N(F227)+N(G227)</f>
        <v>0</v>
      </c>
    </row>
    <row r="228" customFormat="false" ht="15" hidden="false" customHeight="false" outlineLevel="0" collapsed="false">
      <c r="A228" s="37" t="str">
        <f aca="false">IF(M228="","",ROW()-7)</f>
        <v/>
      </c>
      <c r="B228" s="70"/>
      <c r="C228" s="71"/>
      <c r="D228" s="72"/>
      <c r="E228" s="71"/>
      <c r="F228" s="73"/>
      <c r="G228" s="73"/>
      <c r="H228" s="42" t="str">
        <f aca="false">IF(M228="","",IF(U228&gt;0,"✔ Matched",IF(M228="OUT","Not yet presented","Not yet credited")))</f>
        <v/>
      </c>
      <c r="I228" s="43" t="str">
        <f aca="false">IF(N(U228)&gt;0,U228,"")</f>
        <v/>
      </c>
      <c r="J228" s="44" t="str">
        <f aca="false">IF(N(U228)&gt;0,T228,"")</f>
        <v/>
      </c>
      <c r="K228" s="45" t="str">
        <f aca="false">IF(AND(M228="",B228="",D228=""),"",IF(AND(N(F228)&gt;0,N(G228)&gt;0),"⚠ Fill deposit OR payment",IF(M228="","⚠ Enter amount",IF(B228="","⚠ Enter date",IF(AND(Setup!$C$8&lt;&gt;"",B228&gt;Setup!$C$8),"⚠ Date after period",IF(AND(O228&lt;&gt;"",COUNTIF($O$8:$O$507,O228)&gt;1),"⚠ Cheque no. used twice","✔"))))))</f>
        <v/>
      </c>
      <c r="M228" s="9" t="str">
        <f aca="false">IF(N(F228)&gt;0,"IN",IF(N(G228)&gt;0,"OUT",""))</f>
        <v/>
      </c>
      <c r="N228" s="9" t="str">
        <f aca="false">IF(M228="","",M228&amp;"|"&amp;TEXT(ROUND(N(F228)+N(G228),2),"0.00"))</f>
        <v/>
      </c>
      <c r="O228" s="9" t="str">
        <f aca="false">IF(OR(N228="",TRIM(E228&amp;"")=""),"",N228&amp;"|"&amp;UPPER(TRIM(E228&amp;"")))</f>
        <v/>
      </c>
      <c r="P228" s="9" t="n">
        <f aca="false">IF(O228="",0,IFERROR(MATCH(O228,'Bank Statement'!$O$8:$O$507,0),0))</f>
        <v>0</v>
      </c>
      <c r="Q228" s="9" t="str">
        <f aca="false">IF(OR(N228="",P228&gt;0),"",N228&amp;"#"&amp;COUNTIFS($N$8:N228,N228,$P$8:P228,0))</f>
        <v/>
      </c>
      <c r="R228" s="9" t="n">
        <f aca="false">IF(Q228="",0,IFERROR(MATCH(Q228,'Bank Statement'!$Q$8:$Q$507,0),0))</f>
        <v>0</v>
      </c>
      <c r="S228" s="9" t="n">
        <f aca="false">IF(P228&gt;0,P228,R228)</f>
        <v>0</v>
      </c>
      <c r="T228" s="9" t="str">
        <f aca="false">IF(OR(S228=0,B228=""),"",INDEX('Bank Statement'!$B$8:$B$507,S228)-B228)</f>
        <v/>
      </c>
      <c r="U228" s="9" t="n">
        <f aca="false">IF(S228=0,0,IF(P228&gt;0,S228,IF(AND(ISNUMBER(T228),ABS(N(T228))&lt;=Setup!$C$11),S228,0)))</f>
        <v>0</v>
      </c>
      <c r="V228" s="9" t="str">
        <f aca="false">IF(AND(N228&lt;&gt;"",U228=0),IF(M228="OUT",1,2)*100000+ROW(),"")</f>
        <v/>
      </c>
      <c r="W228" s="9" t="n">
        <f aca="false">N(F228)+N(G228)</f>
        <v>0</v>
      </c>
    </row>
    <row r="229" customFormat="false" ht="15" hidden="false" customHeight="false" outlineLevel="0" collapsed="false">
      <c r="A229" s="37" t="str">
        <f aca="false">IF(M229="","",ROW()-7)</f>
        <v/>
      </c>
      <c r="B229" s="70"/>
      <c r="C229" s="71"/>
      <c r="D229" s="72"/>
      <c r="E229" s="71"/>
      <c r="F229" s="73"/>
      <c r="G229" s="73"/>
      <c r="H229" s="42" t="str">
        <f aca="false">IF(M229="","",IF(U229&gt;0,"✔ Matched",IF(M229="OUT","Not yet presented","Not yet credited")))</f>
        <v/>
      </c>
      <c r="I229" s="43" t="str">
        <f aca="false">IF(N(U229)&gt;0,U229,"")</f>
        <v/>
      </c>
      <c r="J229" s="44" t="str">
        <f aca="false">IF(N(U229)&gt;0,T229,"")</f>
        <v/>
      </c>
      <c r="K229" s="45" t="str">
        <f aca="false">IF(AND(M229="",B229="",D229=""),"",IF(AND(N(F229)&gt;0,N(G229)&gt;0),"⚠ Fill deposit OR payment",IF(M229="","⚠ Enter amount",IF(B229="","⚠ Enter date",IF(AND(Setup!$C$8&lt;&gt;"",B229&gt;Setup!$C$8),"⚠ Date after period",IF(AND(O229&lt;&gt;"",COUNTIF($O$8:$O$507,O229)&gt;1),"⚠ Cheque no. used twice","✔"))))))</f>
        <v/>
      </c>
      <c r="M229" s="9" t="str">
        <f aca="false">IF(N(F229)&gt;0,"IN",IF(N(G229)&gt;0,"OUT",""))</f>
        <v/>
      </c>
      <c r="N229" s="9" t="str">
        <f aca="false">IF(M229="","",M229&amp;"|"&amp;TEXT(ROUND(N(F229)+N(G229),2),"0.00"))</f>
        <v/>
      </c>
      <c r="O229" s="9" t="str">
        <f aca="false">IF(OR(N229="",TRIM(E229&amp;"")=""),"",N229&amp;"|"&amp;UPPER(TRIM(E229&amp;"")))</f>
        <v/>
      </c>
      <c r="P229" s="9" t="n">
        <f aca="false">IF(O229="",0,IFERROR(MATCH(O229,'Bank Statement'!$O$8:$O$507,0),0))</f>
        <v>0</v>
      </c>
      <c r="Q229" s="9" t="str">
        <f aca="false">IF(OR(N229="",P229&gt;0),"",N229&amp;"#"&amp;COUNTIFS($N$8:N229,N229,$P$8:P229,0))</f>
        <v/>
      </c>
      <c r="R229" s="9" t="n">
        <f aca="false">IF(Q229="",0,IFERROR(MATCH(Q229,'Bank Statement'!$Q$8:$Q$507,0),0))</f>
        <v>0</v>
      </c>
      <c r="S229" s="9" t="n">
        <f aca="false">IF(P229&gt;0,P229,R229)</f>
        <v>0</v>
      </c>
      <c r="T229" s="9" t="str">
        <f aca="false">IF(OR(S229=0,B229=""),"",INDEX('Bank Statement'!$B$8:$B$507,S229)-B229)</f>
        <v/>
      </c>
      <c r="U229" s="9" t="n">
        <f aca="false">IF(S229=0,0,IF(P229&gt;0,S229,IF(AND(ISNUMBER(T229),ABS(N(T229))&lt;=Setup!$C$11),S229,0)))</f>
        <v>0</v>
      </c>
      <c r="V229" s="9" t="str">
        <f aca="false">IF(AND(N229&lt;&gt;"",U229=0),IF(M229="OUT",1,2)*100000+ROW(),"")</f>
        <v/>
      </c>
      <c r="W229" s="9" t="n">
        <f aca="false">N(F229)+N(G229)</f>
        <v>0</v>
      </c>
    </row>
    <row r="230" customFormat="false" ht="15" hidden="false" customHeight="false" outlineLevel="0" collapsed="false">
      <c r="A230" s="37" t="str">
        <f aca="false">IF(M230="","",ROW()-7)</f>
        <v/>
      </c>
      <c r="B230" s="70"/>
      <c r="C230" s="71"/>
      <c r="D230" s="72"/>
      <c r="E230" s="71"/>
      <c r="F230" s="73"/>
      <c r="G230" s="73"/>
      <c r="H230" s="42" t="str">
        <f aca="false">IF(M230="","",IF(U230&gt;0,"✔ Matched",IF(M230="OUT","Not yet presented","Not yet credited")))</f>
        <v/>
      </c>
      <c r="I230" s="43" t="str">
        <f aca="false">IF(N(U230)&gt;0,U230,"")</f>
        <v/>
      </c>
      <c r="J230" s="44" t="str">
        <f aca="false">IF(N(U230)&gt;0,T230,"")</f>
        <v/>
      </c>
      <c r="K230" s="45" t="str">
        <f aca="false">IF(AND(M230="",B230="",D230=""),"",IF(AND(N(F230)&gt;0,N(G230)&gt;0),"⚠ Fill deposit OR payment",IF(M230="","⚠ Enter amount",IF(B230="","⚠ Enter date",IF(AND(Setup!$C$8&lt;&gt;"",B230&gt;Setup!$C$8),"⚠ Date after period",IF(AND(O230&lt;&gt;"",COUNTIF($O$8:$O$507,O230)&gt;1),"⚠ Cheque no. used twice","✔"))))))</f>
        <v/>
      </c>
      <c r="M230" s="9" t="str">
        <f aca="false">IF(N(F230)&gt;0,"IN",IF(N(G230)&gt;0,"OUT",""))</f>
        <v/>
      </c>
      <c r="N230" s="9" t="str">
        <f aca="false">IF(M230="","",M230&amp;"|"&amp;TEXT(ROUND(N(F230)+N(G230),2),"0.00"))</f>
        <v/>
      </c>
      <c r="O230" s="9" t="str">
        <f aca="false">IF(OR(N230="",TRIM(E230&amp;"")=""),"",N230&amp;"|"&amp;UPPER(TRIM(E230&amp;"")))</f>
        <v/>
      </c>
      <c r="P230" s="9" t="n">
        <f aca="false">IF(O230="",0,IFERROR(MATCH(O230,'Bank Statement'!$O$8:$O$507,0),0))</f>
        <v>0</v>
      </c>
      <c r="Q230" s="9" t="str">
        <f aca="false">IF(OR(N230="",P230&gt;0),"",N230&amp;"#"&amp;COUNTIFS($N$8:N230,N230,$P$8:P230,0))</f>
        <v/>
      </c>
      <c r="R230" s="9" t="n">
        <f aca="false">IF(Q230="",0,IFERROR(MATCH(Q230,'Bank Statement'!$Q$8:$Q$507,0),0))</f>
        <v>0</v>
      </c>
      <c r="S230" s="9" t="n">
        <f aca="false">IF(P230&gt;0,P230,R230)</f>
        <v>0</v>
      </c>
      <c r="T230" s="9" t="str">
        <f aca="false">IF(OR(S230=0,B230=""),"",INDEX('Bank Statement'!$B$8:$B$507,S230)-B230)</f>
        <v/>
      </c>
      <c r="U230" s="9" t="n">
        <f aca="false">IF(S230=0,0,IF(P230&gt;0,S230,IF(AND(ISNUMBER(T230),ABS(N(T230))&lt;=Setup!$C$11),S230,0)))</f>
        <v>0</v>
      </c>
      <c r="V230" s="9" t="str">
        <f aca="false">IF(AND(N230&lt;&gt;"",U230=0),IF(M230="OUT",1,2)*100000+ROW(),"")</f>
        <v/>
      </c>
      <c r="W230" s="9" t="n">
        <f aca="false">N(F230)+N(G230)</f>
        <v>0</v>
      </c>
    </row>
    <row r="231" customFormat="false" ht="15" hidden="false" customHeight="false" outlineLevel="0" collapsed="false">
      <c r="A231" s="37" t="str">
        <f aca="false">IF(M231="","",ROW()-7)</f>
        <v/>
      </c>
      <c r="B231" s="70"/>
      <c r="C231" s="71"/>
      <c r="D231" s="72"/>
      <c r="E231" s="71"/>
      <c r="F231" s="73"/>
      <c r="G231" s="73"/>
      <c r="H231" s="42" t="str">
        <f aca="false">IF(M231="","",IF(U231&gt;0,"✔ Matched",IF(M231="OUT","Not yet presented","Not yet credited")))</f>
        <v/>
      </c>
      <c r="I231" s="43" t="str">
        <f aca="false">IF(N(U231)&gt;0,U231,"")</f>
        <v/>
      </c>
      <c r="J231" s="44" t="str">
        <f aca="false">IF(N(U231)&gt;0,T231,"")</f>
        <v/>
      </c>
      <c r="K231" s="45" t="str">
        <f aca="false">IF(AND(M231="",B231="",D231=""),"",IF(AND(N(F231)&gt;0,N(G231)&gt;0),"⚠ Fill deposit OR payment",IF(M231="","⚠ Enter amount",IF(B231="","⚠ Enter date",IF(AND(Setup!$C$8&lt;&gt;"",B231&gt;Setup!$C$8),"⚠ Date after period",IF(AND(O231&lt;&gt;"",COUNTIF($O$8:$O$507,O231)&gt;1),"⚠ Cheque no. used twice","✔"))))))</f>
        <v/>
      </c>
      <c r="M231" s="9" t="str">
        <f aca="false">IF(N(F231)&gt;0,"IN",IF(N(G231)&gt;0,"OUT",""))</f>
        <v/>
      </c>
      <c r="N231" s="9" t="str">
        <f aca="false">IF(M231="","",M231&amp;"|"&amp;TEXT(ROUND(N(F231)+N(G231),2),"0.00"))</f>
        <v/>
      </c>
      <c r="O231" s="9" t="str">
        <f aca="false">IF(OR(N231="",TRIM(E231&amp;"")=""),"",N231&amp;"|"&amp;UPPER(TRIM(E231&amp;"")))</f>
        <v/>
      </c>
      <c r="P231" s="9" t="n">
        <f aca="false">IF(O231="",0,IFERROR(MATCH(O231,'Bank Statement'!$O$8:$O$507,0),0))</f>
        <v>0</v>
      </c>
      <c r="Q231" s="9" t="str">
        <f aca="false">IF(OR(N231="",P231&gt;0),"",N231&amp;"#"&amp;COUNTIFS($N$8:N231,N231,$P$8:P231,0))</f>
        <v/>
      </c>
      <c r="R231" s="9" t="n">
        <f aca="false">IF(Q231="",0,IFERROR(MATCH(Q231,'Bank Statement'!$Q$8:$Q$507,0),0))</f>
        <v>0</v>
      </c>
      <c r="S231" s="9" t="n">
        <f aca="false">IF(P231&gt;0,P231,R231)</f>
        <v>0</v>
      </c>
      <c r="T231" s="9" t="str">
        <f aca="false">IF(OR(S231=0,B231=""),"",INDEX('Bank Statement'!$B$8:$B$507,S231)-B231)</f>
        <v/>
      </c>
      <c r="U231" s="9" t="n">
        <f aca="false">IF(S231=0,0,IF(P231&gt;0,S231,IF(AND(ISNUMBER(T231),ABS(N(T231))&lt;=Setup!$C$11),S231,0)))</f>
        <v>0</v>
      </c>
      <c r="V231" s="9" t="str">
        <f aca="false">IF(AND(N231&lt;&gt;"",U231=0),IF(M231="OUT",1,2)*100000+ROW(),"")</f>
        <v/>
      </c>
      <c r="W231" s="9" t="n">
        <f aca="false">N(F231)+N(G231)</f>
        <v>0</v>
      </c>
    </row>
    <row r="232" customFormat="false" ht="15" hidden="false" customHeight="false" outlineLevel="0" collapsed="false">
      <c r="A232" s="37" t="str">
        <f aca="false">IF(M232="","",ROW()-7)</f>
        <v/>
      </c>
      <c r="B232" s="70"/>
      <c r="C232" s="71"/>
      <c r="D232" s="72"/>
      <c r="E232" s="71"/>
      <c r="F232" s="73"/>
      <c r="G232" s="73"/>
      <c r="H232" s="42" t="str">
        <f aca="false">IF(M232="","",IF(U232&gt;0,"✔ Matched",IF(M232="OUT","Not yet presented","Not yet credited")))</f>
        <v/>
      </c>
      <c r="I232" s="43" t="str">
        <f aca="false">IF(N(U232)&gt;0,U232,"")</f>
        <v/>
      </c>
      <c r="J232" s="44" t="str">
        <f aca="false">IF(N(U232)&gt;0,T232,"")</f>
        <v/>
      </c>
      <c r="K232" s="45" t="str">
        <f aca="false">IF(AND(M232="",B232="",D232=""),"",IF(AND(N(F232)&gt;0,N(G232)&gt;0),"⚠ Fill deposit OR payment",IF(M232="","⚠ Enter amount",IF(B232="","⚠ Enter date",IF(AND(Setup!$C$8&lt;&gt;"",B232&gt;Setup!$C$8),"⚠ Date after period",IF(AND(O232&lt;&gt;"",COUNTIF($O$8:$O$507,O232)&gt;1),"⚠ Cheque no. used twice","✔"))))))</f>
        <v/>
      </c>
      <c r="M232" s="9" t="str">
        <f aca="false">IF(N(F232)&gt;0,"IN",IF(N(G232)&gt;0,"OUT",""))</f>
        <v/>
      </c>
      <c r="N232" s="9" t="str">
        <f aca="false">IF(M232="","",M232&amp;"|"&amp;TEXT(ROUND(N(F232)+N(G232),2),"0.00"))</f>
        <v/>
      </c>
      <c r="O232" s="9" t="str">
        <f aca="false">IF(OR(N232="",TRIM(E232&amp;"")=""),"",N232&amp;"|"&amp;UPPER(TRIM(E232&amp;"")))</f>
        <v/>
      </c>
      <c r="P232" s="9" t="n">
        <f aca="false">IF(O232="",0,IFERROR(MATCH(O232,'Bank Statement'!$O$8:$O$507,0),0))</f>
        <v>0</v>
      </c>
      <c r="Q232" s="9" t="str">
        <f aca="false">IF(OR(N232="",P232&gt;0),"",N232&amp;"#"&amp;COUNTIFS($N$8:N232,N232,$P$8:P232,0))</f>
        <v/>
      </c>
      <c r="R232" s="9" t="n">
        <f aca="false">IF(Q232="",0,IFERROR(MATCH(Q232,'Bank Statement'!$Q$8:$Q$507,0),0))</f>
        <v>0</v>
      </c>
      <c r="S232" s="9" t="n">
        <f aca="false">IF(P232&gt;0,P232,R232)</f>
        <v>0</v>
      </c>
      <c r="T232" s="9" t="str">
        <f aca="false">IF(OR(S232=0,B232=""),"",INDEX('Bank Statement'!$B$8:$B$507,S232)-B232)</f>
        <v/>
      </c>
      <c r="U232" s="9" t="n">
        <f aca="false">IF(S232=0,0,IF(P232&gt;0,S232,IF(AND(ISNUMBER(T232),ABS(N(T232))&lt;=Setup!$C$11),S232,0)))</f>
        <v>0</v>
      </c>
      <c r="V232" s="9" t="str">
        <f aca="false">IF(AND(N232&lt;&gt;"",U232=0),IF(M232="OUT",1,2)*100000+ROW(),"")</f>
        <v/>
      </c>
      <c r="W232" s="9" t="n">
        <f aca="false">N(F232)+N(G232)</f>
        <v>0</v>
      </c>
    </row>
    <row r="233" customFormat="false" ht="15" hidden="false" customHeight="false" outlineLevel="0" collapsed="false">
      <c r="A233" s="37" t="str">
        <f aca="false">IF(M233="","",ROW()-7)</f>
        <v/>
      </c>
      <c r="B233" s="70"/>
      <c r="C233" s="71"/>
      <c r="D233" s="72"/>
      <c r="E233" s="71"/>
      <c r="F233" s="73"/>
      <c r="G233" s="73"/>
      <c r="H233" s="42" t="str">
        <f aca="false">IF(M233="","",IF(U233&gt;0,"✔ Matched",IF(M233="OUT","Not yet presented","Not yet credited")))</f>
        <v/>
      </c>
      <c r="I233" s="43" t="str">
        <f aca="false">IF(N(U233)&gt;0,U233,"")</f>
        <v/>
      </c>
      <c r="J233" s="44" t="str">
        <f aca="false">IF(N(U233)&gt;0,T233,"")</f>
        <v/>
      </c>
      <c r="K233" s="45" t="str">
        <f aca="false">IF(AND(M233="",B233="",D233=""),"",IF(AND(N(F233)&gt;0,N(G233)&gt;0),"⚠ Fill deposit OR payment",IF(M233="","⚠ Enter amount",IF(B233="","⚠ Enter date",IF(AND(Setup!$C$8&lt;&gt;"",B233&gt;Setup!$C$8),"⚠ Date after period",IF(AND(O233&lt;&gt;"",COUNTIF($O$8:$O$507,O233)&gt;1),"⚠ Cheque no. used twice","✔"))))))</f>
        <v/>
      </c>
      <c r="M233" s="9" t="str">
        <f aca="false">IF(N(F233)&gt;0,"IN",IF(N(G233)&gt;0,"OUT",""))</f>
        <v/>
      </c>
      <c r="N233" s="9" t="str">
        <f aca="false">IF(M233="","",M233&amp;"|"&amp;TEXT(ROUND(N(F233)+N(G233),2),"0.00"))</f>
        <v/>
      </c>
      <c r="O233" s="9" t="str">
        <f aca="false">IF(OR(N233="",TRIM(E233&amp;"")=""),"",N233&amp;"|"&amp;UPPER(TRIM(E233&amp;"")))</f>
        <v/>
      </c>
      <c r="P233" s="9" t="n">
        <f aca="false">IF(O233="",0,IFERROR(MATCH(O233,'Bank Statement'!$O$8:$O$507,0),0))</f>
        <v>0</v>
      </c>
      <c r="Q233" s="9" t="str">
        <f aca="false">IF(OR(N233="",P233&gt;0),"",N233&amp;"#"&amp;COUNTIFS($N$8:N233,N233,$P$8:P233,0))</f>
        <v/>
      </c>
      <c r="R233" s="9" t="n">
        <f aca="false">IF(Q233="",0,IFERROR(MATCH(Q233,'Bank Statement'!$Q$8:$Q$507,0),0))</f>
        <v>0</v>
      </c>
      <c r="S233" s="9" t="n">
        <f aca="false">IF(P233&gt;0,P233,R233)</f>
        <v>0</v>
      </c>
      <c r="T233" s="9" t="str">
        <f aca="false">IF(OR(S233=0,B233=""),"",INDEX('Bank Statement'!$B$8:$B$507,S233)-B233)</f>
        <v/>
      </c>
      <c r="U233" s="9" t="n">
        <f aca="false">IF(S233=0,0,IF(P233&gt;0,S233,IF(AND(ISNUMBER(T233),ABS(N(T233))&lt;=Setup!$C$11),S233,0)))</f>
        <v>0</v>
      </c>
      <c r="V233" s="9" t="str">
        <f aca="false">IF(AND(N233&lt;&gt;"",U233=0),IF(M233="OUT",1,2)*100000+ROW(),"")</f>
        <v/>
      </c>
      <c r="W233" s="9" t="n">
        <f aca="false">N(F233)+N(G233)</f>
        <v>0</v>
      </c>
    </row>
    <row r="234" customFormat="false" ht="15" hidden="false" customHeight="false" outlineLevel="0" collapsed="false">
      <c r="A234" s="37" t="str">
        <f aca="false">IF(M234="","",ROW()-7)</f>
        <v/>
      </c>
      <c r="B234" s="70"/>
      <c r="C234" s="71"/>
      <c r="D234" s="72"/>
      <c r="E234" s="71"/>
      <c r="F234" s="73"/>
      <c r="G234" s="73"/>
      <c r="H234" s="42" t="str">
        <f aca="false">IF(M234="","",IF(U234&gt;0,"✔ Matched",IF(M234="OUT","Not yet presented","Not yet credited")))</f>
        <v/>
      </c>
      <c r="I234" s="43" t="str">
        <f aca="false">IF(N(U234)&gt;0,U234,"")</f>
        <v/>
      </c>
      <c r="J234" s="44" t="str">
        <f aca="false">IF(N(U234)&gt;0,T234,"")</f>
        <v/>
      </c>
      <c r="K234" s="45" t="str">
        <f aca="false">IF(AND(M234="",B234="",D234=""),"",IF(AND(N(F234)&gt;0,N(G234)&gt;0),"⚠ Fill deposit OR payment",IF(M234="","⚠ Enter amount",IF(B234="","⚠ Enter date",IF(AND(Setup!$C$8&lt;&gt;"",B234&gt;Setup!$C$8),"⚠ Date after period",IF(AND(O234&lt;&gt;"",COUNTIF($O$8:$O$507,O234)&gt;1),"⚠ Cheque no. used twice","✔"))))))</f>
        <v/>
      </c>
      <c r="M234" s="9" t="str">
        <f aca="false">IF(N(F234)&gt;0,"IN",IF(N(G234)&gt;0,"OUT",""))</f>
        <v/>
      </c>
      <c r="N234" s="9" t="str">
        <f aca="false">IF(M234="","",M234&amp;"|"&amp;TEXT(ROUND(N(F234)+N(G234),2),"0.00"))</f>
        <v/>
      </c>
      <c r="O234" s="9" t="str">
        <f aca="false">IF(OR(N234="",TRIM(E234&amp;"")=""),"",N234&amp;"|"&amp;UPPER(TRIM(E234&amp;"")))</f>
        <v/>
      </c>
      <c r="P234" s="9" t="n">
        <f aca="false">IF(O234="",0,IFERROR(MATCH(O234,'Bank Statement'!$O$8:$O$507,0),0))</f>
        <v>0</v>
      </c>
      <c r="Q234" s="9" t="str">
        <f aca="false">IF(OR(N234="",P234&gt;0),"",N234&amp;"#"&amp;COUNTIFS($N$8:N234,N234,$P$8:P234,0))</f>
        <v/>
      </c>
      <c r="R234" s="9" t="n">
        <f aca="false">IF(Q234="",0,IFERROR(MATCH(Q234,'Bank Statement'!$Q$8:$Q$507,0),0))</f>
        <v>0</v>
      </c>
      <c r="S234" s="9" t="n">
        <f aca="false">IF(P234&gt;0,P234,R234)</f>
        <v>0</v>
      </c>
      <c r="T234" s="9" t="str">
        <f aca="false">IF(OR(S234=0,B234=""),"",INDEX('Bank Statement'!$B$8:$B$507,S234)-B234)</f>
        <v/>
      </c>
      <c r="U234" s="9" t="n">
        <f aca="false">IF(S234=0,0,IF(P234&gt;0,S234,IF(AND(ISNUMBER(T234),ABS(N(T234))&lt;=Setup!$C$11),S234,0)))</f>
        <v>0</v>
      </c>
      <c r="V234" s="9" t="str">
        <f aca="false">IF(AND(N234&lt;&gt;"",U234=0),IF(M234="OUT",1,2)*100000+ROW(),"")</f>
        <v/>
      </c>
      <c r="W234" s="9" t="n">
        <f aca="false">N(F234)+N(G234)</f>
        <v>0</v>
      </c>
    </row>
    <row r="235" customFormat="false" ht="15" hidden="false" customHeight="false" outlineLevel="0" collapsed="false">
      <c r="A235" s="37" t="str">
        <f aca="false">IF(M235="","",ROW()-7)</f>
        <v/>
      </c>
      <c r="B235" s="70"/>
      <c r="C235" s="71"/>
      <c r="D235" s="72"/>
      <c r="E235" s="71"/>
      <c r="F235" s="73"/>
      <c r="G235" s="73"/>
      <c r="H235" s="42" t="str">
        <f aca="false">IF(M235="","",IF(U235&gt;0,"✔ Matched",IF(M235="OUT","Not yet presented","Not yet credited")))</f>
        <v/>
      </c>
      <c r="I235" s="43" t="str">
        <f aca="false">IF(N(U235)&gt;0,U235,"")</f>
        <v/>
      </c>
      <c r="J235" s="44" t="str">
        <f aca="false">IF(N(U235)&gt;0,T235,"")</f>
        <v/>
      </c>
      <c r="K235" s="45" t="str">
        <f aca="false">IF(AND(M235="",B235="",D235=""),"",IF(AND(N(F235)&gt;0,N(G235)&gt;0),"⚠ Fill deposit OR payment",IF(M235="","⚠ Enter amount",IF(B235="","⚠ Enter date",IF(AND(Setup!$C$8&lt;&gt;"",B235&gt;Setup!$C$8),"⚠ Date after period",IF(AND(O235&lt;&gt;"",COUNTIF($O$8:$O$507,O235)&gt;1),"⚠ Cheque no. used twice","✔"))))))</f>
        <v/>
      </c>
      <c r="M235" s="9" t="str">
        <f aca="false">IF(N(F235)&gt;0,"IN",IF(N(G235)&gt;0,"OUT",""))</f>
        <v/>
      </c>
      <c r="N235" s="9" t="str">
        <f aca="false">IF(M235="","",M235&amp;"|"&amp;TEXT(ROUND(N(F235)+N(G235),2),"0.00"))</f>
        <v/>
      </c>
      <c r="O235" s="9" t="str">
        <f aca="false">IF(OR(N235="",TRIM(E235&amp;"")=""),"",N235&amp;"|"&amp;UPPER(TRIM(E235&amp;"")))</f>
        <v/>
      </c>
      <c r="P235" s="9" t="n">
        <f aca="false">IF(O235="",0,IFERROR(MATCH(O235,'Bank Statement'!$O$8:$O$507,0),0))</f>
        <v>0</v>
      </c>
      <c r="Q235" s="9" t="str">
        <f aca="false">IF(OR(N235="",P235&gt;0),"",N235&amp;"#"&amp;COUNTIFS($N$8:N235,N235,$P$8:P235,0))</f>
        <v/>
      </c>
      <c r="R235" s="9" t="n">
        <f aca="false">IF(Q235="",0,IFERROR(MATCH(Q235,'Bank Statement'!$Q$8:$Q$507,0),0))</f>
        <v>0</v>
      </c>
      <c r="S235" s="9" t="n">
        <f aca="false">IF(P235&gt;0,P235,R235)</f>
        <v>0</v>
      </c>
      <c r="T235" s="9" t="str">
        <f aca="false">IF(OR(S235=0,B235=""),"",INDEX('Bank Statement'!$B$8:$B$507,S235)-B235)</f>
        <v/>
      </c>
      <c r="U235" s="9" t="n">
        <f aca="false">IF(S235=0,0,IF(P235&gt;0,S235,IF(AND(ISNUMBER(T235),ABS(N(T235))&lt;=Setup!$C$11),S235,0)))</f>
        <v>0</v>
      </c>
      <c r="V235" s="9" t="str">
        <f aca="false">IF(AND(N235&lt;&gt;"",U235=0),IF(M235="OUT",1,2)*100000+ROW(),"")</f>
        <v/>
      </c>
      <c r="W235" s="9" t="n">
        <f aca="false">N(F235)+N(G235)</f>
        <v>0</v>
      </c>
    </row>
    <row r="236" customFormat="false" ht="15" hidden="false" customHeight="false" outlineLevel="0" collapsed="false">
      <c r="A236" s="37" t="str">
        <f aca="false">IF(M236="","",ROW()-7)</f>
        <v/>
      </c>
      <c r="B236" s="70"/>
      <c r="C236" s="71"/>
      <c r="D236" s="72"/>
      <c r="E236" s="71"/>
      <c r="F236" s="73"/>
      <c r="G236" s="73"/>
      <c r="H236" s="42" t="str">
        <f aca="false">IF(M236="","",IF(U236&gt;0,"✔ Matched",IF(M236="OUT","Not yet presented","Not yet credited")))</f>
        <v/>
      </c>
      <c r="I236" s="43" t="str">
        <f aca="false">IF(N(U236)&gt;0,U236,"")</f>
        <v/>
      </c>
      <c r="J236" s="44" t="str">
        <f aca="false">IF(N(U236)&gt;0,T236,"")</f>
        <v/>
      </c>
      <c r="K236" s="45" t="str">
        <f aca="false">IF(AND(M236="",B236="",D236=""),"",IF(AND(N(F236)&gt;0,N(G236)&gt;0),"⚠ Fill deposit OR payment",IF(M236="","⚠ Enter amount",IF(B236="","⚠ Enter date",IF(AND(Setup!$C$8&lt;&gt;"",B236&gt;Setup!$C$8),"⚠ Date after period",IF(AND(O236&lt;&gt;"",COUNTIF($O$8:$O$507,O236)&gt;1),"⚠ Cheque no. used twice","✔"))))))</f>
        <v/>
      </c>
      <c r="M236" s="9" t="str">
        <f aca="false">IF(N(F236)&gt;0,"IN",IF(N(G236)&gt;0,"OUT",""))</f>
        <v/>
      </c>
      <c r="N236" s="9" t="str">
        <f aca="false">IF(M236="","",M236&amp;"|"&amp;TEXT(ROUND(N(F236)+N(G236),2),"0.00"))</f>
        <v/>
      </c>
      <c r="O236" s="9" t="str">
        <f aca="false">IF(OR(N236="",TRIM(E236&amp;"")=""),"",N236&amp;"|"&amp;UPPER(TRIM(E236&amp;"")))</f>
        <v/>
      </c>
      <c r="P236" s="9" t="n">
        <f aca="false">IF(O236="",0,IFERROR(MATCH(O236,'Bank Statement'!$O$8:$O$507,0),0))</f>
        <v>0</v>
      </c>
      <c r="Q236" s="9" t="str">
        <f aca="false">IF(OR(N236="",P236&gt;0),"",N236&amp;"#"&amp;COUNTIFS($N$8:N236,N236,$P$8:P236,0))</f>
        <v/>
      </c>
      <c r="R236" s="9" t="n">
        <f aca="false">IF(Q236="",0,IFERROR(MATCH(Q236,'Bank Statement'!$Q$8:$Q$507,0),0))</f>
        <v>0</v>
      </c>
      <c r="S236" s="9" t="n">
        <f aca="false">IF(P236&gt;0,P236,R236)</f>
        <v>0</v>
      </c>
      <c r="T236" s="9" t="str">
        <f aca="false">IF(OR(S236=0,B236=""),"",INDEX('Bank Statement'!$B$8:$B$507,S236)-B236)</f>
        <v/>
      </c>
      <c r="U236" s="9" t="n">
        <f aca="false">IF(S236=0,0,IF(P236&gt;0,S236,IF(AND(ISNUMBER(T236),ABS(N(T236))&lt;=Setup!$C$11),S236,0)))</f>
        <v>0</v>
      </c>
      <c r="V236" s="9" t="str">
        <f aca="false">IF(AND(N236&lt;&gt;"",U236=0),IF(M236="OUT",1,2)*100000+ROW(),"")</f>
        <v/>
      </c>
      <c r="W236" s="9" t="n">
        <f aca="false">N(F236)+N(G236)</f>
        <v>0</v>
      </c>
    </row>
    <row r="237" customFormat="false" ht="15" hidden="false" customHeight="false" outlineLevel="0" collapsed="false">
      <c r="A237" s="37" t="str">
        <f aca="false">IF(M237="","",ROW()-7)</f>
        <v/>
      </c>
      <c r="B237" s="70"/>
      <c r="C237" s="71"/>
      <c r="D237" s="72"/>
      <c r="E237" s="71"/>
      <c r="F237" s="73"/>
      <c r="G237" s="73"/>
      <c r="H237" s="42" t="str">
        <f aca="false">IF(M237="","",IF(U237&gt;0,"✔ Matched",IF(M237="OUT","Not yet presented","Not yet credited")))</f>
        <v/>
      </c>
      <c r="I237" s="43" t="str">
        <f aca="false">IF(N(U237)&gt;0,U237,"")</f>
        <v/>
      </c>
      <c r="J237" s="44" t="str">
        <f aca="false">IF(N(U237)&gt;0,T237,"")</f>
        <v/>
      </c>
      <c r="K237" s="45" t="str">
        <f aca="false">IF(AND(M237="",B237="",D237=""),"",IF(AND(N(F237)&gt;0,N(G237)&gt;0),"⚠ Fill deposit OR payment",IF(M237="","⚠ Enter amount",IF(B237="","⚠ Enter date",IF(AND(Setup!$C$8&lt;&gt;"",B237&gt;Setup!$C$8),"⚠ Date after period",IF(AND(O237&lt;&gt;"",COUNTIF($O$8:$O$507,O237)&gt;1),"⚠ Cheque no. used twice","✔"))))))</f>
        <v/>
      </c>
      <c r="M237" s="9" t="str">
        <f aca="false">IF(N(F237)&gt;0,"IN",IF(N(G237)&gt;0,"OUT",""))</f>
        <v/>
      </c>
      <c r="N237" s="9" t="str">
        <f aca="false">IF(M237="","",M237&amp;"|"&amp;TEXT(ROUND(N(F237)+N(G237),2),"0.00"))</f>
        <v/>
      </c>
      <c r="O237" s="9" t="str">
        <f aca="false">IF(OR(N237="",TRIM(E237&amp;"")=""),"",N237&amp;"|"&amp;UPPER(TRIM(E237&amp;"")))</f>
        <v/>
      </c>
      <c r="P237" s="9" t="n">
        <f aca="false">IF(O237="",0,IFERROR(MATCH(O237,'Bank Statement'!$O$8:$O$507,0),0))</f>
        <v>0</v>
      </c>
      <c r="Q237" s="9" t="str">
        <f aca="false">IF(OR(N237="",P237&gt;0),"",N237&amp;"#"&amp;COUNTIFS($N$8:N237,N237,$P$8:P237,0))</f>
        <v/>
      </c>
      <c r="R237" s="9" t="n">
        <f aca="false">IF(Q237="",0,IFERROR(MATCH(Q237,'Bank Statement'!$Q$8:$Q$507,0),0))</f>
        <v>0</v>
      </c>
      <c r="S237" s="9" t="n">
        <f aca="false">IF(P237&gt;0,P237,R237)</f>
        <v>0</v>
      </c>
      <c r="T237" s="9" t="str">
        <f aca="false">IF(OR(S237=0,B237=""),"",INDEX('Bank Statement'!$B$8:$B$507,S237)-B237)</f>
        <v/>
      </c>
      <c r="U237" s="9" t="n">
        <f aca="false">IF(S237=0,0,IF(P237&gt;0,S237,IF(AND(ISNUMBER(T237),ABS(N(T237))&lt;=Setup!$C$11),S237,0)))</f>
        <v>0</v>
      </c>
      <c r="V237" s="9" t="str">
        <f aca="false">IF(AND(N237&lt;&gt;"",U237=0),IF(M237="OUT",1,2)*100000+ROW(),"")</f>
        <v/>
      </c>
      <c r="W237" s="9" t="n">
        <f aca="false">N(F237)+N(G237)</f>
        <v>0</v>
      </c>
    </row>
    <row r="238" customFormat="false" ht="15" hidden="false" customHeight="false" outlineLevel="0" collapsed="false">
      <c r="A238" s="37" t="str">
        <f aca="false">IF(M238="","",ROW()-7)</f>
        <v/>
      </c>
      <c r="B238" s="70"/>
      <c r="C238" s="71"/>
      <c r="D238" s="72"/>
      <c r="E238" s="71"/>
      <c r="F238" s="73"/>
      <c r="G238" s="73"/>
      <c r="H238" s="42" t="str">
        <f aca="false">IF(M238="","",IF(U238&gt;0,"✔ Matched",IF(M238="OUT","Not yet presented","Not yet credited")))</f>
        <v/>
      </c>
      <c r="I238" s="43" t="str">
        <f aca="false">IF(N(U238)&gt;0,U238,"")</f>
        <v/>
      </c>
      <c r="J238" s="44" t="str">
        <f aca="false">IF(N(U238)&gt;0,T238,"")</f>
        <v/>
      </c>
      <c r="K238" s="45" t="str">
        <f aca="false">IF(AND(M238="",B238="",D238=""),"",IF(AND(N(F238)&gt;0,N(G238)&gt;0),"⚠ Fill deposit OR payment",IF(M238="","⚠ Enter amount",IF(B238="","⚠ Enter date",IF(AND(Setup!$C$8&lt;&gt;"",B238&gt;Setup!$C$8),"⚠ Date after period",IF(AND(O238&lt;&gt;"",COUNTIF($O$8:$O$507,O238)&gt;1),"⚠ Cheque no. used twice","✔"))))))</f>
        <v/>
      </c>
      <c r="M238" s="9" t="str">
        <f aca="false">IF(N(F238)&gt;0,"IN",IF(N(G238)&gt;0,"OUT",""))</f>
        <v/>
      </c>
      <c r="N238" s="9" t="str">
        <f aca="false">IF(M238="","",M238&amp;"|"&amp;TEXT(ROUND(N(F238)+N(G238),2),"0.00"))</f>
        <v/>
      </c>
      <c r="O238" s="9" t="str">
        <f aca="false">IF(OR(N238="",TRIM(E238&amp;"")=""),"",N238&amp;"|"&amp;UPPER(TRIM(E238&amp;"")))</f>
        <v/>
      </c>
      <c r="P238" s="9" t="n">
        <f aca="false">IF(O238="",0,IFERROR(MATCH(O238,'Bank Statement'!$O$8:$O$507,0),0))</f>
        <v>0</v>
      </c>
      <c r="Q238" s="9" t="str">
        <f aca="false">IF(OR(N238="",P238&gt;0),"",N238&amp;"#"&amp;COUNTIFS($N$8:N238,N238,$P$8:P238,0))</f>
        <v/>
      </c>
      <c r="R238" s="9" t="n">
        <f aca="false">IF(Q238="",0,IFERROR(MATCH(Q238,'Bank Statement'!$Q$8:$Q$507,0),0))</f>
        <v>0</v>
      </c>
      <c r="S238" s="9" t="n">
        <f aca="false">IF(P238&gt;0,P238,R238)</f>
        <v>0</v>
      </c>
      <c r="T238" s="9" t="str">
        <f aca="false">IF(OR(S238=0,B238=""),"",INDEX('Bank Statement'!$B$8:$B$507,S238)-B238)</f>
        <v/>
      </c>
      <c r="U238" s="9" t="n">
        <f aca="false">IF(S238=0,0,IF(P238&gt;0,S238,IF(AND(ISNUMBER(T238),ABS(N(T238))&lt;=Setup!$C$11),S238,0)))</f>
        <v>0</v>
      </c>
      <c r="V238" s="9" t="str">
        <f aca="false">IF(AND(N238&lt;&gt;"",U238=0),IF(M238="OUT",1,2)*100000+ROW(),"")</f>
        <v/>
      </c>
      <c r="W238" s="9" t="n">
        <f aca="false">N(F238)+N(G238)</f>
        <v>0</v>
      </c>
    </row>
    <row r="239" customFormat="false" ht="15" hidden="false" customHeight="false" outlineLevel="0" collapsed="false">
      <c r="A239" s="37" t="str">
        <f aca="false">IF(M239="","",ROW()-7)</f>
        <v/>
      </c>
      <c r="B239" s="70"/>
      <c r="C239" s="71"/>
      <c r="D239" s="72"/>
      <c r="E239" s="71"/>
      <c r="F239" s="73"/>
      <c r="G239" s="73"/>
      <c r="H239" s="42" t="str">
        <f aca="false">IF(M239="","",IF(U239&gt;0,"✔ Matched",IF(M239="OUT","Not yet presented","Not yet credited")))</f>
        <v/>
      </c>
      <c r="I239" s="43" t="str">
        <f aca="false">IF(N(U239)&gt;0,U239,"")</f>
        <v/>
      </c>
      <c r="J239" s="44" t="str">
        <f aca="false">IF(N(U239)&gt;0,T239,"")</f>
        <v/>
      </c>
      <c r="K239" s="45" t="str">
        <f aca="false">IF(AND(M239="",B239="",D239=""),"",IF(AND(N(F239)&gt;0,N(G239)&gt;0),"⚠ Fill deposit OR payment",IF(M239="","⚠ Enter amount",IF(B239="","⚠ Enter date",IF(AND(Setup!$C$8&lt;&gt;"",B239&gt;Setup!$C$8),"⚠ Date after period",IF(AND(O239&lt;&gt;"",COUNTIF($O$8:$O$507,O239)&gt;1),"⚠ Cheque no. used twice","✔"))))))</f>
        <v/>
      </c>
      <c r="M239" s="9" t="str">
        <f aca="false">IF(N(F239)&gt;0,"IN",IF(N(G239)&gt;0,"OUT",""))</f>
        <v/>
      </c>
      <c r="N239" s="9" t="str">
        <f aca="false">IF(M239="","",M239&amp;"|"&amp;TEXT(ROUND(N(F239)+N(G239),2),"0.00"))</f>
        <v/>
      </c>
      <c r="O239" s="9" t="str">
        <f aca="false">IF(OR(N239="",TRIM(E239&amp;"")=""),"",N239&amp;"|"&amp;UPPER(TRIM(E239&amp;"")))</f>
        <v/>
      </c>
      <c r="P239" s="9" t="n">
        <f aca="false">IF(O239="",0,IFERROR(MATCH(O239,'Bank Statement'!$O$8:$O$507,0),0))</f>
        <v>0</v>
      </c>
      <c r="Q239" s="9" t="str">
        <f aca="false">IF(OR(N239="",P239&gt;0),"",N239&amp;"#"&amp;COUNTIFS($N$8:N239,N239,$P$8:P239,0))</f>
        <v/>
      </c>
      <c r="R239" s="9" t="n">
        <f aca="false">IF(Q239="",0,IFERROR(MATCH(Q239,'Bank Statement'!$Q$8:$Q$507,0),0))</f>
        <v>0</v>
      </c>
      <c r="S239" s="9" t="n">
        <f aca="false">IF(P239&gt;0,P239,R239)</f>
        <v>0</v>
      </c>
      <c r="T239" s="9" t="str">
        <f aca="false">IF(OR(S239=0,B239=""),"",INDEX('Bank Statement'!$B$8:$B$507,S239)-B239)</f>
        <v/>
      </c>
      <c r="U239" s="9" t="n">
        <f aca="false">IF(S239=0,0,IF(P239&gt;0,S239,IF(AND(ISNUMBER(T239),ABS(N(T239))&lt;=Setup!$C$11),S239,0)))</f>
        <v>0</v>
      </c>
      <c r="V239" s="9" t="str">
        <f aca="false">IF(AND(N239&lt;&gt;"",U239=0),IF(M239="OUT",1,2)*100000+ROW(),"")</f>
        <v/>
      </c>
      <c r="W239" s="9" t="n">
        <f aca="false">N(F239)+N(G239)</f>
        <v>0</v>
      </c>
    </row>
    <row r="240" customFormat="false" ht="15" hidden="false" customHeight="false" outlineLevel="0" collapsed="false">
      <c r="A240" s="37" t="str">
        <f aca="false">IF(M240="","",ROW()-7)</f>
        <v/>
      </c>
      <c r="B240" s="70"/>
      <c r="C240" s="71"/>
      <c r="D240" s="72"/>
      <c r="E240" s="71"/>
      <c r="F240" s="73"/>
      <c r="G240" s="73"/>
      <c r="H240" s="42" t="str">
        <f aca="false">IF(M240="","",IF(U240&gt;0,"✔ Matched",IF(M240="OUT","Not yet presented","Not yet credited")))</f>
        <v/>
      </c>
      <c r="I240" s="43" t="str">
        <f aca="false">IF(N(U240)&gt;0,U240,"")</f>
        <v/>
      </c>
      <c r="J240" s="44" t="str">
        <f aca="false">IF(N(U240)&gt;0,T240,"")</f>
        <v/>
      </c>
      <c r="K240" s="45" t="str">
        <f aca="false">IF(AND(M240="",B240="",D240=""),"",IF(AND(N(F240)&gt;0,N(G240)&gt;0),"⚠ Fill deposit OR payment",IF(M240="","⚠ Enter amount",IF(B240="","⚠ Enter date",IF(AND(Setup!$C$8&lt;&gt;"",B240&gt;Setup!$C$8),"⚠ Date after period",IF(AND(O240&lt;&gt;"",COUNTIF($O$8:$O$507,O240)&gt;1),"⚠ Cheque no. used twice","✔"))))))</f>
        <v/>
      </c>
      <c r="M240" s="9" t="str">
        <f aca="false">IF(N(F240)&gt;0,"IN",IF(N(G240)&gt;0,"OUT",""))</f>
        <v/>
      </c>
      <c r="N240" s="9" t="str">
        <f aca="false">IF(M240="","",M240&amp;"|"&amp;TEXT(ROUND(N(F240)+N(G240),2),"0.00"))</f>
        <v/>
      </c>
      <c r="O240" s="9" t="str">
        <f aca="false">IF(OR(N240="",TRIM(E240&amp;"")=""),"",N240&amp;"|"&amp;UPPER(TRIM(E240&amp;"")))</f>
        <v/>
      </c>
      <c r="P240" s="9" t="n">
        <f aca="false">IF(O240="",0,IFERROR(MATCH(O240,'Bank Statement'!$O$8:$O$507,0),0))</f>
        <v>0</v>
      </c>
      <c r="Q240" s="9" t="str">
        <f aca="false">IF(OR(N240="",P240&gt;0),"",N240&amp;"#"&amp;COUNTIFS($N$8:N240,N240,$P$8:P240,0))</f>
        <v/>
      </c>
      <c r="R240" s="9" t="n">
        <f aca="false">IF(Q240="",0,IFERROR(MATCH(Q240,'Bank Statement'!$Q$8:$Q$507,0),0))</f>
        <v>0</v>
      </c>
      <c r="S240" s="9" t="n">
        <f aca="false">IF(P240&gt;0,P240,R240)</f>
        <v>0</v>
      </c>
      <c r="T240" s="9" t="str">
        <f aca="false">IF(OR(S240=0,B240=""),"",INDEX('Bank Statement'!$B$8:$B$507,S240)-B240)</f>
        <v/>
      </c>
      <c r="U240" s="9" t="n">
        <f aca="false">IF(S240=0,0,IF(P240&gt;0,S240,IF(AND(ISNUMBER(T240),ABS(N(T240))&lt;=Setup!$C$11),S240,0)))</f>
        <v>0</v>
      </c>
      <c r="V240" s="9" t="str">
        <f aca="false">IF(AND(N240&lt;&gt;"",U240=0),IF(M240="OUT",1,2)*100000+ROW(),"")</f>
        <v/>
      </c>
      <c r="W240" s="9" t="n">
        <f aca="false">N(F240)+N(G240)</f>
        <v>0</v>
      </c>
    </row>
    <row r="241" customFormat="false" ht="15" hidden="false" customHeight="false" outlineLevel="0" collapsed="false">
      <c r="A241" s="37" t="str">
        <f aca="false">IF(M241="","",ROW()-7)</f>
        <v/>
      </c>
      <c r="B241" s="70"/>
      <c r="C241" s="71"/>
      <c r="D241" s="72"/>
      <c r="E241" s="71"/>
      <c r="F241" s="73"/>
      <c r="G241" s="73"/>
      <c r="H241" s="42" t="str">
        <f aca="false">IF(M241="","",IF(U241&gt;0,"✔ Matched",IF(M241="OUT","Not yet presented","Not yet credited")))</f>
        <v/>
      </c>
      <c r="I241" s="43" t="str">
        <f aca="false">IF(N(U241)&gt;0,U241,"")</f>
        <v/>
      </c>
      <c r="J241" s="44" t="str">
        <f aca="false">IF(N(U241)&gt;0,T241,"")</f>
        <v/>
      </c>
      <c r="K241" s="45" t="str">
        <f aca="false">IF(AND(M241="",B241="",D241=""),"",IF(AND(N(F241)&gt;0,N(G241)&gt;0),"⚠ Fill deposit OR payment",IF(M241="","⚠ Enter amount",IF(B241="","⚠ Enter date",IF(AND(Setup!$C$8&lt;&gt;"",B241&gt;Setup!$C$8),"⚠ Date after period",IF(AND(O241&lt;&gt;"",COUNTIF($O$8:$O$507,O241)&gt;1),"⚠ Cheque no. used twice","✔"))))))</f>
        <v/>
      </c>
      <c r="M241" s="9" t="str">
        <f aca="false">IF(N(F241)&gt;0,"IN",IF(N(G241)&gt;0,"OUT",""))</f>
        <v/>
      </c>
      <c r="N241" s="9" t="str">
        <f aca="false">IF(M241="","",M241&amp;"|"&amp;TEXT(ROUND(N(F241)+N(G241),2),"0.00"))</f>
        <v/>
      </c>
      <c r="O241" s="9" t="str">
        <f aca="false">IF(OR(N241="",TRIM(E241&amp;"")=""),"",N241&amp;"|"&amp;UPPER(TRIM(E241&amp;"")))</f>
        <v/>
      </c>
      <c r="P241" s="9" t="n">
        <f aca="false">IF(O241="",0,IFERROR(MATCH(O241,'Bank Statement'!$O$8:$O$507,0),0))</f>
        <v>0</v>
      </c>
      <c r="Q241" s="9" t="str">
        <f aca="false">IF(OR(N241="",P241&gt;0),"",N241&amp;"#"&amp;COUNTIFS($N$8:N241,N241,$P$8:P241,0))</f>
        <v/>
      </c>
      <c r="R241" s="9" t="n">
        <f aca="false">IF(Q241="",0,IFERROR(MATCH(Q241,'Bank Statement'!$Q$8:$Q$507,0),0))</f>
        <v>0</v>
      </c>
      <c r="S241" s="9" t="n">
        <f aca="false">IF(P241&gt;0,P241,R241)</f>
        <v>0</v>
      </c>
      <c r="T241" s="9" t="str">
        <f aca="false">IF(OR(S241=0,B241=""),"",INDEX('Bank Statement'!$B$8:$B$507,S241)-B241)</f>
        <v/>
      </c>
      <c r="U241" s="9" t="n">
        <f aca="false">IF(S241=0,0,IF(P241&gt;0,S241,IF(AND(ISNUMBER(T241),ABS(N(T241))&lt;=Setup!$C$11),S241,0)))</f>
        <v>0</v>
      </c>
      <c r="V241" s="9" t="str">
        <f aca="false">IF(AND(N241&lt;&gt;"",U241=0),IF(M241="OUT",1,2)*100000+ROW(),"")</f>
        <v/>
      </c>
      <c r="W241" s="9" t="n">
        <f aca="false">N(F241)+N(G241)</f>
        <v>0</v>
      </c>
    </row>
    <row r="242" customFormat="false" ht="15" hidden="false" customHeight="false" outlineLevel="0" collapsed="false">
      <c r="A242" s="37" t="str">
        <f aca="false">IF(M242="","",ROW()-7)</f>
        <v/>
      </c>
      <c r="B242" s="70"/>
      <c r="C242" s="71"/>
      <c r="D242" s="72"/>
      <c r="E242" s="71"/>
      <c r="F242" s="73"/>
      <c r="G242" s="73"/>
      <c r="H242" s="42" t="str">
        <f aca="false">IF(M242="","",IF(U242&gt;0,"✔ Matched",IF(M242="OUT","Not yet presented","Not yet credited")))</f>
        <v/>
      </c>
      <c r="I242" s="43" t="str">
        <f aca="false">IF(N(U242)&gt;0,U242,"")</f>
        <v/>
      </c>
      <c r="J242" s="44" t="str">
        <f aca="false">IF(N(U242)&gt;0,T242,"")</f>
        <v/>
      </c>
      <c r="K242" s="45" t="str">
        <f aca="false">IF(AND(M242="",B242="",D242=""),"",IF(AND(N(F242)&gt;0,N(G242)&gt;0),"⚠ Fill deposit OR payment",IF(M242="","⚠ Enter amount",IF(B242="","⚠ Enter date",IF(AND(Setup!$C$8&lt;&gt;"",B242&gt;Setup!$C$8),"⚠ Date after period",IF(AND(O242&lt;&gt;"",COUNTIF($O$8:$O$507,O242)&gt;1),"⚠ Cheque no. used twice","✔"))))))</f>
        <v/>
      </c>
      <c r="M242" s="9" t="str">
        <f aca="false">IF(N(F242)&gt;0,"IN",IF(N(G242)&gt;0,"OUT",""))</f>
        <v/>
      </c>
      <c r="N242" s="9" t="str">
        <f aca="false">IF(M242="","",M242&amp;"|"&amp;TEXT(ROUND(N(F242)+N(G242),2),"0.00"))</f>
        <v/>
      </c>
      <c r="O242" s="9" t="str">
        <f aca="false">IF(OR(N242="",TRIM(E242&amp;"")=""),"",N242&amp;"|"&amp;UPPER(TRIM(E242&amp;"")))</f>
        <v/>
      </c>
      <c r="P242" s="9" t="n">
        <f aca="false">IF(O242="",0,IFERROR(MATCH(O242,'Bank Statement'!$O$8:$O$507,0),0))</f>
        <v>0</v>
      </c>
      <c r="Q242" s="9" t="str">
        <f aca="false">IF(OR(N242="",P242&gt;0),"",N242&amp;"#"&amp;COUNTIFS($N$8:N242,N242,$P$8:P242,0))</f>
        <v/>
      </c>
      <c r="R242" s="9" t="n">
        <f aca="false">IF(Q242="",0,IFERROR(MATCH(Q242,'Bank Statement'!$Q$8:$Q$507,0),0))</f>
        <v>0</v>
      </c>
      <c r="S242" s="9" t="n">
        <f aca="false">IF(P242&gt;0,P242,R242)</f>
        <v>0</v>
      </c>
      <c r="T242" s="9" t="str">
        <f aca="false">IF(OR(S242=0,B242=""),"",INDEX('Bank Statement'!$B$8:$B$507,S242)-B242)</f>
        <v/>
      </c>
      <c r="U242" s="9" t="n">
        <f aca="false">IF(S242=0,0,IF(P242&gt;0,S242,IF(AND(ISNUMBER(T242),ABS(N(T242))&lt;=Setup!$C$11),S242,0)))</f>
        <v>0</v>
      </c>
      <c r="V242" s="9" t="str">
        <f aca="false">IF(AND(N242&lt;&gt;"",U242=0),IF(M242="OUT",1,2)*100000+ROW(),"")</f>
        <v/>
      </c>
      <c r="W242" s="9" t="n">
        <f aca="false">N(F242)+N(G242)</f>
        <v>0</v>
      </c>
    </row>
    <row r="243" customFormat="false" ht="15" hidden="false" customHeight="false" outlineLevel="0" collapsed="false">
      <c r="A243" s="37" t="str">
        <f aca="false">IF(M243="","",ROW()-7)</f>
        <v/>
      </c>
      <c r="B243" s="70"/>
      <c r="C243" s="71"/>
      <c r="D243" s="72"/>
      <c r="E243" s="71"/>
      <c r="F243" s="73"/>
      <c r="G243" s="73"/>
      <c r="H243" s="42" t="str">
        <f aca="false">IF(M243="","",IF(U243&gt;0,"✔ Matched",IF(M243="OUT","Not yet presented","Not yet credited")))</f>
        <v/>
      </c>
      <c r="I243" s="43" t="str">
        <f aca="false">IF(N(U243)&gt;0,U243,"")</f>
        <v/>
      </c>
      <c r="J243" s="44" t="str">
        <f aca="false">IF(N(U243)&gt;0,T243,"")</f>
        <v/>
      </c>
      <c r="K243" s="45" t="str">
        <f aca="false">IF(AND(M243="",B243="",D243=""),"",IF(AND(N(F243)&gt;0,N(G243)&gt;0),"⚠ Fill deposit OR payment",IF(M243="","⚠ Enter amount",IF(B243="","⚠ Enter date",IF(AND(Setup!$C$8&lt;&gt;"",B243&gt;Setup!$C$8),"⚠ Date after period",IF(AND(O243&lt;&gt;"",COUNTIF($O$8:$O$507,O243)&gt;1),"⚠ Cheque no. used twice","✔"))))))</f>
        <v/>
      </c>
      <c r="M243" s="9" t="str">
        <f aca="false">IF(N(F243)&gt;0,"IN",IF(N(G243)&gt;0,"OUT",""))</f>
        <v/>
      </c>
      <c r="N243" s="9" t="str">
        <f aca="false">IF(M243="","",M243&amp;"|"&amp;TEXT(ROUND(N(F243)+N(G243),2),"0.00"))</f>
        <v/>
      </c>
      <c r="O243" s="9" t="str">
        <f aca="false">IF(OR(N243="",TRIM(E243&amp;"")=""),"",N243&amp;"|"&amp;UPPER(TRIM(E243&amp;"")))</f>
        <v/>
      </c>
      <c r="P243" s="9" t="n">
        <f aca="false">IF(O243="",0,IFERROR(MATCH(O243,'Bank Statement'!$O$8:$O$507,0),0))</f>
        <v>0</v>
      </c>
      <c r="Q243" s="9" t="str">
        <f aca="false">IF(OR(N243="",P243&gt;0),"",N243&amp;"#"&amp;COUNTIFS($N$8:N243,N243,$P$8:P243,0))</f>
        <v/>
      </c>
      <c r="R243" s="9" t="n">
        <f aca="false">IF(Q243="",0,IFERROR(MATCH(Q243,'Bank Statement'!$Q$8:$Q$507,0),0))</f>
        <v>0</v>
      </c>
      <c r="S243" s="9" t="n">
        <f aca="false">IF(P243&gt;0,P243,R243)</f>
        <v>0</v>
      </c>
      <c r="T243" s="9" t="str">
        <f aca="false">IF(OR(S243=0,B243=""),"",INDEX('Bank Statement'!$B$8:$B$507,S243)-B243)</f>
        <v/>
      </c>
      <c r="U243" s="9" t="n">
        <f aca="false">IF(S243=0,0,IF(P243&gt;0,S243,IF(AND(ISNUMBER(T243),ABS(N(T243))&lt;=Setup!$C$11),S243,0)))</f>
        <v>0</v>
      </c>
      <c r="V243" s="9" t="str">
        <f aca="false">IF(AND(N243&lt;&gt;"",U243=0),IF(M243="OUT",1,2)*100000+ROW(),"")</f>
        <v/>
      </c>
      <c r="W243" s="9" t="n">
        <f aca="false">N(F243)+N(G243)</f>
        <v>0</v>
      </c>
    </row>
    <row r="244" customFormat="false" ht="15" hidden="false" customHeight="false" outlineLevel="0" collapsed="false">
      <c r="A244" s="37" t="str">
        <f aca="false">IF(M244="","",ROW()-7)</f>
        <v/>
      </c>
      <c r="B244" s="70"/>
      <c r="C244" s="71"/>
      <c r="D244" s="72"/>
      <c r="E244" s="71"/>
      <c r="F244" s="73"/>
      <c r="G244" s="73"/>
      <c r="H244" s="42" t="str">
        <f aca="false">IF(M244="","",IF(U244&gt;0,"✔ Matched",IF(M244="OUT","Not yet presented","Not yet credited")))</f>
        <v/>
      </c>
      <c r="I244" s="43" t="str">
        <f aca="false">IF(N(U244)&gt;0,U244,"")</f>
        <v/>
      </c>
      <c r="J244" s="44" t="str">
        <f aca="false">IF(N(U244)&gt;0,T244,"")</f>
        <v/>
      </c>
      <c r="K244" s="45" t="str">
        <f aca="false">IF(AND(M244="",B244="",D244=""),"",IF(AND(N(F244)&gt;0,N(G244)&gt;0),"⚠ Fill deposit OR payment",IF(M244="","⚠ Enter amount",IF(B244="","⚠ Enter date",IF(AND(Setup!$C$8&lt;&gt;"",B244&gt;Setup!$C$8),"⚠ Date after period",IF(AND(O244&lt;&gt;"",COUNTIF($O$8:$O$507,O244)&gt;1),"⚠ Cheque no. used twice","✔"))))))</f>
        <v/>
      </c>
      <c r="M244" s="9" t="str">
        <f aca="false">IF(N(F244)&gt;0,"IN",IF(N(G244)&gt;0,"OUT",""))</f>
        <v/>
      </c>
      <c r="N244" s="9" t="str">
        <f aca="false">IF(M244="","",M244&amp;"|"&amp;TEXT(ROUND(N(F244)+N(G244),2),"0.00"))</f>
        <v/>
      </c>
      <c r="O244" s="9" t="str">
        <f aca="false">IF(OR(N244="",TRIM(E244&amp;"")=""),"",N244&amp;"|"&amp;UPPER(TRIM(E244&amp;"")))</f>
        <v/>
      </c>
      <c r="P244" s="9" t="n">
        <f aca="false">IF(O244="",0,IFERROR(MATCH(O244,'Bank Statement'!$O$8:$O$507,0),0))</f>
        <v>0</v>
      </c>
      <c r="Q244" s="9" t="str">
        <f aca="false">IF(OR(N244="",P244&gt;0),"",N244&amp;"#"&amp;COUNTIFS($N$8:N244,N244,$P$8:P244,0))</f>
        <v/>
      </c>
      <c r="R244" s="9" t="n">
        <f aca="false">IF(Q244="",0,IFERROR(MATCH(Q244,'Bank Statement'!$Q$8:$Q$507,0),0))</f>
        <v>0</v>
      </c>
      <c r="S244" s="9" t="n">
        <f aca="false">IF(P244&gt;0,P244,R244)</f>
        <v>0</v>
      </c>
      <c r="T244" s="9" t="str">
        <f aca="false">IF(OR(S244=0,B244=""),"",INDEX('Bank Statement'!$B$8:$B$507,S244)-B244)</f>
        <v/>
      </c>
      <c r="U244" s="9" t="n">
        <f aca="false">IF(S244=0,0,IF(P244&gt;0,S244,IF(AND(ISNUMBER(T244),ABS(N(T244))&lt;=Setup!$C$11),S244,0)))</f>
        <v>0</v>
      </c>
      <c r="V244" s="9" t="str">
        <f aca="false">IF(AND(N244&lt;&gt;"",U244=0),IF(M244="OUT",1,2)*100000+ROW(),"")</f>
        <v/>
      </c>
      <c r="W244" s="9" t="n">
        <f aca="false">N(F244)+N(G244)</f>
        <v>0</v>
      </c>
    </row>
    <row r="245" customFormat="false" ht="15" hidden="false" customHeight="false" outlineLevel="0" collapsed="false">
      <c r="A245" s="37" t="str">
        <f aca="false">IF(M245="","",ROW()-7)</f>
        <v/>
      </c>
      <c r="B245" s="70"/>
      <c r="C245" s="71"/>
      <c r="D245" s="72"/>
      <c r="E245" s="71"/>
      <c r="F245" s="73"/>
      <c r="G245" s="73"/>
      <c r="H245" s="42" t="str">
        <f aca="false">IF(M245="","",IF(U245&gt;0,"✔ Matched",IF(M245="OUT","Not yet presented","Not yet credited")))</f>
        <v/>
      </c>
      <c r="I245" s="43" t="str">
        <f aca="false">IF(N(U245)&gt;0,U245,"")</f>
        <v/>
      </c>
      <c r="J245" s="44" t="str">
        <f aca="false">IF(N(U245)&gt;0,T245,"")</f>
        <v/>
      </c>
      <c r="K245" s="45" t="str">
        <f aca="false">IF(AND(M245="",B245="",D245=""),"",IF(AND(N(F245)&gt;0,N(G245)&gt;0),"⚠ Fill deposit OR payment",IF(M245="","⚠ Enter amount",IF(B245="","⚠ Enter date",IF(AND(Setup!$C$8&lt;&gt;"",B245&gt;Setup!$C$8),"⚠ Date after period",IF(AND(O245&lt;&gt;"",COUNTIF($O$8:$O$507,O245)&gt;1),"⚠ Cheque no. used twice","✔"))))))</f>
        <v/>
      </c>
      <c r="M245" s="9" t="str">
        <f aca="false">IF(N(F245)&gt;0,"IN",IF(N(G245)&gt;0,"OUT",""))</f>
        <v/>
      </c>
      <c r="N245" s="9" t="str">
        <f aca="false">IF(M245="","",M245&amp;"|"&amp;TEXT(ROUND(N(F245)+N(G245),2),"0.00"))</f>
        <v/>
      </c>
      <c r="O245" s="9" t="str">
        <f aca="false">IF(OR(N245="",TRIM(E245&amp;"")=""),"",N245&amp;"|"&amp;UPPER(TRIM(E245&amp;"")))</f>
        <v/>
      </c>
      <c r="P245" s="9" t="n">
        <f aca="false">IF(O245="",0,IFERROR(MATCH(O245,'Bank Statement'!$O$8:$O$507,0),0))</f>
        <v>0</v>
      </c>
      <c r="Q245" s="9" t="str">
        <f aca="false">IF(OR(N245="",P245&gt;0),"",N245&amp;"#"&amp;COUNTIFS($N$8:N245,N245,$P$8:P245,0))</f>
        <v/>
      </c>
      <c r="R245" s="9" t="n">
        <f aca="false">IF(Q245="",0,IFERROR(MATCH(Q245,'Bank Statement'!$Q$8:$Q$507,0),0))</f>
        <v>0</v>
      </c>
      <c r="S245" s="9" t="n">
        <f aca="false">IF(P245&gt;0,P245,R245)</f>
        <v>0</v>
      </c>
      <c r="T245" s="9" t="str">
        <f aca="false">IF(OR(S245=0,B245=""),"",INDEX('Bank Statement'!$B$8:$B$507,S245)-B245)</f>
        <v/>
      </c>
      <c r="U245" s="9" t="n">
        <f aca="false">IF(S245=0,0,IF(P245&gt;0,S245,IF(AND(ISNUMBER(T245),ABS(N(T245))&lt;=Setup!$C$11),S245,0)))</f>
        <v>0</v>
      </c>
      <c r="V245" s="9" t="str">
        <f aca="false">IF(AND(N245&lt;&gt;"",U245=0),IF(M245="OUT",1,2)*100000+ROW(),"")</f>
        <v/>
      </c>
      <c r="W245" s="9" t="n">
        <f aca="false">N(F245)+N(G245)</f>
        <v>0</v>
      </c>
    </row>
    <row r="246" customFormat="false" ht="15" hidden="false" customHeight="false" outlineLevel="0" collapsed="false">
      <c r="A246" s="37" t="str">
        <f aca="false">IF(M246="","",ROW()-7)</f>
        <v/>
      </c>
      <c r="B246" s="70"/>
      <c r="C246" s="71"/>
      <c r="D246" s="72"/>
      <c r="E246" s="71"/>
      <c r="F246" s="73"/>
      <c r="G246" s="73"/>
      <c r="H246" s="42" t="str">
        <f aca="false">IF(M246="","",IF(U246&gt;0,"✔ Matched",IF(M246="OUT","Not yet presented","Not yet credited")))</f>
        <v/>
      </c>
      <c r="I246" s="43" t="str">
        <f aca="false">IF(N(U246)&gt;0,U246,"")</f>
        <v/>
      </c>
      <c r="J246" s="44" t="str">
        <f aca="false">IF(N(U246)&gt;0,T246,"")</f>
        <v/>
      </c>
      <c r="K246" s="45" t="str">
        <f aca="false">IF(AND(M246="",B246="",D246=""),"",IF(AND(N(F246)&gt;0,N(G246)&gt;0),"⚠ Fill deposit OR payment",IF(M246="","⚠ Enter amount",IF(B246="","⚠ Enter date",IF(AND(Setup!$C$8&lt;&gt;"",B246&gt;Setup!$C$8),"⚠ Date after period",IF(AND(O246&lt;&gt;"",COUNTIF($O$8:$O$507,O246)&gt;1),"⚠ Cheque no. used twice","✔"))))))</f>
        <v/>
      </c>
      <c r="M246" s="9" t="str">
        <f aca="false">IF(N(F246)&gt;0,"IN",IF(N(G246)&gt;0,"OUT",""))</f>
        <v/>
      </c>
      <c r="N246" s="9" t="str">
        <f aca="false">IF(M246="","",M246&amp;"|"&amp;TEXT(ROUND(N(F246)+N(G246),2),"0.00"))</f>
        <v/>
      </c>
      <c r="O246" s="9" t="str">
        <f aca="false">IF(OR(N246="",TRIM(E246&amp;"")=""),"",N246&amp;"|"&amp;UPPER(TRIM(E246&amp;"")))</f>
        <v/>
      </c>
      <c r="P246" s="9" t="n">
        <f aca="false">IF(O246="",0,IFERROR(MATCH(O246,'Bank Statement'!$O$8:$O$507,0),0))</f>
        <v>0</v>
      </c>
      <c r="Q246" s="9" t="str">
        <f aca="false">IF(OR(N246="",P246&gt;0),"",N246&amp;"#"&amp;COUNTIFS($N$8:N246,N246,$P$8:P246,0))</f>
        <v/>
      </c>
      <c r="R246" s="9" t="n">
        <f aca="false">IF(Q246="",0,IFERROR(MATCH(Q246,'Bank Statement'!$Q$8:$Q$507,0),0))</f>
        <v>0</v>
      </c>
      <c r="S246" s="9" t="n">
        <f aca="false">IF(P246&gt;0,P246,R246)</f>
        <v>0</v>
      </c>
      <c r="T246" s="9" t="str">
        <f aca="false">IF(OR(S246=0,B246=""),"",INDEX('Bank Statement'!$B$8:$B$507,S246)-B246)</f>
        <v/>
      </c>
      <c r="U246" s="9" t="n">
        <f aca="false">IF(S246=0,0,IF(P246&gt;0,S246,IF(AND(ISNUMBER(T246),ABS(N(T246))&lt;=Setup!$C$11),S246,0)))</f>
        <v>0</v>
      </c>
      <c r="V246" s="9" t="str">
        <f aca="false">IF(AND(N246&lt;&gt;"",U246=0),IF(M246="OUT",1,2)*100000+ROW(),"")</f>
        <v/>
      </c>
      <c r="W246" s="9" t="n">
        <f aca="false">N(F246)+N(G246)</f>
        <v>0</v>
      </c>
    </row>
    <row r="247" customFormat="false" ht="15" hidden="false" customHeight="false" outlineLevel="0" collapsed="false">
      <c r="A247" s="37" t="str">
        <f aca="false">IF(M247="","",ROW()-7)</f>
        <v/>
      </c>
      <c r="B247" s="70"/>
      <c r="C247" s="71"/>
      <c r="D247" s="72"/>
      <c r="E247" s="71"/>
      <c r="F247" s="73"/>
      <c r="G247" s="73"/>
      <c r="H247" s="42" t="str">
        <f aca="false">IF(M247="","",IF(U247&gt;0,"✔ Matched",IF(M247="OUT","Not yet presented","Not yet credited")))</f>
        <v/>
      </c>
      <c r="I247" s="43" t="str">
        <f aca="false">IF(N(U247)&gt;0,U247,"")</f>
        <v/>
      </c>
      <c r="J247" s="44" t="str">
        <f aca="false">IF(N(U247)&gt;0,T247,"")</f>
        <v/>
      </c>
      <c r="K247" s="45" t="str">
        <f aca="false">IF(AND(M247="",B247="",D247=""),"",IF(AND(N(F247)&gt;0,N(G247)&gt;0),"⚠ Fill deposit OR payment",IF(M247="","⚠ Enter amount",IF(B247="","⚠ Enter date",IF(AND(Setup!$C$8&lt;&gt;"",B247&gt;Setup!$C$8),"⚠ Date after period",IF(AND(O247&lt;&gt;"",COUNTIF($O$8:$O$507,O247)&gt;1),"⚠ Cheque no. used twice","✔"))))))</f>
        <v/>
      </c>
      <c r="M247" s="9" t="str">
        <f aca="false">IF(N(F247)&gt;0,"IN",IF(N(G247)&gt;0,"OUT",""))</f>
        <v/>
      </c>
      <c r="N247" s="9" t="str">
        <f aca="false">IF(M247="","",M247&amp;"|"&amp;TEXT(ROUND(N(F247)+N(G247),2),"0.00"))</f>
        <v/>
      </c>
      <c r="O247" s="9" t="str">
        <f aca="false">IF(OR(N247="",TRIM(E247&amp;"")=""),"",N247&amp;"|"&amp;UPPER(TRIM(E247&amp;"")))</f>
        <v/>
      </c>
      <c r="P247" s="9" t="n">
        <f aca="false">IF(O247="",0,IFERROR(MATCH(O247,'Bank Statement'!$O$8:$O$507,0),0))</f>
        <v>0</v>
      </c>
      <c r="Q247" s="9" t="str">
        <f aca="false">IF(OR(N247="",P247&gt;0),"",N247&amp;"#"&amp;COUNTIFS($N$8:N247,N247,$P$8:P247,0))</f>
        <v/>
      </c>
      <c r="R247" s="9" t="n">
        <f aca="false">IF(Q247="",0,IFERROR(MATCH(Q247,'Bank Statement'!$Q$8:$Q$507,0),0))</f>
        <v>0</v>
      </c>
      <c r="S247" s="9" t="n">
        <f aca="false">IF(P247&gt;0,P247,R247)</f>
        <v>0</v>
      </c>
      <c r="T247" s="9" t="str">
        <f aca="false">IF(OR(S247=0,B247=""),"",INDEX('Bank Statement'!$B$8:$B$507,S247)-B247)</f>
        <v/>
      </c>
      <c r="U247" s="9" t="n">
        <f aca="false">IF(S247=0,0,IF(P247&gt;0,S247,IF(AND(ISNUMBER(T247),ABS(N(T247))&lt;=Setup!$C$11),S247,0)))</f>
        <v>0</v>
      </c>
      <c r="V247" s="9" t="str">
        <f aca="false">IF(AND(N247&lt;&gt;"",U247=0),IF(M247="OUT",1,2)*100000+ROW(),"")</f>
        <v/>
      </c>
      <c r="W247" s="9" t="n">
        <f aca="false">N(F247)+N(G247)</f>
        <v>0</v>
      </c>
    </row>
    <row r="248" customFormat="false" ht="15" hidden="false" customHeight="false" outlineLevel="0" collapsed="false">
      <c r="A248" s="37" t="str">
        <f aca="false">IF(M248="","",ROW()-7)</f>
        <v/>
      </c>
      <c r="B248" s="70"/>
      <c r="C248" s="71"/>
      <c r="D248" s="72"/>
      <c r="E248" s="71"/>
      <c r="F248" s="73"/>
      <c r="G248" s="73"/>
      <c r="H248" s="42" t="str">
        <f aca="false">IF(M248="","",IF(U248&gt;0,"✔ Matched",IF(M248="OUT","Not yet presented","Not yet credited")))</f>
        <v/>
      </c>
      <c r="I248" s="43" t="str">
        <f aca="false">IF(N(U248)&gt;0,U248,"")</f>
        <v/>
      </c>
      <c r="J248" s="44" t="str">
        <f aca="false">IF(N(U248)&gt;0,T248,"")</f>
        <v/>
      </c>
      <c r="K248" s="45" t="str">
        <f aca="false">IF(AND(M248="",B248="",D248=""),"",IF(AND(N(F248)&gt;0,N(G248)&gt;0),"⚠ Fill deposit OR payment",IF(M248="","⚠ Enter amount",IF(B248="","⚠ Enter date",IF(AND(Setup!$C$8&lt;&gt;"",B248&gt;Setup!$C$8),"⚠ Date after period",IF(AND(O248&lt;&gt;"",COUNTIF($O$8:$O$507,O248)&gt;1),"⚠ Cheque no. used twice","✔"))))))</f>
        <v/>
      </c>
      <c r="M248" s="9" t="str">
        <f aca="false">IF(N(F248)&gt;0,"IN",IF(N(G248)&gt;0,"OUT",""))</f>
        <v/>
      </c>
      <c r="N248" s="9" t="str">
        <f aca="false">IF(M248="","",M248&amp;"|"&amp;TEXT(ROUND(N(F248)+N(G248),2),"0.00"))</f>
        <v/>
      </c>
      <c r="O248" s="9" t="str">
        <f aca="false">IF(OR(N248="",TRIM(E248&amp;"")=""),"",N248&amp;"|"&amp;UPPER(TRIM(E248&amp;"")))</f>
        <v/>
      </c>
      <c r="P248" s="9" t="n">
        <f aca="false">IF(O248="",0,IFERROR(MATCH(O248,'Bank Statement'!$O$8:$O$507,0),0))</f>
        <v>0</v>
      </c>
      <c r="Q248" s="9" t="str">
        <f aca="false">IF(OR(N248="",P248&gt;0),"",N248&amp;"#"&amp;COUNTIFS($N$8:N248,N248,$P$8:P248,0))</f>
        <v/>
      </c>
      <c r="R248" s="9" t="n">
        <f aca="false">IF(Q248="",0,IFERROR(MATCH(Q248,'Bank Statement'!$Q$8:$Q$507,0),0))</f>
        <v>0</v>
      </c>
      <c r="S248" s="9" t="n">
        <f aca="false">IF(P248&gt;0,P248,R248)</f>
        <v>0</v>
      </c>
      <c r="T248" s="9" t="str">
        <f aca="false">IF(OR(S248=0,B248=""),"",INDEX('Bank Statement'!$B$8:$B$507,S248)-B248)</f>
        <v/>
      </c>
      <c r="U248" s="9" t="n">
        <f aca="false">IF(S248=0,0,IF(P248&gt;0,S248,IF(AND(ISNUMBER(T248),ABS(N(T248))&lt;=Setup!$C$11),S248,0)))</f>
        <v>0</v>
      </c>
      <c r="V248" s="9" t="str">
        <f aca="false">IF(AND(N248&lt;&gt;"",U248=0),IF(M248="OUT",1,2)*100000+ROW(),"")</f>
        <v/>
      </c>
      <c r="W248" s="9" t="n">
        <f aca="false">N(F248)+N(G248)</f>
        <v>0</v>
      </c>
    </row>
    <row r="249" customFormat="false" ht="15" hidden="false" customHeight="false" outlineLevel="0" collapsed="false">
      <c r="A249" s="37" t="str">
        <f aca="false">IF(M249="","",ROW()-7)</f>
        <v/>
      </c>
      <c r="B249" s="70"/>
      <c r="C249" s="71"/>
      <c r="D249" s="72"/>
      <c r="E249" s="71"/>
      <c r="F249" s="73"/>
      <c r="G249" s="73"/>
      <c r="H249" s="42" t="str">
        <f aca="false">IF(M249="","",IF(U249&gt;0,"✔ Matched",IF(M249="OUT","Not yet presented","Not yet credited")))</f>
        <v/>
      </c>
      <c r="I249" s="43" t="str">
        <f aca="false">IF(N(U249)&gt;0,U249,"")</f>
        <v/>
      </c>
      <c r="J249" s="44" t="str">
        <f aca="false">IF(N(U249)&gt;0,T249,"")</f>
        <v/>
      </c>
      <c r="K249" s="45" t="str">
        <f aca="false">IF(AND(M249="",B249="",D249=""),"",IF(AND(N(F249)&gt;0,N(G249)&gt;0),"⚠ Fill deposit OR payment",IF(M249="","⚠ Enter amount",IF(B249="","⚠ Enter date",IF(AND(Setup!$C$8&lt;&gt;"",B249&gt;Setup!$C$8),"⚠ Date after period",IF(AND(O249&lt;&gt;"",COUNTIF($O$8:$O$507,O249)&gt;1),"⚠ Cheque no. used twice","✔"))))))</f>
        <v/>
      </c>
      <c r="M249" s="9" t="str">
        <f aca="false">IF(N(F249)&gt;0,"IN",IF(N(G249)&gt;0,"OUT",""))</f>
        <v/>
      </c>
      <c r="N249" s="9" t="str">
        <f aca="false">IF(M249="","",M249&amp;"|"&amp;TEXT(ROUND(N(F249)+N(G249),2),"0.00"))</f>
        <v/>
      </c>
      <c r="O249" s="9" t="str">
        <f aca="false">IF(OR(N249="",TRIM(E249&amp;"")=""),"",N249&amp;"|"&amp;UPPER(TRIM(E249&amp;"")))</f>
        <v/>
      </c>
      <c r="P249" s="9" t="n">
        <f aca="false">IF(O249="",0,IFERROR(MATCH(O249,'Bank Statement'!$O$8:$O$507,0),0))</f>
        <v>0</v>
      </c>
      <c r="Q249" s="9" t="str">
        <f aca="false">IF(OR(N249="",P249&gt;0),"",N249&amp;"#"&amp;COUNTIFS($N$8:N249,N249,$P$8:P249,0))</f>
        <v/>
      </c>
      <c r="R249" s="9" t="n">
        <f aca="false">IF(Q249="",0,IFERROR(MATCH(Q249,'Bank Statement'!$Q$8:$Q$507,0),0))</f>
        <v>0</v>
      </c>
      <c r="S249" s="9" t="n">
        <f aca="false">IF(P249&gt;0,P249,R249)</f>
        <v>0</v>
      </c>
      <c r="T249" s="9" t="str">
        <f aca="false">IF(OR(S249=0,B249=""),"",INDEX('Bank Statement'!$B$8:$B$507,S249)-B249)</f>
        <v/>
      </c>
      <c r="U249" s="9" t="n">
        <f aca="false">IF(S249=0,0,IF(P249&gt;0,S249,IF(AND(ISNUMBER(T249),ABS(N(T249))&lt;=Setup!$C$11),S249,0)))</f>
        <v>0</v>
      </c>
      <c r="V249" s="9" t="str">
        <f aca="false">IF(AND(N249&lt;&gt;"",U249=0),IF(M249="OUT",1,2)*100000+ROW(),"")</f>
        <v/>
      </c>
      <c r="W249" s="9" t="n">
        <f aca="false">N(F249)+N(G249)</f>
        <v>0</v>
      </c>
    </row>
    <row r="250" customFormat="false" ht="15" hidden="false" customHeight="false" outlineLevel="0" collapsed="false">
      <c r="A250" s="37" t="str">
        <f aca="false">IF(M250="","",ROW()-7)</f>
        <v/>
      </c>
      <c r="B250" s="70"/>
      <c r="C250" s="71"/>
      <c r="D250" s="72"/>
      <c r="E250" s="71"/>
      <c r="F250" s="73"/>
      <c r="G250" s="73"/>
      <c r="H250" s="42" t="str">
        <f aca="false">IF(M250="","",IF(U250&gt;0,"✔ Matched",IF(M250="OUT","Not yet presented","Not yet credited")))</f>
        <v/>
      </c>
      <c r="I250" s="43" t="str">
        <f aca="false">IF(N(U250)&gt;0,U250,"")</f>
        <v/>
      </c>
      <c r="J250" s="44" t="str">
        <f aca="false">IF(N(U250)&gt;0,T250,"")</f>
        <v/>
      </c>
      <c r="K250" s="45" t="str">
        <f aca="false">IF(AND(M250="",B250="",D250=""),"",IF(AND(N(F250)&gt;0,N(G250)&gt;0),"⚠ Fill deposit OR payment",IF(M250="","⚠ Enter amount",IF(B250="","⚠ Enter date",IF(AND(Setup!$C$8&lt;&gt;"",B250&gt;Setup!$C$8),"⚠ Date after period",IF(AND(O250&lt;&gt;"",COUNTIF($O$8:$O$507,O250)&gt;1),"⚠ Cheque no. used twice","✔"))))))</f>
        <v/>
      </c>
      <c r="M250" s="9" t="str">
        <f aca="false">IF(N(F250)&gt;0,"IN",IF(N(G250)&gt;0,"OUT",""))</f>
        <v/>
      </c>
      <c r="N250" s="9" t="str">
        <f aca="false">IF(M250="","",M250&amp;"|"&amp;TEXT(ROUND(N(F250)+N(G250),2),"0.00"))</f>
        <v/>
      </c>
      <c r="O250" s="9" t="str">
        <f aca="false">IF(OR(N250="",TRIM(E250&amp;"")=""),"",N250&amp;"|"&amp;UPPER(TRIM(E250&amp;"")))</f>
        <v/>
      </c>
      <c r="P250" s="9" t="n">
        <f aca="false">IF(O250="",0,IFERROR(MATCH(O250,'Bank Statement'!$O$8:$O$507,0),0))</f>
        <v>0</v>
      </c>
      <c r="Q250" s="9" t="str">
        <f aca="false">IF(OR(N250="",P250&gt;0),"",N250&amp;"#"&amp;COUNTIFS($N$8:N250,N250,$P$8:P250,0))</f>
        <v/>
      </c>
      <c r="R250" s="9" t="n">
        <f aca="false">IF(Q250="",0,IFERROR(MATCH(Q250,'Bank Statement'!$Q$8:$Q$507,0),0))</f>
        <v>0</v>
      </c>
      <c r="S250" s="9" t="n">
        <f aca="false">IF(P250&gt;0,P250,R250)</f>
        <v>0</v>
      </c>
      <c r="T250" s="9" t="str">
        <f aca="false">IF(OR(S250=0,B250=""),"",INDEX('Bank Statement'!$B$8:$B$507,S250)-B250)</f>
        <v/>
      </c>
      <c r="U250" s="9" t="n">
        <f aca="false">IF(S250=0,0,IF(P250&gt;0,S250,IF(AND(ISNUMBER(T250),ABS(N(T250))&lt;=Setup!$C$11),S250,0)))</f>
        <v>0</v>
      </c>
      <c r="V250" s="9" t="str">
        <f aca="false">IF(AND(N250&lt;&gt;"",U250=0),IF(M250="OUT",1,2)*100000+ROW(),"")</f>
        <v/>
      </c>
      <c r="W250" s="9" t="n">
        <f aca="false">N(F250)+N(G250)</f>
        <v>0</v>
      </c>
    </row>
    <row r="251" customFormat="false" ht="15" hidden="false" customHeight="false" outlineLevel="0" collapsed="false">
      <c r="A251" s="37" t="str">
        <f aca="false">IF(M251="","",ROW()-7)</f>
        <v/>
      </c>
      <c r="B251" s="70"/>
      <c r="C251" s="71"/>
      <c r="D251" s="72"/>
      <c r="E251" s="71"/>
      <c r="F251" s="73"/>
      <c r="G251" s="73"/>
      <c r="H251" s="42" t="str">
        <f aca="false">IF(M251="","",IF(U251&gt;0,"✔ Matched",IF(M251="OUT","Not yet presented","Not yet credited")))</f>
        <v/>
      </c>
      <c r="I251" s="43" t="str">
        <f aca="false">IF(N(U251)&gt;0,U251,"")</f>
        <v/>
      </c>
      <c r="J251" s="44" t="str">
        <f aca="false">IF(N(U251)&gt;0,T251,"")</f>
        <v/>
      </c>
      <c r="K251" s="45" t="str">
        <f aca="false">IF(AND(M251="",B251="",D251=""),"",IF(AND(N(F251)&gt;0,N(G251)&gt;0),"⚠ Fill deposit OR payment",IF(M251="","⚠ Enter amount",IF(B251="","⚠ Enter date",IF(AND(Setup!$C$8&lt;&gt;"",B251&gt;Setup!$C$8),"⚠ Date after period",IF(AND(O251&lt;&gt;"",COUNTIF($O$8:$O$507,O251)&gt;1),"⚠ Cheque no. used twice","✔"))))))</f>
        <v/>
      </c>
      <c r="M251" s="9" t="str">
        <f aca="false">IF(N(F251)&gt;0,"IN",IF(N(G251)&gt;0,"OUT",""))</f>
        <v/>
      </c>
      <c r="N251" s="9" t="str">
        <f aca="false">IF(M251="","",M251&amp;"|"&amp;TEXT(ROUND(N(F251)+N(G251),2),"0.00"))</f>
        <v/>
      </c>
      <c r="O251" s="9" t="str">
        <f aca="false">IF(OR(N251="",TRIM(E251&amp;"")=""),"",N251&amp;"|"&amp;UPPER(TRIM(E251&amp;"")))</f>
        <v/>
      </c>
      <c r="P251" s="9" t="n">
        <f aca="false">IF(O251="",0,IFERROR(MATCH(O251,'Bank Statement'!$O$8:$O$507,0),0))</f>
        <v>0</v>
      </c>
      <c r="Q251" s="9" t="str">
        <f aca="false">IF(OR(N251="",P251&gt;0),"",N251&amp;"#"&amp;COUNTIFS($N$8:N251,N251,$P$8:P251,0))</f>
        <v/>
      </c>
      <c r="R251" s="9" t="n">
        <f aca="false">IF(Q251="",0,IFERROR(MATCH(Q251,'Bank Statement'!$Q$8:$Q$507,0),0))</f>
        <v>0</v>
      </c>
      <c r="S251" s="9" t="n">
        <f aca="false">IF(P251&gt;0,P251,R251)</f>
        <v>0</v>
      </c>
      <c r="T251" s="9" t="str">
        <f aca="false">IF(OR(S251=0,B251=""),"",INDEX('Bank Statement'!$B$8:$B$507,S251)-B251)</f>
        <v/>
      </c>
      <c r="U251" s="9" t="n">
        <f aca="false">IF(S251=0,0,IF(P251&gt;0,S251,IF(AND(ISNUMBER(T251),ABS(N(T251))&lt;=Setup!$C$11),S251,0)))</f>
        <v>0</v>
      </c>
      <c r="V251" s="9" t="str">
        <f aca="false">IF(AND(N251&lt;&gt;"",U251=0),IF(M251="OUT",1,2)*100000+ROW(),"")</f>
        <v/>
      </c>
      <c r="W251" s="9" t="n">
        <f aca="false">N(F251)+N(G251)</f>
        <v>0</v>
      </c>
    </row>
    <row r="252" customFormat="false" ht="15" hidden="false" customHeight="false" outlineLevel="0" collapsed="false">
      <c r="A252" s="37" t="str">
        <f aca="false">IF(M252="","",ROW()-7)</f>
        <v/>
      </c>
      <c r="B252" s="70"/>
      <c r="C252" s="71"/>
      <c r="D252" s="72"/>
      <c r="E252" s="71"/>
      <c r="F252" s="73"/>
      <c r="G252" s="73"/>
      <c r="H252" s="42" t="str">
        <f aca="false">IF(M252="","",IF(U252&gt;0,"✔ Matched",IF(M252="OUT","Not yet presented","Not yet credited")))</f>
        <v/>
      </c>
      <c r="I252" s="43" t="str">
        <f aca="false">IF(N(U252)&gt;0,U252,"")</f>
        <v/>
      </c>
      <c r="J252" s="44" t="str">
        <f aca="false">IF(N(U252)&gt;0,T252,"")</f>
        <v/>
      </c>
      <c r="K252" s="45" t="str">
        <f aca="false">IF(AND(M252="",B252="",D252=""),"",IF(AND(N(F252)&gt;0,N(G252)&gt;0),"⚠ Fill deposit OR payment",IF(M252="","⚠ Enter amount",IF(B252="","⚠ Enter date",IF(AND(Setup!$C$8&lt;&gt;"",B252&gt;Setup!$C$8),"⚠ Date after period",IF(AND(O252&lt;&gt;"",COUNTIF($O$8:$O$507,O252)&gt;1),"⚠ Cheque no. used twice","✔"))))))</f>
        <v/>
      </c>
      <c r="M252" s="9" t="str">
        <f aca="false">IF(N(F252)&gt;0,"IN",IF(N(G252)&gt;0,"OUT",""))</f>
        <v/>
      </c>
      <c r="N252" s="9" t="str">
        <f aca="false">IF(M252="","",M252&amp;"|"&amp;TEXT(ROUND(N(F252)+N(G252),2),"0.00"))</f>
        <v/>
      </c>
      <c r="O252" s="9" t="str">
        <f aca="false">IF(OR(N252="",TRIM(E252&amp;"")=""),"",N252&amp;"|"&amp;UPPER(TRIM(E252&amp;"")))</f>
        <v/>
      </c>
      <c r="P252" s="9" t="n">
        <f aca="false">IF(O252="",0,IFERROR(MATCH(O252,'Bank Statement'!$O$8:$O$507,0),0))</f>
        <v>0</v>
      </c>
      <c r="Q252" s="9" t="str">
        <f aca="false">IF(OR(N252="",P252&gt;0),"",N252&amp;"#"&amp;COUNTIFS($N$8:N252,N252,$P$8:P252,0))</f>
        <v/>
      </c>
      <c r="R252" s="9" t="n">
        <f aca="false">IF(Q252="",0,IFERROR(MATCH(Q252,'Bank Statement'!$Q$8:$Q$507,0),0))</f>
        <v>0</v>
      </c>
      <c r="S252" s="9" t="n">
        <f aca="false">IF(P252&gt;0,P252,R252)</f>
        <v>0</v>
      </c>
      <c r="T252" s="9" t="str">
        <f aca="false">IF(OR(S252=0,B252=""),"",INDEX('Bank Statement'!$B$8:$B$507,S252)-B252)</f>
        <v/>
      </c>
      <c r="U252" s="9" t="n">
        <f aca="false">IF(S252=0,0,IF(P252&gt;0,S252,IF(AND(ISNUMBER(T252),ABS(N(T252))&lt;=Setup!$C$11),S252,0)))</f>
        <v>0</v>
      </c>
      <c r="V252" s="9" t="str">
        <f aca="false">IF(AND(N252&lt;&gt;"",U252=0),IF(M252="OUT",1,2)*100000+ROW(),"")</f>
        <v/>
      </c>
      <c r="W252" s="9" t="n">
        <f aca="false">N(F252)+N(G252)</f>
        <v>0</v>
      </c>
    </row>
    <row r="253" customFormat="false" ht="15" hidden="false" customHeight="false" outlineLevel="0" collapsed="false">
      <c r="A253" s="37" t="str">
        <f aca="false">IF(M253="","",ROW()-7)</f>
        <v/>
      </c>
      <c r="B253" s="70"/>
      <c r="C253" s="71"/>
      <c r="D253" s="72"/>
      <c r="E253" s="71"/>
      <c r="F253" s="73"/>
      <c r="G253" s="73"/>
      <c r="H253" s="42" t="str">
        <f aca="false">IF(M253="","",IF(U253&gt;0,"✔ Matched",IF(M253="OUT","Not yet presented","Not yet credited")))</f>
        <v/>
      </c>
      <c r="I253" s="43" t="str">
        <f aca="false">IF(N(U253)&gt;0,U253,"")</f>
        <v/>
      </c>
      <c r="J253" s="44" t="str">
        <f aca="false">IF(N(U253)&gt;0,T253,"")</f>
        <v/>
      </c>
      <c r="K253" s="45" t="str">
        <f aca="false">IF(AND(M253="",B253="",D253=""),"",IF(AND(N(F253)&gt;0,N(G253)&gt;0),"⚠ Fill deposit OR payment",IF(M253="","⚠ Enter amount",IF(B253="","⚠ Enter date",IF(AND(Setup!$C$8&lt;&gt;"",B253&gt;Setup!$C$8),"⚠ Date after period",IF(AND(O253&lt;&gt;"",COUNTIF($O$8:$O$507,O253)&gt;1),"⚠ Cheque no. used twice","✔"))))))</f>
        <v/>
      </c>
      <c r="M253" s="9" t="str">
        <f aca="false">IF(N(F253)&gt;0,"IN",IF(N(G253)&gt;0,"OUT",""))</f>
        <v/>
      </c>
      <c r="N253" s="9" t="str">
        <f aca="false">IF(M253="","",M253&amp;"|"&amp;TEXT(ROUND(N(F253)+N(G253),2),"0.00"))</f>
        <v/>
      </c>
      <c r="O253" s="9" t="str">
        <f aca="false">IF(OR(N253="",TRIM(E253&amp;"")=""),"",N253&amp;"|"&amp;UPPER(TRIM(E253&amp;"")))</f>
        <v/>
      </c>
      <c r="P253" s="9" t="n">
        <f aca="false">IF(O253="",0,IFERROR(MATCH(O253,'Bank Statement'!$O$8:$O$507,0),0))</f>
        <v>0</v>
      </c>
      <c r="Q253" s="9" t="str">
        <f aca="false">IF(OR(N253="",P253&gt;0),"",N253&amp;"#"&amp;COUNTIFS($N$8:N253,N253,$P$8:P253,0))</f>
        <v/>
      </c>
      <c r="R253" s="9" t="n">
        <f aca="false">IF(Q253="",0,IFERROR(MATCH(Q253,'Bank Statement'!$Q$8:$Q$507,0),0))</f>
        <v>0</v>
      </c>
      <c r="S253" s="9" t="n">
        <f aca="false">IF(P253&gt;0,P253,R253)</f>
        <v>0</v>
      </c>
      <c r="T253" s="9" t="str">
        <f aca="false">IF(OR(S253=0,B253=""),"",INDEX('Bank Statement'!$B$8:$B$507,S253)-B253)</f>
        <v/>
      </c>
      <c r="U253" s="9" t="n">
        <f aca="false">IF(S253=0,0,IF(P253&gt;0,S253,IF(AND(ISNUMBER(T253),ABS(N(T253))&lt;=Setup!$C$11),S253,0)))</f>
        <v>0</v>
      </c>
      <c r="V253" s="9" t="str">
        <f aca="false">IF(AND(N253&lt;&gt;"",U253=0),IF(M253="OUT",1,2)*100000+ROW(),"")</f>
        <v/>
      </c>
      <c r="W253" s="9" t="n">
        <f aca="false">N(F253)+N(G253)</f>
        <v>0</v>
      </c>
    </row>
    <row r="254" customFormat="false" ht="15" hidden="false" customHeight="false" outlineLevel="0" collapsed="false">
      <c r="A254" s="37" t="str">
        <f aca="false">IF(M254="","",ROW()-7)</f>
        <v/>
      </c>
      <c r="B254" s="70"/>
      <c r="C254" s="71"/>
      <c r="D254" s="72"/>
      <c r="E254" s="71"/>
      <c r="F254" s="73"/>
      <c r="G254" s="73"/>
      <c r="H254" s="42" t="str">
        <f aca="false">IF(M254="","",IF(U254&gt;0,"✔ Matched",IF(M254="OUT","Not yet presented","Not yet credited")))</f>
        <v/>
      </c>
      <c r="I254" s="43" t="str">
        <f aca="false">IF(N(U254)&gt;0,U254,"")</f>
        <v/>
      </c>
      <c r="J254" s="44" t="str">
        <f aca="false">IF(N(U254)&gt;0,T254,"")</f>
        <v/>
      </c>
      <c r="K254" s="45" t="str">
        <f aca="false">IF(AND(M254="",B254="",D254=""),"",IF(AND(N(F254)&gt;0,N(G254)&gt;0),"⚠ Fill deposit OR payment",IF(M254="","⚠ Enter amount",IF(B254="","⚠ Enter date",IF(AND(Setup!$C$8&lt;&gt;"",B254&gt;Setup!$C$8),"⚠ Date after period",IF(AND(O254&lt;&gt;"",COUNTIF($O$8:$O$507,O254)&gt;1),"⚠ Cheque no. used twice","✔"))))))</f>
        <v/>
      </c>
      <c r="M254" s="9" t="str">
        <f aca="false">IF(N(F254)&gt;0,"IN",IF(N(G254)&gt;0,"OUT",""))</f>
        <v/>
      </c>
      <c r="N254" s="9" t="str">
        <f aca="false">IF(M254="","",M254&amp;"|"&amp;TEXT(ROUND(N(F254)+N(G254),2),"0.00"))</f>
        <v/>
      </c>
      <c r="O254" s="9" t="str">
        <f aca="false">IF(OR(N254="",TRIM(E254&amp;"")=""),"",N254&amp;"|"&amp;UPPER(TRIM(E254&amp;"")))</f>
        <v/>
      </c>
      <c r="P254" s="9" t="n">
        <f aca="false">IF(O254="",0,IFERROR(MATCH(O254,'Bank Statement'!$O$8:$O$507,0),0))</f>
        <v>0</v>
      </c>
      <c r="Q254" s="9" t="str">
        <f aca="false">IF(OR(N254="",P254&gt;0),"",N254&amp;"#"&amp;COUNTIFS($N$8:N254,N254,$P$8:P254,0))</f>
        <v/>
      </c>
      <c r="R254" s="9" t="n">
        <f aca="false">IF(Q254="",0,IFERROR(MATCH(Q254,'Bank Statement'!$Q$8:$Q$507,0),0))</f>
        <v>0</v>
      </c>
      <c r="S254" s="9" t="n">
        <f aca="false">IF(P254&gt;0,P254,R254)</f>
        <v>0</v>
      </c>
      <c r="T254" s="9" t="str">
        <f aca="false">IF(OR(S254=0,B254=""),"",INDEX('Bank Statement'!$B$8:$B$507,S254)-B254)</f>
        <v/>
      </c>
      <c r="U254" s="9" t="n">
        <f aca="false">IF(S254=0,0,IF(P254&gt;0,S254,IF(AND(ISNUMBER(T254),ABS(N(T254))&lt;=Setup!$C$11),S254,0)))</f>
        <v>0</v>
      </c>
      <c r="V254" s="9" t="str">
        <f aca="false">IF(AND(N254&lt;&gt;"",U254=0),IF(M254="OUT",1,2)*100000+ROW(),"")</f>
        <v/>
      </c>
      <c r="W254" s="9" t="n">
        <f aca="false">N(F254)+N(G254)</f>
        <v>0</v>
      </c>
    </row>
    <row r="255" customFormat="false" ht="15" hidden="false" customHeight="false" outlineLevel="0" collapsed="false">
      <c r="A255" s="37" t="str">
        <f aca="false">IF(M255="","",ROW()-7)</f>
        <v/>
      </c>
      <c r="B255" s="70"/>
      <c r="C255" s="71"/>
      <c r="D255" s="72"/>
      <c r="E255" s="71"/>
      <c r="F255" s="73"/>
      <c r="G255" s="73"/>
      <c r="H255" s="42" t="str">
        <f aca="false">IF(M255="","",IF(U255&gt;0,"✔ Matched",IF(M255="OUT","Not yet presented","Not yet credited")))</f>
        <v/>
      </c>
      <c r="I255" s="43" t="str">
        <f aca="false">IF(N(U255)&gt;0,U255,"")</f>
        <v/>
      </c>
      <c r="J255" s="44" t="str">
        <f aca="false">IF(N(U255)&gt;0,T255,"")</f>
        <v/>
      </c>
      <c r="K255" s="45" t="str">
        <f aca="false">IF(AND(M255="",B255="",D255=""),"",IF(AND(N(F255)&gt;0,N(G255)&gt;0),"⚠ Fill deposit OR payment",IF(M255="","⚠ Enter amount",IF(B255="","⚠ Enter date",IF(AND(Setup!$C$8&lt;&gt;"",B255&gt;Setup!$C$8),"⚠ Date after period",IF(AND(O255&lt;&gt;"",COUNTIF($O$8:$O$507,O255)&gt;1),"⚠ Cheque no. used twice","✔"))))))</f>
        <v/>
      </c>
      <c r="M255" s="9" t="str">
        <f aca="false">IF(N(F255)&gt;0,"IN",IF(N(G255)&gt;0,"OUT",""))</f>
        <v/>
      </c>
      <c r="N255" s="9" t="str">
        <f aca="false">IF(M255="","",M255&amp;"|"&amp;TEXT(ROUND(N(F255)+N(G255),2),"0.00"))</f>
        <v/>
      </c>
      <c r="O255" s="9" t="str">
        <f aca="false">IF(OR(N255="",TRIM(E255&amp;"")=""),"",N255&amp;"|"&amp;UPPER(TRIM(E255&amp;"")))</f>
        <v/>
      </c>
      <c r="P255" s="9" t="n">
        <f aca="false">IF(O255="",0,IFERROR(MATCH(O255,'Bank Statement'!$O$8:$O$507,0),0))</f>
        <v>0</v>
      </c>
      <c r="Q255" s="9" t="str">
        <f aca="false">IF(OR(N255="",P255&gt;0),"",N255&amp;"#"&amp;COUNTIFS($N$8:N255,N255,$P$8:P255,0))</f>
        <v/>
      </c>
      <c r="R255" s="9" t="n">
        <f aca="false">IF(Q255="",0,IFERROR(MATCH(Q255,'Bank Statement'!$Q$8:$Q$507,0),0))</f>
        <v>0</v>
      </c>
      <c r="S255" s="9" t="n">
        <f aca="false">IF(P255&gt;0,P255,R255)</f>
        <v>0</v>
      </c>
      <c r="T255" s="9" t="str">
        <f aca="false">IF(OR(S255=0,B255=""),"",INDEX('Bank Statement'!$B$8:$B$507,S255)-B255)</f>
        <v/>
      </c>
      <c r="U255" s="9" t="n">
        <f aca="false">IF(S255=0,0,IF(P255&gt;0,S255,IF(AND(ISNUMBER(T255),ABS(N(T255))&lt;=Setup!$C$11),S255,0)))</f>
        <v>0</v>
      </c>
      <c r="V255" s="9" t="str">
        <f aca="false">IF(AND(N255&lt;&gt;"",U255=0),IF(M255="OUT",1,2)*100000+ROW(),"")</f>
        <v/>
      </c>
      <c r="W255" s="9" t="n">
        <f aca="false">N(F255)+N(G255)</f>
        <v>0</v>
      </c>
    </row>
    <row r="256" customFormat="false" ht="15" hidden="false" customHeight="false" outlineLevel="0" collapsed="false">
      <c r="A256" s="37" t="str">
        <f aca="false">IF(M256="","",ROW()-7)</f>
        <v/>
      </c>
      <c r="B256" s="70"/>
      <c r="C256" s="71"/>
      <c r="D256" s="72"/>
      <c r="E256" s="71"/>
      <c r="F256" s="73"/>
      <c r="G256" s="73"/>
      <c r="H256" s="42" t="str">
        <f aca="false">IF(M256="","",IF(U256&gt;0,"✔ Matched",IF(M256="OUT","Not yet presented","Not yet credited")))</f>
        <v/>
      </c>
      <c r="I256" s="43" t="str">
        <f aca="false">IF(N(U256)&gt;0,U256,"")</f>
        <v/>
      </c>
      <c r="J256" s="44" t="str">
        <f aca="false">IF(N(U256)&gt;0,T256,"")</f>
        <v/>
      </c>
      <c r="K256" s="45" t="str">
        <f aca="false">IF(AND(M256="",B256="",D256=""),"",IF(AND(N(F256)&gt;0,N(G256)&gt;0),"⚠ Fill deposit OR payment",IF(M256="","⚠ Enter amount",IF(B256="","⚠ Enter date",IF(AND(Setup!$C$8&lt;&gt;"",B256&gt;Setup!$C$8),"⚠ Date after period",IF(AND(O256&lt;&gt;"",COUNTIF($O$8:$O$507,O256)&gt;1),"⚠ Cheque no. used twice","✔"))))))</f>
        <v/>
      </c>
      <c r="M256" s="9" t="str">
        <f aca="false">IF(N(F256)&gt;0,"IN",IF(N(G256)&gt;0,"OUT",""))</f>
        <v/>
      </c>
      <c r="N256" s="9" t="str">
        <f aca="false">IF(M256="","",M256&amp;"|"&amp;TEXT(ROUND(N(F256)+N(G256),2),"0.00"))</f>
        <v/>
      </c>
      <c r="O256" s="9" t="str">
        <f aca="false">IF(OR(N256="",TRIM(E256&amp;"")=""),"",N256&amp;"|"&amp;UPPER(TRIM(E256&amp;"")))</f>
        <v/>
      </c>
      <c r="P256" s="9" t="n">
        <f aca="false">IF(O256="",0,IFERROR(MATCH(O256,'Bank Statement'!$O$8:$O$507,0),0))</f>
        <v>0</v>
      </c>
      <c r="Q256" s="9" t="str">
        <f aca="false">IF(OR(N256="",P256&gt;0),"",N256&amp;"#"&amp;COUNTIFS($N$8:N256,N256,$P$8:P256,0))</f>
        <v/>
      </c>
      <c r="R256" s="9" t="n">
        <f aca="false">IF(Q256="",0,IFERROR(MATCH(Q256,'Bank Statement'!$Q$8:$Q$507,0),0))</f>
        <v>0</v>
      </c>
      <c r="S256" s="9" t="n">
        <f aca="false">IF(P256&gt;0,P256,R256)</f>
        <v>0</v>
      </c>
      <c r="T256" s="9" t="str">
        <f aca="false">IF(OR(S256=0,B256=""),"",INDEX('Bank Statement'!$B$8:$B$507,S256)-B256)</f>
        <v/>
      </c>
      <c r="U256" s="9" t="n">
        <f aca="false">IF(S256=0,0,IF(P256&gt;0,S256,IF(AND(ISNUMBER(T256),ABS(N(T256))&lt;=Setup!$C$11),S256,0)))</f>
        <v>0</v>
      </c>
      <c r="V256" s="9" t="str">
        <f aca="false">IF(AND(N256&lt;&gt;"",U256=0),IF(M256="OUT",1,2)*100000+ROW(),"")</f>
        <v/>
      </c>
      <c r="W256" s="9" t="n">
        <f aca="false">N(F256)+N(G256)</f>
        <v>0</v>
      </c>
    </row>
    <row r="257" customFormat="false" ht="15" hidden="false" customHeight="false" outlineLevel="0" collapsed="false">
      <c r="A257" s="37" t="str">
        <f aca="false">IF(M257="","",ROW()-7)</f>
        <v/>
      </c>
      <c r="B257" s="70"/>
      <c r="C257" s="71"/>
      <c r="D257" s="72"/>
      <c r="E257" s="71"/>
      <c r="F257" s="73"/>
      <c r="G257" s="73"/>
      <c r="H257" s="42" t="str">
        <f aca="false">IF(M257="","",IF(U257&gt;0,"✔ Matched",IF(M257="OUT","Not yet presented","Not yet credited")))</f>
        <v/>
      </c>
      <c r="I257" s="43" t="str">
        <f aca="false">IF(N(U257)&gt;0,U257,"")</f>
        <v/>
      </c>
      <c r="J257" s="44" t="str">
        <f aca="false">IF(N(U257)&gt;0,T257,"")</f>
        <v/>
      </c>
      <c r="K257" s="45" t="str">
        <f aca="false">IF(AND(M257="",B257="",D257=""),"",IF(AND(N(F257)&gt;0,N(G257)&gt;0),"⚠ Fill deposit OR payment",IF(M257="","⚠ Enter amount",IF(B257="","⚠ Enter date",IF(AND(Setup!$C$8&lt;&gt;"",B257&gt;Setup!$C$8),"⚠ Date after period",IF(AND(O257&lt;&gt;"",COUNTIF($O$8:$O$507,O257)&gt;1),"⚠ Cheque no. used twice","✔"))))))</f>
        <v/>
      </c>
      <c r="M257" s="9" t="str">
        <f aca="false">IF(N(F257)&gt;0,"IN",IF(N(G257)&gt;0,"OUT",""))</f>
        <v/>
      </c>
      <c r="N257" s="9" t="str">
        <f aca="false">IF(M257="","",M257&amp;"|"&amp;TEXT(ROUND(N(F257)+N(G257),2),"0.00"))</f>
        <v/>
      </c>
      <c r="O257" s="9" t="str">
        <f aca="false">IF(OR(N257="",TRIM(E257&amp;"")=""),"",N257&amp;"|"&amp;UPPER(TRIM(E257&amp;"")))</f>
        <v/>
      </c>
      <c r="P257" s="9" t="n">
        <f aca="false">IF(O257="",0,IFERROR(MATCH(O257,'Bank Statement'!$O$8:$O$507,0),0))</f>
        <v>0</v>
      </c>
      <c r="Q257" s="9" t="str">
        <f aca="false">IF(OR(N257="",P257&gt;0),"",N257&amp;"#"&amp;COUNTIFS($N$8:N257,N257,$P$8:P257,0))</f>
        <v/>
      </c>
      <c r="R257" s="9" t="n">
        <f aca="false">IF(Q257="",0,IFERROR(MATCH(Q257,'Bank Statement'!$Q$8:$Q$507,0),0))</f>
        <v>0</v>
      </c>
      <c r="S257" s="9" t="n">
        <f aca="false">IF(P257&gt;0,P257,R257)</f>
        <v>0</v>
      </c>
      <c r="T257" s="9" t="str">
        <f aca="false">IF(OR(S257=0,B257=""),"",INDEX('Bank Statement'!$B$8:$B$507,S257)-B257)</f>
        <v/>
      </c>
      <c r="U257" s="9" t="n">
        <f aca="false">IF(S257=0,0,IF(P257&gt;0,S257,IF(AND(ISNUMBER(T257),ABS(N(T257))&lt;=Setup!$C$11),S257,0)))</f>
        <v>0</v>
      </c>
      <c r="V257" s="9" t="str">
        <f aca="false">IF(AND(N257&lt;&gt;"",U257=0),IF(M257="OUT",1,2)*100000+ROW(),"")</f>
        <v/>
      </c>
      <c r="W257" s="9" t="n">
        <f aca="false">N(F257)+N(G257)</f>
        <v>0</v>
      </c>
    </row>
    <row r="258" customFormat="false" ht="15" hidden="false" customHeight="false" outlineLevel="0" collapsed="false">
      <c r="A258" s="37" t="str">
        <f aca="false">IF(M258="","",ROW()-7)</f>
        <v/>
      </c>
      <c r="B258" s="70"/>
      <c r="C258" s="71"/>
      <c r="D258" s="72"/>
      <c r="E258" s="71"/>
      <c r="F258" s="73"/>
      <c r="G258" s="73"/>
      <c r="H258" s="42" t="str">
        <f aca="false">IF(M258="","",IF(U258&gt;0,"✔ Matched",IF(M258="OUT","Not yet presented","Not yet credited")))</f>
        <v/>
      </c>
      <c r="I258" s="43" t="str">
        <f aca="false">IF(N(U258)&gt;0,U258,"")</f>
        <v/>
      </c>
      <c r="J258" s="44" t="str">
        <f aca="false">IF(N(U258)&gt;0,T258,"")</f>
        <v/>
      </c>
      <c r="K258" s="45" t="str">
        <f aca="false">IF(AND(M258="",B258="",D258=""),"",IF(AND(N(F258)&gt;0,N(G258)&gt;0),"⚠ Fill deposit OR payment",IF(M258="","⚠ Enter amount",IF(B258="","⚠ Enter date",IF(AND(Setup!$C$8&lt;&gt;"",B258&gt;Setup!$C$8),"⚠ Date after period",IF(AND(O258&lt;&gt;"",COUNTIF($O$8:$O$507,O258)&gt;1),"⚠ Cheque no. used twice","✔"))))))</f>
        <v/>
      </c>
      <c r="M258" s="9" t="str">
        <f aca="false">IF(N(F258)&gt;0,"IN",IF(N(G258)&gt;0,"OUT",""))</f>
        <v/>
      </c>
      <c r="N258" s="9" t="str">
        <f aca="false">IF(M258="","",M258&amp;"|"&amp;TEXT(ROUND(N(F258)+N(G258),2),"0.00"))</f>
        <v/>
      </c>
      <c r="O258" s="9" t="str">
        <f aca="false">IF(OR(N258="",TRIM(E258&amp;"")=""),"",N258&amp;"|"&amp;UPPER(TRIM(E258&amp;"")))</f>
        <v/>
      </c>
      <c r="P258" s="9" t="n">
        <f aca="false">IF(O258="",0,IFERROR(MATCH(O258,'Bank Statement'!$O$8:$O$507,0),0))</f>
        <v>0</v>
      </c>
      <c r="Q258" s="9" t="str">
        <f aca="false">IF(OR(N258="",P258&gt;0),"",N258&amp;"#"&amp;COUNTIFS($N$8:N258,N258,$P$8:P258,0))</f>
        <v/>
      </c>
      <c r="R258" s="9" t="n">
        <f aca="false">IF(Q258="",0,IFERROR(MATCH(Q258,'Bank Statement'!$Q$8:$Q$507,0),0))</f>
        <v>0</v>
      </c>
      <c r="S258" s="9" t="n">
        <f aca="false">IF(P258&gt;0,P258,R258)</f>
        <v>0</v>
      </c>
      <c r="T258" s="9" t="str">
        <f aca="false">IF(OR(S258=0,B258=""),"",INDEX('Bank Statement'!$B$8:$B$507,S258)-B258)</f>
        <v/>
      </c>
      <c r="U258" s="9" t="n">
        <f aca="false">IF(S258=0,0,IF(P258&gt;0,S258,IF(AND(ISNUMBER(T258),ABS(N(T258))&lt;=Setup!$C$11),S258,0)))</f>
        <v>0</v>
      </c>
      <c r="V258" s="9" t="str">
        <f aca="false">IF(AND(N258&lt;&gt;"",U258=0),IF(M258="OUT",1,2)*100000+ROW(),"")</f>
        <v/>
      </c>
      <c r="W258" s="9" t="n">
        <f aca="false">N(F258)+N(G258)</f>
        <v>0</v>
      </c>
    </row>
    <row r="259" customFormat="false" ht="15" hidden="false" customHeight="false" outlineLevel="0" collapsed="false">
      <c r="A259" s="37" t="str">
        <f aca="false">IF(M259="","",ROW()-7)</f>
        <v/>
      </c>
      <c r="B259" s="70"/>
      <c r="C259" s="71"/>
      <c r="D259" s="72"/>
      <c r="E259" s="71"/>
      <c r="F259" s="73"/>
      <c r="G259" s="73"/>
      <c r="H259" s="42" t="str">
        <f aca="false">IF(M259="","",IF(U259&gt;0,"✔ Matched",IF(M259="OUT","Not yet presented","Not yet credited")))</f>
        <v/>
      </c>
      <c r="I259" s="43" t="str">
        <f aca="false">IF(N(U259)&gt;0,U259,"")</f>
        <v/>
      </c>
      <c r="J259" s="44" t="str">
        <f aca="false">IF(N(U259)&gt;0,T259,"")</f>
        <v/>
      </c>
      <c r="K259" s="45" t="str">
        <f aca="false">IF(AND(M259="",B259="",D259=""),"",IF(AND(N(F259)&gt;0,N(G259)&gt;0),"⚠ Fill deposit OR payment",IF(M259="","⚠ Enter amount",IF(B259="","⚠ Enter date",IF(AND(Setup!$C$8&lt;&gt;"",B259&gt;Setup!$C$8),"⚠ Date after period",IF(AND(O259&lt;&gt;"",COUNTIF($O$8:$O$507,O259)&gt;1),"⚠ Cheque no. used twice","✔"))))))</f>
        <v/>
      </c>
      <c r="M259" s="9" t="str">
        <f aca="false">IF(N(F259)&gt;0,"IN",IF(N(G259)&gt;0,"OUT",""))</f>
        <v/>
      </c>
      <c r="N259" s="9" t="str">
        <f aca="false">IF(M259="","",M259&amp;"|"&amp;TEXT(ROUND(N(F259)+N(G259),2),"0.00"))</f>
        <v/>
      </c>
      <c r="O259" s="9" t="str">
        <f aca="false">IF(OR(N259="",TRIM(E259&amp;"")=""),"",N259&amp;"|"&amp;UPPER(TRIM(E259&amp;"")))</f>
        <v/>
      </c>
      <c r="P259" s="9" t="n">
        <f aca="false">IF(O259="",0,IFERROR(MATCH(O259,'Bank Statement'!$O$8:$O$507,0),0))</f>
        <v>0</v>
      </c>
      <c r="Q259" s="9" t="str">
        <f aca="false">IF(OR(N259="",P259&gt;0),"",N259&amp;"#"&amp;COUNTIFS($N$8:N259,N259,$P$8:P259,0))</f>
        <v/>
      </c>
      <c r="R259" s="9" t="n">
        <f aca="false">IF(Q259="",0,IFERROR(MATCH(Q259,'Bank Statement'!$Q$8:$Q$507,0),0))</f>
        <v>0</v>
      </c>
      <c r="S259" s="9" t="n">
        <f aca="false">IF(P259&gt;0,P259,R259)</f>
        <v>0</v>
      </c>
      <c r="T259" s="9" t="str">
        <f aca="false">IF(OR(S259=0,B259=""),"",INDEX('Bank Statement'!$B$8:$B$507,S259)-B259)</f>
        <v/>
      </c>
      <c r="U259" s="9" t="n">
        <f aca="false">IF(S259=0,0,IF(P259&gt;0,S259,IF(AND(ISNUMBER(T259),ABS(N(T259))&lt;=Setup!$C$11),S259,0)))</f>
        <v>0</v>
      </c>
      <c r="V259" s="9" t="str">
        <f aca="false">IF(AND(N259&lt;&gt;"",U259=0),IF(M259="OUT",1,2)*100000+ROW(),"")</f>
        <v/>
      </c>
      <c r="W259" s="9" t="n">
        <f aca="false">N(F259)+N(G259)</f>
        <v>0</v>
      </c>
    </row>
    <row r="260" customFormat="false" ht="15" hidden="false" customHeight="false" outlineLevel="0" collapsed="false">
      <c r="A260" s="37" t="str">
        <f aca="false">IF(M260="","",ROW()-7)</f>
        <v/>
      </c>
      <c r="B260" s="70"/>
      <c r="C260" s="71"/>
      <c r="D260" s="72"/>
      <c r="E260" s="71"/>
      <c r="F260" s="73"/>
      <c r="G260" s="73"/>
      <c r="H260" s="42" t="str">
        <f aca="false">IF(M260="","",IF(U260&gt;0,"✔ Matched",IF(M260="OUT","Not yet presented","Not yet credited")))</f>
        <v/>
      </c>
      <c r="I260" s="43" t="str">
        <f aca="false">IF(N(U260)&gt;0,U260,"")</f>
        <v/>
      </c>
      <c r="J260" s="44" t="str">
        <f aca="false">IF(N(U260)&gt;0,T260,"")</f>
        <v/>
      </c>
      <c r="K260" s="45" t="str">
        <f aca="false">IF(AND(M260="",B260="",D260=""),"",IF(AND(N(F260)&gt;0,N(G260)&gt;0),"⚠ Fill deposit OR payment",IF(M260="","⚠ Enter amount",IF(B260="","⚠ Enter date",IF(AND(Setup!$C$8&lt;&gt;"",B260&gt;Setup!$C$8),"⚠ Date after period",IF(AND(O260&lt;&gt;"",COUNTIF($O$8:$O$507,O260)&gt;1),"⚠ Cheque no. used twice","✔"))))))</f>
        <v/>
      </c>
      <c r="M260" s="9" t="str">
        <f aca="false">IF(N(F260)&gt;0,"IN",IF(N(G260)&gt;0,"OUT",""))</f>
        <v/>
      </c>
      <c r="N260" s="9" t="str">
        <f aca="false">IF(M260="","",M260&amp;"|"&amp;TEXT(ROUND(N(F260)+N(G260),2),"0.00"))</f>
        <v/>
      </c>
      <c r="O260" s="9" t="str">
        <f aca="false">IF(OR(N260="",TRIM(E260&amp;"")=""),"",N260&amp;"|"&amp;UPPER(TRIM(E260&amp;"")))</f>
        <v/>
      </c>
      <c r="P260" s="9" t="n">
        <f aca="false">IF(O260="",0,IFERROR(MATCH(O260,'Bank Statement'!$O$8:$O$507,0),0))</f>
        <v>0</v>
      </c>
      <c r="Q260" s="9" t="str">
        <f aca="false">IF(OR(N260="",P260&gt;0),"",N260&amp;"#"&amp;COUNTIFS($N$8:N260,N260,$P$8:P260,0))</f>
        <v/>
      </c>
      <c r="R260" s="9" t="n">
        <f aca="false">IF(Q260="",0,IFERROR(MATCH(Q260,'Bank Statement'!$Q$8:$Q$507,0),0))</f>
        <v>0</v>
      </c>
      <c r="S260" s="9" t="n">
        <f aca="false">IF(P260&gt;0,P260,R260)</f>
        <v>0</v>
      </c>
      <c r="T260" s="9" t="str">
        <f aca="false">IF(OR(S260=0,B260=""),"",INDEX('Bank Statement'!$B$8:$B$507,S260)-B260)</f>
        <v/>
      </c>
      <c r="U260" s="9" t="n">
        <f aca="false">IF(S260=0,0,IF(P260&gt;0,S260,IF(AND(ISNUMBER(T260),ABS(N(T260))&lt;=Setup!$C$11),S260,0)))</f>
        <v>0</v>
      </c>
      <c r="V260" s="9" t="str">
        <f aca="false">IF(AND(N260&lt;&gt;"",U260=0),IF(M260="OUT",1,2)*100000+ROW(),"")</f>
        <v/>
      </c>
      <c r="W260" s="9" t="n">
        <f aca="false">N(F260)+N(G260)</f>
        <v>0</v>
      </c>
    </row>
    <row r="261" customFormat="false" ht="15" hidden="false" customHeight="false" outlineLevel="0" collapsed="false">
      <c r="A261" s="37" t="str">
        <f aca="false">IF(M261="","",ROW()-7)</f>
        <v/>
      </c>
      <c r="B261" s="70"/>
      <c r="C261" s="71"/>
      <c r="D261" s="72"/>
      <c r="E261" s="71"/>
      <c r="F261" s="73"/>
      <c r="G261" s="73"/>
      <c r="H261" s="42" t="str">
        <f aca="false">IF(M261="","",IF(U261&gt;0,"✔ Matched",IF(M261="OUT","Not yet presented","Not yet credited")))</f>
        <v/>
      </c>
      <c r="I261" s="43" t="str">
        <f aca="false">IF(N(U261)&gt;0,U261,"")</f>
        <v/>
      </c>
      <c r="J261" s="44" t="str">
        <f aca="false">IF(N(U261)&gt;0,T261,"")</f>
        <v/>
      </c>
      <c r="K261" s="45" t="str">
        <f aca="false">IF(AND(M261="",B261="",D261=""),"",IF(AND(N(F261)&gt;0,N(G261)&gt;0),"⚠ Fill deposit OR payment",IF(M261="","⚠ Enter amount",IF(B261="","⚠ Enter date",IF(AND(Setup!$C$8&lt;&gt;"",B261&gt;Setup!$C$8),"⚠ Date after period",IF(AND(O261&lt;&gt;"",COUNTIF($O$8:$O$507,O261)&gt;1),"⚠ Cheque no. used twice","✔"))))))</f>
        <v/>
      </c>
      <c r="M261" s="9" t="str">
        <f aca="false">IF(N(F261)&gt;0,"IN",IF(N(G261)&gt;0,"OUT",""))</f>
        <v/>
      </c>
      <c r="N261" s="9" t="str">
        <f aca="false">IF(M261="","",M261&amp;"|"&amp;TEXT(ROUND(N(F261)+N(G261),2),"0.00"))</f>
        <v/>
      </c>
      <c r="O261" s="9" t="str">
        <f aca="false">IF(OR(N261="",TRIM(E261&amp;"")=""),"",N261&amp;"|"&amp;UPPER(TRIM(E261&amp;"")))</f>
        <v/>
      </c>
      <c r="P261" s="9" t="n">
        <f aca="false">IF(O261="",0,IFERROR(MATCH(O261,'Bank Statement'!$O$8:$O$507,0),0))</f>
        <v>0</v>
      </c>
      <c r="Q261" s="9" t="str">
        <f aca="false">IF(OR(N261="",P261&gt;0),"",N261&amp;"#"&amp;COUNTIFS($N$8:N261,N261,$P$8:P261,0))</f>
        <v/>
      </c>
      <c r="R261" s="9" t="n">
        <f aca="false">IF(Q261="",0,IFERROR(MATCH(Q261,'Bank Statement'!$Q$8:$Q$507,0),0))</f>
        <v>0</v>
      </c>
      <c r="S261" s="9" t="n">
        <f aca="false">IF(P261&gt;0,P261,R261)</f>
        <v>0</v>
      </c>
      <c r="T261" s="9" t="str">
        <f aca="false">IF(OR(S261=0,B261=""),"",INDEX('Bank Statement'!$B$8:$B$507,S261)-B261)</f>
        <v/>
      </c>
      <c r="U261" s="9" t="n">
        <f aca="false">IF(S261=0,0,IF(P261&gt;0,S261,IF(AND(ISNUMBER(T261),ABS(N(T261))&lt;=Setup!$C$11),S261,0)))</f>
        <v>0</v>
      </c>
      <c r="V261" s="9" t="str">
        <f aca="false">IF(AND(N261&lt;&gt;"",U261=0),IF(M261="OUT",1,2)*100000+ROW(),"")</f>
        <v/>
      </c>
      <c r="W261" s="9" t="n">
        <f aca="false">N(F261)+N(G261)</f>
        <v>0</v>
      </c>
    </row>
    <row r="262" customFormat="false" ht="15" hidden="false" customHeight="false" outlineLevel="0" collapsed="false">
      <c r="A262" s="37" t="str">
        <f aca="false">IF(M262="","",ROW()-7)</f>
        <v/>
      </c>
      <c r="B262" s="70"/>
      <c r="C262" s="71"/>
      <c r="D262" s="72"/>
      <c r="E262" s="71"/>
      <c r="F262" s="73"/>
      <c r="G262" s="73"/>
      <c r="H262" s="42" t="str">
        <f aca="false">IF(M262="","",IF(U262&gt;0,"✔ Matched",IF(M262="OUT","Not yet presented","Not yet credited")))</f>
        <v/>
      </c>
      <c r="I262" s="43" t="str">
        <f aca="false">IF(N(U262)&gt;0,U262,"")</f>
        <v/>
      </c>
      <c r="J262" s="44" t="str">
        <f aca="false">IF(N(U262)&gt;0,T262,"")</f>
        <v/>
      </c>
      <c r="K262" s="45" t="str">
        <f aca="false">IF(AND(M262="",B262="",D262=""),"",IF(AND(N(F262)&gt;0,N(G262)&gt;0),"⚠ Fill deposit OR payment",IF(M262="","⚠ Enter amount",IF(B262="","⚠ Enter date",IF(AND(Setup!$C$8&lt;&gt;"",B262&gt;Setup!$C$8),"⚠ Date after period",IF(AND(O262&lt;&gt;"",COUNTIF($O$8:$O$507,O262)&gt;1),"⚠ Cheque no. used twice","✔"))))))</f>
        <v/>
      </c>
      <c r="M262" s="9" t="str">
        <f aca="false">IF(N(F262)&gt;0,"IN",IF(N(G262)&gt;0,"OUT",""))</f>
        <v/>
      </c>
      <c r="N262" s="9" t="str">
        <f aca="false">IF(M262="","",M262&amp;"|"&amp;TEXT(ROUND(N(F262)+N(G262),2),"0.00"))</f>
        <v/>
      </c>
      <c r="O262" s="9" t="str">
        <f aca="false">IF(OR(N262="",TRIM(E262&amp;"")=""),"",N262&amp;"|"&amp;UPPER(TRIM(E262&amp;"")))</f>
        <v/>
      </c>
      <c r="P262" s="9" t="n">
        <f aca="false">IF(O262="",0,IFERROR(MATCH(O262,'Bank Statement'!$O$8:$O$507,0),0))</f>
        <v>0</v>
      </c>
      <c r="Q262" s="9" t="str">
        <f aca="false">IF(OR(N262="",P262&gt;0),"",N262&amp;"#"&amp;COUNTIFS($N$8:N262,N262,$P$8:P262,0))</f>
        <v/>
      </c>
      <c r="R262" s="9" t="n">
        <f aca="false">IF(Q262="",0,IFERROR(MATCH(Q262,'Bank Statement'!$Q$8:$Q$507,0),0))</f>
        <v>0</v>
      </c>
      <c r="S262" s="9" t="n">
        <f aca="false">IF(P262&gt;0,P262,R262)</f>
        <v>0</v>
      </c>
      <c r="T262" s="9" t="str">
        <f aca="false">IF(OR(S262=0,B262=""),"",INDEX('Bank Statement'!$B$8:$B$507,S262)-B262)</f>
        <v/>
      </c>
      <c r="U262" s="9" t="n">
        <f aca="false">IF(S262=0,0,IF(P262&gt;0,S262,IF(AND(ISNUMBER(T262),ABS(N(T262))&lt;=Setup!$C$11),S262,0)))</f>
        <v>0</v>
      </c>
      <c r="V262" s="9" t="str">
        <f aca="false">IF(AND(N262&lt;&gt;"",U262=0),IF(M262="OUT",1,2)*100000+ROW(),"")</f>
        <v/>
      </c>
      <c r="W262" s="9" t="n">
        <f aca="false">N(F262)+N(G262)</f>
        <v>0</v>
      </c>
    </row>
    <row r="263" customFormat="false" ht="15" hidden="false" customHeight="false" outlineLevel="0" collapsed="false">
      <c r="A263" s="37" t="str">
        <f aca="false">IF(M263="","",ROW()-7)</f>
        <v/>
      </c>
      <c r="B263" s="70"/>
      <c r="C263" s="71"/>
      <c r="D263" s="72"/>
      <c r="E263" s="71"/>
      <c r="F263" s="73"/>
      <c r="G263" s="73"/>
      <c r="H263" s="42" t="str">
        <f aca="false">IF(M263="","",IF(U263&gt;0,"✔ Matched",IF(M263="OUT","Not yet presented","Not yet credited")))</f>
        <v/>
      </c>
      <c r="I263" s="43" t="str">
        <f aca="false">IF(N(U263)&gt;0,U263,"")</f>
        <v/>
      </c>
      <c r="J263" s="44" t="str">
        <f aca="false">IF(N(U263)&gt;0,T263,"")</f>
        <v/>
      </c>
      <c r="K263" s="45" t="str">
        <f aca="false">IF(AND(M263="",B263="",D263=""),"",IF(AND(N(F263)&gt;0,N(G263)&gt;0),"⚠ Fill deposit OR payment",IF(M263="","⚠ Enter amount",IF(B263="","⚠ Enter date",IF(AND(Setup!$C$8&lt;&gt;"",B263&gt;Setup!$C$8),"⚠ Date after period",IF(AND(O263&lt;&gt;"",COUNTIF($O$8:$O$507,O263)&gt;1),"⚠ Cheque no. used twice","✔"))))))</f>
        <v/>
      </c>
      <c r="M263" s="9" t="str">
        <f aca="false">IF(N(F263)&gt;0,"IN",IF(N(G263)&gt;0,"OUT",""))</f>
        <v/>
      </c>
      <c r="N263" s="9" t="str">
        <f aca="false">IF(M263="","",M263&amp;"|"&amp;TEXT(ROUND(N(F263)+N(G263),2),"0.00"))</f>
        <v/>
      </c>
      <c r="O263" s="9" t="str">
        <f aca="false">IF(OR(N263="",TRIM(E263&amp;"")=""),"",N263&amp;"|"&amp;UPPER(TRIM(E263&amp;"")))</f>
        <v/>
      </c>
      <c r="P263" s="9" t="n">
        <f aca="false">IF(O263="",0,IFERROR(MATCH(O263,'Bank Statement'!$O$8:$O$507,0),0))</f>
        <v>0</v>
      </c>
      <c r="Q263" s="9" t="str">
        <f aca="false">IF(OR(N263="",P263&gt;0),"",N263&amp;"#"&amp;COUNTIFS($N$8:N263,N263,$P$8:P263,0))</f>
        <v/>
      </c>
      <c r="R263" s="9" t="n">
        <f aca="false">IF(Q263="",0,IFERROR(MATCH(Q263,'Bank Statement'!$Q$8:$Q$507,0),0))</f>
        <v>0</v>
      </c>
      <c r="S263" s="9" t="n">
        <f aca="false">IF(P263&gt;0,P263,R263)</f>
        <v>0</v>
      </c>
      <c r="T263" s="9" t="str">
        <f aca="false">IF(OR(S263=0,B263=""),"",INDEX('Bank Statement'!$B$8:$B$507,S263)-B263)</f>
        <v/>
      </c>
      <c r="U263" s="9" t="n">
        <f aca="false">IF(S263=0,0,IF(P263&gt;0,S263,IF(AND(ISNUMBER(T263),ABS(N(T263))&lt;=Setup!$C$11),S263,0)))</f>
        <v>0</v>
      </c>
      <c r="V263" s="9" t="str">
        <f aca="false">IF(AND(N263&lt;&gt;"",U263=0),IF(M263="OUT",1,2)*100000+ROW(),"")</f>
        <v/>
      </c>
      <c r="W263" s="9" t="n">
        <f aca="false">N(F263)+N(G263)</f>
        <v>0</v>
      </c>
    </row>
    <row r="264" customFormat="false" ht="15" hidden="false" customHeight="false" outlineLevel="0" collapsed="false">
      <c r="A264" s="37" t="str">
        <f aca="false">IF(M264="","",ROW()-7)</f>
        <v/>
      </c>
      <c r="B264" s="70"/>
      <c r="C264" s="71"/>
      <c r="D264" s="72"/>
      <c r="E264" s="71"/>
      <c r="F264" s="73"/>
      <c r="G264" s="73"/>
      <c r="H264" s="42" t="str">
        <f aca="false">IF(M264="","",IF(U264&gt;0,"✔ Matched",IF(M264="OUT","Not yet presented","Not yet credited")))</f>
        <v/>
      </c>
      <c r="I264" s="43" t="str">
        <f aca="false">IF(N(U264)&gt;0,U264,"")</f>
        <v/>
      </c>
      <c r="J264" s="44" t="str">
        <f aca="false">IF(N(U264)&gt;0,T264,"")</f>
        <v/>
      </c>
      <c r="K264" s="45" t="str">
        <f aca="false">IF(AND(M264="",B264="",D264=""),"",IF(AND(N(F264)&gt;0,N(G264)&gt;0),"⚠ Fill deposit OR payment",IF(M264="","⚠ Enter amount",IF(B264="","⚠ Enter date",IF(AND(Setup!$C$8&lt;&gt;"",B264&gt;Setup!$C$8),"⚠ Date after period",IF(AND(O264&lt;&gt;"",COUNTIF($O$8:$O$507,O264)&gt;1),"⚠ Cheque no. used twice","✔"))))))</f>
        <v/>
      </c>
      <c r="M264" s="9" t="str">
        <f aca="false">IF(N(F264)&gt;0,"IN",IF(N(G264)&gt;0,"OUT",""))</f>
        <v/>
      </c>
      <c r="N264" s="9" t="str">
        <f aca="false">IF(M264="","",M264&amp;"|"&amp;TEXT(ROUND(N(F264)+N(G264),2),"0.00"))</f>
        <v/>
      </c>
      <c r="O264" s="9" t="str">
        <f aca="false">IF(OR(N264="",TRIM(E264&amp;"")=""),"",N264&amp;"|"&amp;UPPER(TRIM(E264&amp;"")))</f>
        <v/>
      </c>
      <c r="P264" s="9" t="n">
        <f aca="false">IF(O264="",0,IFERROR(MATCH(O264,'Bank Statement'!$O$8:$O$507,0),0))</f>
        <v>0</v>
      </c>
      <c r="Q264" s="9" t="str">
        <f aca="false">IF(OR(N264="",P264&gt;0),"",N264&amp;"#"&amp;COUNTIFS($N$8:N264,N264,$P$8:P264,0))</f>
        <v/>
      </c>
      <c r="R264" s="9" t="n">
        <f aca="false">IF(Q264="",0,IFERROR(MATCH(Q264,'Bank Statement'!$Q$8:$Q$507,0),0))</f>
        <v>0</v>
      </c>
      <c r="S264" s="9" t="n">
        <f aca="false">IF(P264&gt;0,P264,R264)</f>
        <v>0</v>
      </c>
      <c r="T264" s="9" t="str">
        <f aca="false">IF(OR(S264=0,B264=""),"",INDEX('Bank Statement'!$B$8:$B$507,S264)-B264)</f>
        <v/>
      </c>
      <c r="U264" s="9" t="n">
        <f aca="false">IF(S264=0,0,IF(P264&gt;0,S264,IF(AND(ISNUMBER(T264),ABS(N(T264))&lt;=Setup!$C$11),S264,0)))</f>
        <v>0</v>
      </c>
      <c r="V264" s="9" t="str">
        <f aca="false">IF(AND(N264&lt;&gt;"",U264=0),IF(M264="OUT",1,2)*100000+ROW(),"")</f>
        <v/>
      </c>
      <c r="W264" s="9" t="n">
        <f aca="false">N(F264)+N(G264)</f>
        <v>0</v>
      </c>
    </row>
    <row r="265" customFormat="false" ht="15" hidden="false" customHeight="false" outlineLevel="0" collapsed="false">
      <c r="A265" s="37" t="str">
        <f aca="false">IF(M265="","",ROW()-7)</f>
        <v/>
      </c>
      <c r="B265" s="70"/>
      <c r="C265" s="71"/>
      <c r="D265" s="72"/>
      <c r="E265" s="71"/>
      <c r="F265" s="73"/>
      <c r="G265" s="73"/>
      <c r="H265" s="42" t="str">
        <f aca="false">IF(M265="","",IF(U265&gt;0,"✔ Matched",IF(M265="OUT","Not yet presented","Not yet credited")))</f>
        <v/>
      </c>
      <c r="I265" s="43" t="str">
        <f aca="false">IF(N(U265)&gt;0,U265,"")</f>
        <v/>
      </c>
      <c r="J265" s="44" t="str">
        <f aca="false">IF(N(U265)&gt;0,T265,"")</f>
        <v/>
      </c>
      <c r="K265" s="45" t="str">
        <f aca="false">IF(AND(M265="",B265="",D265=""),"",IF(AND(N(F265)&gt;0,N(G265)&gt;0),"⚠ Fill deposit OR payment",IF(M265="","⚠ Enter amount",IF(B265="","⚠ Enter date",IF(AND(Setup!$C$8&lt;&gt;"",B265&gt;Setup!$C$8),"⚠ Date after period",IF(AND(O265&lt;&gt;"",COUNTIF($O$8:$O$507,O265)&gt;1),"⚠ Cheque no. used twice","✔"))))))</f>
        <v/>
      </c>
      <c r="M265" s="9" t="str">
        <f aca="false">IF(N(F265)&gt;0,"IN",IF(N(G265)&gt;0,"OUT",""))</f>
        <v/>
      </c>
      <c r="N265" s="9" t="str">
        <f aca="false">IF(M265="","",M265&amp;"|"&amp;TEXT(ROUND(N(F265)+N(G265),2),"0.00"))</f>
        <v/>
      </c>
      <c r="O265" s="9" t="str">
        <f aca="false">IF(OR(N265="",TRIM(E265&amp;"")=""),"",N265&amp;"|"&amp;UPPER(TRIM(E265&amp;"")))</f>
        <v/>
      </c>
      <c r="P265" s="9" t="n">
        <f aca="false">IF(O265="",0,IFERROR(MATCH(O265,'Bank Statement'!$O$8:$O$507,0),0))</f>
        <v>0</v>
      </c>
      <c r="Q265" s="9" t="str">
        <f aca="false">IF(OR(N265="",P265&gt;0),"",N265&amp;"#"&amp;COUNTIFS($N$8:N265,N265,$P$8:P265,0))</f>
        <v/>
      </c>
      <c r="R265" s="9" t="n">
        <f aca="false">IF(Q265="",0,IFERROR(MATCH(Q265,'Bank Statement'!$Q$8:$Q$507,0),0))</f>
        <v>0</v>
      </c>
      <c r="S265" s="9" t="n">
        <f aca="false">IF(P265&gt;0,P265,R265)</f>
        <v>0</v>
      </c>
      <c r="T265" s="9" t="str">
        <f aca="false">IF(OR(S265=0,B265=""),"",INDEX('Bank Statement'!$B$8:$B$507,S265)-B265)</f>
        <v/>
      </c>
      <c r="U265" s="9" t="n">
        <f aca="false">IF(S265=0,0,IF(P265&gt;0,S265,IF(AND(ISNUMBER(T265),ABS(N(T265))&lt;=Setup!$C$11),S265,0)))</f>
        <v>0</v>
      </c>
      <c r="V265" s="9" t="str">
        <f aca="false">IF(AND(N265&lt;&gt;"",U265=0),IF(M265="OUT",1,2)*100000+ROW(),"")</f>
        <v/>
      </c>
      <c r="W265" s="9" t="n">
        <f aca="false">N(F265)+N(G265)</f>
        <v>0</v>
      </c>
    </row>
    <row r="266" customFormat="false" ht="15" hidden="false" customHeight="false" outlineLevel="0" collapsed="false">
      <c r="A266" s="37" t="str">
        <f aca="false">IF(M266="","",ROW()-7)</f>
        <v/>
      </c>
      <c r="B266" s="70"/>
      <c r="C266" s="71"/>
      <c r="D266" s="72"/>
      <c r="E266" s="71"/>
      <c r="F266" s="73"/>
      <c r="G266" s="73"/>
      <c r="H266" s="42" t="str">
        <f aca="false">IF(M266="","",IF(U266&gt;0,"✔ Matched",IF(M266="OUT","Not yet presented","Not yet credited")))</f>
        <v/>
      </c>
      <c r="I266" s="43" t="str">
        <f aca="false">IF(N(U266)&gt;0,U266,"")</f>
        <v/>
      </c>
      <c r="J266" s="44" t="str">
        <f aca="false">IF(N(U266)&gt;0,T266,"")</f>
        <v/>
      </c>
      <c r="K266" s="45" t="str">
        <f aca="false">IF(AND(M266="",B266="",D266=""),"",IF(AND(N(F266)&gt;0,N(G266)&gt;0),"⚠ Fill deposit OR payment",IF(M266="","⚠ Enter amount",IF(B266="","⚠ Enter date",IF(AND(Setup!$C$8&lt;&gt;"",B266&gt;Setup!$C$8),"⚠ Date after period",IF(AND(O266&lt;&gt;"",COUNTIF($O$8:$O$507,O266)&gt;1),"⚠ Cheque no. used twice","✔"))))))</f>
        <v/>
      </c>
      <c r="M266" s="9" t="str">
        <f aca="false">IF(N(F266)&gt;0,"IN",IF(N(G266)&gt;0,"OUT",""))</f>
        <v/>
      </c>
      <c r="N266" s="9" t="str">
        <f aca="false">IF(M266="","",M266&amp;"|"&amp;TEXT(ROUND(N(F266)+N(G266),2),"0.00"))</f>
        <v/>
      </c>
      <c r="O266" s="9" t="str">
        <f aca="false">IF(OR(N266="",TRIM(E266&amp;"")=""),"",N266&amp;"|"&amp;UPPER(TRIM(E266&amp;"")))</f>
        <v/>
      </c>
      <c r="P266" s="9" t="n">
        <f aca="false">IF(O266="",0,IFERROR(MATCH(O266,'Bank Statement'!$O$8:$O$507,0),0))</f>
        <v>0</v>
      </c>
      <c r="Q266" s="9" t="str">
        <f aca="false">IF(OR(N266="",P266&gt;0),"",N266&amp;"#"&amp;COUNTIFS($N$8:N266,N266,$P$8:P266,0))</f>
        <v/>
      </c>
      <c r="R266" s="9" t="n">
        <f aca="false">IF(Q266="",0,IFERROR(MATCH(Q266,'Bank Statement'!$Q$8:$Q$507,0),0))</f>
        <v>0</v>
      </c>
      <c r="S266" s="9" t="n">
        <f aca="false">IF(P266&gt;0,P266,R266)</f>
        <v>0</v>
      </c>
      <c r="T266" s="9" t="str">
        <f aca="false">IF(OR(S266=0,B266=""),"",INDEX('Bank Statement'!$B$8:$B$507,S266)-B266)</f>
        <v/>
      </c>
      <c r="U266" s="9" t="n">
        <f aca="false">IF(S266=0,0,IF(P266&gt;0,S266,IF(AND(ISNUMBER(T266),ABS(N(T266))&lt;=Setup!$C$11),S266,0)))</f>
        <v>0</v>
      </c>
      <c r="V266" s="9" t="str">
        <f aca="false">IF(AND(N266&lt;&gt;"",U266=0),IF(M266="OUT",1,2)*100000+ROW(),"")</f>
        <v/>
      </c>
      <c r="W266" s="9" t="n">
        <f aca="false">N(F266)+N(G266)</f>
        <v>0</v>
      </c>
    </row>
    <row r="267" customFormat="false" ht="15" hidden="false" customHeight="false" outlineLevel="0" collapsed="false">
      <c r="A267" s="37" t="str">
        <f aca="false">IF(M267="","",ROW()-7)</f>
        <v/>
      </c>
      <c r="B267" s="70"/>
      <c r="C267" s="71"/>
      <c r="D267" s="72"/>
      <c r="E267" s="71"/>
      <c r="F267" s="73"/>
      <c r="G267" s="73"/>
      <c r="H267" s="42" t="str">
        <f aca="false">IF(M267="","",IF(U267&gt;0,"✔ Matched",IF(M267="OUT","Not yet presented","Not yet credited")))</f>
        <v/>
      </c>
      <c r="I267" s="43" t="str">
        <f aca="false">IF(N(U267)&gt;0,U267,"")</f>
        <v/>
      </c>
      <c r="J267" s="44" t="str">
        <f aca="false">IF(N(U267)&gt;0,T267,"")</f>
        <v/>
      </c>
      <c r="K267" s="45" t="str">
        <f aca="false">IF(AND(M267="",B267="",D267=""),"",IF(AND(N(F267)&gt;0,N(G267)&gt;0),"⚠ Fill deposit OR payment",IF(M267="","⚠ Enter amount",IF(B267="","⚠ Enter date",IF(AND(Setup!$C$8&lt;&gt;"",B267&gt;Setup!$C$8),"⚠ Date after period",IF(AND(O267&lt;&gt;"",COUNTIF($O$8:$O$507,O267)&gt;1),"⚠ Cheque no. used twice","✔"))))))</f>
        <v/>
      </c>
      <c r="M267" s="9" t="str">
        <f aca="false">IF(N(F267)&gt;0,"IN",IF(N(G267)&gt;0,"OUT",""))</f>
        <v/>
      </c>
      <c r="N267" s="9" t="str">
        <f aca="false">IF(M267="","",M267&amp;"|"&amp;TEXT(ROUND(N(F267)+N(G267),2),"0.00"))</f>
        <v/>
      </c>
      <c r="O267" s="9" t="str">
        <f aca="false">IF(OR(N267="",TRIM(E267&amp;"")=""),"",N267&amp;"|"&amp;UPPER(TRIM(E267&amp;"")))</f>
        <v/>
      </c>
      <c r="P267" s="9" t="n">
        <f aca="false">IF(O267="",0,IFERROR(MATCH(O267,'Bank Statement'!$O$8:$O$507,0),0))</f>
        <v>0</v>
      </c>
      <c r="Q267" s="9" t="str">
        <f aca="false">IF(OR(N267="",P267&gt;0),"",N267&amp;"#"&amp;COUNTIFS($N$8:N267,N267,$P$8:P267,0))</f>
        <v/>
      </c>
      <c r="R267" s="9" t="n">
        <f aca="false">IF(Q267="",0,IFERROR(MATCH(Q267,'Bank Statement'!$Q$8:$Q$507,0),0))</f>
        <v>0</v>
      </c>
      <c r="S267" s="9" t="n">
        <f aca="false">IF(P267&gt;0,P267,R267)</f>
        <v>0</v>
      </c>
      <c r="T267" s="9" t="str">
        <f aca="false">IF(OR(S267=0,B267=""),"",INDEX('Bank Statement'!$B$8:$B$507,S267)-B267)</f>
        <v/>
      </c>
      <c r="U267" s="9" t="n">
        <f aca="false">IF(S267=0,0,IF(P267&gt;0,S267,IF(AND(ISNUMBER(T267),ABS(N(T267))&lt;=Setup!$C$11),S267,0)))</f>
        <v>0</v>
      </c>
      <c r="V267" s="9" t="str">
        <f aca="false">IF(AND(N267&lt;&gt;"",U267=0),IF(M267="OUT",1,2)*100000+ROW(),"")</f>
        <v/>
      </c>
      <c r="W267" s="9" t="n">
        <f aca="false">N(F267)+N(G267)</f>
        <v>0</v>
      </c>
    </row>
    <row r="268" customFormat="false" ht="15" hidden="false" customHeight="false" outlineLevel="0" collapsed="false">
      <c r="A268" s="37" t="str">
        <f aca="false">IF(M268="","",ROW()-7)</f>
        <v/>
      </c>
      <c r="B268" s="70"/>
      <c r="C268" s="71"/>
      <c r="D268" s="72"/>
      <c r="E268" s="71"/>
      <c r="F268" s="73"/>
      <c r="G268" s="73"/>
      <c r="H268" s="42" t="str">
        <f aca="false">IF(M268="","",IF(U268&gt;0,"✔ Matched",IF(M268="OUT","Not yet presented","Not yet credited")))</f>
        <v/>
      </c>
      <c r="I268" s="43" t="str">
        <f aca="false">IF(N(U268)&gt;0,U268,"")</f>
        <v/>
      </c>
      <c r="J268" s="44" t="str">
        <f aca="false">IF(N(U268)&gt;0,T268,"")</f>
        <v/>
      </c>
      <c r="K268" s="45" t="str">
        <f aca="false">IF(AND(M268="",B268="",D268=""),"",IF(AND(N(F268)&gt;0,N(G268)&gt;0),"⚠ Fill deposit OR payment",IF(M268="","⚠ Enter amount",IF(B268="","⚠ Enter date",IF(AND(Setup!$C$8&lt;&gt;"",B268&gt;Setup!$C$8),"⚠ Date after period",IF(AND(O268&lt;&gt;"",COUNTIF($O$8:$O$507,O268)&gt;1),"⚠ Cheque no. used twice","✔"))))))</f>
        <v/>
      </c>
      <c r="M268" s="9" t="str">
        <f aca="false">IF(N(F268)&gt;0,"IN",IF(N(G268)&gt;0,"OUT",""))</f>
        <v/>
      </c>
      <c r="N268" s="9" t="str">
        <f aca="false">IF(M268="","",M268&amp;"|"&amp;TEXT(ROUND(N(F268)+N(G268),2),"0.00"))</f>
        <v/>
      </c>
      <c r="O268" s="9" t="str">
        <f aca="false">IF(OR(N268="",TRIM(E268&amp;"")=""),"",N268&amp;"|"&amp;UPPER(TRIM(E268&amp;"")))</f>
        <v/>
      </c>
      <c r="P268" s="9" t="n">
        <f aca="false">IF(O268="",0,IFERROR(MATCH(O268,'Bank Statement'!$O$8:$O$507,0),0))</f>
        <v>0</v>
      </c>
      <c r="Q268" s="9" t="str">
        <f aca="false">IF(OR(N268="",P268&gt;0),"",N268&amp;"#"&amp;COUNTIFS($N$8:N268,N268,$P$8:P268,0))</f>
        <v/>
      </c>
      <c r="R268" s="9" t="n">
        <f aca="false">IF(Q268="",0,IFERROR(MATCH(Q268,'Bank Statement'!$Q$8:$Q$507,0),0))</f>
        <v>0</v>
      </c>
      <c r="S268" s="9" t="n">
        <f aca="false">IF(P268&gt;0,P268,R268)</f>
        <v>0</v>
      </c>
      <c r="T268" s="9" t="str">
        <f aca="false">IF(OR(S268=0,B268=""),"",INDEX('Bank Statement'!$B$8:$B$507,S268)-B268)</f>
        <v/>
      </c>
      <c r="U268" s="9" t="n">
        <f aca="false">IF(S268=0,0,IF(P268&gt;0,S268,IF(AND(ISNUMBER(T268),ABS(N(T268))&lt;=Setup!$C$11),S268,0)))</f>
        <v>0</v>
      </c>
      <c r="V268" s="9" t="str">
        <f aca="false">IF(AND(N268&lt;&gt;"",U268=0),IF(M268="OUT",1,2)*100000+ROW(),"")</f>
        <v/>
      </c>
      <c r="W268" s="9" t="n">
        <f aca="false">N(F268)+N(G268)</f>
        <v>0</v>
      </c>
    </row>
    <row r="269" customFormat="false" ht="15" hidden="false" customHeight="false" outlineLevel="0" collapsed="false">
      <c r="A269" s="37" t="str">
        <f aca="false">IF(M269="","",ROW()-7)</f>
        <v/>
      </c>
      <c r="B269" s="70"/>
      <c r="C269" s="71"/>
      <c r="D269" s="72"/>
      <c r="E269" s="71"/>
      <c r="F269" s="73"/>
      <c r="G269" s="73"/>
      <c r="H269" s="42" t="str">
        <f aca="false">IF(M269="","",IF(U269&gt;0,"✔ Matched",IF(M269="OUT","Not yet presented","Not yet credited")))</f>
        <v/>
      </c>
      <c r="I269" s="43" t="str">
        <f aca="false">IF(N(U269)&gt;0,U269,"")</f>
        <v/>
      </c>
      <c r="J269" s="44" t="str">
        <f aca="false">IF(N(U269)&gt;0,T269,"")</f>
        <v/>
      </c>
      <c r="K269" s="45" t="str">
        <f aca="false">IF(AND(M269="",B269="",D269=""),"",IF(AND(N(F269)&gt;0,N(G269)&gt;0),"⚠ Fill deposit OR payment",IF(M269="","⚠ Enter amount",IF(B269="","⚠ Enter date",IF(AND(Setup!$C$8&lt;&gt;"",B269&gt;Setup!$C$8),"⚠ Date after period",IF(AND(O269&lt;&gt;"",COUNTIF($O$8:$O$507,O269)&gt;1),"⚠ Cheque no. used twice","✔"))))))</f>
        <v/>
      </c>
      <c r="M269" s="9" t="str">
        <f aca="false">IF(N(F269)&gt;0,"IN",IF(N(G269)&gt;0,"OUT",""))</f>
        <v/>
      </c>
      <c r="N269" s="9" t="str">
        <f aca="false">IF(M269="","",M269&amp;"|"&amp;TEXT(ROUND(N(F269)+N(G269),2),"0.00"))</f>
        <v/>
      </c>
      <c r="O269" s="9" t="str">
        <f aca="false">IF(OR(N269="",TRIM(E269&amp;"")=""),"",N269&amp;"|"&amp;UPPER(TRIM(E269&amp;"")))</f>
        <v/>
      </c>
      <c r="P269" s="9" t="n">
        <f aca="false">IF(O269="",0,IFERROR(MATCH(O269,'Bank Statement'!$O$8:$O$507,0),0))</f>
        <v>0</v>
      </c>
      <c r="Q269" s="9" t="str">
        <f aca="false">IF(OR(N269="",P269&gt;0),"",N269&amp;"#"&amp;COUNTIFS($N$8:N269,N269,$P$8:P269,0))</f>
        <v/>
      </c>
      <c r="R269" s="9" t="n">
        <f aca="false">IF(Q269="",0,IFERROR(MATCH(Q269,'Bank Statement'!$Q$8:$Q$507,0),0))</f>
        <v>0</v>
      </c>
      <c r="S269" s="9" t="n">
        <f aca="false">IF(P269&gt;0,P269,R269)</f>
        <v>0</v>
      </c>
      <c r="T269" s="9" t="str">
        <f aca="false">IF(OR(S269=0,B269=""),"",INDEX('Bank Statement'!$B$8:$B$507,S269)-B269)</f>
        <v/>
      </c>
      <c r="U269" s="9" t="n">
        <f aca="false">IF(S269=0,0,IF(P269&gt;0,S269,IF(AND(ISNUMBER(T269),ABS(N(T269))&lt;=Setup!$C$11),S269,0)))</f>
        <v>0</v>
      </c>
      <c r="V269" s="9" t="str">
        <f aca="false">IF(AND(N269&lt;&gt;"",U269=0),IF(M269="OUT",1,2)*100000+ROW(),"")</f>
        <v/>
      </c>
      <c r="W269" s="9" t="n">
        <f aca="false">N(F269)+N(G269)</f>
        <v>0</v>
      </c>
    </row>
    <row r="270" customFormat="false" ht="15" hidden="false" customHeight="false" outlineLevel="0" collapsed="false">
      <c r="A270" s="37" t="str">
        <f aca="false">IF(M270="","",ROW()-7)</f>
        <v/>
      </c>
      <c r="B270" s="70"/>
      <c r="C270" s="71"/>
      <c r="D270" s="72"/>
      <c r="E270" s="71"/>
      <c r="F270" s="73"/>
      <c r="G270" s="73"/>
      <c r="H270" s="42" t="str">
        <f aca="false">IF(M270="","",IF(U270&gt;0,"✔ Matched",IF(M270="OUT","Not yet presented","Not yet credited")))</f>
        <v/>
      </c>
      <c r="I270" s="43" t="str">
        <f aca="false">IF(N(U270)&gt;0,U270,"")</f>
        <v/>
      </c>
      <c r="J270" s="44" t="str">
        <f aca="false">IF(N(U270)&gt;0,T270,"")</f>
        <v/>
      </c>
      <c r="K270" s="45" t="str">
        <f aca="false">IF(AND(M270="",B270="",D270=""),"",IF(AND(N(F270)&gt;0,N(G270)&gt;0),"⚠ Fill deposit OR payment",IF(M270="","⚠ Enter amount",IF(B270="","⚠ Enter date",IF(AND(Setup!$C$8&lt;&gt;"",B270&gt;Setup!$C$8),"⚠ Date after period",IF(AND(O270&lt;&gt;"",COUNTIF($O$8:$O$507,O270)&gt;1),"⚠ Cheque no. used twice","✔"))))))</f>
        <v/>
      </c>
      <c r="M270" s="9" t="str">
        <f aca="false">IF(N(F270)&gt;0,"IN",IF(N(G270)&gt;0,"OUT",""))</f>
        <v/>
      </c>
      <c r="N270" s="9" t="str">
        <f aca="false">IF(M270="","",M270&amp;"|"&amp;TEXT(ROUND(N(F270)+N(G270),2),"0.00"))</f>
        <v/>
      </c>
      <c r="O270" s="9" t="str">
        <f aca="false">IF(OR(N270="",TRIM(E270&amp;"")=""),"",N270&amp;"|"&amp;UPPER(TRIM(E270&amp;"")))</f>
        <v/>
      </c>
      <c r="P270" s="9" t="n">
        <f aca="false">IF(O270="",0,IFERROR(MATCH(O270,'Bank Statement'!$O$8:$O$507,0),0))</f>
        <v>0</v>
      </c>
      <c r="Q270" s="9" t="str">
        <f aca="false">IF(OR(N270="",P270&gt;0),"",N270&amp;"#"&amp;COUNTIFS($N$8:N270,N270,$P$8:P270,0))</f>
        <v/>
      </c>
      <c r="R270" s="9" t="n">
        <f aca="false">IF(Q270="",0,IFERROR(MATCH(Q270,'Bank Statement'!$Q$8:$Q$507,0),0))</f>
        <v>0</v>
      </c>
      <c r="S270" s="9" t="n">
        <f aca="false">IF(P270&gt;0,P270,R270)</f>
        <v>0</v>
      </c>
      <c r="T270" s="9" t="str">
        <f aca="false">IF(OR(S270=0,B270=""),"",INDEX('Bank Statement'!$B$8:$B$507,S270)-B270)</f>
        <v/>
      </c>
      <c r="U270" s="9" t="n">
        <f aca="false">IF(S270=0,0,IF(P270&gt;0,S270,IF(AND(ISNUMBER(T270),ABS(N(T270))&lt;=Setup!$C$11),S270,0)))</f>
        <v>0</v>
      </c>
      <c r="V270" s="9" t="str">
        <f aca="false">IF(AND(N270&lt;&gt;"",U270=0),IF(M270="OUT",1,2)*100000+ROW(),"")</f>
        <v/>
      </c>
      <c r="W270" s="9" t="n">
        <f aca="false">N(F270)+N(G270)</f>
        <v>0</v>
      </c>
    </row>
    <row r="271" customFormat="false" ht="15" hidden="false" customHeight="false" outlineLevel="0" collapsed="false">
      <c r="A271" s="37" t="str">
        <f aca="false">IF(M271="","",ROW()-7)</f>
        <v/>
      </c>
      <c r="B271" s="70"/>
      <c r="C271" s="71"/>
      <c r="D271" s="72"/>
      <c r="E271" s="71"/>
      <c r="F271" s="73"/>
      <c r="G271" s="73"/>
      <c r="H271" s="42" t="str">
        <f aca="false">IF(M271="","",IF(U271&gt;0,"✔ Matched",IF(M271="OUT","Not yet presented","Not yet credited")))</f>
        <v/>
      </c>
      <c r="I271" s="43" t="str">
        <f aca="false">IF(N(U271)&gt;0,U271,"")</f>
        <v/>
      </c>
      <c r="J271" s="44" t="str">
        <f aca="false">IF(N(U271)&gt;0,T271,"")</f>
        <v/>
      </c>
      <c r="K271" s="45" t="str">
        <f aca="false">IF(AND(M271="",B271="",D271=""),"",IF(AND(N(F271)&gt;0,N(G271)&gt;0),"⚠ Fill deposit OR payment",IF(M271="","⚠ Enter amount",IF(B271="","⚠ Enter date",IF(AND(Setup!$C$8&lt;&gt;"",B271&gt;Setup!$C$8),"⚠ Date after period",IF(AND(O271&lt;&gt;"",COUNTIF($O$8:$O$507,O271)&gt;1),"⚠ Cheque no. used twice","✔"))))))</f>
        <v/>
      </c>
      <c r="M271" s="9" t="str">
        <f aca="false">IF(N(F271)&gt;0,"IN",IF(N(G271)&gt;0,"OUT",""))</f>
        <v/>
      </c>
      <c r="N271" s="9" t="str">
        <f aca="false">IF(M271="","",M271&amp;"|"&amp;TEXT(ROUND(N(F271)+N(G271),2),"0.00"))</f>
        <v/>
      </c>
      <c r="O271" s="9" t="str">
        <f aca="false">IF(OR(N271="",TRIM(E271&amp;"")=""),"",N271&amp;"|"&amp;UPPER(TRIM(E271&amp;"")))</f>
        <v/>
      </c>
      <c r="P271" s="9" t="n">
        <f aca="false">IF(O271="",0,IFERROR(MATCH(O271,'Bank Statement'!$O$8:$O$507,0),0))</f>
        <v>0</v>
      </c>
      <c r="Q271" s="9" t="str">
        <f aca="false">IF(OR(N271="",P271&gt;0),"",N271&amp;"#"&amp;COUNTIFS($N$8:N271,N271,$P$8:P271,0))</f>
        <v/>
      </c>
      <c r="R271" s="9" t="n">
        <f aca="false">IF(Q271="",0,IFERROR(MATCH(Q271,'Bank Statement'!$Q$8:$Q$507,0),0))</f>
        <v>0</v>
      </c>
      <c r="S271" s="9" t="n">
        <f aca="false">IF(P271&gt;0,P271,R271)</f>
        <v>0</v>
      </c>
      <c r="T271" s="9" t="str">
        <f aca="false">IF(OR(S271=0,B271=""),"",INDEX('Bank Statement'!$B$8:$B$507,S271)-B271)</f>
        <v/>
      </c>
      <c r="U271" s="9" t="n">
        <f aca="false">IF(S271=0,0,IF(P271&gt;0,S271,IF(AND(ISNUMBER(T271),ABS(N(T271))&lt;=Setup!$C$11),S271,0)))</f>
        <v>0</v>
      </c>
      <c r="V271" s="9" t="str">
        <f aca="false">IF(AND(N271&lt;&gt;"",U271=0),IF(M271="OUT",1,2)*100000+ROW(),"")</f>
        <v/>
      </c>
      <c r="W271" s="9" t="n">
        <f aca="false">N(F271)+N(G271)</f>
        <v>0</v>
      </c>
    </row>
    <row r="272" customFormat="false" ht="15" hidden="false" customHeight="false" outlineLevel="0" collapsed="false">
      <c r="A272" s="37" t="str">
        <f aca="false">IF(M272="","",ROW()-7)</f>
        <v/>
      </c>
      <c r="B272" s="70"/>
      <c r="C272" s="71"/>
      <c r="D272" s="72"/>
      <c r="E272" s="71"/>
      <c r="F272" s="73"/>
      <c r="G272" s="73"/>
      <c r="H272" s="42" t="str">
        <f aca="false">IF(M272="","",IF(U272&gt;0,"✔ Matched",IF(M272="OUT","Not yet presented","Not yet credited")))</f>
        <v/>
      </c>
      <c r="I272" s="43" t="str">
        <f aca="false">IF(N(U272)&gt;0,U272,"")</f>
        <v/>
      </c>
      <c r="J272" s="44" t="str">
        <f aca="false">IF(N(U272)&gt;0,T272,"")</f>
        <v/>
      </c>
      <c r="K272" s="45" t="str">
        <f aca="false">IF(AND(M272="",B272="",D272=""),"",IF(AND(N(F272)&gt;0,N(G272)&gt;0),"⚠ Fill deposit OR payment",IF(M272="","⚠ Enter amount",IF(B272="","⚠ Enter date",IF(AND(Setup!$C$8&lt;&gt;"",B272&gt;Setup!$C$8),"⚠ Date after period",IF(AND(O272&lt;&gt;"",COUNTIF($O$8:$O$507,O272)&gt;1),"⚠ Cheque no. used twice","✔"))))))</f>
        <v/>
      </c>
      <c r="M272" s="9" t="str">
        <f aca="false">IF(N(F272)&gt;0,"IN",IF(N(G272)&gt;0,"OUT",""))</f>
        <v/>
      </c>
      <c r="N272" s="9" t="str">
        <f aca="false">IF(M272="","",M272&amp;"|"&amp;TEXT(ROUND(N(F272)+N(G272),2),"0.00"))</f>
        <v/>
      </c>
      <c r="O272" s="9" t="str">
        <f aca="false">IF(OR(N272="",TRIM(E272&amp;"")=""),"",N272&amp;"|"&amp;UPPER(TRIM(E272&amp;"")))</f>
        <v/>
      </c>
      <c r="P272" s="9" t="n">
        <f aca="false">IF(O272="",0,IFERROR(MATCH(O272,'Bank Statement'!$O$8:$O$507,0),0))</f>
        <v>0</v>
      </c>
      <c r="Q272" s="9" t="str">
        <f aca="false">IF(OR(N272="",P272&gt;0),"",N272&amp;"#"&amp;COUNTIFS($N$8:N272,N272,$P$8:P272,0))</f>
        <v/>
      </c>
      <c r="R272" s="9" t="n">
        <f aca="false">IF(Q272="",0,IFERROR(MATCH(Q272,'Bank Statement'!$Q$8:$Q$507,0),0))</f>
        <v>0</v>
      </c>
      <c r="S272" s="9" t="n">
        <f aca="false">IF(P272&gt;0,P272,R272)</f>
        <v>0</v>
      </c>
      <c r="T272" s="9" t="str">
        <f aca="false">IF(OR(S272=0,B272=""),"",INDEX('Bank Statement'!$B$8:$B$507,S272)-B272)</f>
        <v/>
      </c>
      <c r="U272" s="9" t="n">
        <f aca="false">IF(S272=0,0,IF(P272&gt;0,S272,IF(AND(ISNUMBER(T272),ABS(N(T272))&lt;=Setup!$C$11),S272,0)))</f>
        <v>0</v>
      </c>
      <c r="V272" s="9" t="str">
        <f aca="false">IF(AND(N272&lt;&gt;"",U272=0),IF(M272="OUT",1,2)*100000+ROW(),"")</f>
        <v/>
      </c>
      <c r="W272" s="9" t="n">
        <f aca="false">N(F272)+N(G272)</f>
        <v>0</v>
      </c>
    </row>
    <row r="273" customFormat="false" ht="15" hidden="false" customHeight="false" outlineLevel="0" collapsed="false">
      <c r="A273" s="37" t="str">
        <f aca="false">IF(M273="","",ROW()-7)</f>
        <v/>
      </c>
      <c r="B273" s="70"/>
      <c r="C273" s="71"/>
      <c r="D273" s="72"/>
      <c r="E273" s="71"/>
      <c r="F273" s="73"/>
      <c r="G273" s="73"/>
      <c r="H273" s="42" t="str">
        <f aca="false">IF(M273="","",IF(U273&gt;0,"✔ Matched",IF(M273="OUT","Not yet presented","Not yet credited")))</f>
        <v/>
      </c>
      <c r="I273" s="43" t="str">
        <f aca="false">IF(N(U273)&gt;0,U273,"")</f>
        <v/>
      </c>
      <c r="J273" s="44" t="str">
        <f aca="false">IF(N(U273)&gt;0,T273,"")</f>
        <v/>
      </c>
      <c r="K273" s="45" t="str">
        <f aca="false">IF(AND(M273="",B273="",D273=""),"",IF(AND(N(F273)&gt;0,N(G273)&gt;0),"⚠ Fill deposit OR payment",IF(M273="","⚠ Enter amount",IF(B273="","⚠ Enter date",IF(AND(Setup!$C$8&lt;&gt;"",B273&gt;Setup!$C$8),"⚠ Date after period",IF(AND(O273&lt;&gt;"",COUNTIF($O$8:$O$507,O273)&gt;1),"⚠ Cheque no. used twice","✔"))))))</f>
        <v/>
      </c>
      <c r="M273" s="9" t="str">
        <f aca="false">IF(N(F273)&gt;0,"IN",IF(N(G273)&gt;0,"OUT",""))</f>
        <v/>
      </c>
      <c r="N273" s="9" t="str">
        <f aca="false">IF(M273="","",M273&amp;"|"&amp;TEXT(ROUND(N(F273)+N(G273),2),"0.00"))</f>
        <v/>
      </c>
      <c r="O273" s="9" t="str">
        <f aca="false">IF(OR(N273="",TRIM(E273&amp;"")=""),"",N273&amp;"|"&amp;UPPER(TRIM(E273&amp;"")))</f>
        <v/>
      </c>
      <c r="P273" s="9" t="n">
        <f aca="false">IF(O273="",0,IFERROR(MATCH(O273,'Bank Statement'!$O$8:$O$507,0),0))</f>
        <v>0</v>
      </c>
      <c r="Q273" s="9" t="str">
        <f aca="false">IF(OR(N273="",P273&gt;0),"",N273&amp;"#"&amp;COUNTIFS($N$8:N273,N273,$P$8:P273,0))</f>
        <v/>
      </c>
      <c r="R273" s="9" t="n">
        <f aca="false">IF(Q273="",0,IFERROR(MATCH(Q273,'Bank Statement'!$Q$8:$Q$507,0),0))</f>
        <v>0</v>
      </c>
      <c r="S273" s="9" t="n">
        <f aca="false">IF(P273&gt;0,P273,R273)</f>
        <v>0</v>
      </c>
      <c r="T273" s="9" t="str">
        <f aca="false">IF(OR(S273=0,B273=""),"",INDEX('Bank Statement'!$B$8:$B$507,S273)-B273)</f>
        <v/>
      </c>
      <c r="U273" s="9" t="n">
        <f aca="false">IF(S273=0,0,IF(P273&gt;0,S273,IF(AND(ISNUMBER(T273),ABS(N(T273))&lt;=Setup!$C$11),S273,0)))</f>
        <v>0</v>
      </c>
      <c r="V273" s="9" t="str">
        <f aca="false">IF(AND(N273&lt;&gt;"",U273=0),IF(M273="OUT",1,2)*100000+ROW(),"")</f>
        <v/>
      </c>
      <c r="W273" s="9" t="n">
        <f aca="false">N(F273)+N(G273)</f>
        <v>0</v>
      </c>
    </row>
    <row r="274" customFormat="false" ht="15" hidden="false" customHeight="false" outlineLevel="0" collapsed="false">
      <c r="A274" s="37" t="str">
        <f aca="false">IF(M274="","",ROW()-7)</f>
        <v/>
      </c>
      <c r="B274" s="70"/>
      <c r="C274" s="71"/>
      <c r="D274" s="72"/>
      <c r="E274" s="71"/>
      <c r="F274" s="73"/>
      <c r="G274" s="73"/>
      <c r="H274" s="42" t="str">
        <f aca="false">IF(M274="","",IF(U274&gt;0,"✔ Matched",IF(M274="OUT","Not yet presented","Not yet credited")))</f>
        <v/>
      </c>
      <c r="I274" s="43" t="str">
        <f aca="false">IF(N(U274)&gt;0,U274,"")</f>
        <v/>
      </c>
      <c r="J274" s="44" t="str">
        <f aca="false">IF(N(U274)&gt;0,T274,"")</f>
        <v/>
      </c>
      <c r="K274" s="45" t="str">
        <f aca="false">IF(AND(M274="",B274="",D274=""),"",IF(AND(N(F274)&gt;0,N(G274)&gt;0),"⚠ Fill deposit OR payment",IF(M274="","⚠ Enter amount",IF(B274="","⚠ Enter date",IF(AND(Setup!$C$8&lt;&gt;"",B274&gt;Setup!$C$8),"⚠ Date after period",IF(AND(O274&lt;&gt;"",COUNTIF($O$8:$O$507,O274)&gt;1),"⚠ Cheque no. used twice","✔"))))))</f>
        <v/>
      </c>
      <c r="M274" s="9" t="str">
        <f aca="false">IF(N(F274)&gt;0,"IN",IF(N(G274)&gt;0,"OUT",""))</f>
        <v/>
      </c>
      <c r="N274" s="9" t="str">
        <f aca="false">IF(M274="","",M274&amp;"|"&amp;TEXT(ROUND(N(F274)+N(G274),2),"0.00"))</f>
        <v/>
      </c>
      <c r="O274" s="9" t="str">
        <f aca="false">IF(OR(N274="",TRIM(E274&amp;"")=""),"",N274&amp;"|"&amp;UPPER(TRIM(E274&amp;"")))</f>
        <v/>
      </c>
      <c r="P274" s="9" t="n">
        <f aca="false">IF(O274="",0,IFERROR(MATCH(O274,'Bank Statement'!$O$8:$O$507,0),0))</f>
        <v>0</v>
      </c>
      <c r="Q274" s="9" t="str">
        <f aca="false">IF(OR(N274="",P274&gt;0),"",N274&amp;"#"&amp;COUNTIFS($N$8:N274,N274,$P$8:P274,0))</f>
        <v/>
      </c>
      <c r="R274" s="9" t="n">
        <f aca="false">IF(Q274="",0,IFERROR(MATCH(Q274,'Bank Statement'!$Q$8:$Q$507,0),0))</f>
        <v>0</v>
      </c>
      <c r="S274" s="9" t="n">
        <f aca="false">IF(P274&gt;0,P274,R274)</f>
        <v>0</v>
      </c>
      <c r="T274" s="9" t="str">
        <f aca="false">IF(OR(S274=0,B274=""),"",INDEX('Bank Statement'!$B$8:$B$507,S274)-B274)</f>
        <v/>
      </c>
      <c r="U274" s="9" t="n">
        <f aca="false">IF(S274=0,0,IF(P274&gt;0,S274,IF(AND(ISNUMBER(T274),ABS(N(T274))&lt;=Setup!$C$11),S274,0)))</f>
        <v>0</v>
      </c>
      <c r="V274" s="9" t="str">
        <f aca="false">IF(AND(N274&lt;&gt;"",U274=0),IF(M274="OUT",1,2)*100000+ROW(),"")</f>
        <v/>
      </c>
      <c r="W274" s="9" t="n">
        <f aca="false">N(F274)+N(G274)</f>
        <v>0</v>
      </c>
    </row>
    <row r="275" customFormat="false" ht="15" hidden="false" customHeight="false" outlineLevel="0" collapsed="false">
      <c r="A275" s="37" t="str">
        <f aca="false">IF(M275="","",ROW()-7)</f>
        <v/>
      </c>
      <c r="B275" s="70"/>
      <c r="C275" s="71"/>
      <c r="D275" s="72"/>
      <c r="E275" s="71"/>
      <c r="F275" s="73"/>
      <c r="G275" s="73"/>
      <c r="H275" s="42" t="str">
        <f aca="false">IF(M275="","",IF(U275&gt;0,"✔ Matched",IF(M275="OUT","Not yet presented","Not yet credited")))</f>
        <v/>
      </c>
      <c r="I275" s="43" t="str">
        <f aca="false">IF(N(U275)&gt;0,U275,"")</f>
        <v/>
      </c>
      <c r="J275" s="44" t="str">
        <f aca="false">IF(N(U275)&gt;0,T275,"")</f>
        <v/>
      </c>
      <c r="K275" s="45" t="str">
        <f aca="false">IF(AND(M275="",B275="",D275=""),"",IF(AND(N(F275)&gt;0,N(G275)&gt;0),"⚠ Fill deposit OR payment",IF(M275="","⚠ Enter amount",IF(B275="","⚠ Enter date",IF(AND(Setup!$C$8&lt;&gt;"",B275&gt;Setup!$C$8),"⚠ Date after period",IF(AND(O275&lt;&gt;"",COUNTIF($O$8:$O$507,O275)&gt;1),"⚠ Cheque no. used twice","✔"))))))</f>
        <v/>
      </c>
      <c r="M275" s="9" t="str">
        <f aca="false">IF(N(F275)&gt;0,"IN",IF(N(G275)&gt;0,"OUT",""))</f>
        <v/>
      </c>
      <c r="N275" s="9" t="str">
        <f aca="false">IF(M275="","",M275&amp;"|"&amp;TEXT(ROUND(N(F275)+N(G275),2),"0.00"))</f>
        <v/>
      </c>
      <c r="O275" s="9" t="str">
        <f aca="false">IF(OR(N275="",TRIM(E275&amp;"")=""),"",N275&amp;"|"&amp;UPPER(TRIM(E275&amp;"")))</f>
        <v/>
      </c>
      <c r="P275" s="9" t="n">
        <f aca="false">IF(O275="",0,IFERROR(MATCH(O275,'Bank Statement'!$O$8:$O$507,0),0))</f>
        <v>0</v>
      </c>
      <c r="Q275" s="9" t="str">
        <f aca="false">IF(OR(N275="",P275&gt;0),"",N275&amp;"#"&amp;COUNTIFS($N$8:N275,N275,$P$8:P275,0))</f>
        <v/>
      </c>
      <c r="R275" s="9" t="n">
        <f aca="false">IF(Q275="",0,IFERROR(MATCH(Q275,'Bank Statement'!$Q$8:$Q$507,0),0))</f>
        <v>0</v>
      </c>
      <c r="S275" s="9" t="n">
        <f aca="false">IF(P275&gt;0,P275,R275)</f>
        <v>0</v>
      </c>
      <c r="T275" s="9" t="str">
        <f aca="false">IF(OR(S275=0,B275=""),"",INDEX('Bank Statement'!$B$8:$B$507,S275)-B275)</f>
        <v/>
      </c>
      <c r="U275" s="9" t="n">
        <f aca="false">IF(S275=0,0,IF(P275&gt;0,S275,IF(AND(ISNUMBER(T275),ABS(N(T275))&lt;=Setup!$C$11),S275,0)))</f>
        <v>0</v>
      </c>
      <c r="V275" s="9" t="str">
        <f aca="false">IF(AND(N275&lt;&gt;"",U275=0),IF(M275="OUT",1,2)*100000+ROW(),"")</f>
        <v/>
      </c>
      <c r="W275" s="9" t="n">
        <f aca="false">N(F275)+N(G275)</f>
        <v>0</v>
      </c>
    </row>
    <row r="276" customFormat="false" ht="15" hidden="false" customHeight="false" outlineLevel="0" collapsed="false">
      <c r="A276" s="37" t="str">
        <f aca="false">IF(M276="","",ROW()-7)</f>
        <v/>
      </c>
      <c r="B276" s="70"/>
      <c r="C276" s="71"/>
      <c r="D276" s="72"/>
      <c r="E276" s="71"/>
      <c r="F276" s="73"/>
      <c r="G276" s="73"/>
      <c r="H276" s="42" t="str">
        <f aca="false">IF(M276="","",IF(U276&gt;0,"✔ Matched",IF(M276="OUT","Not yet presented","Not yet credited")))</f>
        <v/>
      </c>
      <c r="I276" s="43" t="str">
        <f aca="false">IF(N(U276)&gt;0,U276,"")</f>
        <v/>
      </c>
      <c r="J276" s="44" t="str">
        <f aca="false">IF(N(U276)&gt;0,T276,"")</f>
        <v/>
      </c>
      <c r="K276" s="45" t="str">
        <f aca="false">IF(AND(M276="",B276="",D276=""),"",IF(AND(N(F276)&gt;0,N(G276)&gt;0),"⚠ Fill deposit OR payment",IF(M276="","⚠ Enter amount",IF(B276="","⚠ Enter date",IF(AND(Setup!$C$8&lt;&gt;"",B276&gt;Setup!$C$8),"⚠ Date after period",IF(AND(O276&lt;&gt;"",COUNTIF($O$8:$O$507,O276)&gt;1),"⚠ Cheque no. used twice","✔"))))))</f>
        <v/>
      </c>
      <c r="M276" s="9" t="str">
        <f aca="false">IF(N(F276)&gt;0,"IN",IF(N(G276)&gt;0,"OUT",""))</f>
        <v/>
      </c>
      <c r="N276" s="9" t="str">
        <f aca="false">IF(M276="","",M276&amp;"|"&amp;TEXT(ROUND(N(F276)+N(G276),2),"0.00"))</f>
        <v/>
      </c>
      <c r="O276" s="9" t="str">
        <f aca="false">IF(OR(N276="",TRIM(E276&amp;"")=""),"",N276&amp;"|"&amp;UPPER(TRIM(E276&amp;"")))</f>
        <v/>
      </c>
      <c r="P276" s="9" t="n">
        <f aca="false">IF(O276="",0,IFERROR(MATCH(O276,'Bank Statement'!$O$8:$O$507,0),0))</f>
        <v>0</v>
      </c>
      <c r="Q276" s="9" t="str">
        <f aca="false">IF(OR(N276="",P276&gt;0),"",N276&amp;"#"&amp;COUNTIFS($N$8:N276,N276,$P$8:P276,0))</f>
        <v/>
      </c>
      <c r="R276" s="9" t="n">
        <f aca="false">IF(Q276="",0,IFERROR(MATCH(Q276,'Bank Statement'!$Q$8:$Q$507,0),0))</f>
        <v>0</v>
      </c>
      <c r="S276" s="9" t="n">
        <f aca="false">IF(P276&gt;0,P276,R276)</f>
        <v>0</v>
      </c>
      <c r="T276" s="9" t="str">
        <f aca="false">IF(OR(S276=0,B276=""),"",INDEX('Bank Statement'!$B$8:$B$507,S276)-B276)</f>
        <v/>
      </c>
      <c r="U276" s="9" t="n">
        <f aca="false">IF(S276=0,0,IF(P276&gt;0,S276,IF(AND(ISNUMBER(T276),ABS(N(T276))&lt;=Setup!$C$11),S276,0)))</f>
        <v>0</v>
      </c>
      <c r="V276" s="9" t="str">
        <f aca="false">IF(AND(N276&lt;&gt;"",U276=0),IF(M276="OUT",1,2)*100000+ROW(),"")</f>
        <v/>
      </c>
      <c r="W276" s="9" t="n">
        <f aca="false">N(F276)+N(G276)</f>
        <v>0</v>
      </c>
    </row>
    <row r="277" customFormat="false" ht="15" hidden="false" customHeight="false" outlineLevel="0" collapsed="false">
      <c r="A277" s="37" t="str">
        <f aca="false">IF(M277="","",ROW()-7)</f>
        <v/>
      </c>
      <c r="B277" s="70"/>
      <c r="C277" s="71"/>
      <c r="D277" s="72"/>
      <c r="E277" s="71"/>
      <c r="F277" s="73"/>
      <c r="G277" s="73"/>
      <c r="H277" s="42" t="str">
        <f aca="false">IF(M277="","",IF(U277&gt;0,"✔ Matched",IF(M277="OUT","Not yet presented","Not yet credited")))</f>
        <v/>
      </c>
      <c r="I277" s="43" t="str">
        <f aca="false">IF(N(U277)&gt;0,U277,"")</f>
        <v/>
      </c>
      <c r="J277" s="44" t="str">
        <f aca="false">IF(N(U277)&gt;0,T277,"")</f>
        <v/>
      </c>
      <c r="K277" s="45" t="str">
        <f aca="false">IF(AND(M277="",B277="",D277=""),"",IF(AND(N(F277)&gt;0,N(G277)&gt;0),"⚠ Fill deposit OR payment",IF(M277="","⚠ Enter amount",IF(B277="","⚠ Enter date",IF(AND(Setup!$C$8&lt;&gt;"",B277&gt;Setup!$C$8),"⚠ Date after period",IF(AND(O277&lt;&gt;"",COUNTIF($O$8:$O$507,O277)&gt;1),"⚠ Cheque no. used twice","✔"))))))</f>
        <v/>
      </c>
      <c r="M277" s="9" t="str">
        <f aca="false">IF(N(F277)&gt;0,"IN",IF(N(G277)&gt;0,"OUT",""))</f>
        <v/>
      </c>
      <c r="N277" s="9" t="str">
        <f aca="false">IF(M277="","",M277&amp;"|"&amp;TEXT(ROUND(N(F277)+N(G277),2),"0.00"))</f>
        <v/>
      </c>
      <c r="O277" s="9" t="str">
        <f aca="false">IF(OR(N277="",TRIM(E277&amp;"")=""),"",N277&amp;"|"&amp;UPPER(TRIM(E277&amp;"")))</f>
        <v/>
      </c>
      <c r="P277" s="9" t="n">
        <f aca="false">IF(O277="",0,IFERROR(MATCH(O277,'Bank Statement'!$O$8:$O$507,0),0))</f>
        <v>0</v>
      </c>
      <c r="Q277" s="9" t="str">
        <f aca="false">IF(OR(N277="",P277&gt;0),"",N277&amp;"#"&amp;COUNTIFS($N$8:N277,N277,$P$8:P277,0))</f>
        <v/>
      </c>
      <c r="R277" s="9" t="n">
        <f aca="false">IF(Q277="",0,IFERROR(MATCH(Q277,'Bank Statement'!$Q$8:$Q$507,0),0))</f>
        <v>0</v>
      </c>
      <c r="S277" s="9" t="n">
        <f aca="false">IF(P277&gt;0,P277,R277)</f>
        <v>0</v>
      </c>
      <c r="T277" s="9" t="str">
        <f aca="false">IF(OR(S277=0,B277=""),"",INDEX('Bank Statement'!$B$8:$B$507,S277)-B277)</f>
        <v/>
      </c>
      <c r="U277" s="9" t="n">
        <f aca="false">IF(S277=0,0,IF(P277&gt;0,S277,IF(AND(ISNUMBER(T277),ABS(N(T277))&lt;=Setup!$C$11),S277,0)))</f>
        <v>0</v>
      </c>
      <c r="V277" s="9" t="str">
        <f aca="false">IF(AND(N277&lt;&gt;"",U277=0),IF(M277="OUT",1,2)*100000+ROW(),"")</f>
        <v/>
      </c>
      <c r="W277" s="9" t="n">
        <f aca="false">N(F277)+N(G277)</f>
        <v>0</v>
      </c>
    </row>
    <row r="278" customFormat="false" ht="15" hidden="false" customHeight="false" outlineLevel="0" collapsed="false">
      <c r="A278" s="37" t="str">
        <f aca="false">IF(M278="","",ROW()-7)</f>
        <v/>
      </c>
      <c r="B278" s="70"/>
      <c r="C278" s="71"/>
      <c r="D278" s="72"/>
      <c r="E278" s="71"/>
      <c r="F278" s="73"/>
      <c r="G278" s="73"/>
      <c r="H278" s="42" t="str">
        <f aca="false">IF(M278="","",IF(U278&gt;0,"✔ Matched",IF(M278="OUT","Not yet presented","Not yet credited")))</f>
        <v/>
      </c>
      <c r="I278" s="43" t="str">
        <f aca="false">IF(N(U278)&gt;0,U278,"")</f>
        <v/>
      </c>
      <c r="J278" s="44" t="str">
        <f aca="false">IF(N(U278)&gt;0,T278,"")</f>
        <v/>
      </c>
      <c r="K278" s="45" t="str">
        <f aca="false">IF(AND(M278="",B278="",D278=""),"",IF(AND(N(F278)&gt;0,N(G278)&gt;0),"⚠ Fill deposit OR payment",IF(M278="","⚠ Enter amount",IF(B278="","⚠ Enter date",IF(AND(Setup!$C$8&lt;&gt;"",B278&gt;Setup!$C$8),"⚠ Date after period",IF(AND(O278&lt;&gt;"",COUNTIF($O$8:$O$507,O278)&gt;1),"⚠ Cheque no. used twice","✔"))))))</f>
        <v/>
      </c>
      <c r="M278" s="9" t="str">
        <f aca="false">IF(N(F278)&gt;0,"IN",IF(N(G278)&gt;0,"OUT",""))</f>
        <v/>
      </c>
      <c r="N278" s="9" t="str">
        <f aca="false">IF(M278="","",M278&amp;"|"&amp;TEXT(ROUND(N(F278)+N(G278),2),"0.00"))</f>
        <v/>
      </c>
      <c r="O278" s="9" t="str">
        <f aca="false">IF(OR(N278="",TRIM(E278&amp;"")=""),"",N278&amp;"|"&amp;UPPER(TRIM(E278&amp;"")))</f>
        <v/>
      </c>
      <c r="P278" s="9" t="n">
        <f aca="false">IF(O278="",0,IFERROR(MATCH(O278,'Bank Statement'!$O$8:$O$507,0),0))</f>
        <v>0</v>
      </c>
      <c r="Q278" s="9" t="str">
        <f aca="false">IF(OR(N278="",P278&gt;0),"",N278&amp;"#"&amp;COUNTIFS($N$8:N278,N278,$P$8:P278,0))</f>
        <v/>
      </c>
      <c r="R278" s="9" t="n">
        <f aca="false">IF(Q278="",0,IFERROR(MATCH(Q278,'Bank Statement'!$Q$8:$Q$507,0),0))</f>
        <v>0</v>
      </c>
      <c r="S278" s="9" t="n">
        <f aca="false">IF(P278&gt;0,P278,R278)</f>
        <v>0</v>
      </c>
      <c r="T278" s="9" t="str">
        <f aca="false">IF(OR(S278=0,B278=""),"",INDEX('Bank Statement'!$B$8:$B$507,S278)-B278)</f>
        <v/>
      </c>
      <c r="U278" s="9" t="n">
        <f aca="false">IF(S278=0,0,IF(P278&gt;0,S278,IF(AND(ISNUMBER(T278),ABS(N(T278))&lt;=Setup!$C$11),S278,0)))</f>
        <v>0</v>
      </c>
      <c r="V278" s="9" t="str">
        <f aca="false">IF(AND(N278&lt;&gt;"",U278=0),IF(M278="OUT",1,2)*100000+ROW(),"")</f>
        <v/>
      </c>
      <c r="W278" s="9" t="n">
        <f aca="false">N(F278)+N(G278)</f>
        <v>0</v>
      </c>
    </row>
    <row r="279" customFormat="false" ht="15" hidden="false" customHeight="false" outlineLevel="0" collapsed="false">
      <c r="A279" s="37" t="str">
        <f aca="false">IF(M279="","",ROW()-7)</f>
        <v/>
      </c>
      <c r="B279" s="70"/>
      <c r="C279" s="71"/>
      <c r="D279" s="72"/>
      <c r="E279" s="71"/>
      <c r="F279" s="73"/>
      <c r="G279" s="73"/>
      <c r="H279" s="42" t="str">
        <f aca="false">IF(M279="","",IF(U279&gt;0,"✔ Matched",IF(M279="OUT","Not yet presented","Not yet credited")))</f>
        <v/>
      </c>
      <c r="I279" s="43" t="str">
        <f aca="false">IF(N(U279)&gt;0,U279,"")</f>
        <v/>
      </c>
      <c r="J279" s="44" t="str">
        <f aca="false">IF(N(U279)&gt;0,T279,"")</f>
        <v/>
      </c>
      <c r="K279" s="45" t="str">
        <f aca="false">IF(AND(M279="",B279="",D279=""),"",IF(AND(N(F279)&gt;0,N(G279)&gt;0),"⚠ Fill deposit OR payment",IF(M279="","⚠ Enter amount",IF(B279="","⚠ Enter date",IF(AND(Setup!$C$8&lt;&gt;"",B279&gt;Setup!$C$8),"⚠ Date after period",IF(AND(O279&lt;&gt;"",COUNTIF($O$8:$O$507,O279)&gt;1),"⚠ Cheque no. used twice","✔"))))))</f>
        <v/>
      </c>
      <c r="M279" s="9" t="str">
        <f aca="false">IF(N(F279)&gt;0,"IN",IF(N(G279)&gt;0,"OUT",""))</f>
        <v/>
      </c>
      <c r="N279" s="9" t="str">
        <f aca="false">IF(M279="","",M279&amp;"|"&amp;TEXT(ROUND(N(F279)+N(G279),2),"0.00"))</f>
        <v/>
      </c>
      <c r="O279" s="9" t="str">
        <f aca="false">IF(OR(N279="",TRIM(E279&amp;"")=""),"",N279&amp;"|"&amp;UPPER(TRIM(E279&amp;"")))</f>
        <v/>
      </c>
      <c r="P279" s="9" t="n">
        <f aca="false">IF(O279="",0,IFERROR(MATCH(O279,'Bank Statement'!$O$8:$O$507,0),0))</f>
        <v>0</v>
      </c>
      <c r="Q279" s="9" t="str">
        <f aca="false">IF(OR(N279="",P279&gt;0),"",N279&amp;"#"&amp;COUNTIFS($N$8:N279,N279,$P$8:P279,0))</f>
        <v/>
      </c>
      <c r="R279" s="9" t="n">
        <f aca="false">IF(Q279="",0,IFERROR(MATCH(Q279,'Bank Statement'!$Q$8:$Q$507,0),0))</f>
        <v>0</v>
      </c>
      <c r="S279" s="9" t="n">
        <f aca="false">IF(P279&gt;0,P279,R279)</f>
        <v>0</v>
      </c>
      <c r="T279" s="9" t="str">
        <f aca="false">IF(OR(S279=0,B279=""),"",INDEX('Bank Statement'!$B$8:$B$507,S279)-B279)</f>
        <v/>
      </c>
      <c r="U279" s="9" t="n">
        <f aca="false">IF(S279=0,0,IF(P279&gt;0,S279,IF(AND(ISNUMBER(T279),ABS(N(T279))&lt;=Setup!$C$11),S279,0)))</f>
        <v>0</v>
      </c>
      <c r="V279" s="9" t="str">
        <f aca="false">IF(AND(N279&lt;&gt;"",U279=0),IF(M279="OUT",1,2)*100000+ROW(),"")</f>
        <v/>
      </c>
      <c r="W279" s="9" t="n">
        <f aca="false">N(F279)+N(G279)</f>
        <v>0</v>
      </c>
    </row>
    <row r="280" customFormat="false" ht="15" hidden="false" customHeight="false" outlineLevel="0" collapsed="false">
      <c r="A280" s="37" t="str">
        <f aca="false">IF(M280="","",ROW()-7)</f>
        <v/>
      </c>
      <c r="B280" s="70"/>
      <c r="C280" s="71"/>
      <c r="D280" s="72"/>
      <c r="E280" s="71"/>
      <c r="F280" s="73"/>
      <c r="G280" s="73"/>
      <c r="H280" s="42" t="str">
        <f aca="false">IF(M280="","",IF(U280&gt;0,"✔ Matched",IF(M280="OUT","Not yet presented","Not yet credited")))</f>
        <v/>
      </c>
      <c r="I280" s="43" t="str">
        <f aca="false">IF(N(U280)&gt;0,U280,"")</f>
        <v/>
      </c>
      <c r="J280" s="44" t="str">
        <f aca="false">IF(N(U280)&gt;0,T280,"")</f>
        <v/>
      </c>
      <c r="K280" s="45" t="str">
        <f aca="false">IF(AND(M280="",B280="",D280=""),"",IF(AND(N(F280)&gt;0,N(G280)&gt;0),"⚠ Fill deposit OR payment",IF(M280="","⚠ Enter amount",IF(B280="","⚠ Enter date",IF(AND(Setup!$C$8&lt;&gt;"",B280&gt;Setup!$C$8),"⚠ Date after period",IF(AND(O280&lt;&gt;"",COUNTIF($O$8:$O$507,O280)&gt;1),"⚠ Cheque no. used twice","✔"))))))</f>
        <v/>
      </c>
      <c r="M280" s="9" t="str">
        <f aca="false">IF(N(F280)&gt;0,"IN",IF(N(G280)&gt;0,"OUT",""))</f>
        <v/>
      </c>
      <c r="N280" s="9" t="str">
        <f aca="false">IF(M280="","",M280&amp;"|"&amp;TEXT(ROUND(N(F280)+N(G280),2),"0.00"))</f>
        <v/>
      </c>
      <c r="O280" s="9" t="str">
        <f aca="false">IF(OR(N280="",TRIM(E280&amp;"")=""),"",N280&amp;"|"&amp;UPPER(TRIM(E280&amp;"")))</f>
        <v/>
      </c>
      <c r="P280" s="9" t="n">
        <f aca="false">IF(O280="",0,IFERROR(MATCH(O280,'Bank Statement'!$O$8:$O$507,0),0))</f>
        <v>0</v>
      </c>
      <c r="Q280" s="9" t="str">
        <f aca="false">IF(OR(N280="",P280&gt;0),"",N280&amp;"#"&amp;COUNTIFS($N$8:N280,N280,$P$8:P280,0))</f>
        <v/>
      </c>
      <c r="R280" s="9" t="n">
        <f aca="false">IF(Q280="",0,IFERROR(MATCH(Q280,'Bank Statement'!$Q$8:$Q$507,0),0))</f>
        <v>0</v>
      </c>
      <c r="S280" s="9" t="n">
        <f aca="false">IF(P280&gt;0,P280,R280)</f>
        <v>0</v>
      </c>
      <c r="T280" s="9" t="str">
        <f aca="false">IF(OR(S280=0,B280=""),"",INDEX('Bank Statement'!$B$8:$B$507,S280)-B280)</f>
        <v/>
      </c>
      <c r="U280" s="9" t="n">
        <f aca="false">IF(S280=0,0,IF(P280&gt;0,S280,IF(AND(ISNUMBER(T280),ABS(N(T280))&lt;=Setup!$C$11),S280,0)))</f>
        <v>0</v>
      </c>
      <c r="V280" s="9" t="str">
        <f aca="false">IF(AND(N280&lt;&gt;"",U280=0),IF(M280="OUT",1,2)*100000+ROW(),"")</f>
        <v/>
      </c>
      <c r="W280" s="9" t="n">
        <f aca="false">N(F280)+N(G280)</f>
        <v>0</v>
      </c>
    </row>
    <row r="281" customFormat="false" ht="15" hidden="false" customHeight="false" outlineLevel="0" collapsed="false">
      <c r="A281" s="37" t="str">
        <f aca="false">IF(M281="","",ROW()-7)</f>
        <v/>
      </c>
      <c r="B281" s="70"/>
      <c r="C281" s="71"/>
      <c r="D281" s="72"/>
      <c r="E281" s="71"/>
      <c r="F281" s="73"/>
      <c r="G281" s="73"/>
      <c r="H281" s="42" t="str">
        <f aca="false">IF(M281="","",IF(U281&gt;0,"✔ Matched",IF(M281="OUT","Not yet presented","Not yet credited")))</f>
        <v/>
      </c>
      <c r="I281" s="43" t="str">
        <f aca="false">IF(N(U281)&gt;0,U281,"")</f>
        <v/>
      </c>
      <c r="J281" s="44" t="str">
        <f aca="false">IF(N(U281)&gt;0,T281,"")</f>
        <v/>
      </c>
      <c r="K281" s="45" t="str">
        <f aca="false">IF(AND(M281="",B281="",D281=""),"",IF(AND(N(F281)&gt;0,N(G281)&gt;0),"⚠ Fill deposit OR payment",IF(M281="","⚠ Enter amount",IF(B281="","⚠ Enter date",IF(AND(Setup!$C$8&lt;&gt;"",B281&gt;Setup!$C$8),"⚠ Date after period",IF(AND(O281&lt;&gt;"",COUNTIF($O$8:$O$507,O281)&gt;1),"⚠ Cheque no. used twice","✔"))))))</f>
        <v/>
      </c>
      <c r="M281" s="9" t="str">
        <f aca="false">IF(N(F281)&gt;0,"IN",IF(N(G281)&gt;0,"OUT",""))</f>
        <v/>
      </c>
      <c r="N281" s="9" t="str">
        <f aca="false">IF(M281="","",M281&amp;"|"&amp;TEXT(ROUND(N(F281)+N(G281),2),"0.00"))</f>
        <v/>
      </c>
      <c r="O281" s="9" t="str">
        <f aca="false">IF(OR(N281="",TRIM(E281&amp;"")=""),"",N281&amp;"|"&amp;UPPER(TRIM(E281&amp;"")))</f>
        <v/>
      </c>
      <c r="P281" s="9" t="n">
        <f aca="false">IF(O281="",0,IFERROR(MATCH(O281,'Bank Statement'!$O$8:$O$507,0),0))</f>
        <v>0</v>
      </c>
      <c r="Q281" s="9" t="str">
        <f aca="false">IF(OR(N281="",P281&gt;0),"",N281&amp;"#"&amp;COUNTIFS($N$8:N281,N281,$P$8:P281,0))</f>
        <v/>
      </c>
      <c r="R281" s="9" t="n">
        <f aca="false">IF(Q281="",0,IFERROR(MATCH(Q281,'Bank Statement'!$Q$8:$Q$507,0),0))</f>
        <v>0</v>
      </c>
      <c r="S281" s="9" t="n">
        <f aca="false">IF(P281&gt;0,P281,R281)</f>
        <v>0</v>
      </c>
      <c r="T281" s="9" t="str">
        <f aca="false">IF(OR(S281=0,B281=""),"",INDEX('Bank Statement'!$B$8:$B$507,S281)-B281)</f>
        <v/>
      </c>
      <c r="U281" s="9" t="n">
        <f aca="false">IF(S281=0,0,IF(P281&gt;0,S281,IF(AND(ISNUMBER(T281),ABS(N(T281))&lt;=Setup!$C$11),S281,0)))</f>
        <v>0</v>
      </c>
      <c r="V281" s="9" t="str">
        <f aca="false">IF(AND(N281&lt;&gt;"",U281=0),IF(M281="OUT",1,2)*100000+ROW(),"")</f>
        <v/>
      </c>
      <c r="W281" s="9" t="n">
        <f aca="false">N(F281)+N(G281)</f>
        <v>0</v>
      </c>
    </row>
    <row r="282" customFormat="false" ht="15" hidden="false" customHeight="false" outlineLevel="0" collapsed="false">
      <c r="A282" s="37" t="str">
        <f aca="false">IF(M282="","",ROW()-7)</f>
        <v/>
      </c>
      <c r="B282" s="70"/>
      <c r="C282" s="71"/>
      <c r="D282" s="72"/>
      <c r="E282" s="71"/>
      <c r="F282" s="73"/>
      <c r="G282" s="73"/>
      <c r="H282" s="42" t="str">
        <f aca="false">IF(M282="","",IF(U282&gt;0,"✔ Matched",IF(M282="OUT","Not yet presented","Not yet credited")))</f>
        <v/>
      </c>
      <c r="I282" s="43" t="str">
        <f aca="false">IF(N(U282)&gt;0,U282,"")</f>
        <v/>
      </c>
      <c r="J282" s="44" t="str">
        <f aca="false">IF(N(U282)&gt;0,T282,"")</f>
        <v/>
      </c>
      <c r="K282" s="45" t="str">
        <f aca="false">IF(AND(M282="",B282="",D282=""),"",IF(AND(N(F282)&gt;0,N(G282)&gt;0),"⚠ Fill deposit OR payment",IF(M282="","⚠ Enter amount",IF(B282="","⚠ Enter date",IF(AND(Setup!$C$8&lt;&gt;"",B282&gt;Setup!$C$8),"⚠ Date after period",IF(AND(O282&lt;&gt;"",COUNTIF($O$8:$O$507,O282)&gt;1),"⚠ Cheque no. used twice","✔"))))))</f>
        <v/>
      </c>
      <c r="M282" s="9" t="str">
        <f aca="false">IF(N(F282)&gt;0,"IN",IF(N(G282)&gt;0,"OUT",""))</f>
        <v/>
      </c>
      <c r="N282" s="9" t="str">
        <f aca="false">IF(M282="","",M282&amp;"|"&amp;TEXT(ROUND(N(F282)+N(G282),2),"0.00"))</f>
        <v/>
      </c>
      <c r="O282" s="9" t="str">
        <f aca="false">IF(OR(N282="",TRIM(E282&amp;"")=""),"",N282&amp;"|"&amp;UPPER(TRIM(E282&amp;"")))</f>
        <v/>
      </c>
      <c r="P282" s="9" t="n">
        <f aca="false">IF(O282="",0,IFERROR(MATCH(O282,'Bank Statement'!$O$8:$O$507,0),0))</f>
        <v>0</v>
      </c>
      <c r="Q282" s="9" t="str">
        <f aca="false">IF(OR(N282="",P282&gt;0),"",N282&amp;"#"&amp;COUNTIFS($N$8:N282,N282,$P$8:P282,0))</f>
        <v/>
      </c>
      <c r="R282" s="9" t="n">
        <f aca="false">IF(Q282="",0,IFERROR(MATCH(Q282,'Bank Statement'!$Q$8:$Q$507,0),0))</f>
        <v>0</v>
      </c>
      <c r="S282" s="9" t="n">
        <f aca="false">IF(P282&gt;0,P282,R282)</f>
        <v>0</v>
      </c>
      <c r="T282" s="9" t="str">
        <f aca="false">IF(OR(S282=0,B282=""),"",INDEX('Bank Statement'!$B$8:$B$507,S282)-B282)</f>
        <v/>
      </c>
      <c r="U282" s="9" t="n">
        <f aca="false">IF(S282=0,0,IF(P282&gt;0,S282,IF(AND(ISNUMBER(T282),ABS(N(T282))&lt;=Setup!$C$11),S282,0)))</f>
        <v>0</v>
      </c>
      <c r="V282" s="9" t="str">
        <f aca="false">IF(AND(N282&lt;&gt;"",U282=0),IF(M282="OUT",1,2)*100000+ROW(),"")</f>
        <v/>
      </c>
      <c r="W282" s="9" t="n">
        <f aca="false">N(F282)+N(G282)</f>
        <v>0</v>
      </c>
    </row>
    <row r="283" customFormat="false" ht="15" hidden="false" customHeight="false" outlineLevel="0" collapsed="false">
      <c r="A283" s="37" t="str">
        <f aca="false">IF(M283="","",ROW()-7)</f>
        <v/>
      </c>
      <c r="B283" s="70"/>
      <c r="C283" s="71"/>
      <c r="D283" s="72"/>
      <c r="E283" s="71"/>
      <c r="F283" s="73"/>
      <c r="G283" s="73"/>
      <c r="H283" s="42" t="str">
        <f aca="false">IF(M283="","",IF(U283&gt;0,"✔ Matched",IF(M283="OUT","Not yet presented","Not yet credited")))</f>
        <v/>
      </c>
      <c r="I283" s="43" t="str">
        <f aca="false">IF(N(U283)&gt;0,U283,"")</f>
        <v/>
      </c>
      <c r="J283" s="44" t="str">
        <f aca="false">IF(N(U283)&gt;0,T283,"")</f>
        <v/>
      </c>
      <c r="K283" s="45" t="str">
        <f aca="false">IF(AND(M283="",B283="",D283=""),"",IF(AND(N(F283)&gt;0,N(G283)&gt;0),"⚠ Fill deposit OR payment",IF(M283="","⚠ Enter amount",IF(B283="","⚠ Enter date",IF(AND(Setup!$C$8&lt;&gt;"",B283&gt;Setup!$C$8),"⚠ Date after period",IF(AND(O283&lt;&gt;"",COUNTIF($O$8:$O$507,O283)&gt;1),"⚠ Cheque no. used twice","✔"))))))</f>
        <v/>
      </c>
      <c r="M283" s="9" t="str">
        <f aca="false">IF(N(F283)&gt;0,"IN",IF(N(G283)&gt;0,"OUT",""))</f>
        <v/>
      </c>
      <c r="N283" s="9" t="str">
        <f aca="false">IF(M283="","",M283&amp;"|"&amp;TEXT(ROUND(N(F283)+N(G283),2),"0.00"))</f>
        <v/>
      </c>
      <c r="O283" s="9" t="str">
        <f aca="false">IF(OR(N283="",TRIM(E283&amp;"")=""),"",N283&amp;"|"&amp;UPPER(TRIM(E283&amp;"")))</f>
        <v/>
      </c>
      <c r="P283" s="9" t="n">
        <f aca="false">IF(O283="",0,IFERROR(MATCH(O283,'Bank Statement'!$O$8:$O$507,0),0))</f>
        <v>0</v>
      </c>
      <c r="Q283" s="9" t="str">
        <f aca="false">IF(OR(N283="",P283&gt;0),"",N283&amp;"#"&amp;COUNTIFS($N$8:N283,N283,$P$8:P283,0))</f>
        <v/>
      </c>
      <c r="R283" s="9" t="n">
        <f aca="false">IF(Q283="",0,IFERROR(MATCH(Q283,'Bank Statement'!$Q$8:$Q$507,0),0))</f>
        <v>0</v>
      </c>
      <c r="S283" s="9" t="n">
        <f aca="false">IF(P283&gt;0,P283,R283)</f>
        <v>0</v>
      </c>
      <c r="T283" s="9" t="str">
        <f aca="false">IF(OR(S283=0,B283=""),"",INDEX('Bank Statement'!$B$8:$B$507,S283)-B283)</f>
        <v/>
      </c>
      <c r="U283" s="9" t="n">
        <f aca="false">IF(S283=0,0,IF(P283&gt;0,S283,IF(AND(ISNUMBER(T283),ABS(N(T283))&lt;=Setup!$C$11),S283,0)))</f>
        <v>0</v>
      </c>
      <c r="V283" s="9" t="str">
        <f aca="false">IF(AND(N283&lt;&gt;"",U283=0),IF(M283="OUT",1,2)*100000+ROW(),"")</f>
        <v/>
      </c>
      <c r="W283" s="9" t="n">
        <f aca="false">N(F283)+N(G283)</f>
        <v>0</v>
      </c>
    </row>
    <row r="284" customFormat="false" ht="15" hidden="false" customHeight="false" outlineLevel="0" collapsed="false">
      <c r="A284" s="37" t="str">
        <f aca="false">IF(M284="","",ROW()-7)</f>
        <v/>
      </c>
      <c r="B284" s="70"/>
      <c r="C284" s="71"/>
      <c r="D284" s="72"/>
      <c r="E284" s="71"/>
      <c r="F284" s="73"/>
      <c r="G284" s="73"/>
      <c r="H284" s="42" t="str">
        <f aca="false">IF(M284="","",IF(U284&gt;0,"✔ Matched",IF(M284="OUT","Not yet presented","Not yet credited")))</f>
        <v/>
      </c>
      <c r="I284" s="43" t="str">
        <f aca="false">IF(N(U284)&gt;0,U284,"")</f>
        <v/>
      </c>
      <c r="J284" s="44" t="str">
        <f aca="false">IF(N(U284)&gt;0,T284,"")</f>
        <v/>
      </c>
      <c r="K284" s="45" t="str">
        <f aca="false">IF(AND(M284="",B284="",D284=""),"",IF(AND(N(F284)&gt;0,N(G284)&gt;0),"⚠ Fill deposit OR payment",IF(M284="","⚠ Enter amount",IF(B284="","⚠ Enter date",IF(AND(Setup!$C$8&lt;&gt;"",B284&gt;Setup!$C$8),"⚠ Date after period",IF(AND(O284&lt;&gt;"",COUNTIF($O$8:$O$507,O284)&gt;1),"⚠ Cheque no. used twice","✔"))))))</f>
        <v/>
      </c>
      <c r="M284" s="9" t="str">
        <f aca="false">IF(N(F284)&gt;0,"IN",IF(N(G284)&gt;0,"OUT",""))</f>
        <v/>
      </c>
      <c r="N284" s="9" t="str">
        <f aca="false">IF(M284="","",M284&amp;"|"&amp;TEXT(ROUND(N(F284)+N(G284),2),"0.00"))</f>
        <v/>
      </c>
      <c r="O284" s="9" t="str">
        <f aca="false">IF(OR(N284="",TRIM(E284&amp;"")=""),"",N284&amp;"|"&amp;UPPER(TRIM(E284&amp;"")))</f>
        <v/>
      </c>
      <c r="P284" s="9" t="n">
        <f aca="false">IF(O284="",0,IFERROR(MATCH(O284,'Bank Statement'!$O$8:$O$507,0),0))</f>
        <v>0</v>
      </c>
      <c r="Q284" s="9" t="str">
        <f aca="false">IF(OR(N284="",P284&gt;0),"",N284&amp;"#"&amp;COUNTIFS($N$8:N284,N284,$P$8:P284,0))</f>
        <v/>
      </c>
      <c r="R284" s="9" t="n">
        <f aca="false">IF(Q284="",0,IFERROR(MATCH(Q284,'Bank Statement'!$Q$8:$Q$507,0),0))</f>
        <v>0</v>
      </c>
      <c r="S284" s="9" t="n">
        <f aca="false">IF(P284&gt;0,P284,R284)</f>
        <v>0</v>
      </c>
      <c r="T284" s="9" t="str">
        <f aca="false">IF(OR(S284=0,B284=""),"",INDEX('Bank Statement'!$B$8:$B$507,S284)-B284)</f>
        <v/>
      </c>
      <c r="U284" s="9" t="n">
        <f aca="false">IF(S284=0,0,IF(P284&gt;0,S284,IF(AND(ISNUMBER(T284),ABS(N(T284))&lt;=Setup!$C$11),S284,0)))</f>
        <v>0</v>
      </c>
      <c r="V284" s="9" t="str">
        <f aca="false">IF(AND(N284&lt;&gt;"",U284=0),IF(M284="OUT",1,2)*100000+ROW(),"")</f>
        <v/>
      </c>
      <c r="W284" s="9" t="n">
        <f aca="false">N(F284)+N(G284)</f>
        <v>0</v>
      </c>
    </row>
    <row r="285" customFormat="false" ht="15" hidden="false" customHeight="false" outlineLevel="0" collapsed="false">
      <c r="A285" s="37" t="str">
        <f aca="false">IF(M285="","",ROW()-7)</f>
        <v/>
      </c>
      <c r="B285" s="70"/>
      <c r="C285" s="71"/>
      <c r="D285" s="72"/>
      <c r="E285" s="71"/>
      <c r="F285" s="73"/>
      <c r="G285" s="73"/>
      <c r="H285" s="42" t="str">
        <f aca="false">IF(M285="","",IF(U285&gt;0,"✔ Matched",IF(M285="OUT","Not yet presented","Not yet credited")))</f>
        <v/>
      </c>
      <c r="I285" s="43" t="str">
        <f aca="false">IF(N(U285)&gt;0,U285,"")</f>
        <v/>
      </c>
      <c r="J285" s="44" t="str">
        <f aca="false">IF(N(U285)&gt;0,T285,"")</f>
        <v/>
      </c>
      <c r="K285" s="45" t="str">
        <f aca="false">IF(AND(M285="",B285="",D285=""),"",IF(AND(N(F285)&gt;0,N(G285)&gt;0),"⚠ Fill deposit OR payment",IF(M285="","⚠ Enter amount",IF(B285="","⚠ Enter date",IF(AND(Setup!$C$8&lt;&gt;"",B285&gt;Setup!$C$8),"⚠ Date after period",IF(AND(O285&lt;&gt;"",COUNTIF($O$8:$O$507,O285)&gt;1),"⚠ Cheque no. used twice","✔"))))))</f>
        <v/>
      </c>
      <c r="M285" s="9" t="str">
        <f aca="false">IF(N(F285)&gt;0,"IN",IF(N(G285)&gt;0,"OUT",""))</f>
        <v/>
      </c>
      <c r="N285" s="9" t="str">
        <f aca="false">IF(M285="","",M285&amp;"|"&amp;TEXT(ROUND(N(F285)+N(G285),2),"0.00"))</f>
        <v/>
      </c>
      <c r="O285" s="9" t="str">
        <f aca="false">IF(OR(N285="",TRIM(E285&amp;"")=""),"",N285&amp;"|"&amp;UPPER(TRIM(E285&amp;"")))</f>
        <v/>
      </c>
      <c r="P285" s="9" t="n">
        <f aca="false">IF(O285="",0,IFERROR(MATCH(O285,'Bank Statement'!$O$8:$O$507,0),0))</f>
        <v>0</v>
      </c>
      <c r="Q285" s="9" t="str">
        <f aca="false">IF(OR(N285="",P285&gt;0),"",N285&amp;"#"&amp;COUNTIFS($N$8:N285,N285,$P$8:P285,0))</f>
        <v/>
      </c>
      <c r="R285" s="9" t="n">
        <f aca="false">IF(Q285="",0,IFERROR(MATCH(Q285,'Bank Statement'!$Q$8:$Q$507,0),0))</f>
        <v>0</v>
      </c>
      <c r="S285" s="9" t="n">
        <f aca="false">IF(P285&gt;0,P285,R285)</f>
        <v>0</v>
      </c>
      <c r="T285" s="9" t="str">
        <f aca="false">IF(OR(S285=0,B285=""),"",INDEX('Bank Statement'!$B$8:$B$507,S285)-B285)</f>
        <v/>
      </c>
      <c r="U285" s="9" t="n">
        <f aca="false">IF(S285=0,0,IF(P285&gt;0,S285,IF(AND(ISNUMBER(T285),ABS(N(T285))&lt;=Setup!$C$11),S285,0)))</f>
        <v>0</v>
      </c>
      <c r="V285" s="9" t="str">
        <f aca="false">IF(AND(N285&lt;&gt;"",U285=0),IF(M285="OUT",1,2)*100000+ROW(),"")</f>
        <v/>
      </c>
      <c r="W285" s="9" t="n">
        <f aca="false">N(F285)+N(G285)</f>
        <v>0</v>
      </c>
    </row>
    <row r="286" customFormat="false" ht="15" hidden="false" customHeight="false" outlineLevel="0" collapsed="false">
      <c r="A286" s="37" t="str">
        <f aca="false">IF(M286="","",ROW()-7)</f>
        <v/>
      </c>
      <c r="B286" s="70"/>
      <c r="C286" s="71"/>
      <c r="D286" s="72"/>
      <c r="E286" s="71"/>
      <c r="F286" s="73"/>
      <c r="G286" s="73"/>
      <c r="H286" s="42" t="str">
        <f aca="false">IF(M286="","",IF(U286&gt;0,"✔ Matched",IF(M286="OUT","Not yet presented","Not yet credited")))</f>
        <v/>
      </c>
      <c r="I286" s="43" t="str">
        <f aca="false">IF(N(U286)&gt;0,U286,"")</f>
        <v/>
      </c>
      <c r="J286" s="44" t="str">
        <f aca="false">IF(N(U286)&gt;0,T286,"")</f>
        <v/>
      </c>
      <c r="K286" s="45" t="str">
        <f aca="false">IF(AND(M286="",B286="",D286=""),"",IF(AND(N(F286)&gt;0,N(G286)&gt;0),"⚠ Fill deposit OR payment",IF(M286="","⚠ Enter amount",IF(B286="","⚠ Enter date",IF(AND(Setup!$C$8&lt;&gt;"",B286&gt;Setup!$C$8),"⚠ Date after period",IF(AND(O286&lt;&gt;"",COUNTIF($O$8:$O$507,O286)&gt;1),"⚠ Cheque no. used twice","✔"))))))</f>
        <v/>
      </c>
      <c r="M286" s="9" t="str">
        <f aca="false">IF(N(F286)&gt;0,"IN",IF(N(G286)&gt;0,"OUT",""))</f>
        <v/>
      </c>
      <c r="N286" s="9" t="str">
        <f aca="false">IF(M286="","",M286&amp;"|"&amp;TEXT(ROUND(N(F286)+N(G286),2),"0.00"))</f>
        <v/>
      </c>
      <c r="O286" s="9" t="str">
        <f aca="false">IF(OR(N286="",TRIM(E286&amp;"")=""),"",N286&amp;"|"&amp;UPPER(TRIM(E286&amp;"")))</f>
        <v/>
      </c>
      <c r="P286" s="9" t="n">
        <f aca="false">IF(O286="",0,IFERROR(MATCH(O286,'Bank Statement'!$O$8:$O$507,0),0))</f>
        <v>0</v>
      </c>
      <c r="Q286" s="9" t="str">
        <f aca="false">IF(OR(N286="",P286&gt;0),"",N286&amp;"#"&amp;COUNTIFS($N$8:N286,N286,$P$8:P286,0))</f>
        <v/>
      </c>
      <c r="R286" s="9" t="n">
        <f aca="false">IF(Q286="",0,IFERROR(MATCH(Q286,'Bank Statement'!$Q$8:$Q$507,0),0))</f>
        <v>0</v>
      </c>
      <c r="S286" s="9" t="n">
        <f aca="false">IF(P286&gt;0,P286,R286)</f>
        <v>0</v>
      </c>
      <c r="T286" s="9" t="str">
        <f aca="false">IF(OR(S286=0,B286=""),"",INDEX('Bank Statement'!$B$8:$B$507,S286)-B286)</f>
        <v/>
      </c>
      <c r="U286" s="9" t="n">
        <f aca="false">IF(S286=0,0,IF(P286&gt;0,S286,IF(AND(ISNUMBER(T286),ABS(N(T286))&lt;=Setup!$C$11),S286,0)))</f>
        <v>0</v>
      </c>
      <c r="V286" s="9" t="str">
        <f aca="false">IF(AND(N286&lt;&gt;"",U286=0),IF(M286="OUT",1,2)*100000+ROW(),"")</f>
        <v/>
      </c>
      <c r="W286" s="9" t="n">
        <f aca="false">N(F286)+N(G286)</f>
        <v>0</v>
      </c>
    </row>
    <row r="287" customFormat="false" ht="15" hidden="false" customHeight="false" outlineLevel="0" collapsed="false">
      <c r="A287" s="37" t="str">
        <f aca="false">IF(M287="","",ROW()-7)</f>
        <v/>
      </c>
      <c r="B287" s="70"/>
      <c r="C287" s="71"/>
      <c r="D287" s="72"/>
      <c r="E287" s="71"/>
      <c r="F287" s="73"/>
      <c r="G287" s="73"/>
      <c r="H287" s="42" t="str">
        <f aca="false">IF(M287="","",IF(U287&gt;0,"✔ Matched",IF(M287="OUT","Not yet presented","Not yet credited")))</f>
        <v/>
      </c>
      <c r="I287" s="43" t="str">
        <f aca="false">IF(N(U287)&gt;0,U287,"")</f>
        <v/>
      </c>
      <c r="J287" s="44" t="str">
        <f aca="false">IF(N(U287)&gt;0,T287,"")</f>
        <v/>
      </c>
      <c r="K287" s="45" t="str">
        <f aca="false">IF(AND(M287="",B287="",D287=""),"",IF(AND(N(F287)&gt;0,N(G287)&gt;0),"⚠ Fill deposit OR payment",IF(M287="","⚠ Enter amount",IF(B287="","⚠ Enter date",IF(AND(Setup!$C$8&lt;&gt;"",B287&gt;Setup!$C$8),"⚠ Date after period",IF(AND(O287&lt;&gt;"",COUNTIF($O$8:$O$507,O287)&gt;1),"⚠ Cheque no. used twice","✔"))))))</f>
        <v/>
      </c>
      <c r="M287" s="9" t="str">
        <f aca="false">IF(N(F287)&gt;0,"IN",IF(N(G287)&gt;0,"OUT",""))</f>
        <v/>
      </c>
      <c r="N287" s="9" t="str">
        <f aca="false">IF(M287="","",M287&amp;"|"&amp;TEXT(ROUND(N(F287)+N(G287),2),"0.00"))</f>
        <v/>
      </c>
      <c r="O287" s="9" t="str">
        <f aca="false">IF(OR(N287="",TRIM(E287&amp;"")=""),"",N287&amp;"|"&amp;UPPER(TRIM(E287&amp;"")))</f>
        <v/>
      </c>
      <c r="P287" s="9" t="n">
        <f aca="false">IF(O287="",0,IFERROR(MATCH(O287,'Bank Statement'!$O$8:$O$507,0),0))</f>
        <v>0</v>
      </c>
      <c r="Q287" s="9" t="str">
        <f aca="false">IF(OR(N287="",P287&gt;0),"",N287&amp;"#"&amp;COUNTIFS($N$8:N287,N287,$P$8:P287,0))</f>
        <v/>
      </c>
      <c r="R287" s="9" t="n">
        <f aca="false">IF(Q287="",0,IFERROR(MATCH(Q287,'Bank Statement'!$Q$8:$Q$507,0),0))</f>
        <v>0</v>
      </c>
      <c r="S287" s="9" t="n">
        <f aca="false">IF(P287&gt;0,P287,R287)</f>
        <v>0</v>
      </c>
      <c r="T287" s="9" t="str">
        <f aca="false">IF(OR(S287=0,B287=""),"",INDEX('Bank Statement'!$B$8:$B$507,S287)-B287)</f>
        <v/>
      </c>
      <c r="U287" s="9" t="n">
        <f aca="false">IF(S287=0,0,IF(P287&gt;0,S287,IF(AND(ISNUMBER(T287),ABS(N(T287))&lt;=Setup!$C$11),S287,0)))</f>
        <v>0</v>
      </c>
      <c r="V287" s="9" t="str">
        <f aca="false">IF(AND(N287&lt;&gt;"",U287=0),IF(M287="OUT",1,2)*100000+ROW(),"")</f>
        <v/>
      </c>
      <c r="W287" s="9" t="n">
        <f aca="false">N(F287)+N(G287)</f>
        <v>0</v>
      </c>
    </row>
    <row r="288" customFormat="false" ht="15" hidden="false" customHeight="false" outlineLevel="0" collapsed="false">
      <c r="A288" s="37" t="str">
        <f aca="false">IF(M288="","",ROW()-7)</f>
        <v/>
      </c>
      <c r="B288" s="70"/>
      <c r="C288" s="71"/>
      <c r="D288" s="72"/>
      <c r="E288" s="71"/>
      <c r="F288" s="73"/>
      <c r="G288" s="73"/>
      <c r="H288" s="42" t="str">
        <f aca="false">IF(M288="","",IF(U288&gt;0,"✔ Matched",IF(M288="OUT","Not yet presented","Not yet credited")))</f>
        <v/>
      </c>
      <c r="I288" s="43" t="str">
        <f aca="false">IF(N(U288)&gt;0,U288,"")</f>
        <v/>
      </c>
      <c r="J288" s="44" t="str">
        <f aca="false">IF(N(U288)&gt;0,T288,"")</f>
        <v/>
      </c>
      <c r="K288" s="45" t="str">
        <f aca="false">IF(AND(M288="",B288="",D288=""),"",IF(AND(N(F288)&gt;0,N(G288)&gt;0),"⚠ Fill deposit OR payment",IF(M288="","⚠ Enter amount",IF(B288="","⚠ Enter date",IF(AND(Setup!$C$8&lt;&gt;"",B288&gt;Setup!$C$8),"⚠ Date after period",IF(AND(O288&lt;&gt;"",COUNTIF($O$8:$O$507,O288)&gt;1),"⚠ Cheque no. used twice","✔"))))))</f>
        <v/>
      </c>
      <c r="M288" s="9" t="str">
        <f aca="false">IF(N(F288)&gt;0,"IN",IF(N(G288)&gt;0,"OUT",""))</f>
        <v/>
      </c>
      <c r="N288" s="9" t="str">
        <f aca="false">IF(M288="","",M288&amp;"|"&amp;TEXT(ROUND(N(F288)+N(G288),2),"0.00"))</f>
        <v/>
      </c>
      <c r="O288" s="9" t="str">
        <f aca="false">IF(OR(N288="",TRIM(E288&amp;"")=""),"",N288&amp;"|"&amp;UPPER(TRIM(E288&amp;"")))</f>
        <v/>
      </c>
      <c r="P288" s="9" t="n">
        <f aca="false">IF(O288="",0,IFERROR(MATCH(O288,'Bank Statement'!$O$8:$O$507,0),0))</f>
        <v>0</v>
      </c>
      <c r="Q288" s="9" t="str">
        <f aca="false">IF(OR(N288="",P288&gt;0),"",N288&amp;"#"&amp;COUNTIFS($N$8:N288,N288,$P$8:P288,0))</f>
        <v/>
      </c>
      <c r="R288" s="9" t="n">
        <f aca="false">IF(Q288="",0,IFERROR(MATCH(Q288,'Bank Statement'!$Q$8:$Q$507,0),0))</f>
        <v>0</v>
      </c>
      <c r="S288" s="9" t="n">
        <f aca="false">IF(P288&gt;0,P288,R288)</f>
        <v>0</v>
      </c>
      <c r="T288" s="9" t="str">
        <f aca="false">IF(OR(S288=0,B288=""),"",INDEX('Bank Statement'!$B$8:$B$507,S288)-B288)</f>
        <v/>
      </c>
      <c r="U288" s="9" t="n">
        <f aca="false">IF(S288=0,0,IF(P288&gt;0,S288,IF(AND(ISNUMBER(T288),ABS(N(T288))&lt;=Setup!$C$11),S288,0)))</f>
        <v>0</v>
      </c>
      <c r="V288" s="9" t="str">
        <f aca="false">IF(AND(N288&lt;&gt;"",U288=0),IF(M288="OUT",1,2)*100000+ROW(),"")</f>
        <v/>
      </c>
      <c r="W288" s="9" t="n">
        <f aca="false">N(F288)+N(G288)</f>
        <v>0</v>
      </c>
    </row>
    <row r="289" customFormat="false" ht="15" hidden="false" customHeight="false" outlineLevel="0" collapsed="false">
      <c r="A289" s="37" t="str">
        <f aca="false">IF(M289="","",ROW()-7)</f>
        <v/>
      </c>
      <c r="B289" s="70"/>
      <c r="C289" s="71"/>
      <c r="D289" s="72"/>
      <c r="E289" s="71"/>
      <c r="F289" s="73"/>
      <c r="G289" s="73"/>
      <c r="H289" s="42" t="str">
        <f aca="false">IF(M289="","",IF(U289&gt;0,"✔ Matched",IF(M289="OUT","Not yet presented","Not yet credited")))</f>
        <v/>
      </c>
      <c r="I289" s="43" t="str">
        <f aca="false">IF(N(U289)&gt;0,U289,"")</f>
        <v/>
      </c>
      <c r="J289" s="44" t="str">
        <f aca="false">IF(N(U289)&gt;0,T289,"")</f>
        <v/>
      </c>
      <c r="K289" s="45" t="str">
        <f aca="false">IF(AND(M289="",B289="",D289=""),"",IF(AND(N(F289)&gt;0,N(G289)&gt;0),"⚠ Fill deposit OR payment",IF(M289="","⚠ Enter amount",IF(B289="","⚠ Enter date",IF(AND(Setup!$C$8&lt;&gt;"",B289&gt;Setup!$C$8),"⚠ Date after period",IF(AND(O289&lt;&gt;"",COUNTIF($O$8:$O$507,O289)&gt;1),"⚠ Cheque no. used twice","✔"))))))</f>
        <v/>
      </c>
      <c r="M289" s="9" t="str">
        <f aca="false">IF(N(F289)&gt;0,"IN",IF(N(G289)&gt;0,"OUT",""))</f>
        <v/>
      </c>
      <c r="N289" s="9" t="str">
        <f aca="false">IF(M289="","",M289&amp;"|"&amp;TEXT(ROUND(N(F289)+N(G289),2),"0.00"))</f>
        <v/>
      </c>
      <c r="O289" s="9" t="str">
        <f aca="false">IF(OR(N289="",TRIM(E289&amp;"")=""),"",N289&amp;"|"&amp;UPPER(TRIM(E289&amp;"")))</f>
        <v/>
      </c>
      <c r="P289" s="9" t="n">
        <f aca="false">IF(O289="",0,IFERROR(MATCH(O289,'Bank Statement'!$O$8:$O$507,0),0))</f>
        <v>0</v>
      </c>
      <c r="Q289" s="9" t="str">
        <f aca="false">IF(OR(N289="",P289&gt;0),"",N289&amp;"#"&amp;COUNTIFS($N$8:N289,N289,$P$8:P289,0))</f>
        <v/>
      </c>
      <c r="R289" s="9" t="n">
        <f aca="false">IF(Q289="",0,IFERROR(MATCH(Q289,'Bank Statement'!$Q$8:$Q$507,0),0))</f>
        <v>0</v>
      </c>
      <c r="S289" s="9" t="n">
        <f aca="false">IF(P289&gt;0,P289,R289)</f>
        <v>0</v>
      </c>
      <c r="T289" s="9" t="str">
        <f aca="false">IF(OR(S289=0,B289=""),"",INDEX('Bank Statement'!$B$8:$B$507,S289)-B289)</f>
        <v/>
      </c>
      <c r="U289" s="9" t="n">
        <f aca="false">IF(S289=0,0,IF(P289&gt;0,S289,IF(AND(ISNUMBER(T289),ABS(N(T289))&lt;=Setup!$C$11),S289,0)))</f>
        <v>0</v>
      </c>
      <c r="V289" s="9" t="str">
        <f aca="false">IF(AND(N289&lt;&gt;"",U289=0),IF(M289="OUT",1,2)*100000+ROW(),"")</f>
        <v/>
      </c>
      <c r="W289" s="9" t="n">
        <f aca="false">N(F289)+N(G289)</f>
        <v>0</v>
      </c>
    </row>
    <row r="290" customFormat="false" ht="15" hidden="false" customHeight="false" outlineLevel="0" collapsed="false">
      <c r="A290" s="37" t="str">
        <f aca="false">IF(M290="","",ROW()-7)</f>
        <v/>
      </c>
      <c r="B290" s="70"/>
      <c r="C290" s="71"/>
      <c r="D290" s="72"/>
      <c r="E290" s="71"/>
      <c r="F290" s="73"/>
      <c r="G290" s="73"/>
      <c r="H290" s="42" t="str">
        <f aca="false">IF(M290="","",IF(U290&gt;0,"✔ Matched",IF(M290="OUT","Not yet presented","Not yet credited")))</f>
        <v/>
      </c>
      <c r="I290" s="43" t="str">
        <f aca="false">IF(N(U290)&gt;0,U290,"")</f>
        <v/>
      </c>
      <c r="J290" s="44" t="str">
        <f aca="false">IF(N(U290)&gt;0,T290,"")</f>
        <v/>
      </c>
      <c r="K290" s="45" t="str">
        <f aca="false">IF(AND(M290="",B290="",D290=""),"",IF(AND(N(F290)&gt;0,N(G290)&gt;0),"⚠ Fill deposit OR payment",IF(M290="","⚠ Enter amount",IF(B290="","⚠ Enter date",IF(AND(Setup!$C$8&lt;&gt;"",B290&gt;Setup!$C$8),"⚠ Date after period",IF(AND(O290&lt;&gt;"",COUNTIF($O$8:$O$507,O290)&gt;1),"⚠ Cheque no. used twice","✔"))))))</f>
        <v/>
      </c>
      <c r="M290" s="9" t="str">
        <f aca="false">IF(N(F290)&gt;0,"IN",IF(N(G290)&gt;0,"OUT",""))</f>
        <v/>
      </c>
      <c r="N290" s="9" t="str">
        <f aca="false">IF(M290="","",M290&amp;"|"&amp;TEXT(ROUND(N(F290)+N(G290),2),"0.00"))</f>
        <v/>
      </c>
      <c r="O290" s="9" t="str">
        <f aca="false">IF(OR(N290="",TRIM(E290&amp;"")=""),"",N290&amp;"|"&amp;UPPER(TRIM(E290&amp;"")))</f>
        <v/>
      </c>
      <c r="P290" s="9" t="n">
        <f aca="false">IF(O290="",0,IFERROR(MATCH(O290,'Bank Statement'!$O$8:$O$507,0),0))</f>
        <v>0</v>
      </c>
      <c r="Q290" s="9" t="str">
        <f aca="false">IF(OR(N290="",P290&gt;0),"",N290&amp;"#"&amp;COUNTIFS($N$8:N290,N290,$P$8:P290,0))</f>
        <v/>
      </c>
      <c r="R290" s="9" t="n">
        <f aca="false">IF(Q290="",0,IFERROR(MATCH(Q290,'Bank Statement'!$Q$8:$Q$507,0),0))</f>
        <v>0</v>
      </c>
      <c r="S290" s="9" t="n">
        <f aca="false">IF(P290&gt;0,P290,R290)</f>
        <v>0</v>
      </c>
      <c r="T290" s="9" t="str">
        <f aca="false">IF(OR(S290=0,B290=""),"",INDEX('Bank Statement'!$B$8:$B$507,S290)-B290)</f>
        <v/>
      </c>
      <c r="U290" s="9" t="n">
        <f aca="false">IF(S290=0,0,IF(P290&gt;0,S290,IF(AND(ISNUMBER(T290),ABS(N(T290))&lt;=Setup!$C$11),S290,0)))</f>
        <v>0</v>
      </c>
      <c r="V290" s="9" t="str">
        <f aca="false">IF(AND(N290&lt;&gt;"",U290=0),IF(M290="OUT",1,2)*100000+ROW(),"")</f>
        <v/>
      </c>
      <c r="W290" s="9" t="n">
        <f aca="false">N(F290)+N(G290)</f>
        <v>0</v>
      </c>
    </row>
    <row r="291" customFormat="false" ht="15" hidden="false" customHeight="false" outlineLevel="0" collapsed="false">
      <c r="A291" s="37" t="str">
        <f aca="false">IF(M291="","",ROW()-7)</f>
        <v/>
      </c>
      <c r="B291" s="70"/>
      <c r="C291" s="71"/>
      <c r="D291" s="72"/>
      <c r="E291" s="71"/>
      <c r="F291" s="73"/>
      <c r="G291" s="73"/>
      <c r="H291" s="42" t="str">
        <f aca="false">IF(M291="","",IF(U291&gt;0,"✔ Matched",IF(M291="OUT","Not yet presented","Not yet credited")))</f>
        <v/>
      </c>
      <c r="I291" s="43" t="str">
        <f aca="false">IF(N(U291)&gt;0,U291,"")</f>
        <v/>
      </c>
      <c r="J291" s="44" t="str">
        <f aca="false">IF(N(U291)&gt;0,T291,"")</f>
        <v/>
      </c>
      <c r="K291" s="45" t="str">
        <f aca="false">IF(AND(M291="",B291="",D291=""),"",IF(AND(N(F291)&gt;0,N(G291)&gt;0),"⚠ Fill deposit OR payment",IF(M291="","⚠ Enter amount",IF(B291="","⚠ Enter date",IF(AND(Setup!$C$8&lt;&gt;"",B291&gt;Setup!$C$8),"⚠ Date after period",IF(AND(O291&lt;&gt;"",COUNTIF($O$8:$O$507,O291)&gt;1),"⚠ Cheque no. used twice","✔"))))))</f>
        <v/>
      </c>
      <c r="M291" s="9" t="str">
        <f aca="false">IF(N(F291)&gt;0,"IN",IF(N(G291)&gt;0,"OUT",""))</f>
        <v/>
      </c>
      <c r="N291" s="9" t="str">
        <f aca="false">IF(M291="","",M291&amp;"|"&amp;TEXT(ROUND(N(F291)+N(G291),2),"0.00"))</f>
        <v/>
      </c>
      <c r="O291" s="9" t="str">
        <f aca="false">IF(OR(N291="",TRIM(E291&amp;"")=""),"",N291&amp;"|"&amp;UPPER(TRIM(E291&amp;"")))</f>
        <v/>
      </c>
      <c r="P291" s="9" t="n">
        <f aca="false">IF(O291="",0,IFERROR(MATCH(O291,'Bank Statement'!$O$8:$O$507,0),0))</f>
        <v>0</v>
      </c>
      <c r="Q291" s="9" t="str">
        <f aca="false">IF(OR(N291="",P291&gt;0),"",N291&amp;"#"&amp;COUNTIFS($N$8:N291,N291,$P$8:P291,0))</f>
        <v/>
      </c>
      <c r="R291" s="9" t="n">
        <f aca="false">IF(Q291="",0,IFERROR(MATCH(Q291,'Bank Statement'!$Q$8:$Q$507,0),0))</f>
        <v>0</v>
      </c>
      <c r="S291" s="9" t="n">
        <f aca="false">IF(P291&gt;0,P291,R291)</f>
        <v>0</v>
      </c>
      <c r="T291" s="9" t="str">
        <f aca="false">IF(OR(S291=0,B291=""),"",INDEX('Bank Statement'!$B$8:$B$507,S291)-B291)</f>
        <v/>
      </c>
      <c r="U291" s="9" t="n">
        <f aca="false">IF(S291=0,0,IF(P291&gt;0,S291,IF(AND(ISNUMBER(T291),ABS(N(T291))&lt;=Setup!$C$11),S291,0)))</f>
        <v>0</v>
      </c>
      <c r="V291" s="9" t="str">
        <f aca="false">IF(AND(N291&lt;&gt;"",U291=0),IF(M291="OUT",1,2)*100000+ROW(),"")</f>
        <v/>
      </c>
      <c r="W291" s="9" t="n">
        <f aca="false">N(F291)+N(G291)</f>
        <v>0</v>
      </c>
    </row>
    <row r="292" customFormat="false" ht="15" hidden="false" customHeight="false" outlineLevel="0" collapsed="false">
      <c r="A292" s="37" t="str">
        <f aca="false">IF(M292="","",ROW()-7)</f>
        <v/>
      </c>
      <c r="B292" s="70"/>
      <c r="C292" s="71"/>
      <c r="D292" s="72"/>
      <c r="E292" s="71"/>
      <c r="F292" s="73"/>
      <c r="G292" s="73"/>
      <c r="H292" s="42" t="str">
        <f aca="false">IF(M292="","",IF(U292&gt;0,"✔ Matched",IF(M292="OUT","Not yet presented","Not yet credited")))</f>
        <v/>
      </c>
      <c r="I292" s="43" t="str">
        <f aca="false">IF(N(U292)&gt;0,U292,"")</f>
        <v/>
      </c>
      <c r="J292" s="44" t="str">
        <f aca="false">IF(N(U292)&gt;0,T292,"")</f>
        <v/>
      </c>
      <c r="K292" s="45" t="str">
        <f aca="false">IF(AND(M292="",B292="",D292=""),"",IF(AND(N(F292)&gt;0,N(G292)&gt;0),"⚠ Fill deposit OR payment",IF(M292="","⚠ Enter amount",IF(B292="","⚠ Enter date",IF(AND(Setup!$C$8&lt;&gt;"",B292&gt;Setup!$C$8),"⚠ Date after period",IF(AND(O292&lt;&gt;"",COUNTIF($O$8:$O$507,O292)&gt;1),"⚠ Cheque no. used twice","✔"))))))</f>
        <v/>
      </c>
      <c r="M292" s="9" t="str">
        <f aca="false">IF(N(F292)&gt;0,"IN",IF(N(G292)&gt;0,"OUT",""))</f>
        <v/>
      </c>
      <c r="N292" s="9" t="str">
        <f aca="false">IF(M292="","",M292&amp;"|"&amp;TEXT(ROUND(N(F292)+N(G292),2),"0.00"))</f>
        <v/>
      </c>
      <c r="O292" s="9" t="str">
        <f aca="false">IF(OR(N292="",TRIM(E292&amp;"")=""),"",N292&amp;"|"&amp;UPPER(TRIM(E292&amp;"")))</f>
        <v/>
      </c>
      <c r="P292" s="9" t="n">
        <f aca="false">IF(O292="",0,IFERROR(MATCH(O292,'Bank Statement'!$O$8:$O$507,0),0))</f>
        <v>0</v>
      </c>
      <c r="Q292" s="9" t="str">
        <f aca="false">IF(OR(N292="",P292&gt;0),"",N292&amp;"#"&amp;COUNTIFS($N$8:N292,N292,$P$8:P292,0))</f>
        <v/>
      </c>
      <c r="R292" s="9" t="n">
        <f aca="false">IF(Q292="",0,IFERROR(MATCH(Q292,'Bank Statement'!$Q$8:$Q$507,0),0))</f>
        <v>0</v>
      </c>
      <c r="S292" s="9" t="n">
        <f aca="false">IF(P292&gt;0,P292,R292)</f>
        <v>0</v>
      </c>
      <c r="T292" s="9" t="str">
        <f aca="false">IF(OR(S292=0,B292=""),"",INDEX('Bank Statement'!$B$8:$B$507,S292)-B292)</f>
        <v/>
      </c>
      <c r="U292" s="9" t="n">
        <f aca="false">IF(S292=0,0,IF(P292&gt;0,S292,IF(AND(ISNUMBER(T292),ABS(N(T292))&lt;=Setup!$C$11),S292,0)))</f>
        <v>0</v>
      </c>
      <c r="V292" s="9" t="str">
        <f aca="false">IF(AND(N292&lt;&gt;"",U292=0),IF(M292="OUT",1,2)*100000+ROW(),"")</f>
        <v/>
      </c>
      <c r="W292" s="9" t="n">
        <f aca="false">N(F292)+N(G292)</f>
        <v>0</v>
      </c>
    </row>
    <row r="293" customFormat="false" ht="15" hidden="false" customHeight="false" outlineLevel="0" collapsed="false">
      <c r="A293" s="37" t="str">
        <f aca="false">IF(M293="","",ROW()-7)</f>
        <v/>
      </c>
      <c r="B293" s="70"/>
      <c r="C293" s="71"/>
      <c r="D293" s="72"/>
      <c r="E293" s="71"/>
      <c r="F293" s="73"/>
      <c r="G293" s="73"/>
      <c r="H293" s="42" t="str">
        <f aca="false">IF(M293="","",IF(U293&gt;0,"✔ Matched",IF(M293="OUT","Not yet presented","Not yet credited")))</f>
        <v/>
      </c>
      <c r="I293" s="43" t="str">
        <f aca="false">IF(N(U293)&gt;0,U293,"")</f>
        <v/>
      </c>
      <c r="J293" s="44" t="str">
        <f aca="false">IF(N(U293)&gt;0,T293,"")</f>
        <v/>
      </c>
      <c r="K293" s="45" t="str">
        <f aca="false">IF(AND(M293="",B293="",D293=""),"",IF(AND(N(F293)&gt;0,N(G293)&gt;0),"⚠ Fill deposit OR payment",IF(M293="","⚠ Enter amount",IF(B293="","⚠ Enter date",IF(AND(Setup!$C$8&lt;&gt;"",B293&gt;Setup!$C$8),"⚠ Date after period",IF(AND(O293&lt;&gt;"",COUNTIF($O$8:$O$507,O293)&gt;1),"⚠ Cheque no. used twice","✔"))))))</f>
        <v/>
      </c>
      <c r="M293" s="9" t="str">
        <f aca="false">IF(N(F293)&gt;0,"IN",IF(N(G293)&gt;0,"OUT",""))</f>
        <v/>
      </c>
      <c r="N293" s="9" t="str">
        <f aca="false">IF(M293="","",M293&amp;"|"&amp;TEXT(ROUND(N(F293)+N(G293),2),"0.00"))</f>
        <v/>
      </c>
      <c r="O293" s="9" t="str">
        <f aca="false">IF(OR(N293="",TRIM(E293&amp;"")=""),"",N293&amp;"|"&amp;UPPER(TRIM(E293&amp;"")))</f>
        <v/>
      </c>
      <c r="P293" s="9" t="n">
        <f aca="false">IF(O293="",0,IFERROR(MATCH(O293,'Bank Statement'!$O$8:$O$507,0),0))</f>
        <v>0</v>
      </c>
      <c r="Q293" s="9" t="str">
        <f aca="false">IF(OR(N293="",P293&gt;0),"",N293&amp;"#"&amp;COUNTIFS($N$8:N293,N293,$P$8:P293,0))</f>
        <v/>
      </c>
      <c r="R293" s="9" t="n">
        <f aca="false">IF(Q293="",0,IFERROR(MATCH(Q293,'Bank Statement'!$Q$8:$Q$507,0),0))</f>
        <v>0</v>
      </c>
      <c r="S293" s="9" t="n">
        <f aca="false">IF(P293&gt;0,P293,R293)</f>
        <v>0</v>
      </c>
      <c r="T293" s="9" t="str">
        <f aca="false">IF(OR(S293=0,B293=""),"",INDEX('Bank Statement'!$B$8:$B$507,S293)-B293)</f>
        <v/>
      </c>
      <c r="U293" s="9" t="n">
        <f aca="false">IF(S293=0,0,IF(P293&gt;0,S293,IF(AND(ISNUMBER(T293),ABS(N(T293))&lt;=Setup!$C$11),S293,0)))</f>
        <v>0</v>
      </c>
      <c r="V293" s="9" t="str">
        <f aca="false">IF(AND(N293&lt;&gt;"",U293=0),IF(M293="OUT",1,2)*100000+ROW(),"")</f>
        <v/>
      </c>
      <c r="W293" s="9" t="n">
        <f aca="false">N(F293)+N(G293)</f>
        <v>0</v>
      </c>
    </row>
    <row r="294" customFormat="false" ht="15" hidden="false" customHeight="false" outlineLevel="0" collapsed="false">
      <c r="A294" s="37" t="str">
        <f aca="false">IF(M294="","",ROW()-7)</f>
        <v/>
      </c>
      <c r="B294" s="70"/>
      <c r="C294" s="71"/>
      <c r="D294" s="72"/>
      <c r="E294" s="71"/>
      <c r="F294" s="73"/>
      <c r="G294" s="73"/>
      <c r="H294" s="42" t="str">
        <f aca="false">IF(M294="","",IF(U294&gt;0,"✔ Matched",IF(M294="OUT","Not yet presented","Not yet credited")))</f>
        <v/>
      </c>
      <c r="I294" s="43" t="str">
        <f aca="false">IF(N(U294)&gt;0,U294,"")</f>
        <v/>
      </c>
      <c r="J294" s="44" t="str">
        <f aca="false">IF(N(U294)&gt;0,T294,"")</f>
        <v/>
      </c>
      <c r="K294" s="45" t="str">
        <f aca="false">IF(AND(M294="",B294="",D294=""),"",IF(AND(N(F294)&gt;0,N(G294)&gt;0),"⚠ Fill deposit OR payment",IF(M294="","⚠ Enter amount",IF(B294="","⚠ Enter date",IF(AND(Setup!$C$8&lt;&gt;"",B294&gt;Setup!$C$8),"⚠ Date after period",IF(AND(O294&lt;&gt;"",COUNTIF($O$8:$O$507,O294)&gt;1),"⚠ Cheque no. used twice","✔"))))))</f>
        <v/>
      </c>
      <c r="M294" s="9" t="str">
        <f aca="false">IF(N(F294)&gt;0,"IN",IF(N(G294)&gt;0,"OUT",""))</f>
        <v/>
      </c>
      <c r="N294" s="9" t="str">
        <f aca="false">IF(M294="","",M294&amp;"|"&amp;TEXT(ROUND(N(F294)+N(G294),2),"0.00"))</f>
        <v/>
      </c>
      <c r="O294" s="9" t="str">
        <f aca="false">IF(OR(N294="",TRIM(E294&amp;"")=""),"",N294&amp;"|"&amp;UPPER(TRIM(E294&amp;"")))</f>
        <v/>
      </c>
      <c r="P294" s="9" t="n">
        <f aca="false">IF(O294="",0,IFERROR(MATCH(O294,'Bank Statement'!$O$8:$O$507,0),0))</f>
        <v>0</v>
      </c>
      <c r="Q294" s="9" t="str">
        <f aca="false">IF(OR(N294="",P294&gt;0),"",N294&amp;"#"&amp;COUNTIFS($N$8:N294,N294,$P$8:P294,0))</f>
        <v/>
      </c>
      <c r="R294" s="9" t="n">
        <f aca="false">IF(Q294="",0,IFERROR(MATCH(Q294,'Bank Statement'!$Q$8:$Q$507,0),0))</f>
        <v>0</v>
      </c>
      <c r="S294" s="9" t="n">
        <f aca="false">IF(P294&gt;0,P294,R294)</f>
        <v>0</v>
      </c>
      <c r="T294" s="9" t="str">
        <f aca="false">IF(OR(S294=0,B294=""),"",INDEX('Bank Statement'!$B$8:$B$507,S294)-B294)</f>
        <v/>
      </c>
      <c r="U294" s="9" t="n">
        <f aca="false">IF(S294=0,0,IF(P294&gt;0,S294,IF(AND(ISNUMBER(T294),ABS(N(T294))&lt;=Setup!$C$11),S294,0)))</f>
        <v>0</v>
      </c>
      <c r="V294" s="9" t="str">
        <f aca="false">IF(AND(N294&lt;&gt;"",U294=0),IF(M294="OUT",1,2)*100000+ROW(),"")</f>
        <v/>
      </c>
      <c r="W294" s="9" t="n">
        <f aca="false">N(F294)+N(G294)</f>
        <v>0</v>
      </c>
    </row>
    <row r="295" customFormat="false" ht="15" hidden="false" customHeight="false" outlineLevel="0" collapsed="false">
      <c r="A295" s="37" t="str">
        <f aca="false">IF(M295="","",ROW()-7)</f>
        <v/>
      </c>
      <c r="B295" s="70"/>
      <c r="C295" s="71"/>
      <c r="D295" s="72"/>
      <c r="E295" s="71"/>
      <c r="F295" s="73"/>
      <c r="G295" s="73"/>
      <c r="H295" s="42" t="str">
        <f aca="false">IF(M295="","",IF(U295&gt;0,"✔ Matched",IF(M295="OUT","Not yet presented","Not yet credited")))</f>
        <v/>
      </c>
      <c r="I295" s="43" t="str">
        <f aca="false">IF(N(U295)&gt;0,U295,"")</f>
        <v/>
      </c>
      <c r="J295" s="44" t="str">
        <f aca="false">IF(N(U295)&gt;0,T295,"")</f>
        <v/>
      </c>
      <c r="K295" s="45" t="str">
        <f aca="false">IF(AND(M295="",B295="",D295=""),"",IF(AND(N(F295)&gt;0,N(G295)&gt;0),"⚠ Fill deposit OR payment",IF(M295="","⚠ Enter amount",IF(B295="","⚠ Enter date",IF(AND(Setup!$C$8&lt;&gt;"",B295&gt;Setup!$C$8),"⚠ Date after period",IF(AND(O295&lt;&gt;"",COUNTIF($O$8:$O$507,O295)&gt;1),"⚠ Cheque no. used twice","✔"))))))</f>
        <v/>
      </c>
      <c r="M295" s="9" t="str">
        <f aca="false">IF(N(F295)&gt;0,"IN",IF(N(G295)&gt;0,"OUT",""))</f>
        <v/>
      </c>
      <c r="N295" s="9" t="str">
        <f aca="false">IF(M295="","",M295&amp;"|"&amp;TEXT(ROUND(N(F295)+N(G295),2),"0.00"))</f>
        <v/>
      </c>
      <c r="O295" s="9" t="str">
        <f aca="false">IF(OR(N295="",TRIM(E295&amp;"")=""),"",N295&amp;"|"&amp;UPPER(TRIM(E295&amp;"")))</f>
        <v/>
      </c>
      <c r="P295" s="9" t="n">
        <f aca="false">IF(O295="",0,IFERROR(MATCH(O295,'Bank Statement'!$O$8:$O$507,0),0))</f>
        <v>0</v>
      </c>
      <c r="Q295" s="9" t="str">
        <f aca="false">IF(OR(N295="",P295&gt;0),"",N295&amp;"#"&amp;COUNTIFS($N$8:N295,N295,$P$8:P295,0))</f>
        <v/>
      </c>
      <c r="R295" s="9" t="n">
        <f aca="false">IF(Q295="",0,IFERROR(MATCH(Q295,'Bank Statement'!$Q$8:$Q$507,0),0))</f>
        <v>0</v>
      </c>
      <c r="S295" s="9" t="n">
        <f aca="false">IF(P295&gt;0,P295,R295)</f>
        <v>0</v>
      </c>
      <c r="T295" s="9" t="str">
        <f aca="false">IF(OR(S295=0,B295=""),"",INDEX('Bank Statement'!$B$8:$B$507,S295)-B295)</f>
        <v/>
      </c>
      <c r="U295" s="9" t="n">
        <f aca="false">IF(S295=0,0,IF(P295&gt;0,S295,IF(AND(ISNUMBER(T295),ABS(N(T295))&lt;=Setup!$C$11),S295,0)))</f>
        <v>0</v>
      </c>
      <c r="V295" s="9" t="str">
        <f aca="false">IF(AND(N295&lt;&gt;"",U295=0),IF(M295="OUT",1,2)*100000+ROW(),"")</f>
        <v/>
      </c>
      <c r="W295" s="9" t="n">
        <f aca="false">N(F295)+N(G295)</f>
        <v>0</v>
      </c>
    </row>
    <row r="296" customFormat="false" ht="15" hidden="false" customHeight="false" outlineLevel="0" collapsed="false">
      <c r="A296" s="37" t="str">
        <f aca="false">IF(M296="","",ROW()-7)</f>
        <v/>
      </c>
      <c r="B296" s="70"/>
      <c r="C296" s="71"/>
      <c r="D296" s="72"/>
      <c r="E296" s="71"/>
      <c r="F296" s="73"/>
      <c r="G296" s="73"/>
      <c r="H296" s="42" t="str">
        <f aca="false">IF(M296="","",IF(U296&gt;0,"✔ Matched",IF(M296="OUT","Not yet presented","Not yet credited")))</f>
        <v/>
      </c>
      <c r="I296" s="43" t="str">
        <f aca="false">IF(N(U296)&gt;0,U296,"")</f>
        <v/>
      </c>
      <c r="J296" s="44" t="str">
        <f aca="false">IF(N(U296)&gt;0,T296,"")</f>
        <v/>
      </c>
      <c r="K296" s="45" t="str">
        <f aca="false">IF(AND(M296="",B296="",D296=""),"",IF(AND(N(F296)&gt;0,N(G296)&gt;0),"⚠ Fill deposit OR payment",IF(M296="","⚠ Enter amount",IF(B296="","⚠ Enter date",IF(AND(Setup!$C$8&lt;&gt;"",B296&gt;Setup!$C$8),"⚠ Date after period",IF(AND(O296&lt;&gt;"",COUNTIF($O$8:$O$507,O296)&gt;1),"⚠ Cheque no. used twice","✔"))))))</f>
        <v/>
      </c>
      <c r="M296" s="9" t="str">
        <f aca="false">IF(N(F296)&gt;0,"IN",IF(N(G296)&gt;0,"OUT",""))</f>
        <v/>
      </c>
      <c r="N296" s="9" t="str">
        <f aca="false">IF(M296="","",M296&amp;"|"&amp;TEXT(ROUND(N(F296)+N(G296),2),"0.00"))</f>
        <v/>
      </c>
      <c r="O296" s="9" t="str">
        <f aca="false">IF(OR(N296="",TRIM(E296&amp;"")=""),"",N296&amp;"|"&amp;UPPER(TRIM(E296&amp;"")))</f>
        <v/>
      </c>
      <c r="P296" s="9" t="n">
        <f aca="false">IF(O296="",0,IFERROR(MATCH(O296,'Bank Statement'!$O$8:$O$507,0),0))</f>
        <v>0</v>
      </c>
      <c r="Q296" s="9" t="str">
        <f aca="false">IF(OR(N296="",P296&gt;0),"",N296&amp;"#"&amp;COUNTIFS($N$8:N296,N296,$P$8:P296,0))</f>
        <v/>
      </c>
      <c r="R296" s="9" t="n">
        <f aca="false">IF(Q296="",0,IFERROR(MATCH(Q296,'Bank Statement'!$Q$8:$Q$507,0),0))</f>
        <v>0</v>
      </c>
      <c r="S296" s="9" t="n">
        <f aca="false">IF(P296&gt;0,P296,R296)</f>
        <v>0</v>
      </c>
      <c r="T296" s="9" t="str">
        <f aca="false">IF(OR(S296=0,B296=""),"",INDEX('Bank Statement'!$B$8:$B$507,S296)-B296)</f>
        <v/>
      </c>
      <c r="U296" s="9" t="n">
        <f aca="false">IF(S296=0,0,IF(P296&gt;0,S296,IF(AND(ISNUMBER(T296),ABS(N(T296))&lt;=Setup!$C$11),S296,0)))</f>
        <v>0</v>
      </c>
      <c r="V296" s="9" t="str">
        <f aca="false">IF(AND(N296&lt;&gt;"",U296=0),IF(M296="OUT",1,2)*100000+ROW(),"")</f>
        <v/>
      </c>
      <c r="W296" s="9" t="n">
        <f aca="false">N(F296)+N(G296)</f>
        <v>0</v>
      </c>
    </row>
    <row r="297" customFormat="false" ht="15" hidden="false" customHeight="false" outlineLevel="0" collapsed="false">
      <c r="A297" s="37" t="str">
        <f aca="false">IF(M297="","",ROW()-7)</f>
        <v/>
      </c>
      <c r="B297" s="70"/>
      <c r="C297" s="71"/>
      <c r="D297" s="72"/>
      <c r="E297" s="71"/>
      <c r="F297" s="73"/>
      <c r="G297" s="73"/>
      <c r="H297" s="42" t="str">
        <f aca="false">IF(M297="","",IF(U297&gt;0,"✔ Matched",IF(M297="OUT","Not yet presented","Not yet credited")))</f>
        <v/>
      </c>
      <c r="I297" s="43" t="str">
        <f aca="false">IF(N(U297)&gt;0,U297,"")</f>
        <v/>
      </c>
      <c r="J297" s="44" t="str">
        <f aca="false">IF(N(U297)&gt;0,T297,"")</f>
        <v/>
      </c>
      <c r="K297" s="45" t="str">
        <f aca="false">IF(AND(M297="",B297="",D297=""),"",IF(AND(N(F297)&gt;0,N(G297)&gt;0),"⚠ Fill deposit OR payment",IF(M297="","⚠ Enter amount",IF(B297="","⚠ Enter date",IF(AND(Setup!$C$8&lt;&gt;"",B297&gt;Setup!$C$8),"⚠ Date after period",IF(AND(O297&lt;&gt;"",COUNTIF($O$8:$O$507,O297)&gt;1),"⚠ Cheque no. used twice","✔"))))))</f>
        <v/>
      </c>
      <c r="M297" s="9" t="str">
        <f aca="false">IF(N(F297)&gt;0,"IN",IF(N(G297)&gt;0,"OUT",""))</f>
        <v/>
      </c>
      <c r="N297" s="9" t="str">
        <f aca="false">IF(M297="","",M297&amp;"|"&amp;TEXT(ROUND(N(F297)+N(G297),2),"0.00"))</f>
        <v/>
      </c>
      <c r="O297" s="9" t="str">
        <f aca="false">IF(OR(N297="",TRIM(E297&amp;"")=""),"",N297&amp;"|"&amp;UPPER(TRIM(E297&amp;"")))</f>
        <v/>
      </c>
      <c r="P297" s="9" t="n">
        <f aca="false">IF(O297="",0,IFERROR(MATCH(O297,'Bank Statement'!$O$8:$O$507,0),0))</f>
        <v>0</v>
      </c>
      <c r="Q297" s="9" t="str">
        <f aca="false">IF(OR(N297="",P297&gt;0),"",N297&amp;"#"&amp;COUNTIFS($N$8:N297,N297,$P$8:P297,0))</f>
        <v/>
      </c>
      <c r="R297" s="9" t="n">
        <f aca="false">IF(Q297="",0,IFERROR(MATCH(Q297,'Bank Statement'!$Q$8:$Q$507,0),0))</f>
        <v>0</v>
      </c>
      <c r="S297" s="9" t="n">
        <f aca="false">IF(P297&gt;0,P297,R297)</f>
        <v>0</v>
      </c>
      <c r="T297" s="9" t="str">
        <f aca="false">IF(OR(S297=0,B297=""),"",INDEX('Bank Statement'!$B$8:$B$507,S297)-B297)</f>
        <v/>
      </c>
      <c r="U297" s="9" t="n">
        <f aca="false">IF(S297=0,0,IF(P297&gt;0,S297,IF(AND(ISNUMBER(T297),ABS(N(T297))&lt;=Setup!$C$11),S297,0)))</f>
        <v>0</v>
      </c>
      <c r="V297" s="9" t="str">
        <f aca="false">IF(AND(N297&lt;&gt;"",U297=0),IF(M297="OUT",1,2)*100000+ROW(),"")</f>
        <v/>
      </c>
      <c r="W297" s="9" t="n">
        <f aca="false">N(F297)+N(G297)</f>
        <v>0</v>
      </c>
    </row>
    <row r="298" customFormat="false" ht="15" hidden="false" customHeight="false" outlineLevel="0" collapsed="false">
      <c r="A298" s="37" t="str">
        <f aca="false">IF(M298="","",ROW()-7)</f>
        <v/>
      </c>
      <c r="B298" s="70"/>
      <c r="C298" s="71"/>
      <c r="D298" s="72"/>
      <c r="E298" s="71"/>
      <c r="F298" s="73"/>
      <c r="G298" s="73"/>
      <c r="H298" s="42" t="str">
        <f aca="false">IF(M298="","",IF(U298&gt;0,"✔ Matched",IF(M298="OUT","Not yet presented","Not yet credited")))</f>
        <v/>
      </c>
      <c r="I298" s="43" t="str">
        <f aca="false">IF(N(U298)&gt;0,U298,"")</f>
        <v/>
      </c>
      <c r="J298" s="44" t="str">
        <f aca="false">IF(N(U298)&gt;0,T298,"")</f>
        <v/>
      </c>
      <c r="K298" s="45" t="str">
        <f aca="false">IF(AND(M298="",B298="",D298=""),"",IF(AND(N(F298)&gt;0,N(G298)&gt;0),"⚠ Fill deposit OR payment",IF(M298="","⚠ Enter amount",IF(B298="","⚠ Enter date",IF(AND(Setup!$C$8&lt;&gt;"",B298&gt;Setup!$C$8),"⚠ Date after period",IF(AND(O298&lt;&gt;"",COUNTIF($O$8:$O$507,O298)&gt;1),"⚠ Cheque no. used twice","✔"))))))</f>
        <v/>
      </c>
      <c r="M298" s="9" t="str">
        <f aca="false">IF(N(F298)&gt;0,"IN",IF(N(G298)&gt;0,"OUT",""))</f>
        <v/>
      </c>
      <c r="N298" s="9" t="str">
        <f aca="false">IF(M298="","",M298&amp;"|"&amp;TEXT(ROUND(N(F298)+N(G298),2),"0.00"))</f>
        <v/>
      </c>
      <c r="O298" s="9" t="str">
        <f aca="false">IF(OR(N298="",TRIM(E298&amp;"")=""),"",N298&amp;"|"&amp;UPPER(TRIM(E298&amp;"")))</f>
        <v/>
      </c>
      <c r="P298" s="9" t="n">
        <f aca="false">IF(O298="",0,IFERROR(MATCH(O298,'Bank Statement'!$O$8:$O$507,0),0))</f>
        <v>0</v>
      </c>
      <c r="Q298" s="9" t="str">
        <f aca="false">IF(OR(N298="",P298&gt;0),"",N298&amp;"#"&amp;COUNTIFS($N$8:N298,N298,$P$8:P298,0))</f>
        <v/>
      </c>
      <c r="R298" s="9" t="n">
        <f aca="false">IF(Q298="",0,IFERROR(MATCH(Q298,'Bank Statement'!$Q$8:$Q$507,0),0))</f>
        <v>0</v>
      </c>
      <c r="S298" s="9" t="n">
        <f aca="false">IF(P298&gt;0,P298,R298)</f>
        <v>0</v>
      </c>
      <c r="T298" s="9" t="str">
        <f aca="false">IF(OR(S298=0,B298=""),"",INDEX('Bank Statement'!$B$8:$B$507,S298)-B298)</f>
        <v/>
      </c>
      <c r="U298" s="9" t="n">
        <f aca="false">IF(S298=0,0,IF(P298&gt;0,S298,IF(AND(ISNUMBER(T298),ABS(N(T298))&lt;=Setup!$C$11),S298,0)))</f>
        <v>0</v>
      </c>
      <c r="V298" s="9" t="str">
        <f aca="false">IF(AND(N298&lt;&gt;"",U298=0),IF(M298="OUT",1,2)*100000+ROW(),"")</f>
        <v/>
      </c>
      <c r="W298" s="9" t="n">
        <f aca="false">N(F298)+N(G298)</f>
        <v>0</v>
      </c>
    </row>
    <row r="299" customFormat="false" ht="15" hidden="false" customHeight="false" outlineLevel="0" collapsed="false">
      <c r="A299" s="37" t="str">
        <f aca="false">IF(M299="","",ROW()-7)</f>
        <v/>
      </c>
      <c r="B299" s="70"/>
      <c r="C299" s="71"/>
      <c r="D299" s="72"/>
      <c r="E299" s="71"/>
      <c r="F299" s="73"/>
      <c r="G299" s="73"/>
      <c r="H299" s="42" t="str">
        <f aca="false">IF(M299="","",IF(U299&gt;0,"✔ Matched",IF(M299="OUT","Not yet presented","Not yet credited")))</f>
        <v/>
      </c>
      <c r="I299" s="43" t="str">
        <f aca="false">IF(N(U299)&gt;0,U299,"")</f>
        <v/>
      </c>
      <c r="J299" s="44" t="str">
        <f aca="false">IF(N(U299)&gt;0,T299,"")</f>
        <v/>
      </c>
      <c r="K299" s="45" t="str">
        <f aca="false">IF(AND(M299="",B299="",D299=""),"",IF(AND(N(F299)&gt;0,N(G299)&gt;0),"⚠ Fill deposit OR payment",IF(M299="","⚠ Enter amount",IF(B299="","⚠ Enter date",IF(AND(Setup!$C$8&lt;&gt;"",B299&gt;Setup!$C$8),"⚠ Date after period",IF(AND(O299&lt;&gt;"",COUNTIF($O$8:$O$507,O299)&gt;1),"⚠ Cheque no. used twice","✔"))))))</f>
        <v/>
      </c>
      <c r="M299" s="9" t="str">
        <f aca="false">IF(N(F299)&gt;0,"IN",IF(N(G299)&gt;0,"OUT",""))</f>
        <v/>
      </c>
      <c r="N299" s="9" t="str">
        <f aca="false">IF(M299="","",M299&amp;"|"&amp;TEXT(ROUND(N(F299)+N(G299),2),"0.00"))</f>
        <v/>
      </c>
      <c r="O299" s="9" t="str">
        <f aca="false">IF(OR(N299="",TRIM(E299&amp;"")=""),"",N299&amp;"|"&amp;UPPER(TRIM(E299&amp;"")))</f>
        <v/>
      </c>
      <c r="P299" s="9" t="n">
        <f aca="false">IF(O299="",0,IFERROR(MATCH(O299,'Bank Statement'!$O$8:$O$507,0),0))</f>
        <v>0</v>
      </c>
      <c r="Q299" s="9" t="str">
        <f aca="false">IF(OR(N299="",P299&gt;0),"",N299&amp;"#"&amp;COUNTIFS($N$8:N299,N299,$P$8:P299,0))</f>
        <v/>
      </c>
      <c r="R299" s="9" t="n">
        <f aca="false">IF(Q299="",0,IFERROR(MATCH(Q299,'Bank Statement'!$Q$8:$Q$507,0),0))</f>
        <v>0</v>
      </c>
      <c r="S299" s="9" t="n">
        <f aca="false">IF(P299&gt;0,P299,R299)</f>
        <v>0</v>
      </c>
      <c r="T299" s="9" t="str">
        <f aca="false">IF(OR(S299=0,B299=""),"",INDEX('Bank Statement'!$B$8:$B$507,S299)-B299)</f>
        <v/>
      </c>
      <c r="U299" s="9" t="n">
        <f aca="false">IF(S299=0,0,IF(P299&gt;0,S299,IF(AND(ISNUMBER(T299),ABS(N(T299))&lt;=Setup!$C$11),S299,0)))</f>
        <v>0</v>
      </c>
      <c r="V299" s="9" t="str">
        <f aca="false">IF(AND(N299&lt;&gt;"",U299=0),IF(M299="OUT",1,2)*100000+ROW(),"")</f>
        <v/>
      </c>
      <c r="W299" s="9" t="n">
        <f aca="false">N(F299)+N(G299)</f>
        <v>0</v>
      </c>
    </row>
    <row r="300" customFormat="false" ht="15" hidden="false" customHeight="false" outlineLevel="0" collapsed="false">
      <c r="A300" s="37" t="str">
        <f aca="false">IF(M300="","",ROW()-7)</f>
        <v/>
      </c>
      <c r="B300" s="70"/>
      <c r="C300" s="71"/>
      <c r="D300" s="72"/>
      <c r="E300" s="71"/>
      <c r="F300" s="73"/>
      <c r="G300" s="73"/>
      <c r="H300" s="42" t="str">
        <f aca="false">IF(M300="","",IF(U300&gt;0,"✔ Matched",IF(M300="OUT","Not yet presented","Not yet credited")))</f>
        <v/>
      </c>
      <c r="I300" s="43" t="str">
        <f aca="false">IF(N(U300)&gt;0,U300,"")</f>
        <v/>
      </c>
      <c r="J300" s="44" t="str">
        <f aca="false">IF(N(U300)&gt;0,T300,"")</f>
        <v/>
      </c>
      <c r="K300" s="45" t="str">
        <f aca="false">IF(AND(M300="",B300="",D300=""),"",IF(AND(N(F300)&gt;0,N(G300)&gt;0),"⚠ Fill deposit OR payment",IF(M300="","⚠ Enter amount",IF(B300="","⚠ Enter date",IF(AND(Setup!$C$8&lt;&gt;"",B300&gt;Setup!$C$8),"⚠ Date after period",IF(AND(O300&lt;&gt;"",COUNTIF($O$8:$O$507,O300)&gt;1),"⚠ Cheque no. used twice","✔"))))))</f>
        <v/>
      </c>
      <c r="M300" s="9" t="str">
        <f aca="false">IF(N(F300)&gt;0,"IN",IF(N(G300)&gt;0,"OUT",""))</f>
        <v/>
      </c>
      <c r="N300" s="9" t="str">
        <f aca="false">IF(M300="","",M300&amp;"|"&amp;TEXT(ROUND(N(F300)+N(G300),2),"0.00"))</f>
        <v/>
      </c>
      <c r="O300" s="9" t="str">
        <f aca="false">IF(OR(N300="",TRIM(E300&amp;"")=""),"",N300&amp;"|"&amp;UPPER(TRIM(E300&amp;"")))</f>
        <v/>
      </c>
      <c r="P300" s="9" t="n">
        <f aca="false">IF(O300="",0,IFERROR(MATCH(O300,'Bank Statement'!$O$8:$O$507,0),0))</f>
        <v>0</v>
      </c>
      <c r="Q300" s="9" t="str">
        <f aca="false">IF(OR(N300="",P300&gt;0),"",N300&amp;"#"&amp;COUNTIFS($N$8:N300,N300,$P$8:P300,0))</f>
        <v/>
      </c>
      <c r="R300" s="9" t="n">
        <f aca="false">IF(Q300="",0,IFERROR(MATCH(Q300,'Bank Statement'!$Q$8:$Q$507,0),0))</f>
        <v>0</v>
      </c>
      <c r="S300" s="9" t="n">
        <f aca="false">IF(P300&gt;0,P300,R300)</f>
        <v>0</v>
      </c>
      <c r="T300" s="9" t="str">
        <f aca="false">IF(OR(S300=0,B300=""),"",INDEX('Bank Statement'!$B$8:$B$507,S300)-B300)</f>
        <v/>
      </c>
      <c r="U300" s="9" t="n">
        <f aca="false">IF(S300=0,0,IF(P300&gt;0,S300,IF(AND(ISNUMBER(T300),ABS(N(T300))&lt;=Setup!$C$11),S300,0)))</f>
        <v>0</v>
      </c>
      <c r="V300" s="9" t="str">
        <f aca="false">IF(AND(N300&lt;&gt;"",U300=0),IF(M300="OUT",1,2)*100000+ROW(),"")</f>
        <v/>
      </c>
      <c r="W300" s="9" t="n">
        <f aca="false">N(F300)+N(G300)</f>
        <v>0</v>
      </c>
    </row>
    <row r="301" customFormat="false" ht="15" hidden="false" customHeight="false" outlineLevel="0" collapsed="false">
      <c r="A301" s="37" t="str">
        <f aca="false">IF(M301="","",ROW()-7)</f>
        <v/>
      </c>
      <c r="B301" s="70"/>
      <c r="C301" s="71"/>
      <c r="D301" s="72"/>
      <c r="E301" s="71"/>
      <c r="F301" s="73"/>
      <c r="G301" s="73"/>
      <c r="H301" s="42" t="str">
        <f aca="false">IF(M301="","",IF(U301&gt;0,"✔ Matched",IF(M301="OUT","Not yet presented","Not yet credited")))</f>
        <v/>
      </c>
      <c r="I301" s="43" t="str">
        <f aca="false">IF(N(U301)&gt;0,U301,"")</f>
        <v/>
      </c>
      <c r="J301" s="44" t="str">
        <f aca="false">IF(N(U301)&gt;0,T301,"")</f>
        <v/>
      </c>
      <c r="K301" s="45" t="str">
        <f aca="false">IF(AND(M301="",B301="",D301=""),"",IF(AND(N(F301)&gt;0,N(G301)&gt;0),"⚠ Fill deposit OR payment",IF(M301="","⚠ Enter amount",IF(B301="","⚠ Enter date",IF(AND(Setup!$C$8&lt;&gt;"",B301&gt;Setup!$C$8),"⚠ Date after period",IF(AND(O301&lt;&gt;"",COUNTIF($O$8:$O$507,O301)&gt;1),"⚠ Cheque no. used twice","✔"))))))</f>
        <v/>
      </c>
      <c r="M301" s="9" t="str">
        <f aca="false">IF(N(F301)&gt;0,"IN",IF(N(G301)&gt;0,"OUT",""))</f>
        <v/>
      </c>
      <c r="N301" s="9" t="str">
        <f aca="false">IF(M301="","",M301&amp;"|"&amp;TEXT(ROUND(N(F301)+N(G301),2),"0.00"))</f>
        <v/>
      </c>
      <c r="O301" s="9" t="str">
        <f aca="false">IF(OR(N301="",TRIM(E301&amp;"")=""),"",N301&amp;"|"&amp;UPPER(TRIM(E301&amp;"")))</f>
        <v/>
      </c>
      <c r="P301" s="9" t="n">
        <f aca="false">IF(O301="",0,IFERROR(MATCH(O301,'Bank Statement'!$O$8:$O$507,0),0))</f>
        <v>0</v>
      </c>
      <c r="Q301" s="9" t="str">
        <f aca="false">IF(OR(N301="",P301&gt;0),"",N301&amp;"#"&amp;COUNTIFS($N$8:N301,N301,$P$8:P301,0))</f>
        <v/>
      </c>
      <c r="R301" s="9" t="n">
        <f aca="false">IF(Q301="",0,IFERROR(MATCH(Q301,'Bank Statement'!$Q$8:$Q$507,0),0))</f>
        <v>0</v>
      </c>
      <c r="S301" s="9" t="n">
        <f aca="false">IF(P301&gt;0,P301,R301)</f>
        <v>0</v>
      </c>
      <c r="T301" s="9" t="str">
        <f aca="false">IF(OR(S301=0,B301=""),"",INDEX('Bank Statement'!$B$8:$B$507,S301)-B301)</f>
        <v/>
      </c>
      <c r="U301" s="9" t="n">
        <f aca="false">IF(S301=0,0,IF(P301&gt;0,S301,IF(AND(ISNUMBER(T301),ABS(N(T301))&lt;=Setup!$C$11),S301,0)))</f>
        <v>0</v>
      </c>
      <c r="V301" s="9" t="str">
        <f aca="false">IF(AND(N301&lt;&gt;"",U301=0),IF(M301="OUT",1,2)*100000+ROW(),"")</f>
        <v/>
      </c>
      <c r="W301" s="9" t="n">
        <f aca="false">N(F301)+N(G301)</f>
        <v>0</v>
      </c>
    </row>
    <row r="302" customFormat="false" ht="15" hidden="false" customHeight="false" outlineLevel="0" collapsed="false">
      <c r="A302" s="37" t="str">
        <f aca="false">IF(M302="","",ROW()-7)</f>
        <v/>
      </c>
      <c r="B302" s="70"/>
      <c r="C302" s="71"/>
      <c r="D302" s="72"/>
      <c r="E302" s="71"/>
      <c r="F302" s="73"/>
      <c r="G302" s="73"/>
      <c r="H302" s="42" t="str">
        <f aca="false">IF(M302="","",IF(U302&gt;0,"✔ Matched",IF(M302="OUT","Not yet presented","Not yet credited")))</f>
        <v/>
      </c>
      <c r="I302" s="43" t="str">
        <f aca="false">IF(N(U302)&gt;0,U302,"")</f>
        <v/>
      </c>
      <c r="J302" s="44" t="str">
        <f aca="false">IF(N(U302)&gt;0,T302,"")</f>
        <v/>
      </c>
      <c r="K302" s="45" t="str">
        <f aca="false">IF(AND(M302="",B302="",D302=""),"",IF(AND(N(F302)&gt;0,N(G302)&gt;0),"⚠ Fill deposit OR payment",IF(M302="","⚠ Enter amount",IF(B302="","⚠ Enter date",IF(AND(Setup!$C$8&lt;&gt;"",B302&gt;Setup!$C$8),"⚠ Date after period",IF(AND(O302&lt;&gt;"",COUNTIF($O$8:$O$507,O302)&gt;1),"⚠ Cheque no. used twice","✔"))))))</f>
        <v/>
      </c>
      <c r="M302" s="9" t="str">
        <f aca="false">IF(N(F302)&gt;0,"IN",IF(N(G302)&gt;0,"OUT",""))</f>
        <v/>
      </c>
      <c r="N302" s="9" t="str">
        <f aca="false">IF(M302="","",M302&amp;"|"&amp;TEXT(ROUND(N(F302)+N(G302),2),"0.00"))</f>
        <v/>
      </c>
      <c r="O302" s="9" t="str">
        <f aca="false">IF(OR(N302="",TRIM(E302&amp;"")=""),"",N302&amp;"|"&amp;UPPER(TRIM(E302&amp;"")))</f>
        <v/>
      </c>
      <c r="P302" s="9" t="n">
        <f aca="false">IF(O302="",0,IFERROR(MATCH(O302,'Bank Statement'!$O$8:$O$507,0),0))</f>
        <v>0</v>
      </c>
      <c r="Q302" s="9" t="str">
        <f aca="false">IF(OR(N302="",P302&gt;0),"",N302&amp;"#"&amp;COUNTIFS($N$8:N302,N302,$P$8:P302,0))</f>
        <v/>
      </c>
      <c r="R302" s="9" t="n">
        <f aca="false">IF(Q302="",0,IFERROR(MATCH(Q302,'Bank Statement'!$Q$8:$Q$507,0),0))</f>
        <v>0</v>
      </c>
      <c r="S302" s="9" t="n">
        <f aca="false">IF(P302&gt;0,P302,R302)</f>
        <v>0</v>
      </c>
      <c r="T302" s="9" t="str">
        <f aca="false">IF(OR(S302=0,B302=""),"",INDEX('Bank Statement'!$B$8:$B$507,S302)-B302)</f>
        <v/>
      </c>
      <c r="U302" s="9" t="n">
        <f aca="false">IF(S302=0,0,IF(P302&gt;0,S302,IF(AND(ISNUMBER(T302),ABS(N(T302))&lt;=Setup!$C$11),S302,0)))</f>
        <v>0</v>
      </c>
      <c r="V302" s="9" t="str">
        <f aca="false">IF(AND(N302&lt;&gt;"",U302=0),IF(M302="OUT",1,2)*100000+ROW(),"")</f>
        <v/>
      </c>
      <c r="W302" s="9" t="n">
        <f aca="false">N(F302)+N(G302)</f>
        <v>0</v>
      </c>
    </row>
    <row r="303" customFormat="false" ht="15" hidden="false" customHeight="false" outlineLevel="0" collapsed="false">
      <c r="A303" s="37" t="str">
        <f aca="false">IF(M303="","",ROW()-7)</f>
        <v/>
      </c>
      <c r="B303" s="70"/>
      <c r="C303" s="71"/>
      <c r="D303" s="72"/>
      <c r="E303" s="71"/>
      <c r="F303" s="73"/>
      <c r="G303" s="73"/>
      <c r="H303" s="42" t="str">
        <f aca="false">IF(M303="","",IF(U303&gt;0,"✔ Matched",IF(M303="OUT","Not yet presented","Not yet credited")))</f>
        <v/>
      </c>
      <c r="I303" s="43" t="str">
        <f aca="false">IF(N(U303)&gt;0,U303,"")</f>
        <v/>
      </c>
      <c r="J303" s="44" t="str">
        <f aca="false">IF(N(U303)&gt;0,T303,"")</f>
        <v/>
      </c>
      <c r="K303" s="45" t="str">
        <f aca="false">IF(AND(M303="",B303="",D303=""),"",IF(AND(N(F303)&gt;0,N(G303)&gt;0),"⚠ Fill deposit OR payment",IF(M303="","⚠ Enter amount",IF(B303="","⚠ Enter date",IF(AND(Setup!$C$8&lt;&gt;"",B303&gt;Setup!$C$8),"⚠ Date after period",IF(AND(O303&lt;&gt;"",COUNTIF($O$8:$O$507,O303)&gt;1),"⚠ Cheque no. used twice","✔"))))))</f>
        <v/>
      </c>
      <c r="M303" s="9" t="str">
        <f aca="false">IF(N(F303)&gt;0,"IN",IF(N(G303)&gt;0,"OUT",""))</f>
        <v/>
      </c>
      <c r="N303" s="9" t="str">
        <f aca="false">IF(M303="","",M303&amp;"|"&amp;TEXT(ROUND(N(F303)+N(G303),2),"0.00"))</f>
        <v/>
      </c>
      <c r="O303" s="9" t="str">
        <f aca="false">IF(OR(N303="",TRIM(E303&amp;"")=""),"",N303&amp;"|"&amp;UPPER(TRIM(E303&amp;"")))</f>
        <v/>
      </c>
      <c r="P303" s="9" t="n">
        <f aca="false">IF(O303="",0,IFERROR(MATCH(O303,'Bank Statement'!$O$8:$O$507,0),0))</f>
        <v>0</v>
      </c>
      <c r="Q303" s="9" t="str">
        <f aca="false">IF(OR(N303="",P303&gt;0),"",N303&amp;"#"&amp;COUNTIFS($N$8:N303,N303,$P$8:P303,0))</f>
        <v/>
      </c>
      <c r="R303" s="9" t="n">
        <f aca="false">IF(Q303="",0,IFERROR(MATCH(Q303,'Bank Statement'!$Q$8:$Q$507,0),0))</f>
        <v>0</v>
      </c>
      <c r="S303" s="9" t="n">
        <f aca="false">IF(P303&gt;0,P303,R303)</f>
        <v>0</v>
      </c>
      <c r="T303" s="9" t="str">
        <f aca="false">IF(OR(S303=0,B303=""),"",INDEX('Bank Statement'!$B$8:$B$507,S303)-B303)</f>
        <v/>
      </c>
      <c r="U303" s="9" t="n">
        <f aca="false">IF(S303=0,0,IF(P303&gt;0,S303,IF(AND(ISNUMBER(T303),ABS(N(T303))&lt;=Setup!$C$11),S303,0)))</f>
        <v>0</v>
      </c>
      <c r="V303" s="9" t="str">
        <f aca="false">IF(AND(N303&lt;&gt;"",U303=0),IF(M303="OUT",1,2)*100000+ROW(),"")</f>
        <v/>
      </c>
      <c r="W303" s="9" t="n">
        <f aca="false">N(F303)+N(G303)</f>
        <v>0</v>
      </c>
    </row>
    <row r="304" customFormat="false" ht="15" hidden="false" customHeight="false" outlineLevel="0" collapsed="false">
      <c r="A304" s="37" t="str">
        <f aca="false">IF(M304="","",ROW()-7)</f>
        <v/>
      </c>
      <c r="B304" s="70"/>
      <c r="C304" s="71"/>
      <c r="D304" s="72"/>
      <c r="E304" s="71"/>
      <c r="F304" s="73"/>
      <c r="G304" s="73"/>
      <c r="H304" s="42" t="str">
        <f aca="false">IF(M304="","",IF(U304&gt;0,"✔ Matched",IF(M304="OUT","Not yet presented","Not yet credited")))</f>
        <v/>
      </c>
      <c r="I304" s="43" t="str">
        <f aca="false">IF(N(U304)&gt;0,U304,"")</f>
        <v/>
      </c>
      <c r="J304" s="44" t="str">
        <f aca="false">IF(N(U304)&gt;0,T304,"")</f>
        <v/>
      </c>
      <c r="K304" s="45" t="str">
        <f aca="false">IF(AND(M304="",B304="",D304=""),"",IF(AND(N(F304)&gt;0,N(G304)&gt;0),"⚠ Fill deposit OR payment",IF(M304="","⚠ Enter amount",IF(B304="","⚠ Enter date",IF(AND(Setup!$C$8&lt;&gt;"",B304&gt;Setup!$C$8),"⚠ Date after period",IF(AND(O304&lt;&gt;"",COUNTIF($O$8:$O$507,O304)&gt;1),"⚠ Cheque no. used twice","✔"))))))</f>
        <v/>
      </c>
      <c r="M304" s="9" t="str">
        <f aca="false">IF(N(F304)&gt;0,"IN",IF(N(G304)&gt;0,"OUT",""))</f>
        <v/>
      </c>
      <c r="N304" s="9" t="str">
        <f aca="false">IF(M304="","",M304&amp;"|"&amp;TEXT(ROUND(N(F304)+N(G304),2),"0.00"))</f>
        <v/>
      </c>
      <c r="O304" s="9" t="str">
        <f aca="false">IF(OR(N304="",TRIM(E304&amp;"")=""),"",N304&amp;"|"&amp;UPPER(TRIM(E304&amp;"")))</f>
        <v/>
      </c>
      <c r="P304" s="9" t="n">
        <f aca="false">IF(O304="",0,IFERROR(MATCH(O304,'Bank Statement'!$O$8:$O$507,0),0))</f>
        <v>0</v>
      </c>
      <c r="Q304" s="9" t="str">
        <f aca="false">IF(OR(N304="",P304&gt;0),"",N304&amp;"#"&amp;COUNTIFS($N$8:N304,N304,$P$8:P304,0))</f>
        <v/>
      </c>
      <c r="R304" s="9" t="n">
        <f aca="false">IF(Q304="",0,IFERROR(MATCH(Q304,'Bank Statement'!$Q$8:$Q$507,0),0))</f>
        <v>0</v>
      </c>
      <c r="S304" s="9" t="n">
        <f aca="false">IF(P304&gt;0,P304,R304)</f>
        <v>0</v>
      </c>
      <c r="T304" s="9" t="str">
        <f aca="false">IF(OR(S304=0,B304=""),"",INDEX('Bank Statement'!$B$8:$B$507,S304)-B304)</f>
        <v/>
      </c>
      <c r="U304" s="9" t="n">
        <f aca="false">IF(S304=0,0,IF(P304&gt;0,S304,IF(AND(ISNUMBER(T304),ABS(N(T304))&lt;=Setup!$C$11),S304,0)))</f>
        <v>0</v>
      </c>
      <c r="V304" s="9" t="str">
        <f aca="false">IF(AND(N304&lt;&gt;"",U304=0),IF(M304="OUT",1,2)*100000+ROW(),"")</f>
        <v/>
      </c>
      <c r="W304" s="9" t="n">
        <f aca="false">N(F304)+N(G304)</f>
        <v>0</v>
      </c>
    </row>
    <row r="305" customFormat="false" ht="15" hidden="false" customHeight="false" outlineLevel="0" collapsed="false">
      <c r="A305" s="37" t="str">
        <f aca="false">IF(M305="","",ROW()-7)</f>
        <v/>
      </c>
      <c r="B305" s="70"/>
      <c r="C305" s="71"/>
      <c r="D305" s="72"/>
      <c r="E305" s="71"/>
      <c r="F305" s="73"/>
      <c r="G305" s="73"/>
      <c r="H305" s="42" t="str">
        <f aca="false">IF(M305="","",IF(U305&gt;0,"✔ Matched",IF(M305="OUT","Not yet presented","Not yet credited")))</f>
        <v/>
      </c>
      <c r="I305" s="43" t="str">
        <f aca="false">IF(N(U305)&gt;0,U305,"")</f>
        <v/>
      </c>
      <c r="J305" s="44" t="str">
        <f aca="false">IF(N(U305)&gt;0,T305,"")</f>
        <v/>
      </c>
      <c r="K305" s="45" t="str">
        <f aca="false">IF(AND(M305="",B305="",D305=""),"",IF(AND(N(F305)&gt;0,N(G305)&gt;0),"⚠ Fill deposit OR payment",IF(M305="","⚠ Enter amount",IF(B305="","⚠ Enter date",IF(AND(Setup!$C$8&lt;&gt;"",B305&gt;Setup!$C$8),"⚠ Date after period",IF(AND(O305&lt;&gt;"",COUNTIF($O$8:$O$507,O305)&gt;1),"⚠ Cheque no. used twice","✔"))))))</f>
        <v/>
      </c>
      <c r="M305" s="9" t="str">
        <f aca="false">IF(N(F305)&gt;0,"IN",IF(N(G305)&gt;0,"OUT",""))</f>
        <v/>
      </c>
      <c r="N305" s="9" t="str">
        <f aca="false">IF(M305="","",M305&amp;"|"&amp;TEXT(ROUND(N(F305)+N(G305),2),"0.00"))</f>
        <v/>
      </c>
      <c r="O305" s="9" t="str">
        <f aca="false">IF(OR(N305="",TRIM(E305&amp;"")=""),"",N305&amp;"|"&amp;UPPER(TRIM(E305&amp;"")))</f>
        <v/>
      </c>
      <c r="P305" s="9" t="n">
        <f aca="false">IF(O305="",0,IFERROR(MATCH(O305,'Bank Statement'!$O$8:$O$507,0),0))</f>
        <v>0</v>
      </c>
      <c r="Q305" s="9" t="str">
        <f aca="false">IF(OR(N305="",P305&gt;0),"",N305&amp;"#"&amp;COUNTIFS($N$8:N305,N305,$P$8:P305,0))</f>
        <v/>
      </c>
      <c r="R305" s="9" t="n">
        <f aca="false">IF(Q305="",0,IFERROR(MATCH(Q305,'Bank Statement'!$Q$8:$Q$507,0),0))</f>
        <v>0</v>
      </c>
      <c r="S305" s="9" t="n">
        <f aca="false">IF(P305&gt;0,P305,R305)</f>
        <v>0</v>
      </c>
      <c r="T305" s="9" t="str">
        <f aca="false">IF(OR(S305=0,B305=""),"",INDEX('Bank Statement'!$B$8:$B$507,S305)-B305)</f>
        <v/>
      </c>
      <c r="U305" s="9" t="n">
        <f aca="false">IF(S305=0,0,IF(P305&gt;0,S305,IF(AND(ISNUMBER(T305),ABS(N(T305))&lt;=Setup!$C$11),S305,0)))</f>
        <v>0</v>
      </c>
      <c r="V305" s="9" t="str">
        <f aca="false">IF(AND(N305&lt;&gt;"",U305=0),IF(M305="OUT",1,2)*100000+ROW(),"")</f>
        <v/>
      </c>
      <c r="W305" s="9" t="n">
        <f aca="false">N(F305)+N(G305)</f>
        <v>0</v>
      </c>
    </row>
    <row r="306" customFormat="false" ht="15" hidden="false" customHeight="false" outlineLevel="0" collapsed="false">
      <c r="A306" s="37" t="str">
        <f aca="false">IF(M306="","",ROW()-7)</f>
        <v/>
      </c>
      <c r="B306" s="70"/>
      <c r="C306" s="71"/>
      <c r="D306" s="72"/>
      <c r="E306" s="71"/>
      <c r="F306" s="73"/>
      <c r="G306" s="73"/>
      <c r="H306" s="42" t="str">
        <f aca="false">IF(M306="","",IF(U306&gt;0,"✔ Matched",IF(M306="OUT","Not yet presented","Not yet credited")))</f>
        <v/>
      </c>
      <c r="I306" s="43" t="str">
        <f aca="false">IF(N(U306)&gt;0,U306,"")</f>
        <v/>
      </c>
      <c r="J306" s="44" t="str">
        <f aca="false">IF(N(U306)&gt;0,T306,"")</f>
        <v/>
      </c>
      <c r="K306" s="45" t="str">
        <f aca="false">IF(AND(M306="",B306="",D306=""),"",IF(AND(N(F306)&gt;0,N(G306)&gt;0),"⚠ Fill deposit OR payment",IF(M306="","⚠ Enter amount",IF(B306="","⚠ Enter date",IF(AND(Setup!$C$8&lt;&gt;"",B306&gt;Setup!$C$8),"⚠ Date after period",IF(AND(O306&lt;&gt;"",COUNTIF($O$8:$O$507,O306)&gt;1),"⚠ Cheque no. used twice","✔"))))))</f>
        <v/>
      </c>
      <c r="M306" s="9" t="str">
        <f aca="false">IF(N(F306)&gt;0,"IN",IF(N(G306)&gt;0,"OUT",""))</f>
        <v/>
      </c>
      <c r="N306" s="9" t="str">
        <f aca="false">IF(M306="","",M306&amp;"|"&amp;TEXT(ROUND(N(F306)+N(G306),2),"0.00"))</f>
        <v/>
      </c>
      <c r="O306" s="9" t="str">
        <f aca="false">IF(OR(N306="",TRIM(E306&amp;"")=""),"",N306&amp;"|"&amp;UPPER(TRIM(E306&amp;"")))</f>
        <v/>
      </c>
      <c r="P306" s="9" t="n">
        <f aca="false">IF(O306="",0,IFERROR(MATCH(O306,'Bank Statement'!$O$8:$O$507,0),0))</f>
        <v>0</v>
      </c>
      <c r="Q306" s="9" t="str">
        <f aca="false">IF(OR(N306="",P306&gt;0),"",N306&amp;"#"&amp;COUNTIFS($N$8:N306,N306,$P$8:P306,0))</f>
        <v/>
      </c>
      <c r="R306" s="9" t="n">
        <f aca="false">IF(Q306="",0,IFERROR(MATCH(Q306,'Bank Statement'!$Q$8:$Q$507,0),0))</f>
        <v>0</v>
      </c>
      <c r="S306" s="9" t="n">
        <f aca="false">IF(P306&gt;0,P306,R306)</f>
        <v>0</v>
      </c>
      <c r="T306" s="9" t="str">
        <f aca="false">IF(OR(S306=0,B306=""),"",INDEX('Bank Statement'!$B$8:$B$507,S306)-B306)</f>
        <v/>
      </c>
      <c r="U306" s="9" t="n">
        <f aca="false">IF(S306=0,0,IF(P306&gt;0,S306,IF(AND(ISNUMBER(T306),ABS(N(T306))&lt;=Setup!$C$11),S306,0)))</f>
        <v>0</v>
      </c>
      <c r="V306" s="9" t="str">
        <f aca="false">IF(AND(N306&lt;&gt;"",U306=0),IF(M306="OUT",1,2)*100000+ROW(),"")</f>
        <v/>
      </c>
      <c r="W306" s="9" t="n">
        <f aca="false">N(F306)+N(G306)</f>
        <v>0</v>
      </c>
    </row>
    <row r="307" customFormat="false" ht="15" hidden="false" customHeight="false" outlineLevel="0" collapsed="false">
      <c r="A307" s="37" t="str">
        <f aca="false">IF(M307="","",ROW()-7)</f>
        <v/>
      </c>
      <c r="B307" s="70"/>
      <c r="C307" s="71"/>
      <c r="D307" s="72"/>
      <c r="E307" s="71"/>
      <c r="F307" s="73"/>
      <c r="G307" s="73"/>
      <c r="H307" s="42" t="str">
        <f aca="false">IF(M307="","",IF(U307&gt;0,"✔ Matched",IF(M307="OUT","Not yet presented","Not yet credited")))</f>
        <v/>
      </c>
      <c r="I307" s="43" t="str">
        <f aca="false">IF(N(U307)&gt;0,U307,"")</f>
        <v/>
      </c>
      <c r="J307" s="44" t="str">
        <f aca="false">IF(N(U307)&gt;0,T307,"")</f>
        <v/>
      </c>
      <c r="K307" s="45" t="str">
        <f aca="false">IF(AND(M307="",B307="",D307=""),"",IF(AND(N(F307)&gt;0,N(G307)&gt;0),"⚠ Fill deposit OR payment",IF(M307="","⚠ Enter amount",IF(B307="","⚠ Enter date",IF(AND(Setup!$C$8&lt;&gt;"",B307&gt;Setup!$C$8),"⚠ Date after period",IF(AND(O307&lt;&gt;"",COUNTIF($O$8:$O$507,O307)&gt;1),"⚠ Cheque no. used twice","✔"))))))</f>
        <v/>
      </c>
      <c r="M307" s="9" t="str">
        <f aca="false">IF(N(F307)&gt;0,"IN",IF(N(G307)&gt;0,"OUT",""))</f>
        <v/>
      </c>
      <c r="N307" s="9" t="str">
        <f aca="false">IF(M307="","",M307&amp;"|"&amp;TEXT(ROUND(N(F307)+N(G307),2),"0.00"))</f>
        <v/>
      </c>
      <c r="O307" s="9" t="str">
        <f aca="false">IF(OR(N307="",TRIM(E307&amp;"")=""),"",N307&amp;"|"&amp;UPPER(TRIM(E307&amp;"")))</f>
        <v/>
      </c>
      <c r="P307" s="9" t="n">
        <f aca="false">IF(O307="",0,IFERROR(MATCH(O307,'Bank Statement'!$O$8:$O$507,0),0))</f>
        <v>0</v>
      </c>
      <c r="Q307" s="9" t="str">
        <f aca="false">IF(OR(N307="",P307&gt;0),"",N307&amp;"#"&amp;COUNTIFS($N$8:N307,N307,$P$8:P307,0))</f>
        <v/>
      </c>
      <c r="R307" s="9" t="n">
        <f aca="false">IF(Q307="",0,IFERROR(MATCH(Q307,'Bank Statement'!$Q$8:$Q$507,0),0))</f>
        <v>0</v>
      </c>
      <c r="S307" s="9" t="n">
        <f aca="false">IF(P307&gt;0,P307,R307)</f>
        <v>0</v>
      </c>
      <c r="T307" s="9" t="str">
        <f aca="false">IF(OR(S307=0,B307=""),"",INDEX('Bank Statement'!$B$8:$B$507,S307)-B307)</f>
        <v/>
      </c>
      <c r="U307" s="9" t="n">
        <f aca="false">IF(S307=0,0,IF(P307&gt;0,S307,IF(AND(ISNUMBER(T307),ABS(N(T307))&lt;=Setup!$C$11),S307,0)))</f>
        <v>0</v>
      </c>
      <c r="V307" s="9" t="str">
        <f aca="false">IF(AND(N307&lt;&gt;"",U307=0),IF(M307="OUT",1,2)*100000+ROW(),"")</f>
        <v/>
      </c>
      <c r="W307" s="9" t="n">
        <f aca="false">N(F307)+N(G307)</f>
        <v>0</v>
      </c>
    </row>
    <row r="308" customFormat="false" ht="15" hidden="false" customHeight="false" outlineLevel="0" collapsed="false">
      <c r="A308" s="37" t="str">
        <f aca="false">IF(M308="","",ROW()-7)</f>
        <v/>
      </c>
      <c r="B308" s="70"/>
      <c r="C308" s="71"/>
      <c r="D308" s="72"/>
      <c r="E308" s="71"/>
      <c r="F308" s="73"/>
      <c r="G308" s="73"/>
      <c r="H308" s="42" t="str">
        <f aca="false">IF(M308="","",IF(U308&gt;0,"✔ Matched",IF(M308="OUT","Not yet presented","Not yet credited")))</f>
        <v/>
      </c>
      <c r="I308" s="43" t="str">
        <f aca="false">IF(N(U308)&gt;0,U308,"")</f>
        <v/>
      </c>
      <c r="J308" s="44" t="str">
        <f aca="false">IF(N(U308)&gt;0,T308,"")</f>
        <v/>
      </c>
      <c r="K308" s="45" t="str">
        <f aca="false">IF(AND(M308="",B308="",D308=""),"",IF(AND(N(F308)&gt;0,N(G308)&gt;0),"⚠ Fill deposit OR payment",IF(M308="","⚠ Enter amount",IF(B308="","⚠ Enter date",IF(AND(Setup!$C$8&lt;&gt;"",B308&gt;Setup!$C$8),"⚠ Date after period",IF(AND(O308&lt;&gt;"",COUNTIF($O$8:$O$507,O308)&gt;1),"⚠ Cheque no. used twice","✔"))))))</f>
        <v/>
      </c>
      <c r="M308" s="9" t="str">
        <f aca="false">IF(N(F308)&gt;0,"IN",IF(N(G308)&gt;0,"OUT",""))</f>
        <v/>
      </c>
      <c r="N308" s="9" t="str">
        <f aca="false">IF(M308="","",M308&amp;"|"&amp;TEXT(ROUND(N(F308)+N(G308),2),"0.00"))</f>
        <v/>
      </c>
      <c r="O308" s="9" t="str">
        <f aca="false">IF(OR(N308="",TRIM(E308&amp;"")=""),"",N308&amp;"|"&amp;UPPER(TRIM(E308&amp;"")))</f>
        <v/>
      </c>
      <c r="P308" s="9" t="n">
        <f aca="false">IF(O308="",0,IFERROR(MATCH(O308,'Bank Statement'!$O$8:$O$507,0),0))</f>
        <v>0</v>
      </c>
      <c r="Q308" s="9" t="str">
        <f aca="false">IF(OR(N308="",P308&gt;0),"",N308&amp;"#"&amp;COUNTIFS($N$8:N308,N308,$P$8:P308,0))</f>
        <v/>
      </c>
      <c r="R308" s="9" t="n">
        <f aca="false">IF(Q308="",0,IFERROR(MATCH(Q308,'Bank Statement'!$Q$8:$Q$507,0),0))</f>
        <v>0</v>
      </c>
      <c r="S308" s="9" t="n">
        <f aca="false">IF(P308&gt;0,P308,R308)</f>
        <v>0</v>
      </c>
      <c r="T308" s="9" t="str">
        <f aca="false">IF(OR(S308=0,B308=""),"",INDEX('Bank Statement'!$B$8:$B$507,S308)-B308)</f>
        <v/>
      </c>
      <c r="U308" s="9" t="n">
        <f aca="false">IF(S308=0,0,IF(P308&gt;0,S308,IF(AND(ISNUMBER(T308),ABS(N(T308))&lt;=Setup!$C$11),S308,0)))</f>
        <v>0</v>
      </c>
      <c r="V308" s="9" t="str">
        <f aca="false">IF(AND(N308&lt;&gt;"",U308=0),IF(M308="OUT",1,2)*100000+ROW(),"")</f>
        <v/>
      </c>
      <c r="W308" s="9" t="n">
        <f aca="false">N(F308)+N(G308)</f>
        <v>0</v>
      </c>
    </row>
    <row r="309" customFormat="false" ht="15" hidden="false" customHeight="false" outlineLevel="0" collapsed="false">
      <c r="A309" s="37" t="str">
        <f aca="false">IF(M309="","",ROW()-7)</f>
        <v/>
      </c>
      <c r="B309" s="70"/>
      <c r="C309" s="71"/>
      <c r="D309" s="72"/>
      <c r="E309" s="71"/>
      <c r="F309" s="73"/>
      <c r="G309" s="73"/>
      <c r="H309" s="42" t="str">
        <f aca="false">IF(M309="","",IF(U309&gt;0,"✔ Matched",IF(M309="OUT","Not yet presented","Not yet credited")))</f>
        <v/>
      </c>
      <c r="I309" s="43" t="str">
        <f aca="false">IF(N(U309)&gt;0,U309,"")</f>
        <v/>
      </c>
      <c r="J309" s="44" t="str">
        <f aca="false">IF(N(U309)&gt;0,T309,"")</f>
        <v/>
      </c>
      <c r="K309" s="45" t="str">
        <f aca="false">IF(AND(M309="",B309="",D309=""),"",IF(AND(N(F309)&gt;0,N(G309)&gt;0),"⚠ Fill deposit OR payment",IF(M309="","⚠ Enter amount",IF(B309="","⚠ Enter date",IF(AND(Setup!$C$8&lt;&gt;"",B309&gt;Setup!$C$8),"⚠ Date after period",IF(AND(O309&lt;&gt;"",COUNTIF($O$8:$O$507,O309)&gt;1),"⚠ Cheque no. used twice","✔"))))))</f>
        <v/>
      </c>
      <c r="M309" s="9" t="str">
        <f aca="false">IF(N(F309)&gt;0,"IN",IF(N(G309)&gt;0,"OUT",""))</f>
        <v/>
      </c>
      <c r="N309" s="9" t="str">
        <f aca="false">IF(M309="","",M309&amp;"|"&amp;TEXT(ROUND(N(F309)+N(G309),2),"0.00"))</f>
        <v/>
      </c>
      <c r="O309" s="9" t="str">
        <f aca="false">IF(OR(N309="",TRIM(E309&amp;"")=""),"",N309&amp;"|"&amp;UPPER(TRIM(E309&amp;"")))</f>
        <v/>
      </c>
      <c r="P309" s="9" t="n">
        <f aca="false">IF(O309="",0,IFERROR(MATCH(O309,'Bank Statement'!$O$8:$O$507,0),0))</f>
        <v>0</v>
      </c>
      <c r="Q309" s="9" t="str">
        <f aca="false">IF(OR(N309="",P309&gt;0),"",N309&amp;"#"&amp;COUNTIFS($N$8:N309,N309,$P$8:P309,0))</f>
        <v/>
      </c>
      <c r="R309" s="9" t="n">
        <f aca="false">IF(Q309="",0,IFERROR(MATCH(Q309,'Bank Statement'!$Q$8:$Q$507,0),0))</f>
        <v>0</v>
      </c>
      <c r="S309" s="9" t="n">
        <f aca="false">IF(P309&gt;0,P309,R309)</f>
        <v>0</v>
      </c>
      <c r="T309" s="9" t="str">
        <f aca="false">IF(OR(S309=0,B309=""),"",INDEX('Bank Statement'!$B$8:$B$507,S309)-B309)</f>
        <v/>
      </c>
      <c r="U309" s="9" t="n">
        <f aca="false">IF(S309=0,0,IF(P309&gt;0,S309,IF(AND(ISNUMBER(T309),ABS(N(T309))&lt;=Setup!$C$11),S309,0)))</f>
        <v>0</v>
      </c>
      <c r="V309" s="9" t="str">
        <f aca="false">IF(AND(N309&lt;&gt;"",U309=0),IF(M309="OUT",1,2)*100000+ROW(),"")</f>
        <v/>
      </c>
      <c r="W309" s="9" t="n">
        <f aca="false">N(F309)+N(G309)</f>
        <v>0</v>
      </c>
    </row>
    <row r="310" customFormat="false" ht="15" hidden="false" customHeight="false" outlineLevel="0" collapsed="false">
      <c r="A310" s="37" t="str">
        <f aca="false">IF(M310="","",ROW()-7)</f>
        <v/>
      </c>
      <c r="B310" s="70"/>
      <c r="C310" s="71"/>
      <c r="D310" s="72"/>
      <c r="E310" s="71"/>
      <c r="F310" s="73"/>
      <c r="G310" s="73"/>
      <c r="H310" s="42" t="str">
        <f aca="false">IF(M310="","",IF(U310&gt;0,"✔ Matched",IF(M310="OUT","Not yet presented","Not yet credited")))</f>
        <v/>
      </c>
      <c r="I310" s="43" t="str">
        <f aca="false">IF(N(U310)&gt;0,U310,"")</f>
        <v/>
      </c>
      <c r="J310" s="44" t="str">
        <f aca="false">IF(N(U310)&gt;0,T310,"")</f>
        <v/>
      </c>
      <c r="K310" s="45" t="str">
        <f aca="false">IF(AND(M310="",B310="",D310=""),"",IF(AND(N(F310)&gt;0,N(G310)&gt;0),"⚠ Fill deposit OR payment",IF(M310="","⚠ Enter amount",IF(B310="","⚠ Enter date",IF(AND(Setup!$C$8&lt;&gt;"",B310&gt;Setup!$C$8),"⚠ Date after period",IF(AND(O310&lt;&gt;"",COUNTIF($O$8:$O$507,O310)&gt;1),"⚠ Cheque no. used twice","✔"))))))</f>
        <v/>
      </c>
      <c r="M310" s="9" t="str">
        <f aca="false">IF(N(F310)&gt;0,"IN",IF(N(G310)&gt;0,"OUT",""))</f>
        <v/>
      </c>
      <c r="N310" s="9" t="str">
        <f aca="false">IF(M310="","",M310&amp;"|"&amp;TEXT(ROUND(N(F310)+N(G310),2),"0.00"))</f>
        <v/>
      </c>
      <c r="O310" s="9" t="str">
        <f aca="false">IF(OR(N310="",TRIM(E310&amp;"")=""),"",N310&amp;"|"&amp;UPPER(TRIM(E310&amp;"")))</f>
        <v/>
      </c>
      <c r="P310" s="9" t="n">
        <f aca="false">IF(O310="",0,IFERROR(MATCH(O310,'Bank Statement'!$O$8:$O$507,0),0))</f>
        <v>0</v>
      </c>
      <c r="Q310" s="9" t="str">
        <f aca="false">IF(OR(N310="",P310&gt;0),"",N310&amp;"#"&amp;COUNTIFS($N$8:N310,N310,$P$8:P310,0))</f>
        <v/>
      </c>
      <c r="R310" s="9" t="n">
        <f aca="false">IF(Q310="",0,IFERROR(MATCH(Q310,'Bank Statement'!$Q$8:$Q$507,0),0))</f>
        <v>0</v>
      </c>
      <c r="S310" s="9" t="n">
        <f aca="false">IF(P310&gt;0,P310,R310)</f>
        <v>0</v>
      </c>
      <c r="T310" s="9" t="str">
        <f aca="false">IF(OR(S310=0,B310=""),"",INDEX('Bank Statement'!$B$8:$B$507,S310)-B310)</f>
        <v/>
      </c>
      <c r="U310" s="9" t="n">
        <f aca="false">IF(S310=0,0,IF(P310&gt;0,S310,IF(AND(ISNUMBER(T310),ABS(N(T310))&lt;=Setup!$C$11),S310,0)))</f>
        <v>0</v>
      </c>
      <c r="V310" s="9" t="str">
        <f aca="false">IF(AND(N310&lt;&gt;"",U310=0),IF(M310="OUT",1,2)*100000+ROW(),"")</f>
        <v/>
      </c>
      <c r="W310" s="9" t="n">
        <f aca="false">N(F310)+N(G310)</f>
        <v>0</v>
      </c>
    </row>
    <row r="311" customFormat="false" ht="15" hidden="false" customHeight="false" outlineLevel="0" collapsed="false">
      <c r="A311" s="37" t="str">
        <f aca="false">IF(M311="","",ROW()-7)</f>
        <v/>
      </c>
      <c r="B311" s="70"/>
      <c r="C311" s="71"/>
      <c r="D311" s="72"/>
      <c r="E311" s="71"/>
      <c r="F311" s="73"/>
      <c r="G311" s="73"/>
      <c r="H311" s="42" t="str">
        <f aca="false">IF(M311="","",IF(U311&gt;0,"✔ Matched",IF(M311="OUT","Not yet presented","Not yet credited")))</f>
        <v/>
      </c>
      <c r="I311" s="43" t="str">
        <f aca="false">IF(N(U311)&gt;0,U311,"")</f>
        <v/>
      </c>
      <c r="J311" s="44" t="str">
        <f aca="false">IF(N(U311)&gt;0,T311,"")</f>
        <v/>
      </c>
      <c r="K311" s="45" t="str">
        <f aca="false">IF(AND(M311="",B311="",D311=""),"",IF(AND(N(F311)&gt;0,N(G311)&gt;0),"⚠ Fill deposit OR payment",IF(M311="","⚠ Enter amount",IF(B311="","⚠ Enter date",IF(AND(Setup!$C$8&lt;&gt;"",B311&gt;Setup!$C$8),"⚠ Date after period",IF(AND(O311&lt;&gt;"",COUNTIF($O$8:$O$507,O311)&gt;1),"⚠ Cheque no. used twice","✔"))))))</f>
        <v/>
      </c>
      <c r="M311" s="9" t="str">
        <f aca="false">IF(N(F311)&gt;0,"IN",IF(N(G311)&gt;0,"OUT",""))</f>
        <v/>
      </c>
      <c r="N311" s="9" t="str">
        <f aca="false">IF(M311="","",M311&amp;"|"&amp;TEXT(ROUND(N(F311)+N(G311),2),"0.00"))</f>
        <v/>
      </c>
      <c r="O311" s="9" t="str">
        <f aca="false">IF(OR(N311="",TRIM(E311&amp;"")=""),"",N311&amp;"|"&amp;UPPER(TRIM(E311&amp;"")))</f>
        <v/>
      </c>
      <c r="P311" s="9" t="n">
        <f aca="false">IF(O311="",0,IFERROR(MATCH(O311,'Bank Statement'!$O$8:$O$507,0),0))</f>
        <v>0</v>
      </c>
      <c r="Q311" s="9" t="str">
        <f aca="false">IF(OR(N311="",P311&gt;0),"",N311&amp;"#"&amp;COUNTIFS($N$8:N311,N311,$P$8:P311,0))</f>
        <v/>
      </c>
      <c r="R311" s="9" t="n">
        <f aca="false">IF(Q311="",0,IFERROR(MATCH(Q311,'Bank Statement'!$Q$8:$Q$507,0),0))</f>
        <v>0</v>
      </c>
      <c r="S311" s="9" t="n">
        <f aca="false">IF(P311&gt;0,P311,R311)</f>
        <v>0</v>
      </c>
      <c r="T311" s="9" t="str">
        <f aca="false">IF(OR(S311=0,B311=""),"",INDEX('Bank Statement'!$B$8:$B$507,S311)-B311)</f>
        <v/>
      </c>
      <c r="U311" s="9" t="n">
        <f aca="false">IF(S311=0,0,IF(P311&gt;0,S311,IF(AND(ISNUMBER(T311),ABS(N(T311))&lt;=Setup!$C$11),S311,0)))</f>
        <v>0</v>
      </c>
      <c r="V311" s="9" t="str">
        <f aca="false">IF(AND(N311&lt;&gt;"",U311=0),IF(M311="OUT",1,2)*100000+ROW(),"")</f>
        <v/>
      </c>
      <c r="W311" s="9" t="n">
        <f aca="false">N(F311)+N(G311)</f>
        <v>0</v>
      </c>
    </row>
    <row r="312" customFormat="false" ht="15" hidden="false" customHeight="false" outlineLevel="0" collapsed="false">
      <c r="A312" s="37" t="str">
        <f aca="false">IF(M312="","",ROW()-7)</f>
        <v/>
      </c>
      <c r="B312" s="70"/>
      <c r="C312" s="71"/>
      <c r="D312" s="72"/>
      <c r="E312" s="71"/>
      <c r="F312" s="73"/>
      <c r="G312" s="73"/>
      <c r="H312" s="42" t="str">
        <f aca="false">IF(M312="","",IF(U312&gt;0,"✔ Matched",IF(M312="OUT","Not yet presented","Not yet credited")))</f>
        <v/>
      </c>
      <c r="I312" s="43" t="str">
        <f aca="false">IF(N(U312)&gt;0,U312,"")</f>
        <v/>
      </c>
      <c r="J312" s="44" t="str">
        <f aca="false">IF(N(U312)&gt;0,T312,"")</f>
        <v/>
      </c>
      <c r="K312" s="45" t="str">
        <f aca="false">IF(AND(M312="",B312="",D312=""),"",IF(AND(N(F312)&gt;0,N(G312)&gt;0),"⚠ Fill deposit OR payment",IF(M312="","⚠ Enter amount",IF(B312="","⚠ Enter date",IF(AND(Setup!$C$8&lt;&gt;"",B312&gt;Setup!$C$8),"⚠ Date after period",IF(AND(O312&lt;&gt;"",COUNTIF($O$8:$O$507,O312)&gt;1),"⚠ Cheque no. used twice","✔"))))))</f>
        <v/>
      </c>
      <c r="M312" s="9" t="str">
        <f aca="false">IF(N(F312)&gt;0,"IN",IF(N(G312)&gt;0,"OUT",""))</f>
        <v/>
      </c>
      <c r="N312" s="9" t="str">
        <f aca="false">IF(M312="","",M312&amp;"|"&amp;TEXT(ROUND(N(F312)+N(G312),2),"0.00"))</f>
        <v/>
      </c>
      <c r="O312" s="9" t="str">
        <f aca="false">IF(OR(N312="",TRIM(E312&amp;"")=""),"",N312&amp;"|"&amp;UPPER(TRIM(E312&amp;"")))</f>
        <v/>
      </c>
      <c r="P312" s="9" t="n">
        <f aca="false">IF(O312="",0,IFERROR(MATCH(O312,'Bank Statement'!$O$8:$O$507,0),0))</f>
        <v>0</v>
      </c>
      <c r="Q312" s="9" t="str">
        <f aca="false">IF(OR(N312="",P312&gt;0),"",N312&amp;"#"&amp;COUNTIFS($N$8:N312,N312,$P$8:P312,0))</f>
        <v/>
      </c>
      <c r="R312" s="9" t="n">
        <f aca="false">IF(Q312="",0,IFERROR(MATCH(Q312,'Bank Statement'!$Q$8:$Q$507,0),0))</f>
        <v>0</v>
      </c>
      <c r="S312" s="9" t="n">
        <f aca="false">IF(P312&gt;0,P312,R312)</f>
        <v>0</v>
      </c>
      <c r="T312" s="9" t="str">
        <f aca="false">IF(OR(S312=0,B312=""),"",INDEX('Bank Statement'!$B$8:$B$507,S312)-B312)</f>
        <v/>
      </c>
      <c r="U312" s="9" t="n">
        <f aca="false">IF(S312=0,0,IF(P312&gt;0,S312,IF(AND(ISNUMBER(T312),ABS(N(T312))&lt;=Setup!$C$11),S312,0)))</f>
        <v>0</v>
      </c>
      <c r="V312" s="9" t="str">
        <f aca="false">IF(AND(N312&lt;&gt;"",U312=0),IF(M312="OUT",1,2)*100000+ROW(),"")</f>
        <v/>
      </c>
      <c r="W312" s="9" t="n">
        <f aca="false">N(F312)+N(G312)</f>
        <v>0</v>
      </c>
    </row>
    <row r="313" customFormat="false" ht="15" hidden="false" customHeight="false" outlineLevel="0" collapsed="false">
      <c r="A313" s="37" t="str">
        <f aca="false">IF(M313="","",ROW()-7)</f>
        <v/>
      </c>
      <c r="B313" s="70"/>
      <c r="C313" s="71"/>
      <c r="D313" s="72"/>
      <c r="E313" s="71"/>
      <c r="F313" s="73"/>
      <c r="G313" s="73"/>
      <c r="H313" s="42" t="str">
        <f aca="false">IF(M313="","",IF(U313&gt;0,"✔ Matched",IF(M313="OUT","Not yet presented","Not yet credited")))</f>
        <v/>
      </c>
      <c r="I313" s="43" t="str">
        <f aca="false">IF(N(U313)&gt;0,U313,"")</f>
        <v/>
      </c>
      <c r="J313" s="44" t="str">
        <f aca="false">IF(N(U313)&gt;0,T313,"")</f>
        <v/>
      </c>
      <c r="K313" s="45" t="str">
        <f aca="false">IF(AND(M313="",B313="",D313=""),"",IF(AND(N(F313)&gt;0,N(G313)&gt;0),"⚠ Fill deposit OR payment",IF(M313="","⚠ Enter amount",IF(B313="","⚠ Enter date",IF(AND(Setup!$C$8&lt;&gt;"",B313&gt;Setup!$C$8),"⚠ Date after period",IF(AND(O313&lt;&gt;"",COUNTIF($O$8:$O$507,O313)&gt;1),"⚠ Cheque no. used twice","✔"))))))</f>
        <v/>
      </c>
      <c r="M313" s="9" t="str">
        <f aca="false">IF(N(F313)&gt;0,"IN",IF(N(G313)&gt;0,"OUT",""))</f>
        <v/>
      </c>
      <c r="N313" s="9" t="str">
        <f aca="false">IF(M313="","",M313&amp;"|"&amp;TEXT(ROUND(N(F313)+N(G313),2),"0.00"))</f>
        <v/>
      </c>
      <c r="O313" s="9" t="str">
        <f aca="false">IF(OR(N313="",TRIM(E313&amp;"")=""),"",N313&amp;"|"&amp;UPPER(TRIM(E313&amp;"")))</f>
        <v/>
      </c>
      <c r="P313" s="9" t="n">
        <f aca="false">IF(O313="",0,IFERROR(MATCH(O313,'Bank Statement'!$O$8:$O$507,0),0))</f>
        <v>0</v>
      </c>
      <c r="Q313" s="9" t="str">
        <f aca="false">IF(OR(N313="",P313&gt;0),"",N313&amp;"#"&amp;COUNTIFS($N$8:N313,N313,$P$8:P313,0))</f>
        <v/>
      </c>
      <c r="R313" s="9" t="n">
        <f aca="false">IF(Q313="",0,IFERROR(MATCH(Q313,'Bank Statement'!$Q$8:$Q$507,0),0))</f>
        <v>0</v>
      </c>
      <c r="S313" s="9" t="n">
        <f aca="false">IF(P313&gt;0,P313,R313)</f>
        <v>0</v>
      </c>
      <c r="T313" s="9" t="str">
        <f aca="false">IF(OR(S313=0,B313=""),"",INDEX('Bank Statement'!$B$8:$B$507,S313)-B313)</f>
        <v/>
      </c>
      <c r="U313" s="9" t="n">
        <f aca="false">IF(S313=0,0,IF(P313&gt;0,S313,IF(AND(ISNUMBER(T313),ABS(N(T313))&lt;=Setup!$C$11),S313,0)))</f>
        <v>0</v>
      </c>
      <c r="V313" s="9" t="str">
        <f aca="false">IF(AND(N313&lt;&gt;"",U313=0),IF(M313="OUT",1,2)*100000+ROW(),"")</f>
        <v/>
      </c>
      <c r="W313" s="9" t="n">
        <f aca="false">N(F313)+N(G313)</f>
        <v>0</v>
      </c>
    </row>
    <row r="314" customFormat="false" ht="15" hidden="false" customHeight="false" outlineLevel="0" collapsed="false">
      <c r="A314" s="37" t="str">
        <f aca="false">IF(M314="","",ROW()-7)</f>
        <v/>
      </c>
      <c r="B314" s="70"/>
      <c r="C314" s="71"/>
      <c r="D314" s="72"/>
      <c r="E314" s="71"/>
      <c r="F314" s="73"/>
      <c r="G314" s="73"/>
      <c r="H314" s="42" t="str">
        <f aca="false">IF(M314="","",IF(U314&gt;0,"✔ Matched",IF(M314="OUT","Not yet presented","Not yet credited")))</f>
        <v/>
      </c>
      <c r="I314" s="43" t="str">
        <f aca="false">IF(N(U314)&gt;0,U314,"")</f>
        <v/>
      </c>
      <c r="J314" s="44" t="str">
        <f aca="false">IF(N(U314)&gt;0,T314,"")</f>
        <v/>
      </c>
      <c r="K314" s="45" t="str">
        <f aca="false">IF(AND(M314="",B314="",D314=""),"",IF(AND(N(F314)&gt;0,N(G314)&gt;0),"⚠ Fill deposit OR payment",IF(M314="","⚠ Enter amount",IF(B314="","⚠ Enter date",IF(AND(Setup!$C$8&lt;&gt;"",B314&gt;Setup!$C$8),"⚠ Date after period",IF(AND(O314&lt;&gt;"",COUNTIF($O$8:$O$507,O314)&gt;1),"⚠ Cheque no. used twice","✔"))))))</f>
        <v/>
      </c>
      <c r="M314" s="9" t="str">
        <f aca="false">IF(N(F314)&gt;0,"IN",IF(N(G314)&gt;0,"OUT",""))</f>
        <v/>
      </c>
      <c r="N314" s="9" t="str">
        <f aca="false">IF(M314="","",M314&amp;"|"&amp;TEXT(ROUND(N(F314)+N(G314),2),"0.00"))</f>
        <v/>
      </c>
      <c r="O314" s="9" t="str">
        <f aca="false">IF(OR(N314="",TRIM(E314&amp;"")=""),"",N314&amp;"|"&amp;UPPER(TRIM(E314&amp;"")))</f>
        <v/>
      </c>
      <c r="P314" s="9" t="n">
        <f aca="false">IF(O314="",0,IFERROR(MATCH(O314,'Bank Statement'!$O$8:$O$507,0),0))</f>
        <v>0</v>
      </c>
      <c r="Q314" s="9" t="str">
        <f aca="false">IF(OR(N314="",P314&gt;0),"",N314&amp;"#"&amp;COUNTIFS($N$8:N314,N314,$P$8:P314,0))</f>
        <v/>
      </c>
      <c r="R314" s="9" t="n">
        <f aca="false">IF(Q314="",0,IFERROR(MATCH(Q314,'Bank Statement'!$Q$8:$Q$507,0),0))</f>
        <v>0</v>
      </c>
      <c r="S314" s="9" t="n">
        <f aca="false">IF(P314&gt;0,P314,R314)</f>
        <v>0</v>
      </c>
      <c r="T314" s="9" t="str">
        <f aca="false">IF(OR(S314=0,B314=""),"",INDEX('Bank Statement'!$B$8:$B$507,S314)-B314)</f>
        <v/>
      </c>
      <c r="U314" s="9" t="n">
        <f aca="false">IF(S314=0,0,IF(P314&gt;0,S314,IF(AND(ISNUMBER(T314),ABS(N(T314))&lt;=Setup!$C$11),S314,0)))</f>
        <v>0</v>
      </c>
      <c r="V314" s="9" t="str">
        <f aca="false">IF(AND(N314&lt;&gt;"",U314=0),IF(M314="OUT",1,2)*100000+ROW(),"")</f>
        <v/>
      </c>
      <c r="W314" s="9" t="n">
        <f aca="false">N(F314)+N(G314)</f>
        <v>0</v>
      </c>
    </row>
    <row r="315" customFormat="false" ht="15" hidden="false" customHeight="false" outlineLevel="0" collapsed="false">
      <c r="A315" s="37" t="str">
        <f aca="false">IF(M315="","",ROW()-7)</f>
        <v/>
      </c>
      <c r="B315" s="70"/>
      <c r="C315" s="71"/>
      <c r="D315" s="72"/>
      <c r="E315" s="71"/>
      <c r="F315" s="73"/>
      <c r="G315" s="73"/>
      <c r="H315" s="42" t="str">
        <f aca="false">IF(M315="","",IF(U315&gt;0,"✔ Matched",IF(M315="OUT","Not yet presented","Not yet credited")))</f>
        <v/>
      </c>
      <c r="I315" s="43" t="str">
        <f aca="false">IF(N(U315)&gt;0,U315,"")</f>
        <v/>
      </c>
      <c r="J315" s="44" t="str">
        <f aca="false">IF(N(U315)&gt;0,T315,"")</f>
        <v/>
      </c>
      <c r="K315" s="45" t="str">
        <f aca="false">IF(AND(M315="",B315="",D315=""),"",IF(AND(N(F315)&gt;0,N(G315)&gt;0),"⚠ Fill deposit OR payment",IF(M315="","⚠ Enter amount",IF(B315="","⚠ Enter date",IF(AND(Setup!$C$8&lt;&gt;"",B315&gt;Setup!$C$8),"⚠ Date after period",IF(AND(O315&lt;&gt;"",COUNTIF($O$8:$O$507,O315)&gt;1),"⚠ Cheque no. used twice","✔"))))))</f>
        <v/>
      </c>
      <c r="M315" s="9" t="str">
        <f aca="false">IF(N(F315)&gt;0,"IN",IF(N(G315)&gt;0,"OUT",""))</f>
        <v/>
      </c>
      <c r="N315" s="9" t="str">
        <f aca="false">IF(M315="","",M315&amp;"|"&amp;TEXT(ROUND(N(F315)+N(G315),2),"0.00"))</f>
        <v/>
      </c>
      <c r="O315" s="9" t="str">
        <f aca="false">IF(OR(N315="",TRIM(E315&amp;"")=""),"",N315&amp;"|"&amp;UPPER(TRIM(E315&amp;"")))</f>
        <v/>
      </c>
      <c r="P315" s="9" t="n">
        <f aca="false">IF(O315="",0,IFERROR(MATCH(O315,'Bank Statement'!$O$8:$O$507,0),0))</f>
        <v>0</v>
      </c>
      <c r="Q315" s="9" t="str">
        <f aca="false">IF(OR(N315="",P315&gt;0),"",N315&amp;"#"&amp;COUNTIFS($N$8:N315,N315,$P$8:P315,0))</f>
        <v/>
      </c>
      <c r="R315" s="9" t="n">
        <f aca="false">IF(Q315="",0,IFERROR(MATCH(Q315,'Bank Statement'!$Q$8:$Q$507,0),0))</f>
        <v>0</v>
      </c>
      <c r="S315" s="9" t="n">
        <f aca="false">IF(P315&gt;0,P315,R315)</f>
        <v>0</v>
      </c>
      <c r="T315" s="9" t="str">
        <f aca="false">IF(OR(S315=0,B315=""),"",INDEX('Bank Statement'!$B$8:$B$507,S315)-B315)</f>
        <v/>
      </c>
      <c r="U315" s="9" t="n">
        <f aca="false">IF(S315=0,0,IF(P315&gt;0,S315,IF(AND(ISNUMBER(T315),ABS(N(T315))&lt;=Setup!$C$11),S315,0)))</f>
        <v>0</v>
      </c>
      <c r="V315" s="9" t="str">
        <f aca="false">IF(AND(N315&lt;&gt;"",U315=0),IF(M315="OUT",1,2)*100000+ROW(),"")</f>
        <v/>
      </c>
      <c r="W315" s="9" t="n">
        <f aca="false">N(F315)+N(G315)</f>
        <v>0</v>
      </c>
    </row>
    <row r="316" customFormat="false" ht="15" hidden="false" customHeight="false" outlineLevel="0" collapsed="false">
      <c r="A316" s="37" t="str">
        <f aca="false">IF(M316="","",ROW()-7)</f>
        <v/>
      </c>
      <c r="B316" s="70"/>
      <c r="C316" s="71"/>
      <c r="D316" s="72"/>
      <c r="E316" s="71"/>
      <c r="F316" s="73"/>
      <c r="G316" s="73"/>
      <c r="H316" s="42" t="str">
        <f aca="false">IF(M316="","",IF(U316&gt;0,"✔ Matched",IF(M316="OUT","Not yet presented","Not yet credited")))</f>
        <v/>
      </c>
      <c r="I316" s="43" t="str">
        <f aca="false">IF(N(U316)&gt;0,U316,"")</f>
        <v/>
      </c>
      <c r="J316" s="44" t="str">
        <f aca="false">IF(N(U316)&gt;0,T316,"")</f>
        <v/>
      </c>
      <c r="K316" s="45" t="str">
        <f aca="false">IF(AND(M316="",B316="",D316=""),"",IF(AND(N(F316)&gt;0,N(G316)&gt;0),"⚠ Fill deposit OR payment",IF(M316="","⚠ Enter amount",IF(B316="","⚠ Enter date",IF(AND(Setup!$C$8&lt;&gt;"",B316&gt;Setup!$C$8),"⚠ Date after period",IF(AND(O316&lt;&gt;"",COUNTIF($O$8:$O$507,O316)&gt;1),"⚠ Cheque no. used twice","✔"))))))</f>
        <v/>
      </c>
      <c r="M316" s="9" t="str">
        <f aca="false">IF(N(F316)&gt;0,"IN",IF(N(G316)&gt;0,"OUT",""))</f>
        <v/>
      </c>
      <c r="N316" s="9" t="str">
        <f aca="false">IF(M316="","",M316&amp;"|"&amp;TEXT(ROUND(N(F316)+N(G316),2),"0.00"))</f>
        <v/>
      </c>
      <c r="O316" s="9" t="str">
        <f aca="false">IF(OR(N316="",TRIM(E316&amp;"")=""),"",N316&amp;"|"&amp;UPPER(TRIM(E316&amp;"")))</f>
        <v/>
      </c>
      <c r="P316" s="9" t="n">
        <f aca="false">IF(O316="",0,IFERROR(MATCH(O316,'Bank Statement'!$O$8:$O$507,0),0))</f>
        <v>0</v>
      </c>
      <c r="Q316" s="9" t="str">
        <f aca="false">IF(OR(N316="",P316&gt;0),"",N316&amp;"#"&amp;COUNTIFS($N$8:N316,N316,$P$8:P316,0))</f>
        <v/>
      </c>
      <c r="R316" s="9" t="n">
        <f aca="false">IF(Q316="",0,IFERROR(MATCH(Q316,'Bank Statement'!$Q$8:$Q$507,0),0))</f>
        <v>0</v>
      </c>
      <c r="S316" s="9" t="n">
        <f aca="false">IF(P316&gt;0,P316,R316)</f>
        <v>0</v>
      </c>
      <c r="T316" s="9" t="str">
        <f aca="false">IF(OR(S316=0,B316=""),"",INDEX('Bank Statement'!$B$8:$B$507,S316)-B316)</f>
        <v/>
      </c>
      <c r="U316" s="9" t="n">
        <f aca="false">IF(S316=0,0,IF(P316&gt;0,S316,IF(AND(ISNUMBER(T316),ABS(N(T316))&lt;=Setup!$C$11),S316,0)))</f>
        <v>0</v>
      </c>
      <c r="V316" s="9" t="str">
        <f aca="false">IF(AND(N316&lt;&gt;"",U316=0),IF(M316="OUT",1,2)*100000+ROW(),"")</f>
        <v/>
      </c>
      <c r="W316" s="9" t="n">
        <f aca="false">N(F316)+N(G316)</f>
        <v>0</v>
      </c>
    </row>
    <row r="317" customFormat="false" ht="15" hidden="false" customHeight="false" outlineLevel="0" collapsed="false">
      <c r="A317" s="37" t="str">
        <f aca="false">IF(M317="","",ROW()-7)</f>
        <v/>
      </c>
      <c r="B317" s="70"/>
      <c r="C317" s="71"/>
      <c r="D317" s="72"/>
      <c r="E317" s="71"/>
      <c r="F317" s="73"/>
      <c r="G317" s="73"/>
      <c r="H317" s="42" t="str">
        <f aca="false">IF(M317="","",IF(U317&gt;0,"✔ Matched",IF(M317="OUT","Not yet presented","Not yet credited")))</f>
        <v/>
      </c>
      <c r="I317" s="43" t="str">
        <f aca="false">IF(N(U317)&gt;0,U317,"")</f>
        <v/>
      </c>
      <c r="J317" s="44" t="str">
        <f aca="false">IF(N(U317)&gt;0,T317,"")</f>
        <v/>
      </c>
      <c r="K317" s="45" t="str">
        <f aca="false">IF(AND(M317="",B317="",D317=""),"",IF(AND(N(F317)&gt;0,N(G317)&gt;0),"⚠ Fill deposit OR payment",IF(M317="","⚠ Enter amount",IF(B317="","⚠ Enter date",IF(AND(Setup!$C$8&lt;&gt;"",B317&gt;Setup!$C$8),"⚠ Date after period",IF(AND(O317&lt;&gt;"",COUNTIF($O$8:$O$507,O317)&gt;1),"⚠ Cheque no. used twice","✔"))))))</f>
        <v/>
      </c>
      <c r="M317" s="9" t="str">
        <f aca="false">IF(N(F317)&gt;0,"IN",IF(N(G317)&gt;0,"OUT",""))</f>
        <v/>
      </c>
      <c r="N317" s="9" t="str">
        <f aca="false">IF(M317="","",M317&amp;"|"&amp;TEXT(ROUND(N(F317)+N(G317),2),"0.00"))</f>
        <v/>
      </c>
      <c r="O317" s="9" t="str">
        <f aca="false">IF(OR(N317="",TRIM(E317&amp;"")=""),"",N317&amp;"|"&amp;UPPER(TRIM(E317&amp;"")))</f>
        <v/>
      </c>
      <c r="P317" s="9" t="n">
        <f aca="false">IF(O317="",0,IFERROR(MATCH(O317,'Bank Statement'!$O$8:$O$507,0),0))</f>
        <v>0</v>
      </c>
      <c r="Q317" s="9" t="str">
        <f aca="false">IF(OR(N317="",P317&gt;0),"",N317&amp;"#"&amp;COUNTIFS($N$8:N317,N317,$P$8:P317,0))</f>
        <v/>
      </c>
      <c r="R317" s="9" t="n">
        <f aca="false">IF(Q317="",0,IFERROR(MATCH(Q317,'Bank Statement'!$Q$8:$Q$507,0),0))</f>
        <v>0</v>
      </c>
      <c r="S317" s="9" t="n">
        <f aca="false">IF(P317&gt;0,P317,R317)</f>
        <v>0</v>
      </c>
      <c r="T317" s="9" t="str">
        <f aca="false">IF(OR(S317=0,B317=""),"",INDEX('Bank Statement'!$B$8:$B$507,S317)-B317)</f>
        <v/>
      </c>
      <c r="U317" s="9" t="n">
        <f aca="false">IF(S317=0,0,IF(P317&gt;0,S317,IF(AND(ISNUMBER(T317),ABS(N(T317))&lt;=Setup!$C$11),S317,0)))</f>
        <v>0</v>
      </c>
      <c r="V317" s="9" t="str">
        <f aca="false">IF(AND(N317&lt;&gt;"",U317=0),IF(M317="OUT",1,2)*100000+ROW(),"")</f>
        <v/>
      </c>
      <c r="W317" s="9" t="n">
        <f aca="false">N(F317)+N(G317)</f>
        <v>0</v>
      </c>
    </row>
    <row r="318" customFormat="false" ht="15" hidden="false" customHeight="false" outlineLevel="0" collapsed="false">
      <c r="A318" s="37" t="str">
        <f aca="false">IF(M318="","",ROW()-7)</f>
        <v/>
      </c>
      <c r="B318" s="70"/>
      <c r="C318" s="71"/>
      <c r="D318" s="72"/>
      <c r="E318" s="71"/>
      <c r="F318" s="73"/>
      <c r="G318" s="73"/>
      <c r="H318" s="42" t="str">
        <f aca="false">IF(M318="","",IF(U318&gt;0,"✔ Matched",IF(M318="OUT","Not yet presented","Not yet credited")))</f>
        <v/>
      </c>
      <c r="I318" s="43" t="str">
        <f aca="false">IF(N(U318)&gt;0,U318,"")</f>
        <v/>
      </c>
      <c r="J318" s="44" t="str">
        <f aca="false">IF(N(U318)&gt;0,T318,"")</f>
        <v/>
      </c>
      <c r="K318" s="45" t="str">
        <f aca="false">IF(AND(M318="",B318="",D318=""),"",IF(AND(N(F318)&gt;0,N(G318)&gt;0),"⚠ Fill deposit OR payment",IF(M318="","⚠ Enter amount",IF(B318="","⚠ Enter date",IF(AND(Setup!$C$8&lt;&gt;"",B318&gt;Setup!$C$8),"⚠ Date after period",IF(AND(O318&lt;&gt;"",COUNTIF($O$8:$O$507,O318)&gt;1),"⚠ Cheque no. used twice","✔"))))))</f>
        <v/>
      </c>
      <c r="M318" s="9" t="str">
        <f aca="false">IF(N(F318)&gt;0,"IN",IF(N(G318)&gt;0,"OUT",""))</f>
        <v/>
      </c>
      <c r="N318" s="9" t="str">
        <f aca="false">IF(M318="","",M318&amp;"|"&amp;TEXT(ROUND(N(F318)+N(G318),2),"0.00"))</f>
        <v/>
      </c>
      <c r="O318" s="9" t="str">
        <f aca="false">IF(OR(N318="",TRIM(E318&amp;"")=""),"",N318&amp;"|"&amp;UPPER(TRIM(E318&amp;"")))</f>
        <v/>
      </c>
      <c r="P318" s="9" t="n">
        <f aca="false">IF(O318="",0,IFERROR(MATCH(O318,'Bank Statement'!$O$8:$O$507,0),0))</f>
        <v>0</v>
      </c>
      <c r="Q318" s="9" t="str">
        <f aca="false">IF(OR(N318="",P318&gt;0),"",N318&amp;"#"&amp;COUNTIFS($N$8:N318,N318,$P$8:P318,0))</f>
        <v/>
      </c>
      <c r="R318" s="9" t="n">
        <f aca="false">IF(Q318="",0,IFERROR(MATCH(Q318,'Bank Statement'!$Q$8:$Q$507,0),0))</f>
        <v>0</v>
      </c>
      <c r="S318" s="9" t="n">
        <f aca="false">IF(P318&gt;0,P318,R318)</f>
        <v>0</v>
      </c>
      <c r="T318" s="9" t="str">
        <f aca="false">IF(OR(S318=0,B318=""),"",INDEX('Bank Statement'!$B$8:$B$507,S318)-B318)</f>
        <v/>
      </c>
      <c r="U318" s="9" t="n">
        <f aca="false">IF(S318=0,0,IF(P318&gt;0,S318,IF(AND(ISNUMBER(T318),ABS(N(T318))&lt;=Setup!$C$11),S318,0)))</f>
        <v>0</v>
      </c>
      <c r="V318" s="9" t="str">
        <f aca="false">IF(AND(N318&lt;&gt;"",U318=0),IF(M318="OUT",1,2)*100000+ROW(),"")</f>
        <v/>
      </c>
      <c r="W318" s="9" t="n">
        <f aca="false">N(F318)+N(G318)</f>
        <v>0</v>
      </c>
    </row>
    <row r="319" customFormat="false" ht="15" hidden="false" customHeight="false" outlineLevel="0" collapsed="false">
      <c r="A319" s="37" t="str">
        <f aca="false">IF(M319="","",ROW()-7)</f>
        <v/>
      </c>
      <c r="B319" s="70"/>
      <c r="C319" s="71"/>
      <c r="D319" s="72"/>
      <c r="E319" s="71"/>
      <c r="F319" s="73"/>
      <c r="G319" s="73"/>
      <c r="H319" s="42" t="str">
        <f aca="false">IF(M319="","",IF(U319&gt;0,"✔ Matched",IF(M319="OUT","Not yet presented","Not yet credited")))</f>
        <v/>
      </c>
      <c r="I319" s="43" t="str">
        <f aca="false">IF(N(U319)&gt;0,U319,"")</f>
        <v/>
      </c>
      <c r="J319" s="44" t="str">
        <f aca="false">IF(N(U319)&gt;0,T319,"")</f>
        <v/>
      </c>
      <c r="K319" s="45" t="str">
        <f aca="false">IF(AND(M319="",B319="",D319=""),"",IF(AND(N(F319)&gt;0,N(G319)&gt;0),"⚠ Fill deposit OR payment",IF(M319="","⚠ Enter amount",IF(B319="","⚠ Enter date",IF(AND(Setup!$C$8&lt;&gt;"",B319&gt;Setup!$C$8),"⚠ Date after period",IF(AND(O319&lt;&gt;"",COUNTIF($O$8:$O$507,O319)&gt;1),"⚠ Cheque no. used twice","✔"))))))</f>
        <v/>
      </c>
      <c r="M319" s="9" t="str">
        <f aca="false">IF(N(F319)&gt;0,"IN",IF(N(G319)&gt;0,"OUT",""))</f>
        <v/>
      </c>
      <c r="N319" s="9" t="str">
        <f aca="false">IF(M319="","",M319&amp;"|"&amp;TEXT(ROUND(N(F319)+N(G319),2),"0.00"))</f>
        <v/>
      </c>
      <c r="O319" s="9" t="str">
        <f aca="false">IF(OR(N319="",TRIM(E319&amp;"")=""),"",N319&amp;"|"&amp;UPPER(TRIM(E319&amp;"")))</f>
        <v/>
      </c>
      <c r="P319" s="9" t="n">
        <f aca="false">IF(O319="",0,IFERROR(MATCH(O319,'Bank Statement'!$O$8:$O$507,0),0))</f>
        <v>0</v>
      </c>
      <c r="Q319" s="9" t="str">
        <f aca="false">IF(OR(N319="",P319&gt;0),"",N319&amp;"#"&amp;COUNTIFS($N$8:N319,N319,$P$8:P319,0))</f>
        <v/>
      </c>
      <c r="R319" s="9" t="n">
        <f aca="false">IF(Q319="",0,IFERROR(MATCH(Q319,'Bank Statement'!$Q$8:$Q$507,0),0))</f>
        <v>0</v>
      </c>
      <c r="S319" s="9" t="n">
        <f aca="false">IF(P319&gt;0,P319,R319)</f>
        <v>0</v>
      </c>
      <c r="T319" s="9" t="str">
        <f aca="false">IF(OR(S319=0,B319=""),"",INDEX('Bank Statement'!$B$8:$B$507,S319)-B319)</f>
        <v/>
      </c>
      <c r="U319" s="9" t="n">
        <f aca="false">IF(S319=0,0,IF(P319&gt;0,S319,IF(AND(ISNUMBER(T319),ABS(N(T319))&lt;=Setup!$C$11),S319,0)))</f>
        <v>0</v>
      </c>
      <c r="V319" s="9" t="str">
        <f aca="false">IF(AND(N319&lt;&gt;"",U319=0),IF(M319="OUT",1,2)*100000+ROW(),"")</f>
        <v/>
      </c>
      <c r="W319" s="9" t="n">
        <f aca="false">N(F319)+N(G319)</f>
        <v>0</v>
      </c>
    </row>
    <row r="320" customFormat="false" ht="15" hidden="false" customHeight="false" outlineLevel="0" collapsed="false">
      <c r="A320" s="37" t="str">
        <f aca="false">IF(M320="","",ROW()-7)</f>
        <v/>
      </c>
      <c r="B320" s="70"/>
      <c r="C320" s="71"/>
      <c r="D320" s="72"/>
      <c r="E320" s="71"/>
      <c r="F320" s="73"/>
      <c r="G320" s="73"/>
      <c r="H320" s="42" t="str">
        <f aca="false">IF(M320="","",IF(U320&gt;0,"✔ Matched",IF(M320="OUT","Not yet presented","Not yet credited")))</f>
        <v/>
      </c>
      <c r="I320" s="43" t="str">
        <f aca="false">IF(N(U320)&gt;0,U320,"")</f>
        <v/>
      </c>
      <c r="J320" s="44" t="str">
        <f aca="false">IF(N(U320)&gt;0,T320,"")</f>
        <v/>
      </c>
      <c r="K320" s="45" t="str">
        <f aca="false">IF(AND(M320="",B320="",D320=""),"",IF(AND(N(F320)&gt;0,N(G320)&gt;0),"⚠ Fill deposit OR payment",IF(M320="","⚠ Enter amount",IF(B320="","⚠ Enter date",IF(AND(Setup!$C$8&lt;&gt;"",B320&gt;Setup!$C$8),"⚠ Date after period",IF(AND(O320&lt;&gt;"",COUNTIF($O$8:$O$507,O320)&gt;1),"⚠ Cheque no. used twice","✔"))))))</f>
        <v/>
      </c>
      <c r="M320" s="9" t="str">
        <f aca="false">IF(N(F320)&gt;0,"IN",IF(N(G320)&gt;0,"OUT",""))</f>
        <v/>
      </c>
      <c r="N320" s="9" t="str">
        <f aca="false">IF(M320="","",M320&amp;"|"&amp;TEXT(ROUND(N(F320)+N(G320),2),"0.00"))</f>
        <v/>
      </c>
      <c r="O320" s="9" t="str">
        <f aca="false">IF(OR(N320="",TRIM(E320&amp;"")=""),"",N320&amp;"|"&amp;UPPER(TRIM(E320&amp;"")))</f>
        <v/>
      </c>
      <c r="P320" s="9" t="n">
        <f aca="false">IF(O320="",0,IFERROR(MATCH(O320,'Bank Statement'!$O$8:$O$507,0),0))</f>
        <v>0</v>
      </c>
      <c r="Q320" s="9" t="str">
        <f aca="false">IF(OR(N320="",P320&gt;0),"",N320&amp;"#"&amp;COUNTIFS($N$8:N320,N320,$P$8:P320,0))</f>
        <v/>
      </c>
      <c r="R320" s="9" t="n">
        <f aca="false">IF(Q320="",0,IFERROR(MATCH(Q320,'Bank Statement'!$Q$8:$Q$507,0),0))</f>
        <v>0</v>
      </c>
      <c r="S320" s="9" t="n">
        <f aca="false">IF(P320&gt;0,P320,R320)</f>
        <v>0</v>
      </c>
      <c r="T320" s="9" t="str">
        <f aca="false">IF(OR(S320=0,B320=""),"",INDEX('Bank Statement'!$B$8:$B$507,S320)-B320)</f>
        <v/>
      </c>
      <c r="U320" s="9" t="n">
        <f aca="false">IF(S320=0,0,IF(P320&gt;0,S320,IF(AND(ISNUMBER(T320),ABS(N(T320))&lt;=Setup!$C$11),S320,0)))</f>
        <v>0</v>
      </c>
      <c r="V320" s="9" t="str">
        <f aca="false">IF(AND(N320&lt;&gt;"",U320=0),IF(M320="OUT",1,2)*100000+ROW(),"")</f>
        <v/>
      </c>
      <c r="W320" s="9" t="n">
        <f aca="false">N(F320)+N(G320)</f>
        <v>0</v>
      </c>
    </row>
    <row r="321" customFormat="false" ht="15" hidden="false" customHeight="false" outlineLevel="0" collapsed="false">
      <c r="A321" s="37" t="str">
        <f aca="false">IF(M321="","",ROW()-7)</f>
        <v/>
      </c>
      <c r="B321" s="70"/>
      <c r="C321" s="71"/>
      <c r="D321" s="72"/>
      <c r="E321" s="71"/>
      <c r="F321" s="73"/>
      <c r="G321" s="73"/>
      <c r="H321" s="42" t="str">
        <f aca="false">IF(M321="","",IF(U321&gt;0,"✔ Matched",IF(M321="OUT","Not yet presented","Not yet credited")))</f>
        <v/>
      </c>
      <c r="I321" s="43" t="str">
        <f aca="false">IF(N(U321)&gt;0,U321,"")</f>
        <v/>
      </c>
      <c r="J321" s="44" t="str">
        <f aca="false">IF(N(U321)&gt;0,T321,"")</f>
        <v/>
      </c>
      <c r="K321" s="45" t="str">
        <f aca="false">IF(AND(M321="",B321="",D321=""),"",IF(AND(N(F321)&gt;0,N(G321)&gt;0),"⚠ Fill deposit OR payment",IF(M321="","⚠ Enter amount",IF(B321="","⚠ Enter date",IF(AND(Setup!$C$8&lt;&gt;"",B321&gt;Setup!$C$8),"⚠ Date after period",IF(AND(O321&lt;&gt;"",COUNTIF($O$8:$O$507,O321)&gt;1),"⚠ Cheque no. used twice","✔"))))))</f>
        <v/>
      </c>
      <c r="M321" s="9" t="str">
        <f aca="false">IF(N(F321)&gt;0,"IN",IF(N(G321)&gt;0,"OUT",""))</f>
        <v/>
      </c>
      <c r="N321" s="9" t="str">
        <f aca="false">IF(M321="","",M321&amp;"|"&amp;TEXT(ROUND(N(F321)+N(G321),2),"0.00"))</f>
        <v/>
      </c>
      <c r="O321" s="9" t="str">
        <f aca="false">IF(OR(N321="",TRIM(E321&amp;"")=""),"",N321&amp;"|"&amp;UPPER(TRIM(E321&amp;"")))</f>
        <v/>
      </c>
      <c r="P321" s="9" t="n">
        <f aca="false">IF(O321="",0,IFERROR(MATCH(O321,'Bank Statement'!$O$8:$O$507,0),0))</f>
        <v>0</v>
      </c>
      <c r="Q321" s="9" t="str">
        <f aca="false">IF(OR(N321="",P321&gt;0),"",N321&amp;"#"&amp;COUNTIFS($N$8:N321,N321,$P$8:P321,0))</f>
        <v/>
      </c>
      <c r="R321" s="9" t="n">
        <f aca="false">IF(Q321="",0,IFERROR(MATCH(Q321,'Bank Statement'!$Q$8:$Q$507,0),0))</f>
        <v>0</v>
      </c>
      <c r="S321" s="9" t="n">
        <f aca="false">IF(P321&gt;0,P321,R321)</f>
        <v>0</v>
      </c>
      <c r="T321" s="9" t="str">
        <f aca="false">IF(OR(S321=0,B321=""),"",INDEX('Bank Statement'!$B$8:$B$507,S321)-B321)</f>
        <v/>
      </c>
      <c r="U321" s="9" t="n">
        <f aca="false">IF(S321=0,0,IF(P321&gt;0,S321,IF(AND(ISNUMBER(T321),ABS(N(T321))&lt;=Setup!$C$11),S321,0)))</f>
        <v>0</v>
      </c>
      <c r="V321" s="9" t="str">
        <f aca="false">IF(AND(N321&lt;&gt;"",U321=0),IF(M321="OUT",1,2)*100000+ROW(),"")</f>
        <v/>
      </c>
      <c r="W321" s="9" t="n">
        <f aca="false">N(F321)+N(G321)</f>
        <v>0</v>
      </c>
    </row>
    <row r="322" customFormat="false" ht="15" hidden="false" customHeight="false" outlineLevel="0" collapsed="false">
      <c r="A322" s="37" t="str">
        <f aca="false">IF(M322="","",ROW()-7)</f>
        <v/>
      </c>
      <c r="B322" s="70"/>
      <c r="C322" s="71"/>
      <c r="D322" s="72"/>
      <c r="E322" s="71"/>
      <c r="F322" s="73"/>
      <c r="G322" s="73"/>
      <c r="H322" s="42" t="str">
        <f aca="false">IF(M322="","",IF(U322&gt;0,"✔ Matched",IF(M322="OUT","Not yet presented","Not yet credited")))</f>
        <v/>
      </c>
      <c r="I322" s="43" t="str">
        <f aca="false">IF(N(U322)&gt;0,U322,"")</f>
        <v/>
      </c>
      <c r="J322" s="44" t="str">
        <f aca="false">IF(N(U322)&gt;0,T322,"")</f>
        <v/>
      </c>
      <c r="K322" s="45" t="str">
        <f aca="false">IF(AND(M322="",B322="",D322=""),"",IF(AND(N(F322)&gt;0,N(G322)&gt;0),"⚠ Fill deposit OR payment",IF(M322="","⚠ Enter amount",IF(B322="","⚠ Enter date",IF(AND(Setup!$C$8&lt;&gt;"",B322&gt;Setup!$C$8),"⚠ Date after period",IF(AND(O322&lt;&gt;"",COUNTIF($O$8:$O$507,O322)&gt;1),"⚠ Cheque no. used twice","✔"))))))</f>
        <v/>
      </c>
      <c r="M322" s="9" t="str">
        <f aca="false">IF(N(F322)&gt;0,"IN",IF(N(G322)&gt;0,"OUT",""))</f>
        <v/>
      </c>
      <c r="N322" s="9" t="str">
        <f aca="false">IF(M322="","",M322&amp;"|"&amp;TEXT(ROUND(N(F322)+N(G322),2),"0.00"))</f>
        <v/>
      </c>
      <c r="O322" s="9" t="str">
        <f aca="false">IF(OR(N322="",TRIM(E322&amp;"")=""),"",N322&amp;"|"&amp;UPPER(TRIM(E322&amp;"")))</f>
        <v/>
      </c>
      <c r="P322" s="9" t="n">
        <f aca="false">IF(O322="",0,IFERROR(MATCH(O322,'Bank Statement'!$O$8:$O$507,0),0))</f>
        <v>0</v>
      </c>
      <c r="Q322" s="9" t="str">
        <f aca="false">IF(OR(N322="",P322&gt;0),"",N322&amp;"#"&amp;COUNTIFS($N$8:N322,N322,$P$8:P322,0))</f>
        <v/>
      </c>
      <c r="R322" s="9" t="n">
        <f aca="false">IF(Q322="",0,IFERROR(MATCH(Q322,'Bank Statement'!$Q$8:$Q$507,0),0))</f>
        <v>0</v>
      </c>
      <c r="S322" s="9" t="n">
        <f aca="false">IF(P322&gt;0,P322,R322)</f>
        <v>0</v>
      </c>
      <c r="T322" s="9" t="str">
        <f aca="false">IF(OR(S322=0,B322=""),"",INDEX('Bank Statement'!$B$8:$B$507,S322)-B322)</f>
        <v/>
      </c>
      <c r="U322" s="9" t="n">
        <f aca="false">IF(S322=0,0,IF(P322&gt;0,S322,IF(AND(ISNUMBER(T322),ABS(N(T322))&lt;=Setup!$C$11),S322,0)))</f>
        <v>0</v>
      </c>
      <c r="V322" s="9" t="str">
        <f aca="false">IF(AND(N322&lt;&gt;"",U322=0),IF(M322="OUT",1,2)*100000+ROW(),"")</f>
        <v/>
      </c>
      <c r="W322" s="9" t="n">
        <f aca="false">N(F322)+N(G322)</f>
        <v>0</v>
      </c>
    </row>
    <row r="323" customFormat="false" ht="15" hidden="false" customHeight="false" outlineLevel="0" collapsed="false">
      <c r="A323" s="37" t="str">
        <f aca="false">IF(M323="","",ROW()-7)</f>
        <v/>
      </c>
      <c r="B323" s="70"/>
      <c r="C323" s="71"/>
      <c r="D323" s="72"/>
      <c r="E323" s="71"/>
      <c r="F323" s="73"/>
      <c r="G323" s="73"/>
      <c r="H323" s="42" t="str">
        <f aca="false">IF(M323="","",IF(U323&gt;0,"✔ Matched",IF(M323="OUT","Not yet presented","Not yet credited")))</f>
        <v/>
      </c>
      <c r="I323" s="43" t="str">
        <f aca="false">IF(N(U323)&gt;0,U323,"")</f>
        <v/>
      </c>
      <c r="J323" s="44" t="str">
        <f aca="false">IF(N(U323)&gt;0,T323,"")</f>
        <v/>
      </c>
      <c r="K323" s="45" t="str">
        <f aca="false">IF(AND(M323="",B323="",D323=""),"",IF(AND(N(F323)&gt;0,N(G323)&gt;0),"⚠ Fill deposit OR payment",IF(M323="","⚠ Enter amount",IF(B323="","⚠ Enter date",IF(AND(Setup!$C$8&lt;&gt;"",B323&gt;Setup!$C$8),"⚠ Date after period",IF(AND(O323&lt;&gt;"",COUNTIF($O$8:$O$507,O323)&gt;1),"⚠ Cheque no. used twice","✔"))))))</f>
        <v/>
      </c>
      <c r="M323" s="9" t="str">
        <f aca="false">IF(N(F323)&gt;0,"IN",IF(N(G323)&gt;0,"OUT",""))</f>
        <v/>
      </c>
      <c r="N323" s="9" t="str">
        <f aca="false">IF(M323="","",M323&amp;"|"&amp;TEXT(ROUND(N(F323)+N(G323),2),"0.00"))</f>
        <v/>
      </c>
      <c r="O323" s="9" t="str">
        <f aca="false">IF(OR(N323="",TRIM(E323&amp;"")=""),"",N323&amp;"|"&amp;UPPER(TRIM(E323&amp;"")))</f>
        <v/>
      </c>
      <c r="P323" s="9" t="n">
        <f aca="false">IF(O323="",0,IFERROR(MATCH(O323,'Bank Statement'!$O$8:$O$507,0),0))</f>
        <v>0</v>
      </c>
      <c r="Q323" s="9" t="str">
        <f aca="false">IF(OR(N323="",P323&gt;0),"",N323&amp;"#"&amp;COUNTIFS($N$8:N323,N323,$P$8:P323,0))</f>
        <v/>
      </c>
      <c r="R323" s="9" t="n">
        <f aca="false">IF(Q323="",0,IFERROR(MATCH(Q323,'Bank Statement'!$Q$8:$Q$507,0),0))</f>
        <v>0</v>
      </c>
      <c r="S323" s="9" t="n">
        <f aca="false">IF(P323&gt;0,P323,R323)</f>
        <v>0</v>
      </c>
      <c r="T323" s="9" t="str">
        <f aca="false">IF(OR(S323=0,B323=""),"",INDEX('Bank Statement'!$B$8:$B$507,S323)-B323)</f>
        <v/>
      </c>
      <c r="U323" s="9" t="n">
        <f aca="false">IF(S323=0,0,IF(P323&gt;0,S323,IF(AND(ISNUMBER(T323),ABS(N(T323))&lt;=Setup!$C$11),S323,0)))</f>
        <v>0</v>
      </c>
      <c r="V323" s="9" t="str">
        <f aca="false">IF(AND(N323&lt;&gt;"",U323=0),IF(M323="OUT",1,2)*100000+ROW(),"")</f>
        <v/>
      </c>
      <c r="W323" s="9" t="n">
        <f aca="false">N(F323)+N(G323)</f>
        <v>0</v>
      </c>
    </row>
    <row r="324" customFormat="false" ht="15" hidden="false" customHeight="false" outlineLevel="0" collapsed="false">
      <c r="A324" s="37" t="str">
        <f aca="false">IF(M324="","",ROW()-7)</f>
        <v/>
      </c>
      <c r="B324" s="70"/>
      <c r="C324" s="71"/>
      <c r="D324" s="72"/>
      <c r="E324" s="71"/>
      <c r="F324" s="73"/>
      <c r="G324" s="73"/>
      <c r="H324" s="42" t="str">
        <f aca="false">IF(M324="","",IF(U324&gt;0,"✔ Matched",IF(M324="OUT","Not yet presented","Not yet credited")))</f>
        <v/>
      </c>
      <c r="I324" s="43" t="str">
        <f aca="false">IF(N(U324)&gt;0,U324,"")</f>
        <v/>
      </c>
      <c r="J324" s="44" t="str">
        <f aca="false">IF(N(U324)&gt;0,T324,"")</f>
        <v/>
      </c>
      <c r="K324" s="45" t="str">
        <f aca="false">IF(AND(M324="",B324="",D324=""),"",IF(AND(N(F324)&gt;0,N(G324)&gt;0),"⚠ Fill deposit OR payment",IF(M324="","⚠ Enter amount",IF(B324="","⚠ Enter date",IF(AND(Setup!$C$8&lt;&gt;"",B324&gt;Setup!$C$8),"⚠ Date after period",IF(AND(O324&lt;&gt;"",COUNTIF($O$8:$O$507,O324)&gt;1),"⚠ Cheque no. used twice","✔"))))))</f>
        <v/>
      </c>
      <c r="M324" s="9" t="str">
        <f aca="false">IF(N(F324)&gt;0,"IN",IF(N(G324)&gt;0,"OUT",""))</f>
        <v/>
      </c>
      <c r="N324" s="9" t="str">
        <f aca="false">IF(M324="","",M324&amp;"|"&amp;TEXT(ROUND(N(F324)+N(G324),2),"0.00"))</f>
        <v/>
      </c>
      <c r="O324" s="9" t="str">
        <f aca="false">IF(OR(N324="",TRIM(E324&amp;"")=""),"",N324&amp;"|"&amp;UPPER(TRIM(E324&amp;"")))</f>
        <v/>
      </c>
      <c r="P324" s="9" t="n">
        <f aca="false">IF(O324="",0,IFERROR(MATCH(O324,'Bank Statement'!$O$8:$O$507,0),0))</f>
        <v>0</v>
      </c>
      <c r="Q324" s="9" t="str">
        <f aca="false">IF(OR(N324="",P324&gt;0),"",N324&amp;"#"&amp;COUNTIFS($N$8:N324,N324,$P$8:P324,0))</f>
        <v/>
      </c>
      <c r="R324" s="9" t="n">
        <f aca="false">IF(Q324="",0,IFERROR(MATCH(Q324,'Bank Statement'!$Q$8:$Q$507,0),0))</f>
        <v>0</v>
      </c>
      <c r="S324" s="9" t="n">
        <f aca="false">IF(P324&gt;0,P324,R324)</f>
        <v>0</v>
      </c>
      <c r="T324" s="9" t="str">
        <f aca="false">IF(OR(S324=0,B324=""),"",INDEX('Bank Statement'!$B$8:$B$507,S324)-B324)</f>
        <v/>
      </c>
      <c r="U324" s="9" t="n">
        <f aca="false">IF(S324=0,0,IF(P324&gt;0,S324,IF(AND(ISNUMBER(T324),ABS(N(T324))&lt;=Setup!$C$11),S324,0)))</f>
        <v>0</v>
      </c>
      <c r="V324" s="9" t="str">
        <f aca="false">IF(AND(N324&lt;&gt;"",U324=0),IF(M324="OUT",1,2)*100000+ROW(),"")</f>
        <v/>
      </c>
      <c r="W324" s="9" t="n">
        <f aca="false">N(F324)+N(G324)</f>
        <v>0</v>
      </c>
    </row>
    <row r="325" customFormat="false" ht="15" hidden="false" customHeight="false" outlineLevel="0" collapsed="false">
      <c r="A325" s="37" t="str">
        <f aca="false">IF(M325="","",ROW()-7)</f>
        <v/>
      </c>
      <c r="B325" s="70"/>
      <c r="C325" s="71"/>
      <c r="D325" s="72"/>
      <c r="E325" s="71"/>
      <c r="F325" s="73"/>
      <c r="G325" s="73"/>
      <c r="H325" s="42" t="str">
        <f aca="false">IF(M325="","",IF(U325&gt;0,"✔ Matched",IF(M325="OUT","Not yet presented","Not yet credited")))</f>
        <v/>
      </c>
      <c r="I325" s="43" t="str">
        <f aca="false">IF(N(U325)&gt;0,U325,"")</f>
        <v/>
      </c>
      <c r="J325" s="44" t="str">
        <f aca="false">IF(N(U325)&gt;0,T325,"")</f>
        <v/>
      </c>
      <c r="K325" s="45" t="str">
        <f aca="false">IF(AND(M325="",B325="",D325=""),"",IF(AND(N(F325)&gt;0,N(G325)&gt;0),"⚠ Fill deposit OR payment",IF(M325="","⚠ Enter amount",IF(B325="","⚠ Enter date",IF(AND(Setup!$C$8&lt;&gt;"",B325&gt;Setup!$C$8),"⚠ Date after period",IF(AND(O325&lt;&gt;"",COUNTIF($O$8:$O$507,O325)&gt;1),"⚠ Cheque no. used twice","✔"))))))</f>
        <v/>
      </c>
      <c r="M325" s="9" t="str">
        <f aca="false">IF(N(F325)&gt;0,"IN",IF(N(G325)&gt;0,"OUT",""))</f>
        <v/>
      </c>
      <c r="N325" s="9" t="str">
        <f aca="false">IF(M325="","",M325&amp;"|"&amp;TEXT(ROUND(N(F325)+N(G325),2),"0.00"))</f>
        <v/>
      </c>
      <c r="O325" s="9" t="str">
        <f aca="false">IF(OR(N325="",TRIM(E325&amp;"")=""),"",N325&amp;"|"&amp;UPPER(TRIM(E325&amp;"")))</f>
        <v/>
      </c>
      <c r="P325" s="9" t="n">
        <f aca="false">IF(O325="",0,IFERROR(MATCH(O325,'Bank Statement'!$O$8:$O$507,0),0))</f>
        <v>0</v>
      </c>
      <c r="Q325" s="9" t="str">
        <f aca="false">IF(OR(N325="",P325&gt;0),"",N325&amp;"#"&amp;COUNTIFS($N$8:N325,N325,$P$8:P325,0))</f>
        <v/>
      </c>
      <c r="R325" s="9" t="n">
        <f aca="false">IF(Q325="",0,IFERROR(MATCH(Q325,'Bank Statement'!$Q$8:$Q$507,0),0))</f>
        <v>0</v>
      </c>
      <c r="S325" s="9" t="n">
        <f aca="false">IF(P325&gt;0,P325,R325)</f>
        <v>0</v>
      </c>
      <c r="T325" s="9" t="str">
        <f aca="false">IF(OR(S325=0,B325=""),"",INDEX('Bank Statement'!$B$8:$B$507,S325)-B325)</f>
        <v/>
      </c>
      <c r="U325" s="9" t="n">
        <f aca="false">IF(S325=0,0,IF(P325&gt;0,S325,IF(AND(ISNUMBER(T325),ABS(N(T325))&lt;=Setup!$C$11),S325,0)))</f>
        <v>0</v>
      </c>
      <c r="V325" s="9" t="str">
        <f aca="false">IF(AND(N325&lt;&gt;"",U325=0),IF(M325="OUT",1,2)*100000+ROW(),"")</f>
        <v/>
      </c>
      <c r="W325" s="9" t="n">
        <f aca="false">N(F325)+N(G325)</f>
        <v>0</v>
      </c>
    </row>
    <row r="326" customFormat="false" ht="15" hidden="false" customHeight="false" outlineLevel="0" collapsed="false">
      <c r="A326" s="37" t="str">
        <f aca="false">IF(M326="","",ROW()-7)</f>
        <v/>
      </c>
      <c r="B326" s="70"/>
      <c r="C326" s="71"/>
      <c r="D326" s="72"/>
      <c r="E326" s="71"/>
      <c r="F326" s="73"/>
      <c r="G326" s="73"/>
      <c r="H326" s="42" t="str">
        <f aca="false">IF(M326="","",IF(U326&gt;0,"✔ Matched",IF(M326="OUT","Not yet presented","Not yet credited")))</f>
        <v/>
      </c>
      <c r="I326" s="43" t="str">
        <f aca="false">IF(N(U326)&gt;0,U326,"")</f>
        <v/>
      </c>
      <c r="J326" s="44" t="str">
        <f aca="false">IF(N(U326)&gt;0,T326,"")</f>
        <v/>
      </c>
      <c r="K326" s="45" t="str">
        <f aca="false">IF(AND(M326="",B326="",D326=""),"",IF(AND(N(F326)&gt;0,N(G326)&gt;0),"⚠ Fill deposit OR payment",IF(M326="","⚠ Enter amount",IF(B326="","⚠ Enter date",IF(AND(Setup!$C$8&lt;&gt;"",B326&gt;Setup!$C$8),"⚠ Date after period",IF(AND(O326&lt;&gt;"",COUNTIF($O$8:$O$507,O326)&gt;1),"⚠ Cheque no. used twice","✔"))))))</f>
        <v/>
      </c>
      <c r="M326" s="9" t="str">
        <f aca="false">IF(N(F326)&gt;0,"IN",IF(N(G326)&gt;0,"OUT",""))</f>
        <v/>
      </c>
      <c r="N326" s="9" t="str">
        <f aca="false">IF(M326="","",M326&amp;"|"&amp;TEXT(ROUND(N(F326)+N(G326),2),"0.00"))</f>
        <v/>
      </c>
      <c r="O326" s="9" t="str">
        <f aca="false">IF(OR(N326="",TRIM(E326&amp;"")=""),"",N326&amp;"|"&amp;UPPER(TRIM(E326&amp;"")))</f>
        <v/>
      </c>
      <c r="P326" s="9" t="n">
        <f aca="false">IF(O326="",0,IFERROR(MATCH(O326,'Bank Statement'!$O$8:$O$507,0),0))</f>
        <v>0</v>
      </c>
      <c r="Q326" s="9" t="str">
        <f aca="false">IF(OR(N326="",P326&gt;0),"",N326&amp;"#"&amp;COUNTIFS($N$8:N326,N326,$P$8:P326,0))</f>
        <v/>
      </c>
      <c r="R326" s="9" t="n">
        <f aca="false">IF(Q326="",0,IFERROR(MATCH(Q326,'Bank Statement'!$Q$8:$Q$507,0),0))</f>
        <v>0</v>
      </c>
      <c r="S326" s="9" t="n">
        <f aca="false">IF(P326&gt;0,P326,R326)</f>
        <v>0</v>
      </c>
      <c r="T326" s="9" t="str">
        <f aca="false">IF(OR(S326=0,B326=""),"",INDEX('Bank Statement'!$B$8:$B$507,S326)-B326)</f>
        <v/>
      </c>
      <c r="U326" s="9" t="n">
        <f aca="false">IF(S326=0,0,IF(P326&gt;0,S326,IF(AND(ISNUMBER(T326),ABS(N(T326))&lt;=Setup!$C$11),S326,0)))</f>
        <v>0</v>
      </c>
      <c r="V326" s="9" t="str">
        <f aca="false">IF(AND(N326&lt;&gt;"",U326=0),IF(M326="OUT",1,2)*100000+ROW(),"")</f>
        <v/>
      </c>
      <c r="W326" s="9" t="n">
        <f aca="false">N(F326)+N(G326)</f>
        <v>0</v>
      </c>
    </row>
    <row r="327" customFormat="false" ht="15" hidden="false" customHeight="false" outlineLevel="0" collapsed="false">
      <c r="A327" s="37" t="str">
        <f aca="false">IF(M327="","",ROW()-7)</f>
        <v/>
      </c>
      <c r="B327" s="70"/>
      <c r="C327" s="71"/>
      <c r="D327" s="72"/>
      <c r="E327" s="71"/>
      <c r="F327" s="73"/>
      <c r="G327" s="73"/>
      <c r="H327" s="42" t="str">
        <f aca="false">IF(M327="","",IF(U327&gt;0,"✔ Matched",IF(M327="OUT","Not yet presented","Not yet credited")))</f>
        <v/>
      </c>
      <c r="I327" s="43" t="str">
        <f aca="false">IF(N(U327)&gt;0,U327,"")</f>
        <v/>
      </c>
      <c r="J327" s="44" t="str">
        <f aca="false">IF(N(U327)&gt;0,T327,"")</f>
        <v/>
      </c>
      <c r="K327" s="45" t="str">
        <f aca="false">IF(AND(M327="",B327="",D327=""),"",IF(AND(N(F327)&gt;0,N(G327)&gt;0),"⚠ Fill deposit OR payment",IF(M327="","⚠ Enter amount",IF(B327="","⚠ Enter date",IF(AND(Setup!$C$8&lt;&gt;"",B327&gt;Setup!$C$8),"⚠ Date after period",IF(AND(O327&lt;&gt;"",COUNTIF($O$8:$O$507,O327)&gt;1),"⚠ Cheque no. used twice","✔"))))))</f>
        <v/>
      </c>
      <c r="M327" s="9" t="str">
        <f aca="false">IF(N(F327)&gt;0,"IN",IF(N(G327)&gt;0,"OUT",""))</f>
        <v/>
      </c>
      <c r="N327" s="9" t="str">
        <f aca="false">IF(M327="","",M327&amp;"|"&amp;TEXT(ROUND(N(F327)+N(G327),2),"0.00"))</f>
        <v/>
      </c>
      <c r="O327" s="9" t="str">
        <f aca="false">IF(OR(N327="",TRIM(E327&amp;"")=""),"",N327&amp;"|"&amp;UPPER(TRIM(E327&amp;"")))</f>
        <v/>
      </c>
      <c r="P327" s="9" t="n">
        <f aca="false">IF(O327="",0,IFERROR(MATCH(O327,'Bank Statement'!$O$8:$O$507,0),0))</f>
        <v>0</v>
      </c>
      <c r="Q327" s="9" t="str">
        <f aca="false">IF(OR(N327="",P327&gt;0),"",N327&amp;"#"&amp;COUNTIFS($N$8:N327,N327,$P$8:P327,0))</f>
        <v/>
      </c>
      <c r="R327" s="9" t="n">
        <f aca="false">IF(Q327="",0,IFERROR(MATCH(Q327,'Bank Statement'!$Q$8:$Q$507,0),0))</f>
        <v>0</v>
      </c>
      <c r="S327" s="9" t="n">
        <f aca="false">IF(P327&gt;0,P327,R327)</f>
        <v>0</v>
      </c>
      <c r="T327" s="9" t="str">
        <f aca="false">IF(OR(S327=0,B327=""),"",INDEX('Bank Statement'!$B$8:$B$507,S327)-B327)</f>
        <v/>
      </c>
      <c r="U327" s="9" t="n">
        <f aca="false">IF(S327=0,0,IF(P327&gt;0,S327,IF(AND(ISNUMBER(T327),ABS(N(T327))&lt;=Setup!$C$11),S327,0)))</f>
        <v>0</v>
      </c>
      <c r="V327" s="9" t="str">
        <f aca="false">IF(AND(N327&lt;&gt;"",U327=0),IF(M327="OUT",1,2)*100000+ROW(),"")</f>
        <v/>
      </c>
      <c r="W327" s="9" t="n">
        <f aca="false">N(F327)+N(G327)</f>
        <v>0</v>
      </c>
    </row>
    <row r="328" customFormat="false" ht="15" hidden="false" customHeight="false" outlineLevel="0" collapsed="false">
      <c r="A328" s="37" t="str">
        <f aca="false">IF(M328="","",ROW()-7)</f>
        <v/>
      </c>
      <c r="B328" s="70"/>
      <c r="C328" s="71"/>
      <c r="D328" s="72"/>
      <c r="E328" s="71"/>
      <c r="F328" s="73"/>
      <c r="G328" s="73"/>
      <c r="H328" s="42" t="str">
        <f aca="false">IF(M328="","",IF(U328&gt;0,"✔ Matched",IF(M328="OUT","Not yet presented","Not yet credited")))</f>
        <v/>
      </c>
      <c r="I328" s="43" t="str">
        <f aca="false">IF(N(U328)&gt;0,U328,"")</f>
        <v/>
      </c>
      <c r="J328" s="44" t="str">
        <f aca="false">IF(N(U328)&gt;0,T328,"")</f>
        <v/>
      </c>
      <c r="K328" s="45" t="str">
        <f aca="false">IF(AND(M328="",B328="",D328=""),"",IF(AND(N(F328)&gt;0,N(G328)&gt;0),"⚠ Fill deposit OR payment",IF(M328="","⚠ Enter amount",IF(B328="","⚠ Enter date",IF(AND(Setup!$C$8&lt;&gt;"",B328&gt;Setup!$C$8),"⚠ Date after period",IF(AND(O328&lt;&gt;"",COUNTIF($O$8:$O$507,O328)&gt;1),"⚠ Cheque no. used twice","✔"))))))</f>
        <v/>
      </c>
      <c r="M328" s="9" t="str">
        <f aca="false">IF(N(F328)&gt;0,"IN",IF(N(G328)&gt;0,"OUT",""))</f>
        <v/>
      </c>
      <c r="N328" s="9" t="str">
        <f aca="false">IF(M328="","",M328&amp;"|"&amp;TEXT(ROUND(N(F328)+N(G328),2),"0.00"))</f>
        <v/>
      </c>
      <c r="O328" s="9" t="str">
        <f aca="false">IF(OR(N328="",TRIM(E328&amp;"")=""),"",N328&amp;"|"&amp;UPPER(TRIM(E328&amp;"")))</f>
        <v/>
      </c>
      <c r="P328" s="9" t="n">
        <f aca="false">IF(O328="",0,IFERROR(MATCH(O328,'Bank Statement'!$O$8:$O$507,0),0))</f>
        <v>0</v>
      </c>
      <c r="Q328" s="9" t="str">
        <f aca="false">IF(OR(N328="",P328&gt;0),"",N328&amp;"#"&amp;COUNTIFS($N$8:N328,N328,$P$8:P328,0))</f>
        <v/>
      </c>
      <c r="R328" s="9" t="n">
        <f aca="false">IF(Q328="",0,IFERROR(MATCH(Q328,'Bank Statement'!$Q$8:$Q$507,0),0))</f>
        <v>0</v>
      </c>
      <c r="S328" s="9" t="n">
        <f aca="false">IF(P328&gt;0,P328,R328)</f>
        <v>0</v>
      </c>
      <c r="T328" s="9" t="str">
        <f aca="false">IF(OR(S328=0,B328=""),"",INDEX('Bank Statement'!$B$8:$B$507,S328)-B328)</f>
        <v/>
      </c>
      <c r="U328" s="9" t="n">
        <f aca="false">IF(S328=0,0,IF(P328&gt;0,S328,IF(AND(ISNUMBER(T328),ABS(N(T328))&lt;=Setup!$C$11),S328,0)))</f>
        <v>0</v>
      </c>
      <c r="V328" s="9" t="str">
        <f aca="false">IF(AND(N328&lt;&gt;"",U328=0),IF(M328="OUT",1,2)*100000+ROW(),"")</f>
        <v/>
      </c>
      <c r="W328" s="9" t="n">
        <f aca="false">N(F328)+N(G328)</f>
        <v>0</v>
      </c>
    </row>
    <row r="329" customFormat="false" ht="15" hidden="false" customHeight="false" outlineLevel="0" collapsed="false">
      <c r="A329" s="37" t="str">
        <f aca="false">IF(M329="","",ROW()-7)</f>
        <v/>
      </c>
      <c r="B329" s="70"/>
      <c r="C329" s="71"/>
      <c r="D329" s="72"/>
      <c r="E329" s="71"/>
      <c r="F329" s="73"/>
      <c r="G329" s="73"/>
      <c r="H329" s="42" t="str">
        <f aca="false">IF(M329="","",IF(U329&gt;0,"✔ Matched",IF(M329="OUT","Not yet presented","Not yet credited")))</f>
        <v/>
      </c>
      <c r="I329" s="43" t="str">
        <f aca="false">IF(N(U329)&gt;0,U329,"")</f>
        <v/>
      </c>
      <c r="J329" s="44" t="str">
        <f aca="false">IF(N(U329)&gt;0,T329,"")</f>
        <v/>
      </c>
      <c r="K329" s="45" t="str">
        <f aca="false">IF(AND(M329="",B329="",D329=""),"",IF(AND(N(F329)&gt;0,N(G329)&gt;0),"⚠ Fill deposit OR payment",IF(M329="","⚠ Enter amount",IF(B329="","⚠ Enter date",IF(AND(Setup!$C$8&lt;&gt;"",B329&gt;Setup!$C$8),"⚠ Date after period",IF(AND(O329&lt;&gt;"",COUNTIF($O$8:$O$507,O329)&gt;1),"⚠ Cheque no. used twice","✔"))))))</f>
        <v/>
      </c>
      <c r="M329" s="9" t="str">
        <f aca="false">IF(N(F329)&gt;0,"IN",IF(N(G329)&gt;0,"OUT",""))</f>
        <v/>
      </c>
      <c r="N329" s="9" t="str">
        <f aca="false">IF(M329="","",M329&amp;"|"&amp;TEXT(ROUND(N(F329)+N(G329),2),"0.00"))</f>
        <v/>
      </c>
      <c r="O329" s="9" t="str">
        <f aca="false">IF(OR(N329="",TRIM(E329&amp;"")=""),"",N329&amp;"|"&amp;UPPER(TRIM(E329&amp;"")))</f>
        <v/>
      </c>
      <c r="P329" s="9" t="n">
        <f aca="false">IF(O329="",0,IFERROR(MATCH(O329,'Bank Statement'!$O$8:$O$507,0),0))</f>
        <v>0</v>
      </c>
      <c r="Q329" s="9" t="str">
        <f aca="false">IF(OR(N329="",P329&gt;0),"",N329&amp;"#"&amp;COUNTIFS($N$8:N329,N329,$P$8:P329,0))</f>
        <v/>
      </c>
      <c r="R329" s="9" t="n">
        <f aca="false">IF(Q329="",0,IFERROR(MATCH(Q329,'Bank Statement'!$Q$8:$Q$507,0),0))</f>
        <v>0</v>
      </c>
      <c r="S329" s="9" t="n">
        <f aca="false">IF(P329&gt;0,P329,R329)</f>
        <v>0</v>
      </c>
      <c r="T329" s="9" t="str">
        <f aca="false">IF(OR(S329=0,B329=""),"",INDEX('Bank Statement'!$B$8:$B$507,S329)-B329)</f>
        <v/>
      </c>
      <c r="U329" s="9" t="n">
        <f aca="false">IF(S329=0,0,IF(P329&gt;0,S329,IF(AND(ISNUMBER(T329),ABS(N(T329))&lt;=Setup!$C$11),S329,0)))</f>
        <v>0</v>
      </c>
      <c r="V329" s="9" t="str">
        <f aca="false">IF(AND(N329&lt;&gt;"",U329=0),IF(M329="OUT",1,2)*100000+ROW(),"")</f>
        <v/>
      </c>
      <c r="W329" s="9" t="n">
        <f aca="false">N(F329)+N(G329)</f>
        <v>0</v>
      </c>
    </row>
    <row r="330" customFormat="false" ht="15" hidden="false" customHeight="false" outlineLevel="0" collapsed="false">
      <c r="A330" s="37" t="str">
        <f aca="false">IF(M330="","",ROW()-7)</f>
        <v/>
      </c>
      <c r="B330" s="70"/>
      <c r="C330" s="71"/>
      <c r="D330" s="72"/>
      <c r="E330" s="71"/>
      <c r="F330" s="73"/>
      <c r="G330" s="73"/>
      <c r="H330" s="42" t="str">
        <f aca="false">IF(M330="","",IF(U330&gt;0,"✔ Matched",IF(M330="OUT","Not yet presented","Not yet credited")))</f>
        <v/>
      </c>
      <c r="I330" s="43" t="str">
        <f aca="false">IF(N(U330)&gt;0,U330,"")</f>
        <v/>
      </c>
      <c r="J330" s="44" t="str">
        <f aca="false">IF(N(U330)&gt;0,T330,"")</f>
        <v/>
      </c>
      <c r="K330" s="45" t="str">
        <f aca="false">IF(AND(M330="",B330="",D330=""),"",IF(AND(N(F330)&gt;0,N(G330)&gt;0),"⚠ Fill deposit OR payment",IF(M330="","⚠ Enter amount",IF(B330="","⚠ Enter date",IF(AND(Setup!$C$8&lt;&gt;"",B330&gt;Setup!$C$8),"⚠ Date after period",IF(AND(O330&lt;&gt;"",COUNTIF($O$8:$O$507,O330)&gt;1),"⚠ Cheque no. used twice","✔"))))))</f>
        <v/>
      </c>
      <c r="M330" s="9" t="str">
        <f aca="false">IF(N(F330)&gt;0,"IN",IF(N(G330)&gt;0,"OUT",""))</f>
        <v/>
      </c>
      <c r="N330" s="9" t="str">
        <f aca="false">IF(M330="","",M330&amp;"|"&amp;TEXT(ROUND(N(F330)+N(G330),2),"0.00"))</f>
        <v/>
      </c>
      <c r="O330" s="9" t="str">
        <f aca="false">IF(OR(N330="",TRIM(E330&amp;"")=""),"",N330&amp;"|"&amp;UPPER(TRIM(E330&amp;"")))</f>
        <v/>
      </c>
      <c r="P330" s="9" t="n">
        <f aca="false">IF(O330="",0,IFERROR(MATCH(O330,'Bank Statement'!$O$8:$O$507,0),0))</f>
        <v>0</v>
      </c>
      <c r="Q330" s="9" t="str">
        <f aca="false">IF(OR(N330="",P330&gt;0),"",N330&amp;"#"&amp;COUNTIFS($N$8:N330,N330,$P$8:P330,0))</f>
        <v/>
      </c>
      <c r="R330" s="9" t="n">
        <f aca="false">IF(Q330="",0,IFERROR(MATCH(Q330,'Bank Statement'!$Q$8:$Q$507,0),0))</f>
        <v>0</v>
      </c>
      <c r="S330" s="9" t="n">
        <f aca="false">IF(P330&gt;0,P330,R330)</f>
        <v>0</v>
      </c>
      <c r="T330" s="9" t="str">
        <f aca="false">IF(OR(S330=0,B330=""),"",INDEX('Bank Statement'!$B$8:$B$507,S330)-B330)</f>
        <v/>
      </c>
      <c r="U330" s="9" t="n">
        <f aca="false">IF(S330=0,0,IF(P330&gt;0,S330,IF(AND(ISNUMBER(T330),ABS(N(T330))&lt;=Setup!$C$11),S330,0)))</f>
        <v>0</v>
      </c>
      <c r="V330" s="9" t="str">
        <f aca="false">IF(AND(N330&lt;&gt;"",U330=0),IF(M330="OUT",1,2)*100000+ROW(),"")</f>
        <v/>
      </c>
      <c r="W330" s="9" t="n">
        <f aca="false">N(F330)+N(G330)</f>
        <v>0</v>
      </c>
    </row>
    <row r="331" customFormat="false" ht="15" hidden="false" customHeight="false" outlineLevel="0" collapsed="false">
      <c r="A331" s="37" t="str">
        <f aca="false">IF(M331="","",ROW()-7)</f>
        <v/>
      </c>
      <c r="B331" s="70"/>
      <c r="C331" s="71"/>
      <c r="D331" s="72"/>
      <c r="E331" s="71"/>
      <c r="F331" s="73"/>
      <c r="G331" s="73"/>
      <c r="H331" s="42" t="str">
        <f aca="false">IF(M331="","",IF(U331&gt;0,"✔ Matched",IF(M331="OUT","Not yet presented","Not yet credited")))</f>
        <v/>
      </c>
      <c r="I331" s="43" t="str">
        <f aca="false">IF(N(U331)&gt;0,U331,"")</f>
        <v/>
      </c>
      <c r="J331" s="44" t="str">
        <f aca="false">IF(N(U331)&gt;0,T331,"")</f>
        <v/>
      </c>
      <c r="K331" s="45" t="str">
        <f aca="false">IF(AND(M331="",B331="",D331=""),"",IF(AND(N(F331)&gt;0,N(G331)&gt;0),"⚠ Fill deposit OR payment",IF(M331="","⚠ Enter amount",IF(B331="","⚠ Enter date",IF(AND(Setup!$C$8&lt;&gt;"",B331&gt;Setup!$C$8),"⚠ Date after period",IF(AND(O331&lt;&gt;"",COUNTIF($O$8:$O$507,O331)&gt;1),"⚠ Cheque no. used twice","✔"))))))</f>
        <v/>
      </c>
      <c r="M331" s="9" t="str">
        <f aca="false">IF(N(F331)&gt;0,"IN",IF(N(G331)&gt;0,"OUT",""))</f>
        <v/>
      </c>
      <c r="N331" s="9" t="str">
        <f aca="false">IF(M331="","",M331&amp;"|"&amp;TEXT(ROUND(N(F331)+N(G331),2),"0.00"))</f>
        <v/>
      </c>
      <c r="O331" s="9" t="str">
        <f aca="false">IF(OR(N331="",TRIM(E331&amp;"")=""),"",N331&amp;"|"&amp;UPPER(TRIM(E331&amp;"")))</f>
        <v/>
      </c>
      <c r="P331" s="9" t="n">
        <f aca="false">IF(O331="",0,IFERROR(MATCH(O331,'Bank Statement'!$O$8:$O$507,0),0))</f>
        <v>0</v>
      </c>
      <c r="Q331" s="9" t="str">
        <f aca="false">IF(OR(N331="",P331&gt;0),"",N331&amp;"#"&amp;COUNTIFS($N$8:N331,N331,$P$8:P331,0))</f>
        <v/>
      </c>
      <c r="R331" s="9" t="n">
        <f aca="false">IF(Q331="",0,IFERROR(MATCH(Q331,'Bank Statement'!$Q$8:$Q$507,0),0))</f>
        <v>0</v>
      </c>
      <c r="S331" s="9" t="n">
        <f aca="false">IF(P331&gt;0,P331,R331)</f>
        <v>0</v>
      </c>
      <c r="T331" s="9" t="str">
        <f aca="false">IF(OR(S331=0,B331=""),"",INDEX('Bank Statement'!$B$8:$B$507,S331)-B331)</f>
        <v/>
      </c>
      <c r="U331" s="9" t="n">
        <f aca="false">IF(S331=0,0,IF(P331&gt;0,S331,IF(AND(ISNUMBER(T331),ABS(N(T331))&lt;=Setup!$C$11),S331,0)))</f>
        <v>0</v>
      </c>
      <c r="V331" s="9" t="str">
        <f aca="false">IF(AND(N331&lt;&gt;"",U331=0),IF(M331="OUT",1,2)*100000+ROW(),"")</f>
        <v/>
      </c>
      <c r="W331" s="9" t="n">
        <f aca="false">N(F331)+N(G331)</f>
        <v>0</v>
      </c>
    </row>
    <row r="332" customFormat="false" ht="15" hidden="false" customHeight="false" outlineLevel="0" collapsed="false">
      <c r="A332" s="37" t="str">
        <f aca="false">IF(M332="","",ROW()-7)</f>
        <v/>
      </c>
      <c r="B332" s="70"/>
      <c r="C332" s="71"/>
      <c r="D332" s="72"/>
      <c r="E332" s="71"/>
      <c r="F332" s="73"/>
      <c r="G332" s="73"/>
      <c r="H332" s="42" t="str">
        <f aca="false">IF(M332="","",IF(U332&gt;0,"✔ Matched",IF(M332="OUT","Not yet presented","Not yet credited")))</f>
        <v/>
      </c>
      <c r="I332" s="43" t="str">
        <f aca="false">IF(N(U332)&gt;0,U332,"")</f>
        <v/>
      </c>
      <c r="J332" s="44" t="str">
        <f aca="false">IF(N(U332)&gt;0,T332,"")</f>
        <v/>
      </c>
      <c r="K332" s="45" t="str">
        <f aca="false">IF(AND(M332="",B332="",D332=""),"",IF(AND(N(F332)&gt;0,N(G332)&gt;0),"⚠ Fill deposit OR payment",IF(M332="","⚠ Enter amount",IF(B332="","⚠ Enter date",IF(AND(Setup!$C$8&lt;&gt;"",B332&gt;Setup!$C$8),"⚠ Date after period",IF(AND(O332&lt;&gt;"",COUNTIF($O$8:$O$507,O332)&gt;1),"⚠ Cheque no. used twice","✔"))))))</f>
        <v/>
      </c>
      <c r="M332" s="9" t="str">
        <f aca="false">IF(N(F332)&gt;0,"IN",IF(N(G332)&gt;0,"OUT",""))</f>
        <v/>
      </c>
      <c r="N332" s="9" t="str">
        <f aca="false">IF(M332="","",M332&amp;"|"&amp;TEXT(ROUND(N(F332)+N(G332),2),"0.00"))</f>
        <v/>
      </c>
      <c r="O332" s="9" t="str">
        <f aca="false">IF(OR(N332="",TRIM(E332&amp;"")=""),"",N332&amp;"|"&amp;UPPER(TRIM(E332&amp;"")))</f>
        <v/>
      </c>
      <c r="P332" s="9" t="n">
        <f aca="false">IF(O332="",0,IFERROR(MATCH(O332,'Bank Statement'!$O$8:$O$507,0),0))</f>
        <v>0</v>
      </c>
      <c r="Q332" s="9" t="str">
        <f aca="false">IF(OR(N332="",P332&gt;0),"",N332&amp;"#"&amp;COUNTIFS($N$8:N332,N332,$P$8:P332,0))</f>
        <v/>
      </c>
      <c r="R332" s="9" t="n">
        <f aca="false">IF(Q332="",0,IFERROR(MATCH(Q332,'Bank Statement'!$Q$8:$Q$507,0),0))</f>
        <v>0</v>
      </c>
      <c r="S332" s="9" t="n">
        <f aca="false">IF(P332&gt;0,P332,R332)</f>
        <v>0</v>
      </c>
      <c r="T332" s="9" t="str">
        <f aca="false">IF(OR(S332=0,B332=""),"",INDEX('Bank Statement'!$B$8:$B$507,S332)-B332)</f>
        <v/>
      </c>
      <c r="U332" s="9" t="n">
        <f aca="false">IF(S332=0,0,IF(P332&gt;0,S332,IF(AND(ISNUMBER(T332),ABS(N(T332))&lt;=Setup!$C$11),S332,0)))</f>
        <v>0</v>
      </c>
      <c r="V332" s="9" t="str">
        <f aca="false">IF(AND(N332&lt;&gt;"",U332=0),IF(M332="OUT",1,2)*100000+ROW(),"")</f>
        <v/>
      </c>
      <c r="W332" s="9" t="n">
        <f aca="false">N(F332)+N(G332)</f>
        <v>0</v>
      </c>
    </row>
    <row r="333" customFormat="false" ht="15" hidden="false" customHeight="false" outlineLevel="0" collapsed="false">
      <c r="A333" s="37" t="str">
        <f aca="false">IF(M333="","",ROW()-7)</f>
        <v/>
      </c>
      <c r="B333" s="70"/>
      <c r="C333" s="71"/>
      <c r="D333" s="72"/>
      <c r="E333" s="71"/>
      <c r="F333" s="73"/>
      <c r="G333" s="73"/>
      <c r="H333" s="42" t="str">
        <f aca="false">IF(M333="","",IF(U333&gt;0,"✔ Matched",IF(M333="OUT","Not yet presented","Not yet credited")))</f>
        <v/>
      </c>
      <c r="I333" s="43" t="str">
        <f aca="false">IF(N(U333)&gt;0,U333,"")</f>
        <v/>
      </c>
      <c r="J333" s="44" t="str">
        <f aca="false">IF(N(U333)&gt;0,T333,"")</f>
        <v/>
      </c>
      <c r="K333" s="45" t="str">
        <f aca="false">IF(AND(M333="",B333="",D333=""),"",IF(AND(N(F333)&gt;0,N(G333)&gt;0),"⚠ Fill deposit OR payment",IF(M333="","⚠ Enter amount",IF(B333="","⚠ Enter date",IF(AND(Setup!$C$8&lt;&gt;"",B333&gt;Setup!$C$8),"⚠ Date after period",IF(AND(O333&lt;&gt;"",COUNTIF($O$8:$O$507,O333)&gt;1),"⚠ Cheque no. used twice","✔"))))))</f>
        <v/>
      </c>
      <c r="M333" s="9" t="str">
        <f aca="false">IF(N(F333)&gt;0,"IN",IF(N(G333)&gt;0,"OUT",""))</f>
        <v/>
      </c>
      <c r="N333" s="9" t="str">
        <f aca="false">IF(M333="","",M333&amp;"|"&amp;TEXT(ROUND(N(F333)+N(G333),2),"0.00"))</f>
        <v/>
      </c>
      <c r="O333" s="9" t="str">
        <f aca="false">IF(OR(N333="",TRIM(E333&amp;"")=""),"",N333&amp;"|"&amp;UPPER(TRIM(E333&amp;"")))</f>
        <v/>
      </c>
      <c r="P333" s="9" t="n">
        <f aca="false">IF(O333="",0,IFERROR(MATCH(O333,'Bank Statement'!$O$8:$O$507,0),0))</f>
        <v>0</v>
      </c>
      <c r="Q333" s="9" t="str">
        <f aca="false">IF(OR(N333="",P333&gt;0),"",N333&amp;"#"&amp;COUNTIFS($N$8:N333,N333,$P$8:P333,0))</f>
        <v/>
      </c>
      <c r="R333" s="9" t="n">
        <f aca="false">IF(Q333="",0,IFERROR(MATCH(Q333,'Bank Statement'!$Q$8:$Q$507,0),0))</f>
        <v>0</v>
      </c>
      <c r="S333" s="9" t="n">
        <f aca="false">IF(P333&gt;0,P333,R333)</f>
        <v>0</v>
      </c>
      <c r="T333" s="9" t="str">
        <f aca="false">IF(OR(S333=0,B333=""),"",INDEX('Bank Statement'!$B$8:$B$507,S333)-B333)</f>
        <v/>
      </c>
      <c r="U333" s="9" t="n">
        <f aca="false">IF(S333=0,0,IF(P333&gt;0,S333,IF(AND(ISNUMBER(T333),ABS(N(T333))&lt;=Setup!$C$11),S333,0)))</f>
        <v>0</v>
      </c>
      <c r="V333" s="9" t="str">
        <f aca="false">IF(AND(N333&lt;&gt;"",U333=0),IF(M333="OUT",1,2)*100000+ROW(),"")</f>
        <v/>
      </c>
      <c r="W333" s="9" t="n">
        <f aca="false">N(F333)+N(G333)</f>
        <v>0</v>
      </c>
    </row>
    <row r="334" customFormat="false" ht="15" hidden="false" customHeight="false" outlineLevel="0" collapsed="false">
      <c r="A334" s="37" t="str">
        <f aca="false">IF(M334="","",ROW()-7)</f>
        <v/>
      </c>
      <c r="B334" s="70"/>
      <c r="C334" s="71"/>
      <c r="D334" s="72"/>
      <c r="E334" s="71"/>
      <c r="F334" s="73"/>
      <c r="G334" s="73"/>
      <c r="H334" s="42" t="str">
        <f aca="false">IF(M334="","",IF(U334&gt;0,"✔ Matched",IF(M334="OUT","Not yet presented","Not yet credited")))</f>
        <v/>
      </c>
      <c r="I334" s="43" t="str">
        <f aca="false">IF(N(U334)&gt;0,U334,"")</f>
        <v/>
      </c>
      <c r="J334" s="44" t="str">
        <f aca="false">IF(N(U334)&gt;0,T334,"")</f>
        <v/>
      </c>
      <c r="K334" s="45" t="str">
        <f aca="false">IF(AND(M334="",B334="",D334=""),"",IF(AND(N(F334)&gt;0,N(G334)&gt;0),"⚠ Fill deposit OR payment",IF(M334="","⚠ Enter amount",IF(B334="","⚠ Enter date",IF(AND(Setup!$C$8&lt;&gt;"",B334&gt;Setup!$C$8),"⚠ Date after period",IF(AND(O334&lt;&gt;"",COUNTIF($O$8:$O$507,O334)&gt;1),"⚠ Cheque no. used twice","✔"))))))</f>
        <v/>
      </c>
      <c r="M334" s="9" t="str">
        <f aca="false">IF(N(F334)&gt;0,"IN",IF(N(G334)&gt;0,"OUT",""))</f>
        <v/>
      </c>
      <c r="N334" s="9" t="str">
        <f aca="false">IF(M334="","",M334&amp;"|"&amp;TEXT(ROUND(N(F334)+N(G334),2),"0.00"))</f>
        <v/>
      </c>
      <c r="O334" s="9" t="str">
        <f aca="false">IF(OR(N334="",TRIM(E334&amp;"")=""),"",N334&amp;"|"&amp;UPPER(TRIM(E334&amp;"")))</f>
        <v/>
      </c>
      <c r="P334" s="9" t="n">
        <f aca="false">IF(O334="",0,IFERROR(MATCH(O334,'Bank Statement'!$O$8:$O$507,0),0))</f>
        <v>0</v>
      </c>
      <c r="Q334" s="9" t="str">
        <f aca="false">IF(OR(N334="",P334&gt;0),"",N334&amp;"#"&amp;COUNTIFS($N$8:N334,N334,$P$8:P334,0))</f>
        <v/>
      </c>
      <c r="R334" s="9" t="n">
        <f aca="false">IF(Q334="",0,IFERROR(MATCH(Q334,'Bank Statement'!$Q$8:$Q$507,0),0))</f>
        <v>0</v>
      </c>
      <c r="S334" s="9" t="n">
        <f aca="false">IF(P334&gt;0,P334,R334)</f>
        <v>0</v>
      </c>
      <c r="T334" s="9" t="str">
        <f aca="false">IF(OR(S334=0,B334=""),"",INDEX('Bank Statement'!$B$8:$B$507,S334)-B334)</f>
        <v/>
      </c>
      <c r="U334" s="9" t="n">
        <f aca="false">IF(S334=0,0,IF(P334&gt;0,S334,IF(AND(ISNUMBER(T334),ABS(N(T334))&lt;=Setup!$C$11),S334,0)))</f>
        <v>0</v>
      </c>
      <c r="V334" s="9" t="str">
        <f aca="false">IF(AND(N334&lt;&gt;"",U334=0),IF(M334="OUT",1,2)*100000+ROW(),"")</f>
        <v/>
      </c>
      <c r="W334" s="9" t="n">
        <f aca="false">N(F334)+N(G334)</f>
        <v>0</v>
      </c>
    </row>
    <row r="335" customFormat="false" ht="15" hidden="false" customHeight="false" outlineLevel="0" collapsed="false">
      <c r="A335" s="37" t="str">
        <f aca="false">IF(M335="","",ROW()-7)</f>
        <v/>
      </c>
      <c r="B335" s="70"/>
      <c r="C335" s="71"/>
      <c r="D335" s="72"/>
      <c r="E335" s="71"/>
      <c r="F335" s="73"/>
      <c r="G335" s="73"/>
      <c r="H335" s="42" t="str">
        <f aca="false">IF(M335="","",IF(U335&gt;0,"✔ Matched",IF(M335="OUT","Not yet presented","Not yet credited")))</f>
        <v/>
      </c>
      <c r="I335" s="43" t="str">
        <f aca="false">IF(N(U335)&gt;0,U335,"")</f>
        <v/>
      </c>
      <c r="J335" s="44" t="str">
        <f aca="false">IF(N(U335)&gt;0,T335,"")</f>
        <v/>
      </c>
      <c r="K335" s="45" t="str">
        <f aca="false">IF(AND(M335="",B335="",D335=""),"",IF(AND(N(F335)&gt;0,N(G335)&gt;0),"⚠ Fill deposit OR payment",IF(M335="","⚠ Enter amount",IF(B335="","⚠ Enter date",IF(AND(Setup!$C$8&lt;&gt;"",B335&gt;Setup!$C$8),"⚠ Date after period",IF(AND(O335&lt;&gt;"",COUNTIF($O$8:$O$507,O335)&gt;1),"⚠ Cheque no. used twice","✔"))))))</f>
        <v/>
      </c>
      <c r="M335" s="9" t="str">
        <f aca="false">IF(N(F335)&gt;0,"IN",IF(N(G335)&gt;0,"OUT",""))</f>
        <v/>
      </c>
      <c r="N335" s="9" t="str">
        <f aca="false">IF(M335="","",M335&amp;"|"&amp;TEXT(ROUND(N(F335)+N(G335),2),"0.00"))</f>
        <v/>
      </c>
      <c r="O335" s="9" t="str">
        <f aca="false">IF(OR(N335="",TRIM(E335&amp;"")=""),"",N335&amp;"|"&amp;UPPER(TRIM(E335&amp;"")))</f>
        <v/>
      </c>
      <c r="P335" s="9" t="n">
        <f aca="false">IF(O335="",0,IFERROR(MATCH(O335,'Bank Statement'!$O$8:$O$507,0),0))</f>
        <v>0</v>
      </c>
      <c r="Q335" s="9" t="str">
        <f aca="false">IF(OR(N335="",P335&gt;0),"",N335&amp;"#"&amp;COUNTIFS($N$8:N335,N335,$P$8:P335,0))</f>
        <v/>
      </c>
      <c r="R335" s="9" t="n">
        <f aca="false">IF(Q335="",0,IFERROR(MATCH(Q335,'Bank Statement'!$Q$8:$Q$507,0),0))</f>
        <v>0</v>
      </c>
      <c r="S335" s="9" t="n">
        <f aca="false">IF(P335&gt;0,P335,R335)</f>
        <v>0</v>
      </c>
      <c r="T335" s="9" t="str">
        <f aca="false">IF(OR(S335=0,B335=""),"",INDEX('Bank Statement'!$B$8:$B$507,S335)-B335)</f>
        <v/>
      </c>
      <c r="U335" s="9" t="n">
        <f aca="false">IF(S335=0,0,IF(P335&gt;0,S335,IF(AND(ISNUMBER(T335),ABS(N(T335))&lt;=Setup!$C$11),S335,0)))</f>
        <v>0</v>
      </c>
      <c r="V335" s="9" t="str">
        <f aca="false">IF(AND(N335&lt;&gt;"",U335=0),IF(M335="OUT",1,2)*100000+ROW(),"")</f>
        <v/>
      </c>
      <c r="W335" s="9" t="n">
        <f aca="false">N(F335)+N(G335)</f>
        <v>0</v>
      </c>
    </row>
    <row r="336" customFormat="false" ht="15" hidden="false" customHeight="false" outlineLevel="0" collapsed="false">
      <c r="A336" s="37" t="str">
        <f aca="false">IF(M336="","",ROW()-7)</f>
        <v/>
      </c>
      <c r="B336" s="70"/>
      <c r="C336" s="71"/>
      <c r="D336" s="72"/>
      <c r="E336" s="71"/>
      <c r="F336" s="73"/>
      <c r="G336" s="73"/>
      <c r="H336" s="42" t="str">
        <f aca="false">IF(M336="","",IF(U336&gt;0,"✔ Matched",IF(M336="OUT","Not yet presented","Not yet credited")))</f>
        <v/>
      </c>
      <c r="I336" s="43" t="str">
        <f aca="false">IF(N(U336)&gt;0,U336,"")</f>
        <v/>
      </c>
      <c r="J336" s="44" t="str">
        <f aca="false">IF(N(U336)&gt;0,T336,"")</f>
        <v/>
      </c>
      <c r="K336" s="45" t="str">
        <f aca="false">IF(AND(M336="",B336="",D336=""),"",IF(AND(N(F336)&gt;0,N(G336)&gt;0),"⚠ Fill deposit OR payment",IF(M336="","⚠ Enter amount",IF(B336="","⚠ Enter date",IF(AND(Setup!$C$8&lt;&gt;"",B336&gt;Setup!$C$8),"⚠ Date after period",IF(AND(O336&lt;&gt;"",COUNTIF($O$8:$O$507,O336)&gt;1),"⚠ Cheque no. used twice","✔"))))))</f>
        <v/>
      </c>
      <c r="M336" s="9" t="str">
        <f aca="false">IF(N(F336)&gt;0,"IN",IF(N(G336)&gt;0,"OUT",""))</f>
        <v/>
      </c>
      <c r="N336" s="9" t="str">
        <f aca="false">IF(M336="","",M336&amp;"|"&amp;TEXT(ROUND(N(F336)+N(G336),2),"0.00"))</f>
        <v/>
      </c>
      <c r="O336" s="9" t="str">
        <f aca="false">IF(OR(N336="",TRIM(E336&amp;"")=""),"",N336&amp;"|"&amp;UPPER(TRIM(E336&amp;"")))</f>
        <v/>
      </c>
      <c r="P336" s="9" t="n">
        <f aca="false">IF(O336="",0,IFERROR(MATCH(O336,'Bank Statement'!$O$8:$O$507,0),0))</f>
        <v>0</v>
      </c>
      <c r="Q336" s="9" t="str">
        <f aca="false">IF(OR(N336="",P336&gt;0),"",N336&amp;"#"&amp;COUNTIFS($N$8:N336,N336,$P$8:P336,0))</f>
        <v/>
      </c>
      <c r="R336" s="9" t="n">
        <f aca="false">IF(Q336="",0,IFERROR(MATCH(Q336,'Bank Statement'!$Q$8:$Q$507,0),0))</f>
        <v>0</v>
      </c>
      <c r="S336" s="9" t="n">
        <f aca="false">IF(P336&gt;0,P336,R336)</f>
        <v>0</v>
      </c>
      <c r="T336" s="9" t="str">
        <f aca="false">IF(OR(S336=0,B336=""),"",INDEX('Bank Statement'!$B$8:$B$507,S336)-B336)</f>
        <v/>
      </c>
      <c r="U336" s="9" t="n">
        <f aca="false">IF(S336=0,0,IF(P336&gt;0,S336,IF(AND(ISNUMBER(T336),ABS(N(T336))&lt;=Setup!$C$11),S336,0)))</f>
        <v>0</v>
      </c>
      <c r="V336" s="9" t="str">
        <f aca="false">IF(AND(N336&lt;&gt;"",U336=0),IF(M336="OUT",1,2)*100000+ROW(),"")</f>
        <v/>
      </c>
      <c r="W336" s="9" t="n">
        <f aca="false">N(F336)+N(G336)</f>
        <v>0</v>
      </c>
    </row>
    <row r="337" customFormat="false" ht="15" hidden="false" customHeight="false" outlineLevel="0" collapsed="false">
      <c r="A337" s="37" t="str">
        <f aca="false">IF(M337="","",ROW()-7)</f>
        <v/>
      </c>
      <c r="B337" s="70"/>
      <c r="C337" s="71"/>
      <c r="D337" s="72"/>
      <c r="E337" s="71"/>
      <c r="F337" s="73"/>
      <c r="G337" s="73"/>
      <c r="H337" s="42" t="str">
        <f aca="false">IF(M337="","",IF(U337&gt;0,"✔ Matched",IF(M337="OUT","Not yet presented","Not yet credited")))</f>
        <v/>
      </c>
      <c r="I337" s="43" t="str">
        <f aca="false">IF(N(U337)&gt;0,U337,"")</f>
        <v/>
      </c>
      <c r="J337" s="44" t="str">
        <f aca="false">IF(N(U337)&gt;0,T337,"")</f>
        <v/>
      </c>
      <c r="K337" s="45" t="str">
        <f aca="false">IF(AND(M337="",B337="",D337=""),"",IF(AND(N(F337)&gt;0,N(G337)&gt;0),"⚠ Fill deposit OR payment",IF(M337="","⚠ Enter amount",IF(B337="","⚠ Enter date",IF(AND(Setup!$C$8&lt;&gt;"",B337&gt;Setup!$C$8),"⚠ Date after period",IF(AND(O337&lt;&gt;"",COUNTIF($O$8:$O$507,O337)&gt;1),"⚠ Cheque no. used twice","✔"))))))</f>
        <v/>
      </c>
      <c r="M337" s="9" t="str">
        <f aca="false">IF(N(F337)&gt;0,"IN",IF(N(G337)&gt;0,"OUT",""))</f>
        <v/>
      </c>
      <c r="N337" s="9" t="str">
        <f aca="false">IF(M337="","",M337&amp;"|"&amp;TEXT(ROUND(N(F337)+N(G337),2),"0.00"))</f>
        <v/>
      </c>
      <c r="O337" s="9" t="str">
        <f aca="false">IF(OR(N337="",TRIM(E337&amp;"")=""),"",N337&amp;"|"&amp;UPPER(TRIM(E337&amp;"")))</f>
        <v/>
      </c>
      <c r="P337" s="9" t="n">
        <f aca="false">IF(O337="",0,IFERROR(MATCH(O337,'Bank Statement'!$O$8:$O$507,0),0))</f>
        <v>0</v>
      </c>
      <c r="Q337" s="9" t="str">
        <f aca="false">IF(OR(N337="",P337&gt;0),"",N337&amp;"#"&amp;COUNTIFS($N$8:N337,N337,$P$8:P337,0))</f>
        <v/>
      </c>
      <c r="R337" s="9" t="n">
        <f aca="false">IF(Q337="",0,IFERROR(MATCH(Q337,'Bank Statement'!$Q$8:$Q$507,0),0))</f>
        <v>0</v>
      </c>
      <c r="S337" s="9" t="n">
        <f aca="false">IF(P337&gt;0,P337,R337)</f>
        <v>0</v>
      </c>
      <c r="T337" s="9" t="str">
        <f aca="false">IF(OR(S337=0,B337=""),"",INDEX('Bank Statement'!$B$8:$B$507,S337)-B337)</f>
        <v/>
      </c>
      <c r="U337" s="9" t="n">
        <f aca="false">IF(S337=0,0,IF(P337&gt;0,S337,IF(AND(ISNUMBER(T337),ABS(N(T337))&lt;=Setup!$C$11),S337,0)))</f>
        <v>0</v>
      </c>
      <c r="V337" s="9" t="str">
        <f aca="false">IF(AND(N337&lt;&gt;"",U337=0),IF(M337="OUT",1,2)*100000+ROW(),"")</f>
        <v/>
      </c>
      <c r="W337" s="9" t="n">
        <f aca="false">N(F337)+N(G337)</f>
        <v>0</v>
      </c>
    </row>
    <row r="338" customFormat="false" ht="15" hidden="false" customHeight="false" outlineLevel="0" collapsed="false">
      <c r="A338" s="37" t="str">
        <f aca="false">IF(M338="","",ROW()-7)</f>
        <v/>
      </c>
      <c r="B338" s="70"/>
      <c r="C338" s="71"/>
      <c r="D338" s="72"/>
      <c r="E338" s="71"/>
      <c r="F338" s="73"/>
      <c r="G338" s="73"/>
      <c r="H338" s="42" t="str">
        <f aca="false">IF(M338="","",IF(U338&gt;0,"✔ Matched",IF(M338="OUT","Not yet presented","Not yet credited")))</f>
        <v/>
      </c>
      <c r="I338" s="43" t="str">
        <f aca="false">IF(N(U338)&gt;0,U338,"")</f>
        <v/>
      </c>
      <c r="J338" s="44" t="str">
        <f aca="false">IF(N(U338)&gt;0,T338,"")</f>
        <v/>
      </c>
      <c r="K338" s="45" t="str">
        <f aca="false">IF(AND(M338="",B338="",D338=""),"",IF(AND(N(F338)&gt;0,N(G338)&gt;0),"⚠ Fill deposit OR payment",IF(M338="","⚠ Enter amount",IF(B338="","⚠ Enter date",IF(AND(Setup!$C$8&lt;&gt;"",B338&gt;Setup!$C$8),"⚠ Date after period",IF(AND(O338&lt;&gt;"",COUNTIF($O$8:$O$507,O338)&gt;1),"⚠ Cheque no. used twice","✔"))))))</f>
        <v/>
      </c>
      <c r="M338" s="9" t="str">
        <f aca="false">IF(N(F338)&gt;0,"IN",IF(N(G338)&gt;0,"OUT",""))</f>
        <v/>
      </c>
      <c r="N338" s="9" t="str">
        <f aca="false">IF(M338="","",M338&amp;"|"&amp;TEXT(ROUND(N(F338)+N(G338),2),"0.00"))</f>
        <v/>
      </c>
      <c r="O338" s="9" t="str">
        <f aca="false">IF(OR(N338="",TRIM(E338&amp;"")=""),"",N338&amp;"|"&amp;UPPER(TRIM(E338&amp;"")))</f>
        <v/>
      </c>
      <c r="P338" s="9" t="n">
        <f aca="false">IF(O338="",0,IFERROR(MATCH(O338,'Bank Statement'!$O$8:$O$507,0),0))</f>
        <v>0</v>
      </c>
      <c r="Q338" s="9" t="str">
        <f aca="false">IF(OR(N338="",P338&gt;0),"",N338&amp;"#"&amp;COUNTIFS($N$8:N338,N338,$P$8:P338,0))</f>
        <v/>
      </c>
      <c r="R338" s="9" t="n">
        <f aca="false">IF(Q338="",0,IFERROR(MATCH(Q338,'Bank Statement'!$Q$8:$Q$507,0),0))</f>
        <v>0</v>
      </c>
      <c r="S338" s="9" t="n">
        <f aca="false">IF(P338&gt;0,P338,R338)</f>
        <v>0</v>
      </c>
      <c r="T338" s="9" t="str">
        <f aca="false">IF(OR(S338=0,B338=""),"",INDEX('Bank Statement'!$B$8:$B$507,S338)-B338)</f>
        <v/>
      </c>
      <c r="U338" s="9" t="n">
        <f aca="false">IF(S338=0,0,IF(P338&gt;0,S338,IF(AND(ISNUMBER(T338),ABS(N(T338))&lt;=Setup!$C$11),S338,0)))</f>
        <v>0</v>
      </c>
      <c r="V338" s="9" t="str">
        <f aca="false">IF(AND(N338&lt;&gt;"",U338=0),IF(M338="OUT",1,2)*100000+ROW(),"")</f>
        <v/>
      </c>
      <c r="W338" s="9" t="n">
        <f aca="false">N(F338)+N(G338)</f>
        <v>0</v>
      </c>
    </row>
    <row r="339" customFormat="false" ht="15" hidden="false" customHeight="false" outlineLevel="0" collapsed="false">
      <c r="A339" s="37" t="str">
        <f aca="false">IF(M339="","",ROW()-7)</f>
        <v/>
      </c>
      <c r="B339" s="70"/>
      <c r="C339" s="71"/>
      <c r="D339" s="72"/>
      <c r="E339" s="71"/>
      <c r="F339" s="73"/>
      <c r="G339" s="73"/>
      <c r="H339" s="42" t="str">
        <f aca="false">IF(M339="","",IF(U339&gt;0,"✔ Matched",IF(M339="OUT","Not yet presented","Not yet credited")))</f>
        <v/>
      </c>
      <c r="I339" s="43" t="str">
        <f aca="false">IF(N(U339)&gt;0,U339,"")</f>
        <v/>
      </c>
      <c r="J339" s="44" t="str">
        <f aca="false">IF(N(U339)&gt;0,T339,"")</f>
        <v/>
      </c>
      <c r="K339" s="45" t="str">
        <f aca="false">IF(AND(M339="",B339="",D339=""),"",IF(AND(N(F339)&gt;0,N(G339)&gt;0),"⚠ Fill deposit OR payment",IF(M339="","⚠ Enter amount",IF(B339="","⚠ Enter date",IF(AND(Setup!$C$8&lt;&gt;"",B339&gt;Setup!$C$8),"⚠ Date after period",IF(AND(O339&lt;&gt;"",COUNTIF($O$8:$O$507,O339)&gt;1),"⚠ Cheque no. used twice","✔"))))))</f>
        <v/>
      </c>
      <c r="M339" s="9" t="str">
        <f aca="false">IF(N(F339)&gt;0,"IN",IF(N(G339)&gt;0,"OUT",""))</f>
        <v/>
      </c>
      <c r="N339" s="9" t="str">
        <f aca="false">IF(M339="","",M339&amp;"|"&amp;TEXT(ROUND(N(F339)+N(G339),2),"0.00"))</f>
        <v/>
      </c>
      <c r="O339" s="9" t="str">
        <f aca="false">IF(OR(N339="",TRIM(E339&amp;"")=""),"",N339&amp;"|"&amp;UPPER(TRIM(E339&amp;"")))</f>
        <v/>
      </c>
      <c r="P339" s="9" t="n">
        <f aca="false">IF(O339="",0,IFERROR(MATCH(O339,'Bank Statement'!$O$8:$O$507,0),0))</f>
        <v>0</v>
      </c>
      <c r="Q339" s="9" t="str">
        <f aca="false">IF(OR(N339="",P339&gt;0),"",N339&amp;"#"&amp;COUNTIFS($N$8:N339,N339,$P$8:P339,0))</f>
        <v/>
      </c>
      <c r="R339" s="9" t="n">
        <f aca="false">IF(Q339="",0,IFERROR(MATCH(Q339,'Bank Statement'!$Q$8:$Q$507,0),0))</f>
        <v>0</v>
      </c>
      <c r="S339" s="9" t="n">
        <f aca="false">IF(P339&gt;0,P339,R339)</f>
        <v>0</v>
      </c>
      <c r="T339" s="9" t="str">
        <f aca="false">IF(OR(S339=0,B339=""),"",INDEX('Bank Statement'!$B$8:$B$507,S339)-B339)</f>
        <v/>
      </c>
      <c r="U339" s="9" t="n">
        <f aca="false">IF(S339=0,0,IF(P339&gt;0,S339,IF(AND(ISNUMBER(T339),ABS(N(T339))&lt;=Setup!$C$11),S339,0)))</f>
        <v>0</v>
      </c>
      <c r="V339" s="9" t="str">
        <f aca="false">IF(AND(N339&lt;&gt;"",U339=0),IF(M339="OUT",1,2)*100000+ROW(),"")</f>
        <v/>
      </c>
      <c r="W339" s="9" t="n">
        <f aca="false">N(F339)+N(G339)</f>
        <v>0</v>
      </c>
    </row>
    <row r="340" customFormat="false" ht="15" hidden="false" customHeight="false" outlineLevel="0" collapsed="false">
      <c r="A340" s="37" t="str">
        <f aca="false">IF(M340="","",ROW()-7)</f>
        <v/>
      </c>
      <c r="B340" s="70"/>
      <c r="C340" s="71"/>
      <c r="D340" s="72"/>
      <c r="E340" s="71"/>
      <c r="F340" s="73"/>
      <c r="G340" s="73"/>
      <c r="H340" s="42" t="str">
        <f aca="false">IF(M340="","",IF(U340&gt;0,"✔ Matched",IF(M340="OUT","Not yet presented","Not yet credited")))</f>
        <v/>
      </c>
      <c r="I340" s="43" t="str">
        <f aca="false">IF(N(U340)&gt;0,U340,"")</f>
        <v/>
      </c>
      <c r="J340" s="44" t="str">
        <f aca="false">IF(N(U340)&gt;0,T340,"")</f>
        <v/>
      </c>
      <c r="K340" s="45" t="str">
        <f aca="false">IF(AND(M340="",B340="",D340=""),"",IF(AND(N(F340)&gt;0,N(G340)&gt;0),"⚠ Fill deposit OR payment",IF(M340="","⚠ Enter amount",IF(B340="","⚠ Enter date",IF(AND(Setup!$C$8&lt;&gt;"",B340&gt;Setup!$C$8),"⚠ Date after period",IF(AND(O340&lt;&gt;"",COUNTIF($O$8:$O$507,O340)&gt;1),"⚠ Cheque no. used twice","✔"))))))</f>
        <v/>
      </c>
      <c r="M340" s="9" t="str">
        <f aca="false">IF(N(F340)&gt;0,"IN",IF(N(G340)&gt;0,"OUT",""))</f>
        <v/>
      </c>
      <c r="N340" s="9" t="str">
        <f aca="false">IF(M340="","",M340&amp;"|"&amp;TEXT(ROUND(N(F340)+N(G340),2),"0.00"))</f>
        <v/>
      </c>
      <c r="O340" s="9" t="str">
        <f aca="false">IF(OR(N340="",TRIM(E340&amp;"")=""),"",N340&amp;"|"&amp;UPPER(TRIM(E340&amp;"")))</f>
        <v/>
      </c>
      <c r="P340" s="9" t="n">
        <f aca="false">IF(O340="",0,IFERROR(MATCH(O340,'Bank Statement'!$O$8:$O$507,0),0))</f>
        <v>0</v>
      </c>
      <c r="Q340" s="9" t="str">
        <f aca="false">IF(OR(N340="",P340&gt;0),"",N340&amp;"#"&amp;COUNTIFS($N$8:N340,N340,$P$8:P340,0))</f>
        <v/>
      </c>
      <c r="R340" s="9" t="n">
        <f aca="false">IF(Q340="",0,IFERROR(MATCH(Q340,'Bank Statement'!$Q$8:$Q$507,0),0))</f>
        <v>0</v>
      </c>
      <c r="S340" s="9" t="n">
        <f aca="false">IF(P340&gt;0,P340,R340)</f>
        <v>0</v>
      </c>
      <c r="T340" s="9" t="str">
        <f aca="false">IF(OR(S340=0,B340=""),"",INDEX('Bank Statement'!$B$8:$B$507,S340)-B340)</f>
        <v/>
      </c>
      <c r="U340" s="9" t="n">
        <f aca="false">IF(S340=0,0,IF(P340&gt;0,S340,IF(AND(ISNUMBER(T340),ABS(N(T340))&lt;=Setup!$C$11),S340,0)))</f>
        <v>0</v>
      </c>
      <c r="V340" s="9" t="str">
        <f aca="false">IF(AND(N340&lt;&gt;"",U340=0),IF(M340="OUT",1,2)*100000+ROW(),"")</f>
        <v/>
      </c>
      <c r="W340" s="9" t="n">
        <f aca="false">N(F340)+N(G340)</f>
        <v>0</v>
      </c>
    </row>
    <row r="341" customFormat="false" ht="15" hidden="false" customHeight="false" outlineLevel="0" collapsed="false">
      <c r="A341" s="37" t="str">
        <f aca="false">IF(M341="","",ROW()-7)</f>
        <v/>
      </c>
      <c r="B341" s="70"/>
      <c r="C341" s="71"/>
      <c r="D341" s="72"/>
      <c r="E341" s="71"/>
      <c r="F341" s="73"/>
      <c r="G341" s="73"/>
      <c r="H341" s="42" t="str">
        <f aca="false">IF(M341="","",IF(U341&gt;0,"✔ Matched",IF(M341="OUT","Not yet presented","Not yet credited")))</f>
        <v/>
      </c>
      <c r="I341" s="43" t="str">
        <f aca="false">IF(N(U341)&gt;0,U341,"")</f>
        <v/>
      </c>
      <c r="J341" s="44" t="str">
        <f aca="false">IF(N(U341)&gt;0,T341,"")</f>
        <v/>
      </c>
      <c r="K341" s="45" t="str">
        <f aca="false">IF(AND(M341="",B341="",D341=""),"",IF(AND(N(F341)&gt;0,N(G341)&gt;0),"⚠ Fill deposit OR payment",IF(M341="","⚠ Enter amount",IF(B341="","⚠ Enter date",IF(AND(Setup!$C$8&lt;&gt;"",B341&gt;Setup!$C$8),"⚠ Date after period",IF(AND(O341&lt;&gt;"",COUNTIF($O$8:$O$507,O341)&gt;1),"⚠ Cheque no. used twice","✔"))))))</f>
        <v/>
      </c>
      <c r="M341" s="9" t="str">
        <f aca="false">IF(N(F341)&gt;0,"IN",IF(N(G341)&gt;0,"OUT",""))</f>
        <v/>
      </c>
      <c r="N341" s="9" t="str">
        <f aca="false">IF(M341="","",M341&amp;"|"&amp;TEXT(ROUND(N(F341)+N(G341),2),"0.00"))</f>
        <v/>
      </c>
      <c r="O341" s="9" t="str">
        <f aca="false">IF(OR(N341="",TRIM(E341&amp;"")=""),"",N341&amp;"|"&amp;UPPER(TRIM(E341&amp;"")))</f>
        <v/>
      </c>
      <c r="P341" s="9" t="n">
        <f aca="false">IF(O341="",0,IFERROR(MATCH(O341,'Bank Statement'!$O$8:$O$507,0),0))</f>
        <v>0</v>
      </c>
      <c r="Q341" s="9" t="str">
        <f aca="false">IF(OR(N341="",P341&gt;0),"",N341&amp;"#"&amp;COUNTIFS($N$8:N341,N341,$P$8:P341,0))</f>
        <v/>
      </c>
      <c r="R341" s="9" t="n">
        <f aca="false">IF(Q341="",0,IFERROR(MATCH(Q341,'Bank Statement'!$Q$8:$Q$507,0),0))</f>
        <v>0</v>
      </c>
      <c r="S341" s="9" t="n">
        <f aca="false">IF(P341&gt;0,P341,R341)</f>
        <v>0</v>
      </c>
      <c r="T341" s="9" t="str">
        <f aca="false">IF(OR(S341=0,B341=""),"",INDEX('Bank Statement'!$B$8:$B$507,S341)-B341)</f>
        <v/>
      </c>
      <c r="U341" s="9" t="n">
        <f aca="false">IF(S341=0,0,IF(P341&gt;0,S341,IF(AND(ISNUMBER(T341),ABS(N(T341))&lt;=Setup!$C$11),S341,0)))</f>
        <v>0</v>
      </c>
      <c r="V341" s="9" t="str">
        <f aca="false">IF(AND(N341&lt;&gt;"",U341=0),IF(M341="OUT",1,2)*100000+ROW(),"")</f>
        <v/>
      </c>
      <c r="W341" s="9" t="n">
        <f aca="false">N(F341)+N(G341)</f>
        <v>0</v>
      </c>
    </row>
    <row r="342" customFormat="false" ht="15" hidden="false" customHeight="false" outlineLevel="0" collapsed="false">
      <c r="A342" s="37" t="str">
        <f aca="false">IF(M342="","",ROW()-7)</f>
        <v/>
      </c>
      <c r="B342" s="70"/>
      <c r="C342" s="71"/>
      <c r="D342" s="72"/>
      <c r="E342" s="71"/>
      <c r="F342" s="73"/>
      <c r="G342" s="73"/>
      <c r="H342" s="42" t="str">
        <f aca="false">IF(M342="","",IF(U342&gt;0,"✔ Matched",IF(M342="OUT","Not yet presented","Not yet credited")))</f>
        <v/>
      </c>
      <c r="I342" s="43" t="str">
        <f aca="false">IF(N(U342)&gt;0,U342,"")</f>
        <v/>
      </c>
      <c r="J342" s="44" t="str">
        <f aca="false">IF(N(U342)&gt;0,T342,"")</f>
        <v/>
      </c>
      <c r="K342" s="45" t="str">
        <f aca="false">IF(AND(M342="",B342="",D342=""),"",IF(AND(N(F342)&gt;0,N(G342)&gt;0),"⚠ Fill deposit OR payment",IF(M342="","⚠ Enter amount",IF(B342="","⚠ Enter date",IF(AND(Setup!$C$8&lt;&gt;"",B342&gt;Setup!$C$8),"⚠ Date after period",IF(AND(O342&lt;&gt;"",COUNTIF($O$8:$O$507,O342)&gt;1),"⚠ Cheque no. used twice","✔"))))))</f>
        <v/>
      </c>
      <c r="M342" s="9" t="str">
        <f aca="false">IF(N(F342)&gt;0,"IN",IF(N(G342)&gt;0,"OUT",""))</f>
        <v/>
      </c>
      <c r="N342" s="9" t="str">
        <f aca="false">IF(M342="","",M342&amp;"|"&amp;TEXT(ROUND(N(F342)+N(G342),2),"0.00"))</f>
        <v/>
      </c>
      <c r="O342" s="9" t="str">
        <f aca="false">IF(OR(N342="",TRIM(E342&amp;"")=""),"",N342&amp;"|"&amp;UPPER(TRIM(E342&amp;"")))</f>
        <v/>
      </c>
      <c r="P342" s="9" t="n">
        <f aca="false">IF(O342="",0,IFERROR(MATCH(O342,'Bank Statement'!$O$8:$O$507,0),0))</f>
        <v>0</v>
      </c>
      <c r="Q342" s="9" t="str">
        <f aca="false">IF(OR(N342="",P342&gt;0),"",N342&amp;"#"&amp;COUNTIFS($N$8:N342,N342,$P$8:P342,0))</f>
        <v/>
      </c>
      <c r="R342" s="9" t="n">
        <f aca="false">IF(Q342="",0,IFERROR(MATCH(Q342,'Bank Statement'!$Q$8:$Q$507,0),0))</f>
        <v>0</v>
      </c>
      <c r="S342" s="9" t="n">
        <f aca="false">IF(P342&gt;0,P342,R342)</f>
        <v>0</v>
      </c>
      <c r="T342" s="9" t="str">
        <f aca="false">IF(OR(S342=0,B342=""),"",INDEX('Bank Statement'!$B$8:$B$507,S342)-B342)</f>
        <v/>
      </c>
      <c r="U342" s="9" t="n">
        <f aca="false">IF(S342=0,0,IF(P342&gt;0,S342,IF(AND(ISNUMBER(T342),ABS(N(T342))&lt;=Setup!$C$11),S342,0)))</f>
        <v>0</v>
      </c>
      <c r="V342" s="9" t="str">
        <f aca="false">IF(AND(N342&lt;&gt;"",U342=0),IF(M342="OUT",1,2)*100000+ROW(),"")</f>
        <v/>
      </c>
      <c r="W342" s="9" t="n">
        <f aca="false">N(F342)+N(G342)</f>
        <v>0</v>
      </c>
    </row>
    <row r="343" customFormat="false" ht="15" hidden="false" customHeight="false" outlineLevel="0" collapsed="false">
      <c r="A343" s="37" t="str">
        <f aca="false">IF(M343="","",ROW()-7)</f>
        <v/>
      </c>
      <c r="B343" s="70"/>
      <c r="C343" s="71"/>
      <c r="D343" s="72"/>
      <c r="E343" s="71"/>
      <c r="F343" s="73"/>
      <c r="G343" s="73"/>
      <c r="H343" s="42" t="str">
        <f aca="false">IF(M343="","",IF(U343&gt;0,"✔ Matched",IF(M343="OUT","Not yet presented","Not yet credited")))</f>
        <v/>
      </c>
      <c r="I343" s="43" t="str">
        <f aca="false">IF(N(U343)&gt;0,U343,"")</f>
        <v/>
      </c>
      <c r="J343" s="44" t="str">
        <f aca="false">IF(N(U343)&gt;0,T343,"")</f>
        <v/>
      </c>
      <c r="K343" s="45" t="str">
        <f aca="false">IF(AND(M343="",B343="",D343=""),"",IF(AND(N(F343)&gt;0,N(G343)&gt;0),"⚠ Fill deposit OR payment",IF(M343="","⚠ Enter amount",IF(B343="","⚠ Enter date",IF(AND(Setup!$C$8&lt;&gt;"",B343&gt;Setup!$C$8),"⚠ Date after period",IF(AND(O343&lt;&gt;"",COUNTIF($O$8:$O$507,O343)&gt;1),"⚠ Cheque no. used twice","✔"))))))</f>
        <v/>
      </c>
      <c r="M343" s="9" t="str">
        <f aca="false">IF(N(F343)&gt;0,"IN",IF(N(G343)&gt;0,"OUT",""))</f>
        <v/>
      </c>
      <c r="N343" s="9" t="str">
        <f aca="false">IF(M343="","",M343&amp;"|"&amp;TEXT(ROUND(N(F343)+N(G343),2),"0.00"))</f>
        <v/>
      </c>
      <c r="O343" s="9" t="str">
        <f aca="false">IF(OR(N343="",TRIM(E343&amp;"")=""),"",N343&amp;"|"&amp;UPPER(TRIM(E343&amp;"")))</f>
        <v/>
      </c>
      <c r="P343" s="9" t="n">
        <f aca="false">IF(O343="",0,IFERROR(MATCH(O343,'Bank Statement'!$O$8:$O$507,0),0))</f>
        <v>0</v>
      </c>
      <c r="Q343" s="9" t="str">
        <f aca="false">IF(OR(N343="",P343&gt;0),"",N343&amp;"#"&amp;COUNTIFS($N$8:N343,N343,$P$8:P343,0))</f>
        <v/>
      </c>
      <c r="R343" s="9" t="n">
        <f aca="false">IF(Q343="",0,IFERROR(MATCH(Q343,'Bank Statement'!$Q$8:$Q$507,0),0))</f>
        <v>0</v>
      </c>
      <c r="S343" s="9" t="n">
        <f aca="false">IF(P343&gt;0,P343,R343)</f>
        <v>0</v>
      </c>
      <c r="T343" s="9" t="str">
        <f aca="false">IF(OR(S343=0,B343=""),"",INDEX('Bank Statement'!$B$8:$B$507,S343)-B343)</f>
        <v/>
      </c>
      <c r="U343" s="9" t="n">
        <f aca="false">IF(S343=0,0,IF(P343&gt;0,S343,IF(AND(ISNUMBER(T343),ABS(N(T343))&lt;=Setup!$C$11),S343,0)))</f>
        <v>0</v>
      </c>
      <c r="V343" s="9" t="str">
        <f aca="false">IF(AND(N343&lt;&gt;"",U343=0),IF(M343="OUT",1,2)*100000+ROW(),"")</f>
        <v/>
      </c>
      <c r="W343" s="9" t="n">
        <f aca="false">N(F343)+N(G343)</f>
        <v>0</v>
      </c>
    </row>
    <row r="344" customFormat="false" ht="15" hidden="false" customHeight="false" outlineLevel="0" collapsed="false">
      <c r="A344" s="37" t="str">
        <f aca="false">IF(M344="","",ROW()-7)</f>
        <v/>
      </c>
      <c r="B344" s="70"/>
      <c r="C344" s="71"/>
      <c r="D344" s="72"/>
      <c r="E344" s="71"/>
      <c r="F344" s="73"/>
      <c r="G344" s="73"/>
      <c r="H344" s="42" t="str">
        <f aca="false">IF(M344="","",IF(U344&gt;0,"✔ Matched",IF(M344="OUT","Not yet presented","Not yet credited")))</f>
        <v/>
      </c>
      <c r="I344" s="43" t="str">
        <f aca="false">IF(N(U344)&gt;0,U344,"")</f>
        <v/>
      </c>
      <c r="J344" s="44" t="str">
        <f aca="false">IF(N(U344)&gt;0,T344,"")</f>
        <v/>
      </c>
      <c r="K344" s="45" t="str">
        <f aca="false">IF(AND(M344="",B344="",D344=""),"",IF(AND(N(F344)&gt;0,N(G344)&gt;0),"⚠ Fill deposit OR payment",IF(M344="","⚠ Enter amount",IF(B344="","⚠ Enter date",IF(AND(Setup!$C$8&lt;&gt;"",B344&gt;Setup!$C$8),"⚠ Date after period",IF(AND(O344&lt;&gt;"",COUNTIF($O$8:$O$507,O344)&gt;1),"⚠ Cheque no. used twice","✔"))))))</f>
        <v/>
      </c>
      <c r="M344" s="9" t="str">
        <f aca="false">IF(N(F344)&gt;0,"IN",IF(N(G344)&gt;0,"OUT",""))</f>
        <v/>
      </c>
      <c r="N344" s="9" t="str">
        <f aca="false">IF(M344="","",M344&amp;"|"&amp;TEXT(ROUND(N(F344)+N(G344),2),"0.00"))</f>
        <v/>
      </c>
      <c r="O344" s="9" t="str">
        <f aca="false">IF(OR(N344="",TRIM(E344&amp;"")=""),"",N344&amp;"|"&amp;UPPER(TRIM(E344&amp;"")))</f>
        <v/>
      </c>
      <c r="P344" s="9" t="n">
        <f aca="false">IF(O344="",0,IFERROR(MATCH(O344,'Bank Statement'!$O$8:$O$507,0),0))</f>
        <v>0</v>
      </c>
      <c r="Q344" s="9" t="str">
        <f aca="false">IF(OR(N344="",P344&gt;0),"",N344&amp;"#"&amp;COUNTIFS($N$8:N344,N344,$P$8:P344,0))</f>
        <v/>
      </c>
      <c r="R344" s="9" t="n">
        <f aca="false">IF(Q344="",0,IFERROR(MATCH(Q344,'Bank Statement'!$Q$8:$Q$507,0),0))</f>
        <v>0</v>
      </c>
      <c r="S344" s="9" t="n">
        <f aca="false">IF(P344&gt;0,P344,R344)</f>
        <v>0</v>
      </c>
      <c r="T344" s="9" t="str">
        <f aca="false">IF(OR(S344=0,B344=""),"",INDEX('Bank Statement'!$B$8:$B$507,S344)-B344)</f>
        <v/>
      </c>
      <c r="U344" s="9" t="n">
        <f aca="false">IF(S344=0,0,IF(P344&gt;0,S344,IF(AND(ISNUMBER(T344),ABS(N(T344))&lt;=Setup!$C$11),S344,0)))</f>
        <v>0</v>
      </c>
      <c r="V344" s="9" t="str">
        <f aca="false">IF(AND(N344&lt;&gt;"",U344=0),IF(M344="OUT",1,2)*100000+ROW(),"")</f>
        <v/>
      </c>
      <c r="W344" s="9" t="n">
        <f aca="false">N(F344)+N(G344)</f>
        <v>0</v>
      </c>
    </row>
    <row r="345" customFormat="false" ht="15" hidden="false" customHeight="false" outlineLevel="0" collapsed="false">
      <c r="A345" s="37" t="str">
        <f aca="false">IF(M345="","",ROW()-7)</f>
        <v/>
      </c>
      <c r="B345" s="70"/>
      <c r="C345" s="71"/>
      <c r="D345" s="72"/>
      <c r="E345" s="71"/>
      <c r="F345" s="73"/>
      <c r="G345" s="73"/>
      <c r="H345" s="42" t="str">
        <f aca="false">IF(M345="","",IF(U345&gt;0,"✔ Matched",IF(M345="OUT","Not yet presented","Not yet credited")))</f>
        <v/>
      </c>
      <c r="I345" s="43" t="str">
        <f aca="false">IF(N(U345)&gt;0,U345,"")</f>
        <v/>
      </c>
      <c r="J345" s="44" t="str">
        <f aca="false">IF(N(U345)&gt;0,T345,"")</f>
        <v/>
      </c>
      <c r="K345" s="45" t="str">
        <f aca="false">IF(AND(M345="",B345="",D345=""),"",IF(AND(N(F345)&gt;0,N(G345)&gt;0),"⚠ Fill deposit OR payment",IF(M345="","⚠ Enter amount",IF(B345="","⚠ Enter date",IF(AND(Setup!$C$8&lt;&gt;"",B345&gt;Setup!$C$8),"⚠ Date after period",IF(AND(O345&lt;&gt;"",COUNTIF($O$8:$O$507,O345)&gt;1),"⚠ Cheque no. used twice","✔"))))))</f>
        <v/>
      </c>
      <c r="M345" s="9" t="str">
        <f aca="false">IF(N(F345)&gt;0,"IN",IF(N(G345)&gt;0,"OUT",""))</f>
        <v/>
      </c>
      <c r="N345" s="9" t="str">
        <f aca="false">IF(M345="","",M345&amp;"|"&amp;TEXT(ROUND(N(F345)+N(G345),2),"0.00"))</f>
        <v/>
      </c>
      <c r="O345" s="9" t="str">
        <f aca="false">IF(OR(N345="",TRIM(E345&amp;"")=""),"",N345&amp;"|"&amp;UPPER(TRIM(E345&amp;"")))</f>
        <v/>
      </c>
      <c r="P345" s="9" t="n">
        <f aca="false">IF(O345="",0,IFERROR(MATCH(O345,'Bank Statement'!$O$8:$O$507,0),0))</f>
        <v>0</v>
      </c>
      <c r="Q345" s="9" t="str">
        <f aca="false">IF(OR(N345="",P345&gt;0),"",N345&amp;"#"&amp;COUNTIFS($N$8:N345,N345,$P$8:P345,0))</f>
        <v/>
      </c>
      <c r="R345" s="9" t="n">
        <f aca="false">IF(Q345="",0,IFERROR(MATCH(Q345,'Bank Statement'!$Q$8:$Q$507,0),0))</f>
        <v>0</v>
      </c>
      <c r="S345" s="9" t="n">
        <f aca="false">IF(P345&gt;0,P345,R345)</f>
        <v>0</v>
      </c>
      <c r="T345" s="9" t="str">
        <f aca="false">IF(OR(S345=0,B345=""),"",INDEX('Bank Statement'!$B$8:$B$507,S345)-B345)</f>
        <v/>
      </c>
      <c r="U345" s="9" t="n">
        <f aca="false">IF(S345=0,0,IF(P345&gt;0,S345,IF(AND(ISNUMBER(T345),ABS(N(T345))&lt;=Setup!$C$11),S345,0)))</f>
        <v>0</v>
      </c>
      <c r="V345" s="9" t="str">
        <f aca="false">IF(AND(N345&lt;&gt;"",U345=0),IF(M345="OUT",1,2)*100000+ROW(),"")</f>
        <v/>
      </c>
      <c r="W345" s="9" t="n">
        <f aca="false">N(F345)+N(G345)</f>
        <v>0</v>
      </c>
    </row>
    <row r="346" customFormat="false" ht="15" hidden="false" customHeight="false" outlineLevel="0" collapsed="false">
      <c r="A346" s="37" t="str">
        <f aca="false">IF(M346="","",ROW()-7)</f>
        <v/>
      </c>
      <c r="B346" s="70"/>
      <c r="C346" s="71"/>
      <c r="D346" s="72"/>
      <c r="E346" s="71"/>
      <c r="F346" s="73"/>
      <c r="G346" s="73"/>
      <c r="H346" s="42" t="str">
        <f aca="false">IF(M346="","",IF(U346&gt;0,"✔ Matched",IF(M346="OUT","Not yet presented","Not yet credited")))</f>
        <v/>
      </c>
      <c r="I346" s="43" t="str">
        <f aca="false">IF(N(U346)&gt;0,U346,"")</f>
        <v/>
      </c>
      <c r="J346" s="44" t="str">
        <f aca="false">IF(N(U346)&gt;0,T346,"")</f>
        <v/>
      </c>
      <c r="K346" s="45" t="str">
        <f aca="false">IF(AND(M346="",B346="",D346=""),"",IF(AND(N(F346)&gt;0,N(G346)&gt;0),"⚠ Fill deposit OR payment",IF(M346="","⚠ Enter amount",IF(B346="","⚠ Enter date",IF(AND(Setup!$C$8&lt;&gt;"",B346&gt;Setup!$C$8),"⚠ Date after period",IF(AND(O346&lt;&gt;"",COUNTIF($O$8:$O$507,O346)&gt;1),"⚠ Cheque no. used twice","✔"))))))</f>
        <v/>
      </c>
      <c r="M346" s="9" t="str">
        <f aca="false">IF(N(F346)&gt;0,"IN",IF(N(G346)&gt;0,"OUT",""))</f>
        <v/>
      </c>
      <c r="N346" s="9" t="str">
        <f aca="false">IF(M346="","",M346&amp;"|"&amp;TEXT(ROUND(N(F346)+N(G346),2),"0.00"))</f>
        <v/>
      </c>
      <c r="O346" s="9" t="str">
        <f aca="false">IF(OR(N346="",TRIM(E346&amp;"")=""),"",N346&amp;"|"&amp;UPPER(TRIM(E346&amp;"")))</f>
        <v/>
      </c>
      <c r="P346" s="9" t="n">
        <f aca="false">IF(O346="",0,IFERROR(MATCH(O346,'Bank Statement'!$O$8:$O$507,0),0))</f>
        <v>0</v>
      </c>
      <c r="Q346" s="9" t="str">
        <f aca="false">IF(OR(N346="",P346&gt;0),"",N346&amp;"#"&amp;COUNTIFS($N$8:N346,N346,$P$8:P346,0))</f>
        <v/>
      </c>
      <c r="R346" s="9" t="n">
        <f aca="false">IF(Q346="",0,IFERROR(MATCH(Q346,'Bank Statement'!$Q$8:$Q$507,0),0))</f>
        <v>0</v>
      </c>
      <c r="S346" s="9" t="n">
        <f aca="false">IF(P346&gt;0,P346,R346)</f>
        <v>0</v>
      </c>
      <c r="T346" s="9" t="str">
        <f aca="false">IF(OR(S346=0,B346=""),"",INDEX('Bank Statement'!$B$8:$B$507,S346)-B346)</f>
        <v/>
      </c>
      <c r="U346" s="9" t="n">
        <f aca="false">IF(S346=0,0,IF(P346&gt;0,S346,IF(AND(ISNUMBER(T346),ABS(N(T346))&lt;=Setup!$C$11),S346,0)))</f>
        <v>0</v>
      </c>
      <c r="V346" s="9" t="str">
        <f aca="false">IF(AND(N346&lt;&gt;"",U346=0),IF(M346="OUT",1,2)*100000+ROW(),"")</f>
        <v/>
      </c>
      <c r="W346" s="9" t="n">
        <f aca="false">N(F346)+N(G346)</f>
        <v>0</v>
      </c>
    </row>
    <row r="347" customFormat="false" ht="15" hidden="false" customHeight="false" outlineLevel="0" collapsed="false">
      <c r="A347" s="37" t="str">
        <f aca="false">IF(M347="","",ROW()-7)</f>
        <v/>
      </c>
      <c r="B347" s="70"/>
      <c r="C347" s="71"/>
      <c r="D347" s="72"/>
      <c r="E347" s="71"/>
      <c r="F347" s="73"/>
      <c r="G347" s="73"/>
      <c r="H347" s="42" t="str">
        <f aca="false">IF(M347="","",IF(U347&gt;0,"✔ Matched",IF(M347="OUT","Not yet presented","Not yet credited")))</f>
        <v/>
      </c>
      <c r="I347" s="43" t="str">
        <f aca="false">IF(N(U347)&gt;0,U347,"")</f>
        <v/>
      </c>
      <c r="J347" s="44" t="str">
        <f aca="false">IF(N(U347)&gt;0,T347,"")</f>
        <v/>
      </c>
      <c r="K347" s="45" t="str">
        <f aca="false">IF(AND(M347="",B347="",D347=""),"",IF(AND(N(F347)&gt;0,N(G347)&gt;0),"⚠ Fill deposit OR payment",IF(M347="","⚠ Enter amount",IF(B347="","⚠ Enter date",IF(AND(Setup!$C$8&lt;&gt;"",B347&gt;Setup!$C$8),"⚠ Date after period",IF(AND(O347&lt;&gt;"",COUNTIF($O$8:$O$507,O347)&gt;1),"⚠ Cheque no. used twice","✔"))))))</f>
        <v/>
      </c>
      <c r="M347" s="9" t="str">
        <f aca="false">IF(N(F347)&gt;0,"IN",IF(N(G347)&gt;0,"OUT",""))</f>
        <v/>
      </c>
      <c r="N347" s="9" t="str">
        <f aca="false">IF(M347="","",M347&amp;"|"&amp;TEXT(ROUND(N(F347)+N(G347),2),"0.00"))</f>
        <v/>
      </c>
      <c r="O347" s="9" t="str">
        <f aca="false">IF(OR(N347="",TRIM(E347&amp;"")=""),"",N347&amp;"|"&amp;UPPER(TRIM(E347&amp;"")))</f>
        <v/>
      </c>
      <c r="P347" s="9" t="n">
        <f aca="false">IF(O347="",0,IFERROR(MATCH(O347,'Bank Statement'!$O$8:$O$507,0),0))</f>
        <v>0</v>
      </c>
      <c r="Q347" s="9" t="str">
        <f aca="false">IF(OR(N347="",P347&gt;0),"",N347&amp;"#"&amp;COUNTIFS($N$8:N347,N347,$P$8:P347,0))</f>
        <v/>
      </c>
      <c r="R347" s="9" t="n">
        <f aca="false">IF(Q347="",0,IFERROR(MATCH(Q347,'Bank Statement'!$Q$8:$Q$507,0),0))</f>
        <v>0</v>
      </c>
      <c r="S347" s="9" t="n">
        <f aca="false">IF(P347&gt;0,P347,R347)</f>
        <v>0</v>
      </c>
      <c r="T347" s="9" t="str">
        <f aca="false">IF(OR(S347=0,B347=""),"",INDEX('Bank Statement'!$B$8:$B$507,S347)-B347)</f>
        <v/>
      </c>
      <c r="U347" s="9" t="n">
        <f aca="false">IF(S347=0,0,IF(P347&gt;0,S347,IF(AND(ISNUMBER(T347),ABS(N(T347))&lt;=Setup!$C$11),S347,0)))</f>
        <v>0</v>
      </c>
      <c r="V347" s="9" t="str">
        <f aca="false">IF(AND(N347&lt;&gt;"",U347=0),IF(M347="OUT",1,2)*100000+ROW(),"")</f>
        <v/>
      </c>
      <c r="W347" s="9" t="n">
        <f aca="false">N(F347)+N(G347)</f>
        <v>0</v>
      </c>
    </row>
    <row r="348" customFormat="false" ht="15" hidden="false" customHeight="false" outlineLevel="0" collapsed="false">
      <c r="A348" s="37" t="str">
        <f aca="false">IF(M348="","",ROW()-7)</f>
        <v/>
      </c>
      <c r="B348" s="70"/>
      <c r="C348" s="71"/>
      <c r="D348" s="72"/>
      <c r="E348" s="71"/>
      <c r="F348" s="73"/>
      <c r="G348" s="73"/>
      <c r="H348" s="42" t="str">
        <f aca="false">IF(M348="","",IF(U348&gt;0,"✔ Matched",IF(M348="OUT","Not yet presented","Not yet credited")))</f>
        <v/>
      </c>
      <c r="I348" s="43" t="str">
        <f aca="false">IF(N(U348)&gt;0,U348,"")</f>
        <v/>
      </c>
      <c r="J348" s="44" t="str">
        <f aca="false">IF(N(U348)&gt;0,T348,"")</f>
        <v/>
      </c>
      <c r="K348" s="45" t="str">
        <f aca="false">IF(AND(M348="",B348="",D348=""),"",IF(AND(N(F348)&gt;0,N(G348)&gt;0),"⚠ Fill deposit OR payment",IF(M348="","⚠ Enter amount",IF(B348="","⚠ Enter date",IF(AND(Setup!$C$8&lt;&gt;"",B348&gt;Setup!$C$8),"⚠ Date after period",IF(AND(O348&lt;&gt;"",COUNTIF($O$8:$O$507,O348)&gt;1),"⚠ Cheque no. used twice","✔"))))))</f>
        <v/>
      </c>
      <c r="M348" s="9" t="str">
        <f aca="false">IF(N(F348)&gt;0,"IN",IF(N(G348)&gt;0,"OUT",""))</f>
        <v/>
      </c>
      <c r="N348" s="9" t="str">
        <f aca="false">IF(M348="","",M348&amp;"|"&amp;TEXT(ROUND(N(F348)+N(G348),2),"0.00"))</f>
        <v/>
      </c>
      <c r="O348" s="9" t="str">
        <f aca="false">IF(OR(N348="",TRIM(E348&amp;"")=""),"",N348&amp;"|"&amp;UPPER(TRIM(E348&amp;"")))</f>
        <v/>
      </c>
      <c r="P348" s="9" t="n">
        <f aca="false">IF(O348="",0,IFERROR(MATCH(O348,'Bank Statement'!$O$8:$O$507,0),0))</f>
        <v>0</v>
      </c>
      <c r="Q348" s="9" t="str">
        <f aca="false">IF(OR(N348="",P348&gt;0),"",N348&amp;"#"&amp;COUNTIFS($N$8:N348,N348,$P$8:P348,0))</f>
        <v/>
      </c>
      <c r="R348" s="9" t="n">
        <f aca="false">IF(Q348="",0,IFERROR(MATCH(Q348,'Bank Statement'!$Q$8:$Q$507,0),0))</f>
        <v>0</v>
      </c>
      <c r="S348" s="9" t="n">
        <f aca="false">IF(P348&gt;0,P348,R348)</f>
        <v>0</v>
      </c>
      <c r="T348" s="9" t="str">
        <f aca="false">IF(OR(S348=0,B348=""),"",INDEX('Bank Statement'!$B$8:$B$507,S348)-B348)</f>
        <v/>
      </c>
      <c r="U348" s="9" t="n">
        <f aca="false">IF(S348=0,0,IF(P348&gt;0,S348,IF(AND(ISNUMBER(T348),ABS(N(T348))&lt;=Setup!$C$11),S348,0)))</f>
        <v>0</v>
      </c>
      <c r="V348" s="9" t="str">
        <f aca="false">IF(AND(N348&lt;&gt;"",U348=0),IF(M348="OUT",1,2)*100000+ROW(),"")</f>
        <v/>
      </c>
      <c r="W348" s="9" t="n">
        <f aca="false">N(F348)+N(G348)</f>
        <v>0</v>
      </c>
    </row>
    <row r="349" customFormat="false" ht="15" hidden="false" customHeight="false" outlineLevel="0" collapsed="false">
      <c r="A349" s="37" t="str">
        <f aca="false">IF(M349="","",ROW()-7)</f>
        <v/>
      </c>
      <c r="B349" s="70"/>
      <c r="C349" s="71"/>
      <c r="D349" s="72"/>
      <c r="E349" s="71"/>
      <c r="F349" s="73"/>
      <c r="G349" s="73"/>
      <c r="H349" s="42" t="str">
        <f aca="false">IF(M349="","",IF(U349&gt;0,"✔ Matched",IF(M349="OUT","Not yet presented","Not yet credited")))</f>
        <v/>
      </c>
      <c r="I349" s="43" t="str">
        <f aca="false">IF(N(U349)&gt;0,U349,"")</f>
        <v/>
      </c>
      <c r="J349" s="44" t="str">
        <f aca="false">IF(N(U349)&gt;0,T349,"")</f>
        <v/>
      </c>
      <c r="K349" s="45" t="str">
        <f aca="false">IF(AND(M349="",B349="",D349=""),"",IF(AND(N(F349)&gt;0,N(G349)&gt;0),"⚠ Fill deposit OR payment",IF(M349="","⚠ Enter amount",IF(B349="","⚠ Enter date",IF(AND(Setup!$C$8&lt;&gt;"",B349&gt;Setup!$C$8),"⚠ Date after period",IF(AND(O349&lt;&gt;"",COUNTIF($O$8:$O$507,O349)&gt;1),"⚠ Cheque no. used twice","✔"))))))</f>
        <v/>
      </c>
      <c r="M349" s="9" t="str">
        <f aca="false">IF(N(F349)&gt;0,"IN",IF(N(G349)&gt;0,"OUT",""))</f>
        <v/>
      </c>
      <c r="N349" s="9" t="str">
        <f aca="false">IF(M349="","",M349&amp;"|"&amp;TEXT(ROUND(N(F349)+N(G349),2),"0.00"))</f>
        <v/>
      </c>
      <c r="O349" s="9" t="str">
        <f aca="false">IF(OR(N349="",TRIM(E349&amp;"")=""),"",N349&amp;"|"&amp;UPPER(TRIM(E349&amp;"")))</f>
        <v/>
      </c>
      <c r="P349" s="9" t="n">
        <f aca="false">IF(O349="",0,IFERROR(MATCH(O349,'Bank Statement'!$O$8:$O$507,0),0))</f>
        <v>0</v>
      </c>
      <c r="Q349" s="9" t="str">
        <f aca="false">IF(OR(N349="",P349&gt;0),"",N349&amp;"#"&amp;COUNTIFS($N$8:N349,N349,$P$8:P349,0))</f>
        <v/>
      </c>
      <c r="R349" s="9" t="n">
        <f aca="false">IF(Q349="",0,IFERROR(MATCH(Q349,'Bank Statement'!$Q$8:$Q$507,0),0))</f>
        <v>0</v>
      </c>
      <c r="S349" s="9" t="n">
        <f aca="false">IF(P349&gt;0,P349,R349)</f>
        <v>0</v>
      </c>
      <c r="T349" s="9" t="str">
        <f aca="false">IF(OR(S349=0,B349=""),"",INDEX('Bank Statement'!$B$8:$B$507,S349)-B349)</f>
        <v/>
      </c>
      <c r="U349" s="9" t="n">
        <f aca="false">IF(S349=0,0,IF(P349&gt;0,S349,IF(AND(ISNUMBER(T349),ABS(N(T349))&lt;=Setup!$C$11),S349,0)))</f>
        <v>0</v>
      </c>
      <c r="V349" s="9" t="str">
        <f aca="false">IF(AND(N349&lt;&gt;"",U349=0),IF(M349="OUT",1,2)*100000+ROW(),"")</f>
        <v/>
      </c>
      <c r="W349" s="9" t="n">
        <f aca="false">N(F349)+N(G349)</f>
        <v>0</v>
      </c>
    </row>
    <row r="350" customFormat="false" ht="15" hidden="false" customHeight="false" outlineLevel="0" collapsed="false">
      <c r="A350" s="37" t="str">
        <f aca="false">IF(M350="","",ROW()-7)</f>
        <v/>
      </c>
      <c r="B350" s="70"/>
      <c r="C350" s="71"/>
      <c r="D350" s="72"/>
      <c r="E350" s="71"/>
      <c r="F350" s="73"/>
      <c r="G350" s="73"/>
      <c r="H350" s="42" t="str">
        <f aca="false">IF(M350="","",IF(U350&gt;0,"✔ Matched",IF(M350="OUT","Not yet presented","Not yet credited")))</f>
        <v/>
      </c>
      <c r="I350" s="43" t="str">
        <f aca="false">IF(N(U350)&gt;0,U350,"")</f>
        <v/>
      </c>
      <c r="J350" s="44" t="str">
        <f aca="false">IF(N(U350)&gt;0,T350,"")</f>
        <v/>
      </c>
      <c r="K350" s="45" t="str">
        <f aca="false">IF(AND(M350="",B350="",D350=""),"",IF(AND(N(F350)&gt;0,N(G350)&gt;0),"⚠ Fill deposit OR payment",IF(M350="","⚠ Enter amount",IF(B350="","⚠ Enter date",IF(AND(Setup!$C$8&lt;&gt;"",B350&gt;Setup!$C$8),"⚠ Date after period",IF(AND(O350&lt;&gt;"",COUNTIF($O$8:$O$507,O350)&gt;1),"⚠ Cheque no. used twice","✔"))))))</f>
        <v/>
      </c>
      <c r="M350" s="9" t="str">
        <f aca="false">IF(N(F350)&gt;0,"IN",IF(N(G350)&gt;0,"OUT",""))</f>
        <v/>
      </c>
      <c r="N350" s="9" t="str">
        <f aca="false">IF(M350="","",M350&amp;"|"&amp;TEXT(ROUND(N(F350)+N(G350),2),"0.00"))</f>
        <v/>
      </c>
      <c r="O350" s="9" t="str">
        <f aca="false">IF(OR(N350="",TRIM(E350&amp;"")=""),"",N350&amp;"|"&amp;UPPER(TRIM(E350&amp;"")))</f>
        <v/>
      </c>
      <c r="P350" s="9" t="n">
        <f aca="false">IF(O350="",0,IFERROR(MATCH(O350,'Bank Statement'!$O$8:$O$507,0),0))</f>
        <v>0</v>
      </c>
      <c r="Q350" s="9" t="str">
        <f aca="false">IF(OR(N350="",P350&gt;0),"",N350&amp;"#"&amp;COUNTIFS($N$8:N350,N350,$P$8:P350,0))</f>
        <v/>
      </c>
      <c r="R350" s="9" t="n">
        <f aca="false">IF(Q350="",0,IFERROR(MATCH(Q350,'Bank Statement'!$Q$8:$Q$507,0),0))</f>
        <v>0</v>
      </c>
      <c r="S350" s="9" t="n">
        <f aca="false">IF(P350&gt;0,P350,R350)</f>
        <v>0</v>
      </c>
      <c r="T350" s="9" t="str">
        <f aca="false">IF(OR(S350=0,B350=""),"",INDEX('Bank Statement'!$B$8:$B$507,S350)-B350)</f>
        <v/>
      </c>
      <c r="U350" s="9" t="n">
        <f aca="false">IF(S350=0,0,IF(P350&gt;0,S350,IF(AND(ISNUMBER(T350),ABS(N(T350))&lt;=Setup!$C$11),S350,0)))</f>
        <v>0</v>
      </c>
      <c r="V350" s="9" t="str">
        <f aca="false">IF(AND(N350&lt;&gt;"",U350=0),IF(M350="OUT",1,2)*100000+ROW(),"")</f>
        <v/>
      </c>
      <c r="W350" s="9" t="n">
        <f aca="false">N(F350)+N(G350)</f>
        <v>0</v>
      </c>
    </row>
    <row r="351" customFormat="false" ht="15" hidden="false" customHeight="false" outlineLevel="0" collapsed="false">
      <c r="A351" s="37" t="str">
        <f aca="false">IF(M351="","",ROW()-7)</f>
        <v/>
      </c>
      <c r="B351" s="70"/>
      <c r="C351" s="71"/>
      <c r="D351" s="72"/>
      <c r="E351" s="71"/>
      <c r="F351" s="73"/>
      <c r="G351" s="73"/>
      <c r="H351" s="42" t="str">
        <f aca="false">IF(M351="","",IF(U351&gt;0,"✔ Matched",IF(M351="OUT","Not yet presented","Not yet credited")))</f>
        <v/>
      </c>
      <c r="I351" s="43" t="str">
        <f aca="false">IF(N(U351)&gt;0,U351,"")</f>
        <v/>
      </c>
      <c r="J351" s="44" t="str">
        <f aca="false">IF(N(U351)&gt;0,T351,"")</f>
        <v/>
      </c>
      <c r="K351" s="45" t="str">
        <f aca="false">IF(AND(M351="",B351="",D351=""),"",IF(AND(N(F351)&gt;0,N(G351)&gt;0),"⚠ Fill deposit OR payment",IF(M351="","⚠ Enter amount",IF(B351="","⚠ Enter date",IF(AND(Setup!$C$8&lt;&gt;"",B351&gt;Setup!$C$8),"⚠ Date after period",IF(AND(O351&lt;&gt;"",COUNTIF($O$8:$O$507,O351)&gt;1),"⚠ Cheque no. used twice","✔"))))))</f>
        <v/>
      </c>
      <c r="M351" s="9" t="str">
        <f aca="false">IF(N(F351)&gt;0,"IN",IF(N(G351)&gt;0,"OUT",""))</f>
        <v/>
      </c>
      <c r="N351" s="9" t="str">
        <f aca="false">IF(M351="","",M351&amp;"|"&amp;TEXT(ROUND(N(F351)+N(G351),2),"0.00"))</f>
        <v/>
      </c>
      <c r="O351" s="9" t="str">
        <f aca="false">IF(OR(N351="",TRIM(E351&amp;"")=""),"",N351&amp;"|"&amp;UPPER(TRIM(E351&amp;"")))</f>
        <v/>
      </c>
      <c r="P351" s="9" t="n">
        <f aca="false">IF(O351="",0,IFERROR(MATCH(O351,'Bank Statement'!$O$8:$O$507,0),0))</f>
        <v>0</v>
      </c>
      <c r="Q351" s="9" t="str">
        <f aca="false">IF(OR(N351="",P351&gt;0),"",N351&amp;"#"&amp;COUNTIFS($N$8:N351,N351,$P$8:P351,0))</f>
        <v/>
      </c>
      <c r="R351" s="9" t="n">
        <f aca="false">IF(Q351="",0,IFERROR(MATCH(Q351,'Bank Statement'!$Q$8:$Q$507,0),0))</f>
        <v>0</v>
      </c>
      <c r="S351" s="9" t="n">
        <f aca="false">IF(P351&gt;0,P351,R351)</f>
        <v>0</v>
      </c>
      <c r="T351" s="9" t="str">
        <f aca="false">IF(OR(S351=0,B351=""),"",INDEX('Bank Statement'!$B$8:$B$507,S351)-B351)</f>
        <v/>
      </c>
      <c r="U351" s="9" t="n">
        <f aca="false">IF(S351=0,0,IF(P351&gt;0,S351,IF(AND(ISNUMBER(T351),ABS(N(T351))&lt;=Setup!$C$11),S351,0)))</f>
        <v>0</v>
      </c>
      <c r="V351" s="9" t="str">
        <f aca="false">IF(AND(N351&lt;&gt;"",U351=0),IF(M351="OUT",1,2)*100000+ROW(),"")</f>
        <v/>
      </c>
      <c r="W351" s="9" t="n">
        <f aca="false">N(F351)+N(G351)</f>
        <v>0</v>
      </c>
    </row>
    <row r="352" customFormat="false" ht="15" hidden="false" customHeight="false" outlineLevel="0" collapsed="false">
      <c r="A352" s="37" t="str">
        <f aca="false">IF(M352="","",ROW()-7)</f>
        <v/>
      </c>
      <c r="B352" s="70"/>
      <c r="C352" s="71"/>
      <c r="D352" s="72"/>
      <c r="E352" s="71"/>
      <c r="F352" s="73"/>
      <c r="G352" s="73"/>
      <c r="H352" s="42" t="str">
        <f aca="false">IF(M352="","",IF(U352&gt;0,"✔ Matched",IF(M352="OUT","Not yet presented","Not yet credited")))</f>
        <v/>
      </c>
      <c r="I352" s="43" t="str">
        <f aca="false">IF(N(U352)&gt;0,U352,"")</f>
        <v/>
      </c>
      <c r="J352" s="44" t="str">
        <f aca="false">IF(N(U352)&gt;0,T352,"")</f>
        <v/>
      </c>
      <c r="K352" s="45" t="str">
        <f aca="false">IF(AND(M352="",B352="",D352=""),"",IF(AND(N(F352)&gt;0,N(G352)&gt;0),"⚠ Fill deposit OR payment",IF(M352="","⚠ Enter amount",IF(B352="","⚠ Enter date",IF(AND(Setup!$C$8&lt;&gt;"",B352&gt;Setup!$C$8),"⚠ Date after period",IF(AND(O352&lt;&gt;"",COUNTIF($O$8:$O$507,O352)&gt;1),"⚠ Cheque no. used twice","✔"))))))</f>
        <v/>
      </c>
      <c r="M352" s="9" t="str">
        <f aca="false">IF(N(F352)&gt;0,"IN",IF(N(G352)&gt;0,"OUT",""))</f>
        <v/>
      </c>
      <c r="N352" s="9" t="str">
        <f aca="false">IF(M352="","",M352&amp;"|"&amp;TEXT(ROUND(N(F352)+N(G352),2),"0.00"))</f>
        <v/>
      </c>
      <c r="O352" s="9" t="str">
        <f aca="false">IF(OR(N352="",TRIM(E352&amp;"")=""),"",N352&amp;"|"&amp;UPPER(TRIM(E352&amp;"")))</f>
        <v/>
      </c>
      <c r="P352" s="9" t="n">
        <f aca="false">IF(O352="",0,IFERROR(MATCH(O352,'Bank Statement'!$O$8:$O$507,0),0))</f>
        <v>0</v>
      </c>
      <c r="Q352" s="9" t="str">
        <f aca="false">IF(OR(N352="",P352&gt;0),"",N352&amp;"#"&amp;COUNTIFS($N$8:N352,N352,$P$8:P352,0))</f>
        <v/>
      </c>
      <c r="R352" s="9" t="n">
        <f aca="false">IF(Q352="",0,IFERROR(MATCH(Q352,'Bank Statement'!$Q$8:$Q$507,0),0))</f>
        <v>0</v>
      </c>
      <c r="S352" s="9" t="n">
        <f aca="false">IF(P352&gt;0,P352,R352)</f>
        <v>0</v>
      </c>
      <c r="T352" s="9" t="str">
        <f aca="false">IF(OR(S352=0,B352=""),"",INDEX('Bank Statement'!$B$8:$B$507,S352)-B352)</f>
        <v/>
      </c>
      <c r="U352" s="9" t="n">
        <f aca="false">IF(S352=0,0,IF(P352&gt;0,S352,IF(AND(ISNUMBER(T352),ABS(N(T352))&lt;=Setup!$C$11),S352,0)))</f>
        <v>0</v>
      </c>
      <c r="V352" s="9" t="str">
        <f aca="false">IF(AND(N352&lt;&gt;"",U352=0),IF(M352="OUT",1,2)*100000+ROW(),"")</f>
        <v/>
      </c>
      <c r="W352" s="9" t="n">
        <f aca="false">N(F352)+N(G352)</f>
        <v>0</v>
      </c>
    </row>
    <row r="353" customFormat="false" ht="15" hidden="false" customHeight="false" outlineLevel="0" collapsed="false">
      <c r="A353" s="37" t="str">
        <f aca="false">IF(M353="","",ROW()-7)</f>
        <v/>
      </c>
      <c r="B353" s="70"/>
      <c r="C353" s="71"/>
      <c r="D353" s="72"/>
      <c r="E353" s="71"/>
      <c r="F353" s="73"/>
      <c r="G353" s="73"/>
      <c r="H353" s="42" t="str">
        <f aca="false">IF(M353="","",IF(U353&gt;0,"✔ Matched",IF(M353="OUT","Not yet presented","Not yet credited")))</f>
        <v/>
      </c>
      <c r="I353" s="43" t="str">
        <f aca="false">IF(N(U353)&gt;0,U353,"")</f>
        <v/>
      </c>
      <c r="J353" s="44" t="str">
        <f aca="false">IF(N(U353)&gt;0,T353,"")</f>
        <v/>
      </c>
      <c r="K353" s="45" t="str">
        <f aca="false">IF(AND(M353="",B353="",D353=""),"",IF(AND(N(F353)&gt;0,N(G353)&gt;0),"⚠ Fill deposit OR payment",IF(M353="","⚠ Enter amount",IF(B353="","⚠ Enter date",IF(AND(Setup!$C$8&lt;&gt;"",B353&gt;Setup!$C$8),"⚠ Date after period",IF(AND(O353&lt;&gt;"",COUNTIF($O$8:$O$507,O353)&gt;1),"⚠ Cheque no. used twice","✔"))))))</f>
        <v/>
      </c>
      <c r="M353" s="9" t="str">
        <f aca="false">IF(N(F353)&gt;0,"IN",IF(N(G353)&gt;0,"OUT",""))</f>
        <v/>
      </c>
      <c r="N353" s="9" t="str">
        <f aca="false">IF(M353="","",M353&amp;"|"&amp;TEXT(ROUND(N(F353)+N(G353),2),"0.00"))</f>
        <v/>
      </c>
      <c r="O353" s="9" t="str">
        <f aca="false">IF(OR(N353="",TRIM(E353&amp;"")=""),"",N353&amp;"|"&amp;UPPER(TRIM(E353&amp;"")))</f>
        <v/>
      </c>
      <c r="P353" s="9" t="n">
        <f aca="false">IF(O353="",0,IFERROR(MATCH(O353,'Bank Statement'!$O$8:$O$507,0),0))</f>
        <v>0</v>
      </c>
      <c r="Q353" s="9" t="str">
        <f aca="false">IF(OR(N353="",P353&gt;0),"",N353&amp;"#"&amp;COUNTIFS($N$8:N353,N353,$P$8:P353,0))</f>
        <v/>
      </c>
      <c r="R353" s="9" t="n">
        <f aca="false">IF(Q353="",0,IFERROR(MATCH(Q353,'Bank Statement'!$Q$8:$Q$507,0),0))</f>
        <v>0</v>
      </c>
      <c r="S353" s="9" t="n">
        <f aca="false">IF(P353&gt;0,P353,R353)</f>
        <v>0</v>
      </c>
      <c r="T353" s="9" t="str">
        <f aca="false">IF(OR(S353=0,B353=""),"",INDEX('Bank Statement'!$B$8:$B$507,S353)-B353)</f>
        <v/>
      </c>
      <c r="U353" s="9" t="n">
        <f aca="false">IF(S353=0,0,IF(P353&gt;0,S353,IF(AND(ISNUMBER(T353),ABS(N(T353))&lt;=Setup!$C$11),S353,0)))</f>
        <v>0</v>
      </c>
      <c r="V353" s="9" t="str">
        <f aca="false">IF(AND(N353&lt;&gt;"",U353=0),IF(M353="OUT",1,2)*100000+ROW(),"")</f>
        <v/>
      </c>
      <c r="W353" s="9" t="n">
        <f aca="false">N(F353)+N(G353)</f>
        <v>0</v>
      </c>
    </row>
    <row r="354" customFormat="false" ht="15" hidden="false" customHeight="false" outlineLevel="0" collapsed="false">
      <c r="A354" s="37" t="str">
        <f aca="false">IF(M354="","",ROW()-7)</f>
        <v/>
      </c>
      <c r="B354" s="70"/>
      <c r="C354" s="71"/>
      <c r="D354" s="72"/>
      <c r="E354" s="71"/>
      <c r="F354" s="73"/>
      <c r="G354" s="73"/>
      <c r="H354" s="42" t="str">
        <f aca="false">IF(M354="","",IF(U354&gt;0,"✔ Matched",IF(M354="OUT","Not yet presented","Not yet credited")))</f>
        <v/>
      </c>
      <c r="I354" s="43" t="str">
        <f aca="false">IF(N(U354)&gt;0,U354,"")</f>
        <v/>
      </c>
      <c r="J354" s="44" t="str">
        <f aca="false">IF(N(U354)&gt;0,T354,"")</f>
        <v/>
      </c>
      <c r="K354" s="45" t="str">
        <f aca="false">IF(AND(M354="",B354="",D354=""),"",IF(AND(N(F354)&gt;0,N(G354)&gt;0),"⚠ Fill deposit OR payment",IF(M354="","⚠ Enter amount",IF(B354="","⚠ Enter date",IF(AND(Setup!$C$8&lt;&gt;"",B354&gt;Setup!$C$8),"⚠ Date after period",IF(AND(O354&lt;&gt;"",COUNTIF($O$8:$O$507,O354)&gt;1),"⚠ Cheque no. used twice","✔"))))))</f>
        <v/>
      </c>
      <c r="M354" s="9" t="str">
        <f aca="false">IF(N(F354)&gt;0,"IN",IF(N(G354)&gt;0,"OUT",""))</f>
        <v/>
      </c>
      <c r="N354" s="9" t="str">
        <f aca="false">IF(M354="","",M354&amp;"|"&amp;TEXT(ROUND(N(F354)+N(G354),2),"0.00"))</f>
        <v/>
      </c>
      <c r="O354" s="9" t="str">
        <f aca="false">IF(OR(N354="",TRIM(E354&amp;"")=""),"",N354&amp;"|"&amp;UPPER(TRIM(E354&amp;"")))</f>
        <v/>
      </c>
      <c r="P354" s="9" t="n">
        <f aca="false">IF(O354="",0,IFERROR(MATCH(O354,'Bank Statement'!$O$8:$O$507,0),0))</f>
        <v>0</v>
      </c>
      <c r="Q354" s="9" t="str">
        <f aca="false">IF(OR(N354="",P354&gt;0),"",N354&amp;"#"&amp;COUNTIFS($N$8:N354,N354,$P$8:P354,0))</f>
        <v/>
      </c>
      <c r="R354" s="9" t="n">
        <f aca="false">IF(Q354="",0,IFERROR(MATCH(Q354,'Bank Statement'!$Q$8:$Q$507,0),0))</f>
        <v>0</v>
      </c>
      <c r="S354" s="9" t="n">
        <f aca="false">IF(P354&gt;0,P354,R354)</f>
        <v>0</v>
      </c>
      <c r="T354" s="9" t="str">
        <f aca="false">IF(OR(S354=0,B354=""),"",INDEX('Bank Statement'!$B$8:$B$507,S354)-B354)</f>
        <v/>
      </c>
      <c r="U354" s="9" t="n">
        <f aca="false">IF(S354=0,0,IF(P354&gt;0,S354,IF(AND(ISNUMBER(T354),ABS(N(T354))&lt;=Setup!$C$11),S354,0)))</f>
        <v>0</v>
      </c>
      <c r="V354" s="9" t="str">
        <f aca="false">IF(AND(N354&lt;&gt;"",U354=0),IF(M354="OUT",1,2)*100000+ROW(),"")</f>
        <v/>
      </c>
      <c r="W354" s="9" t="n">
        <f aca="false">N(F354)+N(G354)</f>
        <v>0</v>
      </c>
    </row>
    <row r="355" customFormat="false" ht="15" hidden="false" customHeight="false" outlineLevel="0" collapsed="false">
      <c r="A355" s="37" t="str">
        <f aca="false">IF(M355="","",ROW()-7)</f>
        <v/>
      </c>
      <c r="B355" s="70"/>
      <c r="C355" s="71"/>
      <c r="D355" s="72"/>
      <c r="E355" s="71"/>
      <c r="F355" s="73"/>
      <c r="G355" s="73"/>
      <c r="H355" s="42" t="str">
        <f aca="false">IF(M355="","",IF(U355&gt;0,"✔ Matched",IF(M355="OUT","Not yet presented","Not yet credited")))</f>
        <v/>
      </c>
      <c r="I355" s="43" t="str">
        <f aca="false">IF(N(U355)&gt;0,U355,"")</f>
        <v/>
      </c>
      <c r="J355" s="44" t="str">
        <f aca="false">IF(N(U355)&gt;0,T355,"")</f>
        <v/>
      </c>
      <c r="K355" s="45" t="str">
        <f aca="false">IF(AND(M355="",B355="",D355=""),"",IF(AND(N(F355)&gt;0,N(G355)&gt;0),"⚠ Fill deposit OR payment",IF(M355="","⚠ Enter amount",IF(B355="","⚠ Enter date",IF(AND(Setup!$C$8&lt;&gt;"",B355&gt;Setup!$C$8),"⚠ Date after period",IF(AND(O355&lt;&gt;"",COUNTIF($O$8:$O$507,O355)&gt;1),"⚠ Cheque no. used twice","✔"))))))</f>
        <v/>
      </c>
      <c r="M355" s="9" t="str">
        <f aca="false">IF(N(F355)&gt;0,"IN",IF(N(G355)&gt;0,"OUT",""))</f>
        <v/>
      </c>
      <c r="N355" s="9" t="str">
        <f aca="false">IF(M355="","",M355&amp;"|"&amp;TEXT(ROUND(N(F355)+N(G355),2),"0.00"))</f>
        <v/>
      </c>
      <c r="O355" s="9" t="str">
        <f aca="false">IF(OR(N355="",TRIM(E355&amp;"")=""),"",N355&amp;"|"&amp;UPPER(TRIM(E355&amp;"")))</f>
        <v/>
      </c>
      <c r="P355" s="9" t="n">
        <f aca="false">IF(O355="",0,IFERROR(MATCH(O355,'Bank Statement'!$O$8:$O$507,0),0))</f>
        <v>0</v>
      </c>
      <c r="Q355" s="9" t="str">
        <f aca="false">IF(OR(N355="",P355&gt;0),"",N355&amp;"#"&amp;COUNTIFS($N$8:N355,N355,$P$8:P355,0))</f>
        <v/>
      </c>
      <c r="R355" s="9" t="n">
        <f aca="false">IF(Q355="",0,IFERROR(MATCH(Q355,'Bank Statement'!$Q$8:$Q$507,0),0))</f>
        <v>0</v>
      </c>
      <c r="S355" s="9" t="n">
        <f aca="false">IF(P355&gt;0,P355,R355)</f>
        <v>0</v>
      </c>
      <c r="T355" s="9" t="str">
        <f aca="false">IF(OR(S355=0,B355=""),"",INDEX('Bank Statement'!$B$8:$B$507,S355)-B355)</f>
        <v/>
      </c>
      <c r="U355" s="9" t="n">
        <f aca="false">IF(S355=0,0,IF(P355&gt;0,S355,IF(AND(ISNUMBER(T355),ABS(N(T355))&lt;=Setup!$C$11),S355,0)))</f>
        <v>0</v>
      </c>
      <c r="V355" s="9" t="str">
        <f aca="false">IF(AND(N355&lt;&gt;"",U355=0),IF(M355="OUT",1,2)*100000+ROW(),"")</f>
        <v/>
      </c>
      <c r="W355" s="9" t="n">
        <f aca="false">N(F355)+N(G355)</f>
        <v>0</v>
      </c>
    </row>
    <row r="356" customFormat="false" ht="15" hidden="false" customHeight="false" outlineLevel="0" collapsed="false">
      <c r="A356" s="37" t="str">
        <f aca="false">IF(M356="","",ROW()-7)</f>
        <v/>
      </c>
      <c r="B356" s="70"/>
      <c r="C356" s="71"/>
      <c r="D356" s="72"/>
      <c r="E356" s="71"/>
      <c r="F356" s="73"/>
      <c r="G356" s="73"/>
      <c r="H356" s="42" t="str">
        <f aca="false">IF(M356="","",IF(U356&gt;0,"✔ Matched",IF(M356="OUT","Not yet presented","Not yet credited")))</f>
        <v/>
      </c>
      <c r="I356" s="43" t="str">
        <f aca="false">IF(N(U356)&gt;0,U356,"")</f>
        <v/>
      </c>
      <c r="J356" s="44" t="str">
        <f aca="false">IF(N(U356)&gt;0,T356,"")</f>
        <v/>
      </c>
      <c r="K356" s="45" t="str">
        <f aca="false">IF(AND(M356="",B356="",D356=""),"",IF(AND(N(F356)&gt;0,N(G356)&gt;0),"⚠ Fill deposit OR payment",IF(M356="","⚠ Enter amount",IF(B356="","⚠ Enter date",IF(AND(Setup!$C$8&lt;&gt;"",B356&gt;Setup!$C$8),"⚠ Date after period",IF(AND(O356&lt;&gt;"",COUNTIF($O$8:$O$507,O356)&gt;1),"⚠ Cheque no. used twice","✔"))))))</f>
        <v/>
      </c>
      <c r="M356" s="9" t="str">
        <f aca="false">IF(N(F356)&gt;0,"IN",IF(N(G356)&gt;0,"OUT",""))</f>
        <v/>
      </c>
      <c r="N356" s="9" t="str">
        <f aca="false">IF(M356="","",M356&amp;"|"&amp;TEXT(ROUND(N(F356)+N(G356),2),"0.00"))</f>
        <v/>
      </c>
      <c r="O356" s="9" t="str">
        <f aca="false">IF(OR(N356="",TRIM(E356&amp;"")=""),"",N356&amp;"|"&amp;UPPER(TRIM(E356&amp;"")))</f>
        <v/>
      </c>
      <c r="P356" s="9" t="n">
        <f aca="false">IF(O356="",0,IFERROR(MATCH(O356,'Bank Statement'!$O$8:$O$507,0),0))</f>
        <v>0</v>
      </c>
      <c r="Q356" s="9" t="str">
        <f aca="false">IF(OR(N356="",P356&gt;0),"",N356&amp;"#"&amp;COUNTIFS($N$8:N356,N356,$P$8:P356,0))</f>
        <v/>
      </c>
      <c r="R356" s="9" t="n">
        <f aca="false">IF(Q356="",0,IFERROR(MATCH(Q356,'Bank Statement'!$Q$8:$Q$507,0),0))</f>
        <v>0</v>
      </c>
      <c r="S356" s="9" t="n">
        <f aca="false">IF(P356&gt;0,P356,R356)</f>
        <v>0</v>
      </c>
      <c r="T356" s="9" t="str">
        <f aca="false">IF(OR(S356=0,B356=""),"",INDEX('Bank Statement'!$B$8:$B$507,S356)-B356)</f>
        <v/>
      </c>
      <c r="U356" s="9" t="n">
        <f aca="false">IF(S356=0,0,IF(P356&gt;0,S356,IF(AND(ISNUMBER(T356),ABS(N(T356))&lt;=Setup!$C$11),S356,0)))</f>
        <v>0</v>
      </c>
      <c r="V356" s="9" t="str">
        <f aca="false">IF(AND(N356&lt;&gt;"",U356=0),IF(M356="OUT",1,2)*100000+ROW(),"")</f>
        <v/>
      </c>
      <c r="W356" s="9" t="n">
        <f aca="false">N(F356)+N(G356)</f>
        <v>0</v>
      </c>
    </row>
    <row r="357" customFormat="false" ht="15" hidden="false" customHeight="false" outlineLevel="0" collapsed="false">
      <c r="A357" s="37" t="str">
        <f aca="false">IF(M357="","",ROW()-7)</f>
        <v/>
      </c>
      <c r="B357" s="70"/>
      <c r="C357" s="71"/>
      <c r="D357" s="72"/>
      <c r="E357" s="71"/>
      <c r="F357" s="73"/>
      <c r="G357" s="73"/>
      <c r="H357" s="42" t="str">
        <f aca="false">IF(M357="","",IF(U357&gt;0,"✔ Matched",IF(M357="OUT","Not yet presented","Not yet credited")))</f>
        <v/>
      </c>
      <c r="I357" s="43" t="str">
        <f aca="false">IF(N(U357)&gt;0,U357,"")</f>
        <v/>
      </c>
      <c r="J357" s="44" t="str">
        <f aca="false">IF(N(U357)&gt;0,T357,"")</f>
        <v/>
      </c>
      <c r="K357" s="45" t="str">
        <f aca="false">IF(AND(M357="",B357="",D357=""),"",IF(AND(N(F357)&gt;0,N(G357)&gt;0),"⚠ Fill deposit OR payment",IF(M357="","⚠ Enter amount",IF(B357="","⚠ Enter date",IF(AND(Setup!$C$8&lt;&gt;"",B357&gt;Setup!$C$8),"⚠ Date after period",IF(AND(O357&lt;&gt;"",COUNTIF($O$8:$O$507,O357)&gt;1),"⚠ Cheque no. used twice","✔"))))))</f>
        <v/>
      </c>
      <c r="M357" s="9" t="str">
        <f aca="false">IF(N(F357)&gt;0,"IN",IF(N(G357)&gt;0,"OUT",""))</f>
        <v/>
      </c>
      <c r="N357" s="9" t="str">
        <f aca="false">IF(M357="","",M357&amp;"|"&amp;TEXT(ROUND(N(F357)+N(G357),2),"0.00"))</f>
        <v/>
      </c>
      <c r="O357" s="9" t="str">
        <f aca="false">IF(OR(N357="",TRIM(E357&amp;"")=""),"",N357&amp;"|"&amp;UPPER(TRIM(E357&amp;"")))</f>
        <v/>
      </c>
      <c r="P357" s="9" t="n">
        <f aca="false">IF(O357="",0,IFERROR(MATCH(O357,'Bank Statement'!$O$8:$O$507,0),0))</f>
        <v>0</v>
      </c>
      <c r="Q357" s="9" t="str">
        <f aca="false">IF(OR(N357="",P357&gt;0),"",N357&amp;"#"&amp;COUNTIFS($N$8:N357,N357,$P$8:P357,0))</f>
        <v/>
      </c>
      <c r="R357" s="9" t="n">
        <f aca="false">IF(Q357="",0,IFERROR(MATCH(Q357,'Bank Statement'!$Q$8:$Q$507,0),0))</f>
        <v>0</v>
      </c>
      <c r="S357" s="9" t="n">
        <f aca="false">IF(P357&gt;0,P357,R357)</f>
        <v>0</v>
      </c>
      <c r="T357" s="9" t="str">
        <f aca="false">IF(OR(S357=0,B357=""),"",INDEX('Bank Statement'!$B$8:$B$507,S357)-B357)</f>
        <v/>
      </c>
      <c r="U357" s="9" t="n">
        <f aca="false">IF(S357=0,0,IF(P357&gt;0,S357,IF(AND(ISNUMBER(T357),ABS(N(T357))&lt;=Setup!$C$11),S357,0)))</f>
        <v>0</v>
      </c>
      <c r="V357" s="9" t="str">
        <f aca="false">IF(AND(N357&lt;&gt;"",U357=0),IF(M357="OUT",1,2)*100000+ROW(),"")</f>
        <v/>
      </c>
      <c r="W357" s="9" t="n">
        <f aca="false">N(F357)+N(G357)</f>
        <v>0</v>
      </c>
    </row>
    <row r="358" customFormat="false" ht="15" hidden="false" customHeight="false" outlineLevel="0" collapsed="false">
      <c r="A358" s="37" t="str">
        <f aca="false">IF(M358="","",ROW()-7)</f>
        <v/>
      </c>
      <c r="B358" s="70"/>
      <c r="C358" s="71"/>
      <c r="D358" s="72"/>
      <c r="E358" s="71"/>
      <c r="F358" s="73"/>
      <c r="G358" s="73"/>
      <c r="H358" s="42" t="str">
        <f aca="false">IF(M358="","",IF(U358&gt;0,"✔ Matched",IF(M358="OUT","Not yet presented","Not yet credited")))</f>
        <v/>
      </c>
      <c r="I358" s="43" t="str">
        <f aca="false">IF(N(U358)&gt;0,U358,"")</f>
        <v/>
      </c>
      <c r="J358" s="44" t="str">
        <f aca="false">IF(N(U358)&gt;0,T358,"")</f>
        <v/>
      </c>
      <c r="K358" s="45" t="str">
        <f aca="false">IF(AND(M358="",B358="",D358=""),"",IF(AND(N(F358)&gt;0,N(G358)&gt;0),"⚠ Fill deposit OR payment",IF(M358="","⚠ Enter amount",IF(B358="","⚠ Enter date",IF(AND(Setup!$C$8&lt;&gt;"",B358&gt;Setup!$C$8),"⚠ Date after period",IF(AND(O358&lt;&gt;"",COUNTIF($O$8:$O$507,O358)&gt;1),"⚠ Cheque no. used twice","✔"))))))</f>
        <v/>
      </c>
      <c r="M358" s="9" t="str">
        <f aca="false">IF(N(F358)&gt;0,"IN",IF(N(G358)&gt;0,"OUT",""))</f>
        <v/>
      </c>
      <c r="N358" s="9" t="str">
        <f aca="false">IF(M358="","",M358&amp;"|"&amp;TEXT(ROUND(N(F358)+N(G358),2),"0.00"))</f>
        <v/>
      </c>
      <c r="O358" s="9" t="str">
        <f aca="false">IF(OR(N358="",TRIM(E358&amp;"")=""),"",N358&amp;"|"&amp;UPPER(TRIM(E358&amp;"")))</f>
        <v/>
      </c>
      <c r="P358" s="9" t="n">
        <f aca="false">IF(O358="",0,IFERROR(MATCH(O358,'Bank Statement'!$O$8:$O$507,0),0))</f>
        <v>0</v>
      </c>
      <c r="Q358" s="9" t="str">
        <f aca="false">IF(OR(N358="",P358&gt;0),"",N358&amp;"#"&amp;COUNTIFS($N$8:N358,N358,$P$8:P358,0))</f>
        <v/>
      </c>
      <c r="R358" s="9" t="n">
        <f aca="false">IF(Q358="",0,IFERROR(MATCH(Q358,'Bank Statement'!$Q$8:$Q$507,0),0))</f>
        <v>0</v>
      </c>
      <c r="S358" s="9" t="n">
        <f aca="false">IF(P358&gt;0,P358,R358)</f>
        <v>0</v>
      </c>
      <c r="T358" s="9" t="str">
        <f aca="false">IF(OR(S358=0,B358=""),"",INDEX('Bank Statement'!$B$8:$B$507,S358)-B358)</f>
        <v/>
      </c>
      <c r="U358" s="9" t="n">
        <f aca="false">IF(S358=0,0,IF(P358&gt;0,S358,IF(AND(ISNUMBER(T358),ABS(N(T358))&lt;=Setup!$C$11),S358,0)))</f>
        <v>0</v>
      </c>
      <c r="V358" s="9" t="str">
        <f aca="false">IF(AND(N358&lt;&gt;"",U358=0),IF(M358="OUT",1,2)*100000+ROW(),"")</f>
        <v/>
      </c>
      <c r="W358" s="9" t="n">
        <f aca="false">N(F358)+N(G358)</f>
        <v>0</v>
      </c>
    </row>
    <row r="359" customFormat="false" ht="15" hidden="false" customHeight="false" outlineLevel="0" collapsed="false">
      <c r="A359" s="37" t="str">
        <f aca="false">IF(M359="","",ROW()-7)</f>
        <v/>
      </c>
      <c r="B359" s="70"/>
      <c r="C359" s="71"/>
      <c r="D359" s="72"/>
      <c r="E359" s="71"/>
      <c r="F359" s="73"/>
      <c r="G359" s="73"/>
      <c r="H359" s="42" t="str">
        <f aca="false">IF(M359="","",IF(U359&gt;0,"✔ Matched",IF(M359="OUT","Not yet presented","Not yet credited")))</f>
        <v/>
      </c>
      <c r="I359" s="43" t="str">
        <f aca="false">IF(N(U359)&gt;0,U359,"")</f>
        <v/>
      </c>
      <c r="J359" s="44" t="str">
        <f aca="false">IF(N(U359)&gt;0,T359,"")</f>
        <v/>
      </c>
      <c r="K359" s="45" t="str">
        <f aca="false">IF(AND(M359="",B359="",D359=""),"",IF(AND(N(F359)&gt;0,N(G359)&gt;0),"⚠ Fill deposit OR payment",IF(M359="","⚠ Enter amount",IF(B359="","⚠ Enter date",IF(AND(Setup!$C$8&lt;&gt;"",B359&gt;Setup!$C$8),"⚠ Date after period",IF(AND(O359&lt;&gt;"",COUNTIF($O$8:$O$507,O359)&gt;1),"⚠ Cheque no. used twice","✔"))))))</f>
        <v/>
      </c>
      <c r="M359" s="9" t="str">
        <f aca="false">IF(N(F359)&gt;0,"IN",IF(N(G359)&gt;0,"OUT",""))</f>
        <v/>
      </c>
      <c r="N359" s="9" t="str">
        <f aca="false">IF(M359="","",M359&amp;"|"&amp;TEXT(ROUND(N(F359)+N(G359),2),"0.00"))</f>
        <v/>
      </c>
      <c r="O359" s="9" t="str">
        <f aca="false">IF(OR(N359="",TRIM(E359&amp;"")=""),"",N359&amp;"|"&amp;UPPER(TRIM(E359&amp;"")))</f>
        <v/>
      </c>
      <c r="P359" s="9" t="n">
        <f aca="false">IF(O359="",0,IFERROR(MATCH(O359,'Bank Statement'!$O$8:$O$507,0),0))</f>
        <v>0</v>
      </c>
      <c r="Q359" s="9" t="str">
        <f aca="false">IF(OR(N359="",P359&gt;0),"",N359&amp;"#"&amp;COUNTIFS($N$8:N359,N359,$P$8:P359,0))</f>
        <v/>
      </c>
      <c r="R359" s="9" t="n">
        <f aca="false">IF(Q359="",0,IFERROR(MATCH(Q359,'Bank Statement'!$Q$8:$Q$507,0),0))</f>
        <v>0</v>
      </c>
      <c r="S359" s="9" t="n">
        <f aca="false">IF(P359&gt;0,P359,R359)</f>
        <v>0</v>
      </c>
      <c r="T359" s="9" t="str">
        <f aca="false">IF(OR(S359=0,B359=""),"",INDEX('Bank Statement'!$B$8:$B$507,S359)-B359)</f>
        <v/>
      </c>
      <c r="U359" s="9" t="n">
        <f aca="false">IF(S359=0,0,IF(P359&gt;0,S359,IF(AND(ISNUMBER(T359),ABS(N(T359))&lt;=Setup!$C$11),S359,0)))</f>
        <v>0</v>
      </c>
      <c r="V359" s="9" t="str">
        <f aca="false">IF(AND(N359&lt;&gt;"",U359=0),IF(M359="OUT",1,2)*100000+ROW(),"")</f>
        <v/>
      </c>
      <c r="W359" s="9" t="n">
        <f aca="false">N(F359)+N(G359)</f>
        <v>0</v>
      </c>
    </row>
    <row r="360" customFormat="false" ht="15" hidden="false" customHeight="false" outlineLevel="0" collapsed="false">
      <c r="A360" s="37" t="str">
        <f aca="false">IF(M360="","",ROW()-7)</f>
        <v/>
      </c>
      <c r="B360" s="70"/>
      <c r="C360" s="71"/>
      <c r="D360" s="72"/>
      <c r="E360" s="71"/>
      <c r="F360" s="73"/>
      <c r="G360" s="73"/>
      <c r="H360" s="42" t="str">
        <f aca="false">IF(M360="","",IF(U360&gt;0,"✔ Matched",IF(M360="OUT","Not yet presented","Not yet credited")))</f>
        <v/>
      </c>
      <c r="I360" s="43" t="str">
        <f aca="false">IF(N(U360)&gt;0,U360,"")</f>
        <v/>
      </c>
      <c r="J360" s="44" t="str">
        <f aca="false">IF(N(U360)&gt;0,T360,"")</f>
        <v/>
      </c>
      <c r="K360" s="45" t="str">
        <f aca="false">IF(AND(M360="",B360="",D360=""),"",IF(AND(N(F360)&gt;0,N(G360)&gt;0),"⚠ Fill deposit OR payment",IF(M360="","⚠ Enter amount",IF(B360="","⚠ Enter date",IF(AND(Setup!$C$8&lt;&gt;"",B360&gt;Setup!$C$8),"⚠ Date after period",IF(AND(O360&lt;&gt;"",COUNTIF($O$8:$O$507,O360)&gt;1),"⚠ Cheque no. used twice","✔"))))))</f>
        <v/>
      </c>
      <c r="M360" s="9" t="str">
        <f aca="false">IF(N(F360)&gt;0,"IN",IF(N(G360)&gt;0,"OUT",""))</f>
        <v/>
      </c>
      <c r="N360" s="9" t="str">
        <f aca="false">IF(M360="","",M360&amp;"|"&amp;TEXT(ROUND(N(F360)+N(G360),2),"0.00"))</f>
        <v/>
      </c>
      <c r="O360" s="9" t="str">
        <f aca="false">IF(OR(N360="",TRIM(E360&amp;"")=""),"",N360&amp;"|"&amp;UPPER(TRIM(E360&amp;"")))</f>
        <v/>
      </c>
      <c r="P360" s="9" t="n">
        <f aca="false">IF(O360="",0,IFERROR(MATCH(O360,'Bank Statement'!$O$8:$O$507,0),0))</f>
        <v>0</v>
      </c>
      <c r="Q360" s="9" t="str">
        <f aca="false">IF(OR(N360="",P360&gt;0),"",N360&amp;"#"&amp;COUNTIFS($N$8:N360,N360,$P$8:P360,0))</f>
        <v/>
      </c>
      <c r="R360" s="9" t="n">
        <f aca="false">IF(Q360="",0,IFERROR(MATCH(Q360,'Bank Statement'!$Q$8:$Q$507,0),0))</f>
        <v>0</v>
      </c>
      <c r="S360" s="9" t="n">
        <f aca="false">IF(P360&gt;0,P360,R360)</f>
        <v>0</v>
      </c>
      <c r="T360" s="9" t="str">
        <f aca="false">IF(OR(S360=0,B360=""),"",INDEX('Bank Statement'!$B$8:$B$507,S360)-B360)</f>
        <v/>
      </c>
      <c r="U360" s="9" t="n">
        <f aca="false">IF(S360=0,0,IF(P360&gt;0,S360,IF(AND(ISNUMBER(T360),ABS(N(T360))&lt;=Setup!$C$11),S360,0)))</f>
        <v>0</v>
      </c>
      <c r="V360" s="9" t="str">
        <f aca="false">IF(AND(N360&lt;&gt;"",U360=0),IF(M360="OUT",1,2)*100000+ROW(),"")</f>
        <v/>
      </c>
      <c r="W360" s="9" t="n">
        <f aca="false">N(F360)+N(G360)</f>
        <v>0</v>
      </c>
    </row>
    <row r="361" customFormat="false" ht="15" hidden="false" customHeight="false" outlineLevel="0" collapsed="false">
      <c r="A361" s="37" t="str">
        <f aca="false">IF(M361="","",ROW()-7)</f>
        <v/>
      </c>
      <c r="B361" s="70"/>
      <c r="C361" s="71"/>
      <c r="D361" s="72"/>
      <c r="E361" s="71"/>
      <c r="F361" s="73"/>
      <c r="G361" s="73"/>
      <c r="H361" s="42" t="str">
        <f aca="false">IF(M361="","",IF(U361&gt;0,"✔ Matched",IF(M361="OUT","Not yet presented","Not yet credited")))</f>
        <v/>
      </c>
      <c r="I361" s="43" t="str">
        <f aca="false">IF(N(U361)&gt;0,U361,"")</f>
        <v/>
      </c>
      <c r="J361" s="44" t="str">
        <f aca="false">IF(N(U361)&gt;0,T361,"")</f>
        <v/>
      </c>
      <c r="K361" s="45" t="str">
        <f aca="false">IF(AND(M361="",B361="",D361=""),"",IF(AND(N(F361)&gt;0,N(G361)&gt;0),"⚠ Fill deposit OR payment",IF(M361="","⚠ Enter amount",IF(B361="","⚠ Enter date",IF(AND(Setup!$C$8&lt;&gt;"",B361&gt;Setup!$C$8),"⚠ Date after period",IF(AND(O361&lt;&gt;"",COUNTIF($O$8:$O$507,O361)&gt;1),"⚠ Cheque no. used twice","✔"))))))</f>
        <v/>
      </c>
      <c r="M361" s="9" t="str">
        <f aca="false">IF(N(F361)&gt;0,"IN",IF(N(G361)&gt;0,"OUT",""))</f>
        <v/>
      </c>
      <c r="N361" s="9" t="str">
        <f aca="false">IF(M361="","",M361&amp;"|"&amp;TEXT(ROUND(N(F361)+N(G361),2),"0.00"))</f>
        <v/>
      </c>
      <c r="O361" s="9" t="str">
        <f aca="false">IF(OR(N361="",TRIM(E361&amp;"")=""),"",N361&amp;"|"&amp;UPPER(TRIM(E361&amp;"")))</f>
        <v/>
      </c>
      <c r="P361" s="9" t="n">
        <f aca="false">IF(O361="",0,IFERROR(MATCH(O361,'Bank Statement'!$O$8:$O$507,0),0))</f>
        <v>0</v>
      </c>
      <c r="Q361" s="9" t="str">
        <f aca="false">IF(OR(N361="",P361&gt;0),"",N361&amp;"#"&amp;COUNTIFS($N$8:N361,N361,$P$8:P361,0))</f>
        <v/>
      </c>
      <c r="R361" s="9" t="n">
        <f aca="false">IF(Q361="",0,IFERROR(MATCH(Q361,'Bank Statement'!$Q$8:$Q$507,0),0))</f>
        <v>0</v>
      </c>
      <c r="S361" s="9" t="n">
        <f aca="false">IF(P361&gt;0,P361,R361)</f>
        <v>0</v>
      </c>
      <c r="T361" s="9" t="str">
        <f aca="false">IF(OR(S361=0,B361=""),"",INDEX('Bank Statement'!$B$8:$B$507,S361)-B361)</f>
        <v/>
      </c>
      <c r="U361" s="9" t="n">
        <f aca="false">IF(S361=0,0,IF(P361&gt;0,S361,IF(AND(ISNUMBER(T361),ABS(N(T361))&lt;=Setup!$C$11),S361,0)))</f>
        <v>0</v>
      </c>
      <c r="V361" s="9" t="str">
        <f aca="false">IF(AND(N361&lt;&gt;"",U361=0),IF(M361="OUT",1,2)*100000+ROW(),"")</f>
        <v/>
      </c>
      <c r="W361" s="9" t="n">
        <f aca="false">N(F361)+N(G361)</f>
        <v>0</v>
      </c>
    </row>
    <row r="362" customFormat="false" ht="15" hidden="false" customHeight="false" outlineLevel="0" collapsed="false">
      <c r="A362" s="37" t="str">
        <f aca="false">IF(M362="","",ROW()-7)</f>
        <v/>
      </c>
      <c r="B362" s="70"/>
      <c r="C362" s="71"/>
      <c r="D362" s="72"/>
      <c r="E362" s="71"/>
      <c r="F362" s="73"/>
      <c r="G362" s="73"/>
      <c r="H362" s="42" t="str">
        <f aca="false">IF(M362="","",IF(U362&gt;0,"✔ Matched",IF(M362="OUT","Not yet presented","Not yet credited")))</f>
        <v/>
      </c>
      <c r="I362" s="43" t="str">
        <f aca="false">IF(N(U362)&gt;0,U362,"")</f>
        <v/>
      </c>
      <c r="J362" s="44" t="str">
        <f aca="false">IF(N(U362)&gt;0,T362,"")</f>
        <v/>
      </c>
      <c r="K362" s="45" t="str">
        <f aca="false">IF(AND(M362="",B362="",D362=""),"",IF(AND(N(F362)&gt;0,N(G362)&gt;0),"⚠ Fill deposit OR payment",IF(M362="","⚠ Enter amount",IF(B362="","⚠ Enter date",IF(AND(Setup!$C$8&lt;&gt;"",B362&gt;Setup!$C$8),"⚠ Date after period",IF(AND(O362&lt;&gt;"",COUNTIF($O$8:$O$507,O362)&gt;1),"⚠ Cheque no. used twice","✔"))))))</f>
        <v/>
      </c>
      <c r="M362" s="9" t="str">
        <f aca="false">IF(N(F362)&gt;0,"IN",IF(N(G362)&gt;0,"OUT",""))</f>
        <v/>
      </c>
      <c r="N362" s="9" t="str">
        <f aca="false">IF(M362="","",M362&amp;"|"&amp;TEXT(ROUND(N(F362)+N(G362),2),"0.00"))</f>
        <v/>
      </c>
      <c r="O362" s="9" t="str">
        <f aca="false">IF(OR(N362="",TRIM(E362&amp;"")=""),"",N362&amp;"|"&amp;UPPER(TRIM(E362&amp;"")))</f>
        <v/>
      </c>
      <c r="P362" s="9" t="n">
        <f aca="false">IF(O362="",0,IFERROR(MATCH(O362,'Bank Statement'!$O$8:$O$507,0),0))</f>
        <v>0</v>
      </c>
      <c r="Q362" s="9" t="str">
        <f aca="false">IF(OR(N362="",P362&gt;0),"",N362&amp;"#"&amp;COUNTIFS($N$8:N362,N362,$P$8:P362,0))</f>
        <v/>
      </c>
      <c r="R362" s="9" t="n">
        <f aca="false">IF(Q362="",0,IFERROR(MATCH(Q362,'Bank Statement'!$Q$8:$Q$507,0),0))</f>
        <v>0</v>
      </c>
      <c r="S362" s="9" t="n">
        <f aca="false">IF(P362&gt;0,P362,R362)</f>
        <v>0</v>
      </c>
      <c r="T362" s="9" t="str">
        <f aca="false">IF(OR(S362=0,B362=""),"",INDEX('Bank Statement'!$B$8:$B$507,S362)-B362)</f>
        <v/>
      </c>
      <c r="U362" s="9" t="n">
        <f aca="false">IF(S362=0,0,IF(P362&gt;0,S362,IF(AND(ISNUMBER(T362),ABS(N(T362))&lt;=Setup!$C$11),S362,0)))</f>
        <v>0</v>
      </c>
      <c r="V362" s="9" t="str">
        <f aca="false">IF(AND(N362&lt;&gt;"",U362=0),IF(M362="OUT",1,2)*100000+ROW(),"")</f>
        <v/>
      </c>
      <c r="W362" s="9" t="n">
        <f aca="false">N(F362)+N(G362)</f>
        <v>0</v>
      </c>
    </row>
    <row r="363" customFormat="false" ht="15" hidden="false" customHeight="false" outlineLevel="0" collapsed="false">
      <c r="A363" s="37" t="str">
        <f aca="false">IF(M363="","",ROW()-7)</f>
        <v/>
      </c>
      <c r="B363" s="70"/>
      <c r="C363" s="71"/>
      <c r="D363" s="72"/>
      <c r="E363" s="71"/>
      <c r="F363" s="73"/>
      <c r="G363" s="73"/>
      <c r="H363" s="42" t="str">
        <f aca="false">IF(M363="","",IF(U363&gt;0,"✔ Matched",IF(M363="OUT","Not yet presented","Not yet credited")))</f>
        <v/>
      </c>
      <c r="I363" s="43" t="str">
        <f aca="false">IF(N(U363)&gt;0,U363,"")</f>
        <v/>
      </c>
      <c r="J363" s="44" t="str">
        <f aca="false">IF(N(U363)&gt;0,T363,"")</f>
        <v/>
      </c>
      <c r="K363" s="45" t="str">
        <f aca="false">IF(AND(M363="",B363="",D363=""),"",IF(AND(N(F363)&gt;0,N(G363)&gt;0),"⚠ Fill deposit OR payment",IF(M363="","⚠ Enter amount",IF(B363="","⚠ Enter date",IF(AND(Setup!$C$8&lt;&gt;"",B363&gt;Setup!$C$8),"⚠ Date after period",IF(AND(O363&lt;&gt;"",COUNTIF($O$8:$O$507,O363)&gt;1),"⚠ Cheque no. used twice","✔"))))))</f>
        <v/>
      </c>
      <c r="M363" s="9" t="str">
        <f aca="false">IF(N(F363)&gt;0,"IN",IF(N(G363)&gt;0,"OUT",""))</f>
        <v/>
      </c>
      <c r="N363" s="9" t="str">
        <f aca="false">IF(M363="","",M363&amp;"|"&amp;TEXT(ROUND(N(F363)+N(G363),2),"0.00"))</f>
        <v/>
      </c>
      <c r="O363" s="9" t="str">
        <f aca="false">IF(OR(N363="",TRIM(E363&amp;"")=""),"",N363&amp;"|"&amp;UPPER(TRIM(E363&amp;"")))</f>
        <v/>
      </c>
      <c r="P363" s="9" t="n">
        <f aca="false">IF(O363="",0,IFERROR(MATCH(O363,'Bank Statement'!$O$8:$O$507,0),0))</f>
        <v>0</v>
      </c>
      <c r="Q363" s="9" t="str">
        <f aca="false">IF(OR(N363="",P363&gt;0),"",N363&amp;"#"&amp;COUNTIFS($N$8:N363,N363,$P$8:P363,0))</f>
        <v/>
      </c>
      <c r="R363" s="9" t="n">
        <f aca="false">IF(Q363="",0,IFERROR(MATCH(Q363,'Bank Statement'!$Q$8:$Q$507,0),0))</f>
        <v>0</v>
      </c>
      <c r="S363" s="9" t="n">
        <f aca="false">IF(P363&gt;0,P363,R363)</f>
        <v>0</v>
      </c>
      <c r="T363" s="9" t="str">
        <f aca="false">IF(OR(S363=0,B363=""),"",INDEX('Bank Statement'!$B$8:$B$507,S363)-B363)</f>
        <v/>
      </c>
      <c r="U363" s="9" t="n">
        <f aca="false">IF(S363=0,0,IF(P363&gt;0,S363,IF(AND(ISNUMBER(T363),ABS(N(T363))&lt;=Setup!$C$11),S363,0)))</f>
        <v>0</v>
      </c>
      <c r="V363" s="9" t="str">
        <f aca="false">IF(AND(N363&lt;&gt;"",U363=0),IF(M363="OUT",1,2)*100000+ROW(),"")</f>
        <v/>
      </c>
      <c r="W363" s="9" t="n">
        <f aca="false">N(F363)+N(G363)</f>
        <v>0</v>
      </c>
    </row>
    <row r="364" customFormat="false" ht="15" hidden="false" customHeight="false" outlineLevel="0" collapsed="false">
      <c r="A364" s="37" t="str">
        <f aca="false">IF(M364="","",ROW()-7)</f>
        <v/>
      </c>
      <c r="B364" s="70"/>
      <c r="C364" s="71"/>
      <c r="D364" s="72"/>
      <c r="E364" s="71"/>
      <c r="F364" s="73"/>
      <c r="G364" s="73"/>
      <c r="H364" s="42" t="str">
        <f aca="false">IF(M364="","",IF(U364&gt;0,"✔ Matched",IF(M364="OUT","Not yet presented","Not yet credited")))</f>
        <v/>
      </c>
      <c r="I364" s="43" t="str">
        <f aca="false">IF(N(U364)&gt;0,U364,"")</f>
        <v/>
      </c>
      <c r="J364" s="44" t="str">
        <f aca="false">IF(N(U364)&gt;0,T364,"")</f>
        <v/>
      </c>
      <c r="K364" s="45" t="str">
        <f aca="false">IF(AND(M364="",B364="",D364=""),"",IF(AND(N(F364)&gt;0,N(G364)&gt;0),"⚠ Fill deposit OR payment",IF(M364="","⚠ Enter amount",IF(B364="","⚠ Enter date",IF(AND(Setup!$C$8&lt;&gt;"",B364&gt;Setup!$C$8),"⚠ Date after period",IF(AND(O364&lt;&gt;"",COUNTIF($O$8:$O$507,O364)&gt;1),"⚠ Cheque no. used twice","✔"))))))</f>
        <v/>
      </c>
      <c r="M364" s="9" t="str">
        <f aca="false">IF(N(F364)&gt;0,"IN",IF(N(G364)&gt;0,"OUT",""))</f>
        <v/>
      </c>
      <c r="N364" s="9" t="str">
        <f aca="false">IF(M364="","",M364&amp;"|"&amp;TEXT(ROUND(N(F364)+N(G364),2),"0.00"))</f>
        <v/>
      </c>
      <c r="O364" s="9" t="str">
        <f aca="false">IF(OR(N364="",TRIM(E364&amp;"")=""),"",N364&amp;"|"&amp;UPPER(TRIM(E364&amp;"")))</f>
        <v/>
      </c>
      <c r="P364" s="9" t="n">
        <f aca="false">IF(O364="",0,IFERROR(MATCH(O364,'Bank Statement'!$O$8:$O$507,0),0))</f>
        <v>0</v>
      </c>
      <c r="Q364" s="9" t="str">
        <f aca="false">IF(OR(N364="",P364&gt;0),"",N364&amp;"#"&amp;COUNTIFS($N$8:N364,N364,$P$8:P364,0))</f>
        <v/>
      </c>
      <c r="R364" s="9" t="n">
        <f aca="false">IF(Q364="",0,IFERROR(MATCH(Q364,'Bank Statement'!$Q$8:$Q$507,0),0))</f>
        <v>0</v>
      </c>
      <c r="S364" s="9" t="n">
        <f aca="false">IF(P364&gt;0,P364,R364)</f>
        <v>0</v>
      </c>
      <c r="T364" s="9" t="str">
        <f aca="false">IF(OR(S364=0,B364=""),"",INDEX('Bank Statement'!$B$8:$B$507,S364)-B364)</f>
        <v/>
      </c>
      <c r="U364" s="9" t="n">
        <f aca="false">IF(S364=0,0,IF(P364&gt;0,S364,IF(AND(ISNUMBER(T364),ABS(N(T364))&lt;=Setup!$C$11),S364,0)))</f>
        <v>0</v>
      </c>
      <c r="V364" s="9" t="str">
        <f aca="false">IF(AND(N364&lt;&gt;"",U364=0),IF(M364="OUT",1,2)*100000+ROW(),"")</f>
        <v/>
      </c>
      <c r="W364" s="9" t="n">
        <f aca="false">N(F364)+N(G364)</f>
        <v>0</v>
      </c>
    </row>
    <row r="365" customFormat="false" ht="15" hidden="false" customHeight="false" outlineLevel="0" collapsed="false">
      <c r="A365" s="37" t="str">
        <f aca="false">IF(M365="","",ROW()-7)</f>
        <v/>
      </c>
      <c r="B365" s="70"/>
      <c r="C365" s="71"/>
      <c r="D365" s="72"/>
      <c r="E365" s="71"/>
      <c r="F365" s="73"/>
      <c r="G365" s="73"/>
      <c r="H365" s="42" t="str">
        <f aca="false">IF(M365="","",IF(U365&gt;0,"✔ Matched",IF(M365="OUT","Not yet presented","Not yet credited")))</f>
        <v/>
      </c>
      <c r="I365" s="43" t="str">
        <f aca="false">IF(N(U365)&gt;0,U365,"")</f>
        <v/>
      </c>
      <c r="J365" s="44" t="str">
        <f aca="false">IF(N(U365)&gt;0,T365,"")</f>
        <v/>
      </c>
      <c r="K365" s="45" t="str">
        <f aca="false">IF(AND(M365="",B365="",D365=""),"",IF(AND(N(F365)&gt;0,N(G365)&gt;0),"⚠ Fill deposit OR payment",IF(M365="","⚠ Enter amount",IF(B365="","⚠ Enter date",IF(AND(Setup!$C$8&lt;&gt;"",B365&gt;Setup!$C$8),"⚠ Date after period",IF(AND(O365&lt;&gt;"",COUNTIF($O$8:$O$507,O365)&gt;1),"⚠ Cheque no. used twice","✔"))))))</f>
        <v/>
      </c>
      <c r="M365" s="9" t="str">
        <f aca="false">IF(N(F365)&gt;0,"IN",IF(N(G365)&gt;0,"OUT",""))</f>
        <v/>
      </c>
      <c r="N365" s="9" t="str">
        <f aca="false">IF(M365="","",M365&amp;"|"&amp;TEXT(ROUND(N(F365)+N(G365),2),"0.00"))</f>
        <v/>
      </c>
      <c r="O365" s="9" t="str">
        <f aca="false">IF(OR(N365="",TRIM(E365&amp;"")=""),"",N365&amp;"|"&amp;UPPER(TRIM(E365&amp;"")))</f>
        <v/>
      </c>
      <c r="P365" s="9" t="n">
        <f aca="false">IF(O365="",0,IFERROR(MATCH(O365,'Bank Statement'!$O$8:$O$507,0),0))</f>
        <v>0</v>
      </c>
      <c r="Q365" s="9" t="str">
        <f aca="false">IF(OR(N365="",P365&gt;0),"",N365&amp;"#"&amp;COUNTIFS($N$8:N365,N365,$P$8:P365,0))</f>
        <v/>
      </c>
      <c r="R365" s="9" t="n">
        <f aca="false">IF(Q365="",0,IFERROR(MATCH(Q365,'Bank Statement'!$Q$8:$Q$507,0),0))</f>
        <v>0</v>
      </c>
      <c r="S365" s="9" t="n">
        <f aca="false">IF(P365&gt;0,P365,R365)</f>
        <v>0</v>
      </c>
      <c r="T365" s="9" t="str">
        <f aca="false">IF(OR(S365=0,B365=""),"",INDEX('Bank Statement'!$B$8:$B$507,S365)-B365)</f>
        <v/>
      </c>
      <c r="U365" s="9" t="n">
        <f aca="false">IF(S365=0,0,IF(P365&gt;0,S365,IF(AND(ISNUMBER(T365),ABS(N(T365))&lt;=Setup!$C$11),S365,0)))</f>
        <v>0</v>
      </c>
      <c r="V365" s="9" t="str">
        <f aca="false">IF(AND(N365&lt;&gt;"",U365=0),IF(M365="OUT",1,2)*100000+ROW(),"")</f>
        <v/>
      </c>
      <c r="W365" s="9" t="n">
        <f aca="false">N(F365)+N(G365)</f>
        <v>0</v>
      </c>
    </row>
    <row r="366" customFormat="false" ht="15" hidden="false" customHeight="false" outlineLevel="0" collapsed="false">
      <c r="A366" s="37" t="str">
        <f aca="false">IF(M366="","",ROW()-7)</f>
        <v/>
      </c>
      <c r="B366" s="70"/>
      <c r="C366" s="71"/>
      <c r="D366" s="72"/>
      <c r="E366" s="71"/>
      <c r="F366" s="73"/>
      <c r="G366" s="73"/>
      <c r="H366" s="42" t="str">
        <f aca="false">IF(M366="","",IF(U366&gt;0,"✔ Matched",IF(M366="OUT","Not yet presented","Not yet credited")))</f>
        <v/>
      </c>
      <c r="I366" s="43" t="str">
        <f aca="false">IF(N(U366)&gt;0,U366,"")</f>
        <v/>
      </c>
      <c r="J366" s="44" t="str">
        <f aca="false">IF(N(U366)&gt;0,T366,"")</f>
        <v/>
      </c>
      <c r="K366" s="45" t="str">
        <f aca="false">IF(AND(M366="",B366="",D366=""),"",IF(AND(N(F366)&gt;0,N(G366)&gt;0),"⚠ Fill deposit OR payment",IF(M366="","⚠ Enter amount",IF(B366="","⚠ Enter date",IF(AND(Setup!$C$8&lt;&gt;"",B366&gt;Setup!$C$8),"⚠ Date after period",IF(AND(O366&lt;&gt;"",COUNTIF($O$8:$O$507,O366)&gt;1),"⚠ Cheque no. used twice","✔"))))))</f>
        <v/>
      </c>
      <c r="M366" s="9" t="str">
        <f aca="false">IF(N(F366)&gt;0,"IN",IF(N(G366)&gt;0,"OUT",""))</f>
        <v/>
      </c>
      <c r="N366" s="9" t="str">
        <f aca="false">IF(M366="","",M366&amp;"|"&amp;TEXT(ROUND(N(F366)+N(G366),2),"0.00"))</f>
        <v/>
      </c>
      <c r="O366" s="9" t="str">
        <f aca="false">IF(OR(N366="",TRIM(E366&amp;"")=""),"",N366&amp;"|"&amp;UPPER(TRIM(E366&amp;"")))</f>
        <v/>
      </c>
      <c r="P366" s="9" t="n">
        <f aca="false">IF(O366="",0,IFERROR(MATCH(O366,'Bank Statement'!$O$8:$O$507,0),0))</f>
        <v>0</v>
      </c>
      <c r="Q366" s="9" t="str">
        <f aca="false">IF(OR(N366="",P366&gt;0),"",N366&amp;"#"&amp;COUNTIFS($N$8:N366,N366,$P$8:P366,0))</f>
        <v/>
      </c>
      <c r="R366" s="9" t="n">
        <f aca="false">IF(Q366="",0,IFERROR(MATCH(Q366,'Bank Statement'!$Q$8:$Q$507,0),0))</f>
        <v>0</v>
      </c>
      <c r="S366" s="9" t="n">
        <f aca="false">IF(P366&gt;0,P366,R366)</f>
        <v>0</v>
      </c>
      <c r="T366" s="9" t="str">
        <f aca="false">IF(OR(S366=0,B366=""),"",INDEX('Bank Statement'!$B$8:$B$507,S366)-B366)</f>
        <v/>
      </c>
      <c r="U366" s="9" t="n">
        <f aca="false">IF(S366=0,0,IF(P366&gt;0,S366,IF(AND(ISNUMBER(T366),ABS(N(T366))&lt;=Setup!$C$11),S366,0)))</f>
        <v>0</v>
      </c>
      <c r="V366" s="9" t="str">
        <f aca="false">IF(AND(N366&lt;&gt;"",U366=0),IF(M366="OUT",1,2)*100000+ROW(),"")</f>
        <v/>
      </c>
      <c r="W366" s="9" t="n">
        <f aca="false">N(F366)+N(G366)</f>
        <v>0</v>
      </c>
    </row>
    <row r="367" customFormat="false" ht="15" hidden="false" customHeight="false" outlineLevel="0" collapsed="false">
      <c r="A367" s="37" t="str">
        <f aca="false">IF(M367="","",ROW()-7)</f>
        <v/>
      </c>
      <c r="B367" s="70"/>
      <c r="C367" s="71"/>
      <c r="D367" s="72"/>
      <c r="E367" s="71"/>
      <c r="F367" s="73"/>
      <c r="G367" s="73"/>
      <c r="H367" s="42" t="str">
        <f aca="false">IF(M367="","",IF(U367&gt;0,"✔ Matched",IF(M367="OUT","Not yet presented","Not yet credited")))</f>
        <v/>
      </c>
      <c r="I367" s="43" t="str">
        <f aca="false">IF(N(U367)&gt;0,U367,"")</f>
        <v/>
      </c>
      <c r="J367" s="44" t="str">
        <f aca="false">IF(N(U367)&gt;0,T367,"")</f>
        <v/>
      </c>
      <c r="K367" s="45" t="str">
        <f aca="false">IF(AND(M367="",B367="",D367=""),"",IF(AND(N(F367)&gt;0,N(G367)&gt;0),"⚠ Fill deposit OR payment",IF(M367="","⚠ Enter amount",IF(B367="","⚠ Enter date",IF(AND(Setup!$C$8&lt;&gt;"",B367&gt;Setup!$C$8),"⚠ Date after period",IF(AND(O367&lt;&gt;"",COUNTIF($O$8:$O$507,O367)&gt;1),"⚠ Cheque no. used twice","✔"))))))</f>
        <v/>
      </c>
      <c r="M367" s="9" t="str">
        <f aca="false">IF(N(F367)&gt;0,"IN",IF(N(G367)&gt;0,"OUT",""))</f>
        <v/>
      </c>
      <c r="N367" s="9" t="str">
        <f aca="false">IF(M367="","",M367&amp;"|"&amp;TEXT(ROUND(N(F367)+N(G367),2),"0.00"))</f>
        <v/>
      </c>
      <c r="O367" s="9" t="str">
        <f aca="false">IF(OR(N367="",TRIM(E367&amp;"")=""),"",N367&amp;"|"&amp;UPPER(TRIM(E367&amp;"")))</f>
        <v/>
      </c>
      <c r="P367" s="9" t="n">
        <f aca="false">IF(O367="",0,IFERROR(MATCH(O367,'Bank Statement'!$O$8:$O$507,0),0))</f>
        <v>0</v>
      </c>
      <c r="Q367" s="9" t="str">
        <f aca="false">IF(OR(N367="",P367&gt;0),"",N367&amp;"#"&amp;COUNTIFS($N$8:N367,N367,$P$8:P367,0))</f>
        <v/>
      </c>
      <c r="R367" s="9" t="n">
        <f aca="false">IF(Q367="",0,IFERROR(MATCH(Q367,'Bank Statement'!$Q$8:$Q$507,0),0))</f>
        <v>0</v>
      </c>
      <c r="S367" s="9" t="n">
        <f aca="false">IF(P367&gt;0,P367,R367)</f>
        <v>0</v>
      </c>
      <c r="T367" s="9" t="str">
        <f aca="false">IF(OR(S367=0,B367=""),"",INDEX('Bank Statement'!$B$8:$B$507,S367)-B367)</f>
        <v/>
      </c>
      <c r="U367" s="9" t="n">
        <f aca="false">IF(S367=0,0,IF(P367&gt;0,S367,IF(AND(ISNUMBER(T367),ABS(N(T367))&lt;=Setup!$C$11),S367,0)))</f>
        <v>0</v>
      </c>
      <c r="V367" s="9" t="str">
        <f aca="false">IF(AND(N367&lt;&gt;"",U367=0),IF(M367="OUT",1,2)*100000+ROW(),"")</f>
        <v/>
      </c>
      <c r="W367" s="9" t="n">
        <f aca="false">N(F367)+N(G367)</f>
        <v>0</v>
      </c>
    </row>
    <row r="368" customFormat="false" ht="15" hidden="false" customHeight="false" outlineLevel="0" collapsed="false">
      <c r="A368" s="37" t="str">
        <f aca="false">IF(M368="","",ROW()-7)</f>
        <v/>
      </c>
      <c r="B368" s="70"/>
      <c r="C368" s="71"/>
      <c r="D368" s="72"/>
      <c r="E368" s="71"/>
      <c r="F368" s="73"/>
      <c r="G368" s="73"/>
      <c r="H368" s="42" t="str">
        <f aca="false">IF(M368="","",IF(U368&gt;0,"✔ Matched",IF(M368="OUT","Not yet presented","Not yet credited")))</f>
        <v/>
      </c>
      <c r="I368" s="43" t="str">
        <f aca="false">IF(N(U368)&gt;0,U368,"")</f>
        <v/>
      </c>
      <c r="J368" s="44" t="str">
        <f aca="false">IF(N(U368)&gt;0,T368,"")</f>
        <v/>
      </c>
      <c r="K368" s="45" t="str">
        <f aca="false">IF(AND(M368="",B368="",D368=""),"",IF(AND(N(F368)&gt;0,N(G368)&gt;0),"⚠ Fill deposit OR payment",IF(M368="","⚠ Enter amount",IF(B368="","⚠ Enter date",IF(AND(Setup!$C$8&lt;&gt;"",B368&gt;Setup!$C$8),"⚠ Date after period",IF(AND(O368&lt;&gt;"",COUNTIF($O$8:$O$507,O368)&gt;1),"⚠ Cheque no. used twice","✔"))))))</f>
        <v/>
      </c>
      <c r="M368" s="9" t="str">
        <f aca="false">IF(N(F368)&gt;0,"IN",IF(N(G368)&gt;0,"OUT",""))</f>
        <v/>
      </c>
      <c r="N368" s="9" t="str">
        <f aca="false">IF(M368="","",M368&amp;"|"&amp;TEXT(ROUND(N(F368)+N(G368),2),"0.00"))</f>
        <v/>
      </c>
      <c r="O368" s="9" t="str">
        <f aca="false">IF(OR(N368="",TRIM(E368&amp;"")=""),"",N368&amp;"|"&amp;UPPER(TRIM(E368&amp;"")))</f>
        <v/>
      </c>
      <c r="P368" s="9" t="n">
        <f aca="false">IF(O368="",0,IFERROR(MATCH(O368,'Bank Statement'!$O$8:$O$507,0),0))</f>
        <v>0</v>
      </c>
      <c r="Q368" s="9" t="str">
        <f aca="false">IF(OR(N368="",P368&gt;0),"",N368&amp;"#"&amp;COUNTIFS($N$8:N368,N368,$P$8:P368,0))</f>
        <v/>
      </c>
      <c r="R368" s="9" t="n">
        <f aca="false">IF(Q368="",0,IFERROR(MATCH(Q368,'Bank Statement'!$Q$8:$Q$507,0),0))</f>
        <v>0</v>
      </c>
      <c r="S368" s="9" t="n">
        <f aca="false">IF(P368&gt;0,P368,R368)</f>
        <v>0</v>
      </c>
      <c r="T368" s="9" t="str">
        <f aca="false">IF(OR(S368=0,B368=""),"",INDEX('Bank Statement'!$B$8:$B$507,S368)-B368)</f>
        <v/>
      </c>
      <c r="U368" s="9" t="n">
        <f aca="false">IF(S368=0,0,IF(P368&gt;0,S368,IF(AND(ISNUMBER(T368),ABS(N(T368))&lt;=Setup!$C$11),S368,0)))</f>
        <v>0</v>
      </c>
      <c r="V368" s="9" t="str">
        <f aca="false">IF(AND(N368&lt;&gt;"",U368=0),IF(M368="OUT",1,2)*100000+ROW(),"")</f>
        <v/>
      </c>
      <c r="W368" s="9" t="n">
        <f aca="false">N(F368)+N(G368)</f>
        <v>0</v>
      </c>
    </row>
    <row r="369" customFormat="false" ht="15" hidden="false" customHeight="false" outlineLevel="0" collapsed="false">
      <c r="A369" s="37" t="str">
        <f aca="false">IF(M369="","",ROW()-7)</f>
        <v/>
      </c>
      <c r="B369" s="70"/>
      <c r="C369" s="71"/>
      <c r="D369" s="72"/>
      <c r="E369" s="71"/>
      <c r="F369" s="73"/>
      <c r="G369" s="73"/>
      <c r="H369" s="42" t="str">
        <f aca="false">IF(M369="","",IF(U369&gt;0,"✔ Matched",IF(M369="OUT","Not yet presented","Not yet credited")))</f>
        <v/>
      </c>
      <c r="I369" s="43" t="str">
        <f aca="false">IF(N(U369)&gt;0,U369,"")</f>
        <v/>
      </c>
      <c r="J369" s="44" t="str">
        <f aca="false">IF(N(U369)&gt;0,T369,"")</f>
        <v/>
      </c>
      <c r="K369" s="45" t="str">
        <f aca="false">IF(AND(M369="",B369="",D369=""),"",IF(AND(N(F369)&gt;0,N(G369)&gt;0),"⚠ Fill deposit OR payment",IF(M369="","⚠ Enter amount",IF(B369="","⚠ Enter date",IF(AND(Setup!$C$8&lt;&gt;"",B369&gt;Setup!$C$8),"⚠ Date after period",IF(AND(O369&lt;&gt;"",COUNTIF($O$8:$O$507,O369)&gt;1),"⚠ Cheque no. used twice","✔"))))))</f>
        <v/>
      </c>
      <c r="M369" s="9" t="str">
        <f aca="false">IF(N(F369)&gt;0,"IN",IF(N(G369)&gt;0,"OUT",""))</f>
        <v/>
      </c>
      <c r="N369" s="9" t="str">
        <f aca="false">IF(M369="","",M369&amp;"|"&amp;TEXT(ROUND(N(F369)+N(G369),2),"0.00"))</f>
        <v/>
      </c>
      <c r="O369" s="9" t="str">
        <f aca="false">IF(OR(N369="",TRIM(E369&amp;"")=""),"",N369&amp;"|"&amp;UPPER(TRIM(E369&amp;"")))</f>
        <v/>
      </c>
      <c r="P369" s="9" t="n">
        <f aca="false">IF(O369="",0,IFERROR(MATCH(O369,'Bank Statement'!$O$8:$O$507,0),0))</f>
        <v>0</v>
      </c>
      <c r="Q369" s="9" t="str">
        <f aca="false">IF(OR(N369="",P369&gt;0),"",N369&amp;"#"&amp;COUNTIFS($N$8:N369,N369,$P$8:P369,0))</f>
        <v/>
      </c>
      <c r="R369" s="9" t="n">
        <f aca="false">IF(Q369="",0,IFERROR(MATCH(Q369,'Bank Statement'!$Q$8:$Q$507,0),0))</f>
        <v>0</v>
      </c>
      <c r="S369" s="9" t="n">
        <f aca="false">IF(P369&gt;0,P369,R369)</f>
        <v>0</v>
      </c>
      <c r="T369" s="9" t="str">
        <f aca="false">IF(OR(S369=0,B369=""),"",INDEX('Bank Statement'!$B$8:$B$507,S369)-B369)</f>
        <v/>
      </c>
      <c r="U369" s="9" t="n">
        <f aca="false">IF(S369=0,0,IF(P369&gt;0,S369,IF(AND(ISNUMBER(T369),ABS(N(T369))&lt;=Setup!$C$11),S369,0)))</f>
        <v>0</v>
      </c>
      <c r="V369" s="9" t="str">
        <f aca="false">IF(AND(N369&lt;&gt;"",U369=0),IF(M369="OUT",1,2)*100000+ROW(),"")</f>
        <v/>
      </c>
      <c r="W369" s="9" t="n">
        <f aca="false">N(F369)+N(G369)</f>
        <v>0</v>
      </c>
    </row>
    <row r="370" customFormat="false" ht="15" hidden="false" customHeight="false" outlineLevel="0" collapsed="false">
      <c r="A370" s="37" t="str">
        <f aca="false">IF(M370="","",ROW()-7)</f>
        <v/>
      </c>
      <c r="B370" s="70"/>
      <c r="C370" s="71"/>
      <c r="D370" s="72"/>
      <c r="E370" s="71"/>
      <c r="F370" s="73"/>
      <c r="G370" s="73"/>
      <c r="H370" s="42" t="str">
        <f aca="false">IF(M370="","",IF(U370&gt;0,"✔ Matched",IF(M370="OUT","Not yet presented","Not yet credited")))</f>
        <v/>
      </c>
      <c r="I370" s="43" t="str">
        <f aca="false">IF(N(U370)&gt;0,U370,"")</f>
        <v/>
      </c>
      <c r="J370" s="44" t="str">
        <f aca="false">IF(N(U370)&gt;0,T370,"")</f>
        <v/>
      </c>
      <c r="K370" s="45" t="str">
        <f aca="false">IF(AND(M370="",B370="",D370=""),"",IF(AND(N(F370)&gt;0,N(G370)&gt;0),"⚠ Fill deposit OR payment",IF(M370="","⚠ Enter amount",IF(B370="","⚠ Enter date",IF(AND(Setup!$C$8&lt;&gt;"",B370&gt;Setup!$C$8),"⚠ Date after period",IF(AND(O370&lt;&gt;"",COUNTIF($O$8:$O$507,O370)&gt;1),"⚠ Cheque no. used twice","✔"))))))</f>
        <v/>
      </c>
      <c r="M370" s="9" t="str">
        <f aca="false">IF(N(F370)&gt;0,"IN",IF(N(G370)&gt;0,"OUT",""))</f>
        <v/>
      </c>
      <c r="N370" s="9" t="str">
        <f aca="false">IF(M370="","",M370&amp;"|"&amp;TEXT(ROUND(N(F370)+N(G370),2),"0.00"))</f>
        <v/>
      </c>
      <c r="O370" s="9" t="str">
        <f aca="false">IF(OR(N370="",TRIM(E370&amp;"")=""),"",N370&amp;"|"&amp;UPPER(TRIM(E370&amp;"")))</f>
        <v/>
      </c>
      <c r="P370" s="9" t="n">
        <f aca="false">IF(O370="",0,IFERROR(MATCH(O370,'Bank Statement'!$O$8:$O$507,0),0))</f>
        <v>0</v>
      </c>
      <c r="Q370" s="9" t="str">
        <f aca="false">IF(OR(N370="",P370&gt;0),"",N370&amp;"#"&amp;COUNTIFS($N$8:N370,N370,$P$8:P370,0))</f>
        <v/>
      </c>
      <c r="R370" s="9" t="n">
        <f aca="false">IF(Q370="",0,IFERROR(MATCH(Q370,'Bank Statement'!$Q$8:$Q$507,0),0))</f>
        <v>0</v>
      </c>
      <c r="S370" s="9" t="n">
        <f aca="false">IF(P370&gt;0,P370,R370)</f>
        <v>0</v>
      </c>
      <c r="T370" s="9" t="str">
        <f aca="false">IF(OR(S370=0,B370=""),"",INDEX('Bank Statement'!$B$8:$B$507,S370)-B370)</f>
        <v/>
      </c>
      <c r="U370" s="9" t="n">
        <f aca="false">IF(S370=0,0,IF(P370&gt;0,S370,IF(AND(ISNUMBER(T370),ABS(N(T370))&lt;=Setup!$C$11),S370,0)))</f>
        <v>0</v>
      </c>
      <c r="V370" s="9" t="str">
        <f aca="false">IF(AND(N370&lt;&gt;"",U370=0),IF(M370="OUT",1,2)*100000+ROW(),"")</f>
        <v/>
      </c>
      <c r="W370" s="9" t="n">
        <f aca="false">N(F370)+N(G370)</f>
        <v>0</v>
      </c>
    </row>
    <row r="371" customFormat="false" ht="15" hidden="false" customHeight="false" outlineLevel="0" collapsed="false">
      <c r="A371" s="37" t="str">
        <f aca="false">IF(M371="","",ROW()-7)</f>
        <v/>
      </c>
      <c r="B371" s="70"/>
      <c r="C371" s="71"/>
      <c r="D371" s="72"/>
      <c r="E371" s="71"/>
      <c r="F371" s="73"/>
      <c r="G371" s="73"/>
      <c r="H371" s="42" t="str">
        <f aca="false">IF(M371="","",IF(U371&gt;0,"✔ Matched",IF(M371="OUT","Not yet presented","Not yet credited")))</f>
        <v/>
      </c>
      <c r="I371" s="43" t="str">
        <f aca="false">IF(N(U371)&gt;0,U371,"")</f>
        <v/>
      </c>
      <c r="J371" s="44" t="str">
        <f aca="false">IF(N(U371)&gt;0,T371,"")</f>
        <v/>
      </c>
      <c r="K371" s="45" t="str">
        <f aca="false">IF(AND(M371="",B371="",D371=""),"",IF(AND(N(F371)&gt;0,N(G371)&gt;0),"⚠ Fill deposit OR payment",IF(M371="","⚠ Enter amount",IF(B371="","⚠ Enter date",IF(AND(Setup!$C$8&lt;&gt;"",B371&gt;Setup!$C$8),"⚠ Date after period",IF(AND(O371&lt;&gt;"",COUNTIF($O$8:$O$507,O371)&gt;1),"⚠ Cheque no. used twice","✔"))))))</f>
        <v/>
      </c>
      <c r="M371" s="9" t="str">
        <f aca="false">IF(N(F371)&gt;0,"IN",IF(N(G371)&gt;0,"OUT",""))</f>
        <v/>
      </c>
      <c r="N371" s="9" t="str">
        <f aca="false">IF(M371="","",M371&amp;"|"&amp;TEXT(ROUND(N(F371)+N(G371),2),"0.00"))</f>
        <v/>
      </c>
      <c r="O371" s="9" t="str">
        <f aca="false">IF(OR(N371="",TRIM(E371&amp;"")=""),"",N371&amp;"|"&amp;UPPER(TRIM(E371&amp;"")))</f>
        <v/>
      </c>
      <c r="P371" s="9" t="n">
        <f aca="false">IF(O371="",0,IFERROR(MATCH(O371,'Bank Statement'!$O$8:$O$507,0),0))</f>
        <v>0</v>
      </c>
      <c r="Q371" s="9" t="str">
        <f aca="false">IF(OR(N371="",P371&gt;0),"",N371&amp;"#"&amp;COUNTIFS($N$8:N371,N371,$P$8:P371,0))</f>
        <v/>
      </c>
      <c r="R371" s="9" t="n">
        <f aca="false">IF(Q371="",0,IFERROR(MATCH(Q371,'Bank Statement'!$Q$8:$Q$507,0),0))</f>
        <v>0</v>
      </c>
      <c r="S371" s="9" t="n">
        <f aca="false">IF(P371&gt;0,P371,R371)</f>
        <v>0</v>
      </c>
      <c r="T371" s="9" t="str">
        <f aca="false">IF(OR(S371=0,B371=""),"",INDEX('Bank Statement'!$B$8:$B$507,S371)-B371)</f>
        <v/>
      </c>
      <c r="U371" s="9" t="n">
        <f aca="false">IF(S371=0,0,IF(P371&gt;0,S371,IF(AND(ISNUMBER(T371),ABS(N(T371))&lt;=Setup!$C$11),S371,0)))</f>
        <v>0</v>
      </c>
      <c r="V371" s="9" t="str">
        <f aca="false">IF(AND(N371&lt;&gt;"",U371=0),IF(M371="OUT",1,2)*100000+ROW(),"")</f>
        <v/>
      </c>
      <c r="W371" s="9" t="n">
        <f aca="false">N(F371)+N(G371)</f>
        <v>0</v>
      </c>
    </row>
    <row r="372" customFormat="false" ht="15" hidden="false" customHeight="false" outlineLevel="0" collapsed="false">
      <c r="A372" s="37" t="str">
        <f aca="false">IF(M372="","",ROW()-7)</f>
        <v/>
      </c>
      <c r="B372" s="70"/>
      <c r="C372" s="71"/>
      <c r="D372" s="72"/>
      <c r="E372" s="71"/>
      <c r="F372" s="73"/>
      <c r="G372" s="73"/>
      <c r="H372" s="42" t="str">
        <f aca="false">IF(M372="","",IF(U372&gt;0,"✔ Matched",IF(M372="OUT","Not yet presented","Not yet credited")))</f>
        <v/>
      </c>
      <c r="I372" s="43" t="str">
        <f aca="false">IF(N(U372)&gt;0,U372,"")</f>
        <v/>
      </c>
      <c r="J372" s="44" t="str">
        <f aca="false">IF(N(U372)&gt;0,T372,"")</f>
        <v/>
      </c>
      <c r="K372" s="45" t="str">
        <f aca="false">IF(AND(M372="",B372="",D372=""),"",IF(AND(N(F372)&gt;0,N(G372)&gt;0),"⚠ Fill deposit OR payment",IF(M372="","⚠ Enter amount",IF(B372="","⚠ Enter date",IF(AND(Setup!$C$8&lt;&gt;"",B372&gt;Setup!$C$8),"⚠ Date after period",IF(AND(O372&lt;&gt;"",COUNTIF($O$8:$O$507,O372)&gt;1),"⚠ Cheque no. used twice","✔"))))))</f>
        <v/>
      </c>
      <c r="M372" s="9" t="str">
        <f aca="false">IF(N(F372)&gt;0,"IN",IF(N(G372)&gt;0,"OUT",""))</f>
        <v/>
      </c>
      <c r="N372" s="9" t="str">
        <f aca="false">IF(M372="","",M372&amp;"|"&amp;TEXT(ROUND(N(F372)+N(G372),2),"0.00"))</f>
        <v/>
      </c>
      <c r="O372" s="9" t="str">
        <f aca="false">IF(OR(N372="",TRIM(E372&amp;"")=""),"",N372&amp;"|"&amp;UPPER(TRIM(E372&amp;"")))</f>
        <v/>
      </c>
      <c r="P372" s="9" t="n">
        <f aca="false">IF(O372="",0,IFERROR(MATCH(O372,'Bank Statement'!$O$8:$O$507,0),0))</f>
        <v>0</v>
      </c>
      <c r="Q372" s="9" t="str">
        <f aca="false">IF(OR(N372="",P372&gt;0),"",N372&amp;"#"&amp;COUNTIFS($N$8:N372,N372,$P$8:P372,0))</f>
        <v/>
      </c>
      <c r="R372" s="9" t="n">
        <f aca="false">IF(Q372="",0,IFERROR(MATCH(Q372,'Bank Statement'!$Q$8:$Q$507,0),0))</f>
        <v>0</v>
      </c>
      <c r="S372" s="9" t="n">
        <f aca="false">IF(P372&gt;0,P372,R372)</f>
        <v>0</v>
      </c>
      <c r="T372" s="9" t="str">
        <f aca="false">IF(OR(S372=0,B372=""),"",INDEX('Bank Statement'!$B$8:$B$507,S372)-B372)</f>
        <v/>
      </c>
      <c r="U372" s="9" t="n">
        <f aca="false">IF(S372=0,0,IF(P372&gt;0,S372,IF(AND(ISNUMBER(T372),ABS(N(T372))&lt;=Setup!$C$11),S372,0)))</f>
        <v>0</v>
      </c>
      <c r="V372" s="9" t="str">
        <f aca="false">IF(AND(N372&lt;&gt;"",U372=0),IF(M372="OUT",1,2)*100000+ROW(),"")</f>
        <v/>
      </c>
      <c r="W372" s="9" t="n">
        <f aca="false">N(F372)+N(G372)</f>
        <v>0</v>
      </c>
    </row>
    <row r="373" customFormat="false" ht="15" hidden="false" customHeight="false" outlineLevel="0" collapsed="false">
      <c r="A373" s="37" t="str">
        <f aca="false">IF(M373="","",ROW()-7)</f>
        <v/>
      </c>
      <c r="B373" s="70"/>
      <c r="C373" s="71"/>
      <c r="D373" s="72"/>
      <c r="E373" s="71"/>
      <c r="F373" s="73"/>
      <c r="G373" s="73"/>
      <c r="H373" s="42" t="str">
        <f aca="false">IF(M373="","",IF(U373&gt;0,"✔ Matched",IF(M373="OUT","Not yet presented","Not yet credited")))</f>
        <v/>
      </c>
      <c r="I373" s="43" t="str">
        <f aca="false">IF(N(U373)&gt;0,U373,"")</f>
        <v/>
      </c>
      <c r="J373" s="44" t="str">
        <f aca="false">IF(N(U373)&gt;0,T373,"")</f>
        <v/>
      </c>
      <c r="K373" s="45" t="str">
        <f aca="false">IF(AND(M373="",B373="",D373=""),"",IF(AND(N(F373)&gt;0,N(G373)&gt;0),"⚠ Fill deposit OR payment",IF(M373="","⚠ Enter amount",IF(B373="","⚠ Enter date",IF(AND(Setup!$C$8&lt;&gt;"",B373&gt;Setup!$C$8),"⚠ Date after period",IF(AND(O373&lt;&gt;"",COUNTIF($O$8:$O$507,O373)&gt;1),"⚠ Cheque no. used twice","✔"))))))</f>
        <v/>
      </c>
      <c r="M373" s="9" t="str">
        <f aca="false">IF(N(F373)&gt;0,"IN",IF(N(G373)&gt;0,"OUT",""))</f>
        <v/>
      </c>
      <c r="N373" s="9" t="str">
        <f aca="false">IF(M373="","",M373&amp;"|"&amp;TEXT(ROUND(N(F373)+N(G373),2),"0.00"))</f>
        <v/>
      </c>
      <c r="O373" s="9" t="str">
        <f aca="false">IF(OR(N373="",TRIM(E373&amp;"")=""),"",N373&amp;"|"&amp;UPPER(TRIM(E373&amp;"")))</f>
        <v/>
      </c>
      <c r="P373" s="9" t="n">
        <f aca="false">IF(O373="",0,IFERROR(MATCH(O373,'Bank Statement'!$O$8:$O$507,0),0))</f>
        <v>0</v>
      </c>
      <c r="Q373" s="9" t="str">
        <f aca="false">IF(OR(N373="",P373&gt;0),"",N373&amp;"#"&amp;COUNTIFS($N$8:N373,N373,$P$8:P373,0))</f>
        <v/>
      </c>
      <c r="R373" s="9" t="n">
        <f aca="false">IF(Q373="",0,IFERROR(MATCH(Q373,'Bank Statement'!$Q$8:$Q$507,0),0))</f>
        <v>0</v>
      </c>
      <c r="S373" s="9" t="n">
        <f aca="false">IF(P373&gt;0,P373,R373)</f>
        <v>0</v>
      </c>
      <c r="T373" s="9" t="str">
        <f aca="false">IF(OR(S373=0,B373=""),"",INDEX('Bank Statement'!$B$8:$B$507,S373)-B373)</f>
        <v/>
      </c>
      <c r="U373" s="9" t="n">
        <f aca="false">IF(S373=0,0,IF(P373&gt;0,S373,IF(AND(ISNUMBER(T373),ABS(N(T373))&lt;=Setup!$C$11),S373,0)))</f>
        <v>0</v>
      </c>
      <c r="V373" s="9" t="str">
        <f aca="false">IF(AND(N373&lt;&gt;"",U373=0),IF(M373="OUT",1,2)*100000+ROW(),"")</f>
        <v/>
      </c>
      <c r="W373" s="9" t="n">
        <f aca="false">N(F373)+N(G373)</f>
        <v>0</v>
      </c>
    </row>
    <row r="374" customFormat="false" ht="15" hidden="false" customHeight="false" outlineLevel="0" collapsed="false">
      <c r="A374" s="37" t="str">
        <f aca="false">IF(M374="","",ROW()-7)</f>
        <v/>
      </c>
      <c r="B374" s="70"/>
      <c r="C374" s="71"/>
      <c r="D374" s="72"/>
      <c r="E374" s="71"/>
      <c r="F374" s="73"/>
      <c r="G374" s="73"/>
      <c r="H374" s="42" t="str">
        <f aca="false">IF(M374="","",IF(U374&gt;0,"✔ Matched",IF(M374="OUT","Not yet presented","Not yet credited")))</f>
        <v/>
      </c>
      <c r="I374" s="43" t="str">
        <f aca="false">IF(N(U374)&gt;0,U374,"")</f>
        <v/>
      </c>
      <c r="J374" s="44" t="str">
        <f aca="false">IF(N(U374)&gt;0,T374,"")</f>
        <v/>
      </c>
      <c r="K374" s="45" t="str">
        <f aca="false">IF(AND(M374="",B374="",D374=""),"",IF(AND(N(F374)&gt;0,N(G374)&gt;0),"⚠ Fill deposit OR payment",IF(M374="","⚠ Enter amount",IF(B374="","⚠ Enter date",IF(AND(Setup!$C$8&lt;&gt;"",B374&gt;Setup!$C$8),"⚠ Date after period",IF(AND(O374&lt;&gt;"",COUNTIF($O$8:$O$507,O374)&gt;1),"⚠ Cheque no. used twice","✔"))))))</f>
        <v/>
      </c>
      <c r="M374" s="9" t="str">
        <f aca="false">IF(N(F374)&gt;0,"IN",IF(N(G374)&gt;0,"OUT",""))</f>
        <v/>
      </c>
      <c r="N374" s="9" t="str">
        <f aca="false">IF(M374="","",M374&amp;"|"&amp;TEXT(ROUND(N(F374)+N(G374),2),"0.00"))</f>
        <v/>
      </c>
      <c r="O374" s="9" t="str">
        <f aca="false">IF(OR(N374="",TRIM(E374&amp;"")=""),"",N374&amp;"|"&amp;UPPER(TRIM(E374&amp;"")))</f>
        <v/>
      </c>
      <c r="P374" s="9" t="n">
        <f aca="false">IF(O374="",0,IFERROR(MATCH(O374,'Bank Statement'!$O$8:$O$507,0),0))</f>
        <v>0</v>
      </c>
      <c r="Q374" s="9" t="str">
        <f aca="false">IF(OR(N374="",P374&gt;0),"",N374&amp;"#"&amp;COUNTIFS($N$8:N374,N374,$P$8:P374,0))</f>
        <v/>
      </c>
      <c r="R374" s="9" t="n">
        <f aca="false">IF(Q374="",0,IFERROR(MATCH(Q374,'Bank Statement'!$Q$8:$Q$507,0),0))</f>
        <v>0</v>
      </c>
      <c r="S374" s="9" t="n">
        <f aca="false">IF(P374&gt;0,P374,R374)</f>
        <v>0</v>
      </c>
      <c r="T374" s="9" t="str">
        <f aca="false">IF(OR(S374=0,B374=""),"",INDEX('Bank Statement'!$B$8:$B$507,S374)-B374)</f>
        <v/>
      </c>
      <c r="U374" s="9" t="n">
        <f aca="false">IF(S374=0,0,IF(P374&gt;0,S374,IF(AND(ISNUMBER(T374),ABS(N(T374))&lt;=Setup!$C$11),S374,0)))</f>
        <v>0</v>
      </c>
      <c r="V374" s="9" t="str">
        <f aca="false">IF(AND(N374&lt;&gt;"",U374=0),IF(M374="OUT",1,2)*100000+ROW(),"")</f>
        <v/>
      </c>
      <c r="W374" s="9" t="n">
        <f aca="false">N(F374)+N(G374)</f>
        <v>0</v>
      </c>
    </row>
    <row r="375" customFormat="false" ht="15" hidden="false" customHeight="false" outlineLevel="0" collapsed="false">
      <c r="A375" s="37" t="str">
        <f aca="false">IF(M375="","",ROW()-7)</f>
        <v/>
      </c>
      <c r="B375" s="70"/>
      <c r="C375" s="71"/>
      <c r="D375" s="72"/>
      <c r="E375" s="71"/>
      <c r="F375" s="73"/>
      <c r="G375" s="73"/>
      <c r="H375" s="42" t="str">
        <f aca="false">IF(M375="","",IF(U375&gt;0,"✔ Matched",IF(M375="OUT","Not yet presented","Not yet credited")))</f>
        <v/>
      </c>
      <c r="I375" s="43" t="str">
        <f aca="false">IF(N(U375)&gt;0,U375,"")</f>
        <v/>
      </c>
      <c r="J375" s="44" t="str">
        <f aca="false">IF(N(U375)&gt;0,T375,"")</f>
        <v/>
      </c>
      <c r="K375" s="45" t="str">
        <f aca="false">IF(AND(M375="",B375="",D375=""),"",IF(AND(N(F375)&gt;0,N(G375)&gt;0),"⚠ Fill deposit OR payment",IF(M375="","⚠ Enter amount",IF(B375="","⚠ Enter date",IF(AND(Setup!$C$8&lt;&gt;"",B375&gt;Setup!$C$8),"⚠ Date after period",IF(AND(O375&lt;&gt;"",COUNTIF($O$8:$O$507,O375)&gt;1),"⚠ Cheque no. used twice","✔"))))))</f>
        <v/>
      </c>
      <c r="M375" s="9" t="str">
        <f aca="false">IF(N(F375)&gt;0,"IN",IF(N(G375)&gt;0,"OUT",""))</f>
        <v/>
      </c>
      <c r="N375" s="9" t="str">
        <f aca="false">IF(M375="","",M375&amp;"|"&amp;TEXT(ROUND(N(F375)+N(G375),2),"0.00"))</f>
        <v/>
      </c>
      <c r="O375" s="9" t="str">
        <f aca="false">IF(OR(N375="",TRIM(E375&amp;"")=""),"",N375&amp;"|"&amp;UPPER(TRIM(E375&amp;"")))</f>
        <v/>
      </c>
      <c r="P375" s="9" t="n">
        <f aca="false">IF(O375="",0,IFERROR(MATCH(O375,'Bank Statement'!$O$8:$O$507,0),0))</f>
        <v>0</v>
      </c>
      <c r="Q375" s="9" t="str">
        <f aca="false">IF(OR(N375="",P375&gt;0),"",N375&amp;"#"&amp;COUNTIFS($N$8:N375,N375,$P$8:P375,0))</f>
        <v/>
      </c>
      <c r="R375" s="9" t="n">
        <f aca="false">IF(Q375="",0,IFERROR(MATCH(Q375,'Bank Statement'!$Q$8:$Q$507,0),0))</f>
        <v>0</v>
      </c>
      <c r="S375" s="9" t="n">
        <f aca="false">IF(P375&gt;0,P375,R375)</f>
        <v>0</v>
      </c>
      <c r="T375" s="9" t="str">
        <f aca="false">IF(OR(S375=0,B375=""),"",INDEX('Bank Statement'!$B$8:$B$507,S375)-B375)</f>
        <v/>
      </c>
      <c r="U375" s="9" t="n">
        <f aca="false">IF(S375=0,0,IF(P375&gt;0,S375,IF(AND(ISNUMBER(T375),ABS(N(T375))&lt;=Setup!$C$11),S375,0)))</f>
        <v>0</v>
      </c>
      <c r="V375" s="9" t="str">
        <f aca="false">IF(AND(N375&lt;&gt;"",U375=0),IF(M375="OUT",1,2)*100000+ROW(),"")</f>
        <v/>
      </c>
      <c r="W375" s="9" t="n">
        <f aca="false">N(F375)+N(G375)</f>
        <v>0</v>
      </c>
    </row>
    <row r="376" customFormat="false" ht="15" hidden="false" customHeight="false" outlineLevel="0" collapsed="false">
      <c r="A376" s="37" t="str">
        <f aca="false">IF(M376="","",ROW()-7)</f>
        <v/>
      </c>
      <c r="B376" s="70"/>
      <c r="C376" s="71"/>
      <c r="D376" s="72"/>
      <c r="E376" s="71"/>
      <c r="F376" s="73"/>
      <c r="G376" s="73"/>
      <c r="H376" s="42" t="str">
        <f aca="false">IF(M376="","",IF(U376&gt;0,"✔ Matched",IF(M376="OUT","Not yet presented","Not yet credited")))</f>
        <v/>
      </c>
      <c r="I376" s="43" t="str">
        <f aca="false">IF(N(U376)&gt;0,U376,"")</f>
        <v/>
      </c>
      <c r="J376" s="44" t="str">
        <f aca="false">IF(N(U376)&gt;0,T376,"")</f>
        <v/>
      </c>
      <c r="K376" s="45" t="str">
        <f aca="false">IF(AND(M376="",B376="",D376=""),"",IF(AND(N(F376)&gt;0,N(G376)&gt;0),"⚠ Fill deposit OR payment",IF(M376="","⚠ Enter amount",IF(B376="","⚠ Enter date",IF(AND(Setup!$C$8&lt;&gt;"",B376&gt;Setup!$C$8),"⚠ Date after period",IF(AND(O376&lt;&gt;"",COUNTIF($O$8:$O$507,O376)&gt;1),"⚠ Cheque no. used twice","✔"))))))</f>
        <v/>
      </c>
      <c r="M376" s="9" t="str">
        <f aca="false">IF(N(F376)&gt;0,"IN",IF(N(G376)&gt;0,"OUT",""))</f>
        <v/>
      </c>
      <c r="N376" s="9" t="str">
        <f aca="false">IF(M376="","",M376&amp;"|"&amp;TEXT(ROUND(N(F376)+N(G376),2),"0.00"))</f>
        <v/>
      </c>
      <c r="O376" s="9" t="str">
        <f aca="false">IF(OR(N376="",TRIM(E376&amp;"")=""),"",N376&amp;"|"&amp;UPPER(TRIM(E376&amp;"")))</f>
        <v/>
      </c>
      <c r="P376" s="9" t="n">
        <f aca="false">IF(O376="",0,IFERROR(MATCH(O376,'Bank Statement'!$O$8:$O$507,0),0))</f>
        <v>0</v>
      </c>
      <c r="Q376" s="9" t="str">
        <f aca="false">IF(OR(N376="",P376&gt;0),"",N376&amp;"#"&amp;COUNTIFS($N$8:N376,N376,$P$8:P376,0))</f>
        <v/>
      </c>
      <c r="R376" s="9" t="n">
        <f aca="false">IF(Q376="",0,IFERROR(MATCH(Q376,'Bank Statement'!$Q$8:$Q$507,0),0))</f>
        <v>0</v>
      </c>
      <c r="S376" s="9" t="n">
        <f aca="false">IF(P376&gt;0,P376,R376)</f>
        <v>0</v>
      </c>
      <c r="T376" s="9" t="str">
        <f aca="false">IF(OR(S376=0,B376=""),"",INDEX('Bank Statement'!$B$8:$B$507,S376)-B376)</f>
        <v/>
      </c>
      <c r="U376" s="9" t="n">
        <f aca="false">IF(S376=0,0,IF(P376&gt;0,S376,IF(AND(ISNUMBER(T376),ABS(N(T376))&lt;=Setup!$C$11),S376,0)))</f>
        <v>0</v>
      </c>
      <c r="V376" s="9" t="str">
        <f aca="false">IF(AND(N376&lt;&gt;"",U376=0),IF(M376="OUT",1,2)*100000+ROW(),"")</f>
        <v/>
      </c>
      <c r="W376" s="9" t="n">
        <f aca="false">N(F376)+N(G376)</f>
        <v>0</v>
      </c>
    </row>
    <row r="377" customFormat="false" ht="15" hidden="false" customHeight="false" outlineLevel="0" collapsed="false">
      <c r="A377" s="37" t="str">
        <f aca="false">IF(M377="","",ROW()-7)</f>
        <v/>
      </c>
      <c r="B377" s="70"/>
      <c r="C377" s="71"/>
      <c r="D377" s="72"/>
      <c r="E377" s="71"/>
      <c r="F377" s="73"/>
      <c r="G377" s="73"/>
      <c r="H377" s="42" t="str">
        <f aca="false">IF(M377="","",IF(U377&gt;0,"✔ Matched",IF(M377="OUT","Not yet presented","Not yet credited")))</f>
        <v/>
      </c>
      <c r="I377" s="43" t="str">
        <f aca="false">IF(N(U377)&gt;0,U377,"")</f>
        <v/>
      </c>
      <c r="J377" s="44" t="str">
        <f aca="false">IF(N(U377)&gt;0,T377,"")</f>
        <v/>
      </c>
      <c r="K377" s="45" t="str">
        <f aca="false">IF(AND(M377="",B377="",D377=""),"",IF(AND(N(F377)&gt;0,N(G377)&gt;0),"⚠ Fill deposit OR payment",IF(M377="","⚠ Enter amount",IF(B377="","⚠ Enter date",IF(AND(Setup!$C$8&lt;&gt;"",B377&gt;Setup!$C$8),"⚠ Date after period",IF(AND(O377&lt;&gt;"",COUNTIF($O$8:$O$507,O377)&gt;1),"⚠ Cheque no. used twice","✔"))))))</f>
        <v/>
      </c>
      <c r="M377" s="9" t="str">
        <f aca="false">IF(N(F377)&gt;0,"IN",IF(N(G377)&gt;0,"OUT",""))</f>
        <v/>
      </c>
      <c r="N377" s="9" t="str">
        <f aca="false">IF(M377="","",M377&amp;"|"&amp;TEXT(ROUND(N(F377)+N(G377),2),"0.00"))</f>
        <v/>
      </c>
      <c r="O377" s="9" t="str">
        <f aca="false">IF(OR(N377="",TRIM(E377&amp;"")=""),"",N377&amp;"|"&amp;UPPER(TRIM(E377&amp;"")))</f>
        <v/>
      </c>
      <c r="P377" s="9" t="n">
        <f aca="false">IF(O377="",0,IFERROR(MATCH(O377,'Bank Statement'!$O$8:$O$507,0),0))</f>
        <v>0</v>
      </c>
      <c r="Q377" s="9" t="str">
        <f aca="false">IF(OR(N377="",P377&gt;0),"",N377&amp;"#"&amp;COUNTIFS($N$8:N377,N377,$P$8:P377,0))</f>
        <v/>
      </c>
      <c r="R377" s="9" t="n">
        <f aca="false">IF(Q377="",0,IFERROR(MATCH(Q377,'Bank Statement'!$Q$8:$Q$507,0),0))</f>
        <v>0</v>
      </c>
      <c r="S377" s="9" t="n">
        <f aca="false">IF(P377&gt;0,P377,R377)</f>
        <v>0</v>
      </c>
      <c r="T377" s="9" t="str">
        <f aca="false">IF(OR(S377=0,B377=""),"",INDEX('Bank Statement'!$B$8:$B$507,S377)-B377)</f>
        <v/>
      </c>
      <c r="U377" s="9" t="n">
        <f aca="false">IF(S377=0,0,IF(P377&gt;0,S377,IF(AND(ISNUMBER(T377),ABS(N(T377))&lt;=Setup!$C$11),S377,0)))</f>
        <v>0</v>
      </c>
      <c r="V377" s="9" t="str">
        <f aca="false">IF(AND(N377&lt;&gt;"",U377=0),IF(M377="OUT",1,2)*100000+ROW(),"")</f>
        <v/>
      </c>
      <c r="W377" s="9" t="n">
        <f aca="false">N(F377)+N(G377)</f>
        <v>0</v>
      </c>
    </row>
    <row r="378" customFormat="false" ht="15" hidden="false" customHeight="false" outlineLevel="0" collapsed="false">
      <c r="A378" s="37" t="str">
        <f aca="false">IF(M378="","",ROW()-7)</f>
        <v/>
      </c>
      <c r="B378" s="70"/>
      <c r="C378" s="71"/>
      <c r="D378" s="72"/>
      <c r="E378" s="71"/>
      <c r="F378" s="73"/>
      <c r="G378" s="73"/>
      <c r="H378" s="42" t="str">
        <f aca="false">IF(M378="","",IF(U378&gt;0,"✔ Matched",IF(M378="OUT","Not yet presented","Not yet credited")))</f>
        <v/>
      </c>
      <c r="I378" s="43" t="str">
        <f aca="false">IF(N(U378)&gt;0,U378,"")</f>
        <v/>
      </c>
      <c r="J378" s="44" t="str">
        <f aca="false">IF(N(U378)&gt;0,T378,"")</f>
        <v/>
      </c>
      <c r="K378" s="45" t="str">
        <f aca="false">IF(AND(M378="",B378="",D378=""),"",IF(AND(N(F378)&gt;0,N(G378)&gt;0),"⚠ Fill deposit OR payment",IF(M378="","⚠ Enter amount",IF(B378="","⚠ Enter date",IF(AND(Setup!$C$8&lt;&gt;"",B378&gt;Setup!$C$8),"⚠ Date after period",IF(AND(O378&lt;&gt;"",COUNTIF($O$8:$O$507,O378)&gt;1),"⚠ Cheque no. used twice","✔"))))))</f>
        <v/>
      </c>
      <c r="M378" s="9" t="str">
        <f aca="false">IF(N(F378)&gt;0,"IN",IF(N(G378)&gt;0,"OUT",""))</f>
        <v/>
      </c>
      <c r="N378" s="9" t="str">
        <f aca="false">IF(M378="","",M378&amp;"|"&amp;TEXT(ROUND(N(F378)+N(G378),2),"0.00"))</f>
        <v/>
      </c>
      <c r="O378" s="9" t="str">
        <f aca="false">IF(OR(N378="",TRIM(E378&amp;"")=""),"",N378&amp;"|"&amp;UPPER(TRIM(E378&amp;"")))</f>
        <v/>
      </c>
      <c r="P378" s="9" t="n">
        <f aca="false">IF(O378="",0,IFERROR(MATCH(O378,'Bank Statement'!$O$8:$O$507,0),0))</f>
        <v>0</v>
      </c>
      <c r="Q378" s="9" t="str">
        <f aca="false">IF(OR(N378="",P378&gt;0),"",N378&amp;"#"&amp;COUNTIFS($N$8:N378,N378,$P$8:P378,0))</f>
        <v/>
      </c>
      <c r="R378" s="9" t="n">
        <f aca="false">IF(Q378="",0,IFERROR(MATCH(Q378,'Bank Statement'!$Q$8:$Q$507,0),0))</f>
        <v>0</v>
      </c>
      <c r="S378" s="9" t="n">
        <f aca="false">IF(P378&gt;0,P378,R378)</f>
        <v>0</v>
      </c>
      <c r="T378" s="9" t="str">
        <f aca="false">IF(OR(S378=0,B378=""),"",INDEX('Bank Statement'!$B$8:$B$507,S378)-B378)</f>
        <v/>
      </c>
      <c r="U378" s="9" t="n">
        <f aca="false">IF(S378=0,0,IF(P378&gt;0,S378,IF(AND(ISNUMBER(T378),ABS(N(T378))&lt;=Setup!$C$11),S378,0)))</f>
        <v>0</v>
      </c>
      <c r="V378" s="9" t="str">
        <f aca="false">IF(AND(N378&lt;&gt;"",U378=0),IF(M378="OUT",1,2)*100000+ROW(),"")</f>
        <v/>
      </c>
      <c r="W378" s="9" t="n">
        <f aca="false">N(F378)+N(G378)</f>
        <v>0</v>
      </c>
    </row>
    <row r="379" customFormat="false" ht="15" hidden="false" customHeight="false" outlineLevel="0" collapsed="false">
      <c r="A379" s="37" t="str">
        <f aca="false">IF(M379="","",ROW()-7)</f>
        <v/>
      </c>
      <c r="B379" s="70"/>
      <c r="C379" s="71"/>
      <c r="D379" s="72"/>
      <c r="E379" s="71"/>
      <c r="F379" s="73"/>
      <c r="G379" s="73"/>
      <c r="H379" s="42" t="str">
        <f aca="false">IF(M379="","",IF(U379&gt;0,"✔ Matched",IF(M379="OUT","Not yet presented","Not yet credited")))</f>
        <v/>
      </c>
      <c r="I379" s="43" t="str">
        <f aca="false">IF(N(U379)&gt;0,U379,"")</f>
        <v/>
      </c>
      <c r="J379" s="44" t="str">
        <f aca="false">IF(N(U379)&gt;0,T379,"")</f>
        <v/>
      </c>
      <c r="K379" s="45" t="str">
        <f aca="false">IF(AND(M379="",B379="",D379=""),"",IF(AND(N(F379)&gt;0,N(G379)&gt;0),"⚠ Fill deposit OR payment",IF(M379="","⚠ Enter amount",IF(B379="","⚠ Enter date",IF(AND(Setup!$C$8&lt;&gt;"",B379&gt;Setup!$C$8),"⚠ Date after period",IF(AND(O379&lt;&gt;"",COUNTIF($O$8:$O$507,O379)&gt;1),"⚠ Cheque no. used twice","✔"))))))</f>
        <v/>
      </c>
      <c r="M379" s="9" t="str">
        <f aca="false">IF(N(F379)&gt;0,"IN",IF(N(G379)&gt;0,"OUT",""))</f>
        <v/>
      </c>
      <c r="N379" s="9" t="str">
        <f aca="false">IF(M379="","",M379&amp;"|"&amp;TEXT(ROUND(N(F379)+N(G379),2),"0.00"))</f>
        <v/>
      </c>
      <c r="O379" s="9" t="str">
        <f aca="false">IF(OR(N379="",TRIM(E379&amp;"")=""),"",N379&amp;"|"&amp;UPPER(TRIM(E379&amp;"")))</f>
        <v/>
      </c>
      <c r="P379" s="9" t="n">
        <f aca="false">IF(O379="",0,IFERROR(MATCH(O379,'Bank Statement'!$O$8:$O$507,0),0))</f>
        <v>0</v>
      </c>
      <c r="Q379" s="9" t="str">
        <f aca="false">IF(OR(N379="",P379&gt;0),"",N379&amp;"#"&amp;COUNTIFS($N$8:N379,N379,$P$8:P379,0))</f>
        <v/>
      </c>
      <c r="R379" s="9" t="n">
        <f aca="false">IF(Q379="",0,IFERROR(MATCH(Q379,'Bank Statement'!$Q$8:$Q$507,0),0))</f>
        <v>0</v>
      </c>
      <c r="S379" s="9" t="n">
        <f aca="false">IF(P379&gt;0,P379,R379)</f>
        <v>0</v>
      </c>
      <c r="T379" s="9" t="str">
        <f aca="false">IF(OR(S379=0,B379=""),"",INDEX('Bank Statement'!$B$8:$B$507,S379)-B379)</f>
        <v/>
      </c>
      <c r="U379" s="9" t="n">
        <f aca="false">IF(S379=0,0,IF(P379&gt;0,S379,IF(AND(ISNUMBER(T379),ABS(N(T379))&lt;=Setup!$C$11),S379,0)))</f>
        <v>0</v>
      </c>
      <c r="V379" s="9" t="str">
        <f aca="false">IF(AND(N379&lt;&gt;"",U379=0),IF(M379="OUT",1,2)*100000+ROW(),"")</f>
        <v/>
      </c>
      <c r="W379" s="9" t="n">
        <f aca="false">N(F379)+N(G379)</f>
        <v>0</v>
      </c>
    </row>
    <row r="380" customFormat="false" ht="15" hidden="false" customHeight="false" outlineLevel="0" collapsed="false">
      <c r="A380" s="37" t="str">
        <f aca="false">IF(M380="","",ROW()-7)</f>
        <v/>
      </c>
      <c r="B380" s="70"/>
      <c r="C380" s="71"/>
      <c r="D380" s="72"/>
      <c r="E380" s="71"/>
      <c r="F380" s="73"/>
      <c r="G380" s="73"/>
      <c r="H380" s="42" t="str">
        <f aca="false">IF(M380="","",IF(U380&gt;0,"✔ Matched",IF(M380="OUT","Not yet presented","Not yet credited")))</f>
        <v/>
      </c>
      <c r="I380" s="43" t="str">
        <f aca="false">IF(N(U380)&gt;0,U380,"")</f>
        <v/>
      </c>
      <c r="J380" s="44" t="str">
        <f aca="false">IF(N(U380)&gt;0,T380,"")</f>
        <v/>
      </c>
      <c r="K380" s="45" t="str">
        <f aca="false">IF(AND(M380="",B380="",D380=""),"",IF(AND(N(F380)&gt;0,N(G380)&gt;0),"⚠ Fill deposit OR payment",IF(M380="","⚠ Enter amount",IF(B380="","⚠ Enter date",IF(AND(Setup!$C$8&lt;&gt;"",B380&gt;Setup!$C$8),"⚠ Date after period",IF(AND(O380&lt;&gt;"",COUNTIF($O$8:$O$507,O380)&gt;1),"⚠ Cheque no. used twice","✔"))))))</f>
        <v/>
      </c>
      <c r="M380" s="9" t="str">
        <f aca="false">IF(N(F380)&gt;0,"IN",IF(N(G380)&gt;0,"OUT",""))</f>
        <v/>
      </c>
      <c r="N380" s="9" t="str">
        <f aca="false">IF(M380="","",M380&amp;"|"&amp;TEXT(ROUND(N(F380)+N(G380),2),"0.00"))</f>
        <v/>
      </c>
      <c r="O380" s="9" t="str">
        <f aca="false">IF(OR(N380="",TRIM(E380&amp;"")=""),"",N380&amp;"|"&amp;UPPER(TRIM(E380&amp;"")))</f>
        <v/>
      </c>
      <c r="P380" s="9" t="n">
        <f aca="false">IF(O380="",0,IFERROR(MATCH(O380,'Bank Statement'!$O$8:$O$507,0),0))</f>
        <v>0</v>
      </c>
      <c r="Q380" s="9" t="str">
        <f aca="false">IF(OR(N380="",P380&gt;0),"",N380&amp;"#"&amp;COUNTIFS($N$8:N380,N380,$P$8:P380,0))</f>
        <v/>
      </c>
      <c r="R380" s="9" t="n">
        <f aca="false">IF(Q380="",0,IFERROR(MATCH(Q380,'Bank Statement'!$Q$8:$Q$507,0),0))</f>
        <v>0</v>
      </c>
      <c r="S380" s="9" t="n">
        <f aca="false">IF(P380&gt;0,P380,R380)</f>
        <v>0</v>
      </c>
      <c r="T380" s="9" t="str">
        <f aca="false">IF(OR(S380=0,B380=""),"",INDEX('Bank Statement'!$B$8:$B$507,S380)-B380)</f>
        <v/>
      </c>
      <c r="U380" s="9" t="n">
        <f aca="false">IF(S380=0,0,IF(P380&gt;0,S380,IF(AND(ISNUMBER(T380),ABS(N(T380))&lt;=Setup!$C$11),S380,0)))</f>
        <v>0</v>
      </c>
      <c r="V380" s="9" t="str">
        <f aca="false">IF(AND(N380&lt;&gt;"",U380=0),IF(M380="OUT",1,2)*100000+ROW(),"")</f>
        <v/>
      </c>
      <c r="W380" s="9" t="n">
        <f aca="false">N(F380)+N(G380)</f>
        <v>0</v>
      </c>
    </row>
    <row r="381" customFormat="false" ht="15" hidden="false" customHeight="false" outlineLevel="0" collapsed="false">
      <c r="A381" s="37" t="str">
        <f aca="false">IF(M381="","",ROW()-7)</f>
        <v/>
      </c>
      <c r="B381" s="70"/>
      <c r="C381" s="71"/>
      <c r="D381" s="72"/>
      <c r="E381" s="71"/>
      <c r="F381" s="73"/>
      <c r="G381" s="73"/>
      <c r="H381" s="42" t="str">
        <f aca="false">IF(M381="","",IF(U381&gt;0,"✔ Matched",IF(M381="OUT","Not yet presented","Not yet credited")))</f>
        <v/>
      </c>
      <c r="I381" s="43" t="str">
        <f aca="false">IF(N(U381)&gt;0,U381,"")</f>
        <v/>
      </c>
      <c r="J381" s="44" t="str">
        <f aca="false">IF(N(U381)&gt;0,T381,"")</f>
        <v/>
      </c>
      <c r="K381" s="45" t="str">
        <f aca="false">IF(AND(M381="",B381="",D381=""),"",IF(AND(N(F381)&gt;0,N(G381)&gt;0),"⚠ Fill deposit OR payment",IF(M381="","⚠ Enter amount",IF(B381="","⚠ Enter date",IF(AND(Setup!$C$8&lt;&gt;"",B381&gt;Setup!$C$8),"⚠ Date after period",IF(AND(O381&lt;&gt;"",COUNTIF($O$8:$O$507,O381)&gt;1),"⚠ Cheque no. used twice","✔"))))))</f>
        <v/>
      </c>
      <c r="M381" s="9" t="str">
        <f aca="false">IF(N(F381)&gt;0,"IN",IF(N(G381)&gt;0,"OUT",""))</f>
        <v/>
      </c>
      <c r="N381" s="9" t="str">
        <f aca="false">IF(M381="","",M381&amp;"|"&amp;TEXT(ROUND(N(F381)+N(G381),2),"0.00"))</f>
        <v/>
      </c>
      <c r="O381" s="9" t="str">
        <f aca="false">IF(OR(N381="",TRIM(E381&amp;"")=""),"",N381&amp;"|"&amp;UPPER(TRIM(E381&amp;"")))</f>
        <v/>
      </c>
      <c r="P381" s="9" t="n">
        <f aca="false">IF(O381="",0,IFERROR(MATCH(O381,'Bank Statement'!$O$8:$O$507,0),0))</f>
        <v>0</v>
      </c>
      <c r="Q381" s="9" t="str">
        <f aca="false">IF(OR(N381="",P381&gt;0),"",N381&amp;"#"&amp;COUNTIFS($N$8:N381,N381,$P$8:P381,0))</f>
        <v/>
      </c>
      <c r="R381" s="9" t="n">
        <f aca="false">IF(Q381="",0,IFERROR(MATCH(Q381,'Bank Statement'!$Q$8:$Q$507,0),0))</f>
        <v>0</v>
      </c>
      <c r="S381" s="9" t="n">
        <f aca="false">IF(P381&gt;0,P381,R381)</f>
        <v>0</v>
      </c>
      <c r="T381" s="9" t="str">
        <f aca="false">IF(OR(S381=0,B381=""),"",INDEX('Bank Statement'!$B$8:$B$507,S381)-B381)</f>
        <v/>
      </c>
      <c r="U381" s="9" t="n">
        <f aca="false">IF(S381=0,0,IF(P381&gt;0,S381,IF(AND(ISNUMBER(T381),ABS(N(T381))&lt;=Setup!$C$11),S381,0)))</f>
        <v>0</v>
      </c>
      <c r="V381" s="9" t="str">
        <f aca="false">IF(AND(N381&lt;&gt;"",U381=0),IF(M381="OUT",1,2)*100000+ROW(),"")</f>
        <v/>
      </c>
      <c r="W381" s="9" t="n">
        <f aca="false">N(F381)+N(G381)</f>
        <v>0</v>
      </c>
    </row>
    <row r="382" customFormat="false" ht="15" hidden="false" customHeight="false" outlineLevel="0" collapsed="false">
      <c r="A382" s="37" t="str">
        <f aca="false">IF(M382="","",ROW()-7)</f>
        <v/>
      </c>
      <c r="B382" s="70"/>
      <c r="C382" s="71"/>
      <c r="D382" s="72"/>
      <c r="E382" s="71"/>
      <c r="F382" s="73"/>
      <c r="G382" s="73"/>
      <c r="H382" s="42" t="str">
        <f aca="false">IF(M382="","",IF(U382&gt;0,"✔ Matched",IF(M382="OUT","Not yet presented","Not yet credited")))</f>
        <v/>
      </c>
      <c r="I382" s="43" t="str">
        <f aca="false">IF(N(U382)&gt;0,U382,"")</f>
        <v/>
      </c>
      <c r="J382" s="44" t="str">
        <f aca="false">IF(N(U382)&gt;0,T382,"")</f>
        <v/>
      </c>
      <c r="K382" s="45" t="str">
        <f aca="false">IF(AND(M382="",B382="",D382=""),"",IF(AND(N(F382)&gt;0,N(G382)&gt;0),"⚠ Fill deposit OR payment",IF(M382="","⚠ Enter amount",IF(B382="","⚠ Enter date",IF(AND(Setup!$C$8&lt;&gt;"",B382&gt;Setup!$C$8),"⚠ Date after period",IF(AND(O382&lt;&gt;"",COUNTIF($O$8:$O$507,O382)&gt;1),"⚠ Cheque no. used twice","✔"))))))</f>
        <v/>
      </c>
      <c r="M382" s="9" t="str">
        <f aca="false">IF(N(F382)&gt;0,"IN",IF(N(G382)&gt;0,"OUT",""))</f>
        <v/>
      </c>
      <c r="N382" s="9" t="str">
        <f aca="false">IF(M382="","",M382&amp;"|"&amp;TEXT(ROUND(N(F382)+N(G382),2),"0.00"))</f>
        <v/>
      </c>
      <c r="O382" s="9" t="str">
        <f aca="false">IF(OR(N382="",TRIM(E382&amp;"")=""),"",N382&amp;"|"&amp;UPPER(TRIM(E382&amp;"")))</f>
        <v/>
      </c>
      <c r="P382" s="9" t="n">
        <f aca="false">IF(O382="",0,IFERROR(MATCH(O382,'Bank Statement'!$O$8:$O$507,0),0))</f>
        <v>0</v>
      </c>
      <c r="Q382" s="9" t="str">
        <f aca="false">IF(OR(N382="",P382&gt;0),"",N382&amp;"#"&amp;COUNTIFS($N$8:N382,N382,$P$8:P382,0))</f>
        <v/>
      </c>
      <c r="R382" s="9" t="n">
        <f aca="false">IF(Q382="",0,IFERROR(MATCH(Q382,'Bank Statement'!$Q$8:$Q$507,0),0))</f>
        <v>0</v>
      </c>
      <c r="S382" s="9" t="n">
        <f aca="false">IF(P382&gt;0,P382,R382)</f>
        <v>0</v>
      </c>
      <c r="T382" s="9" t="str">
        <f aca="false">IF(OR(S382=0,B382=""),"",INDEX('Bank Statement'!$B$8:$B$507,S382)-B382)</f>
        <v/>
      </c>
      <c r="U382" s="9" t="n">
        <f aca="false">IF(S382=0,0,IF(P382&gt;0,S382,IF(AND(ISNUMBER(T382),ABS(N(T382))&lt;=Setup!$C$11),S382,0)))</f>
        <v>0</v>
      </c>
      <c r="V382" s="9" t="str">
        <f aca="false">IF(AND(N382&lt;&gt;"",U382=0),IF(M382="OUT",1,2)*100000+ROW(),"")</f>
        <v/>
      </c>
      <c r="W382" s="9" t="n">
        <f aca="false">N(F382)+N(G382)</f>
        <v>0</v>
      </c>
    </row>
    <row r="383" customFormat="false" ht="15" hidden="false" customHeight="false" outlineLevel="0" collapsed="false">
      <c r="A383" s="37" t="str">
        <f aca="false">IF(M383="","",ROW()-7)</f>
        <v/>
      </c>
      <c r="B383" s="70"/>
      <c r="C383" s="71"/>
      <c r="D383" s="72"/>
      <c r="E383" s="71"/>
      <c r="F383" s="73"/>
      <c r="G383" s="73"/>
      <c r="H383" s="42" t="str">
        <f aca="false">IF(M383="","",IF(U383&gt;0,"✔ Matched",IF(M383="OUT","Not yet presented","Not yet credited")))</f>
        <v/>
      </c>
      <c r="I383" s="43" t="str">
        <f aca="false">IF(N(U383)&gt;0,U383,"")</f>
        <v/>
      </c>
      <c r="J383" s="44" t="str">
        <f aca="false">IF(N(U383)&gt;0,T383,"")</f>
        <v/>
      </c>
      <c r="K383" s="45" t="str">
        <f aca="false">IF(AND(M383="",B383="",D383=""),"",IF(AND(N(F383)&gt;0,N(G383)&gt;0),"⚠ Fill deposit OR payment",IF(M383="","⚠ Enter amount",IF(B383="","⚠ Enter date",IF(AND(Setup!$C$8&lt;&gt;"",B383&gt;Setup!$C$8),"⚠ Date after period",IF(AND(O383&lt;&gt;"",COUNTIF($O$8:$O$507,O383)&gt;1),"⚠ Cheque no. used twice","✔"))))))</f>
        <v/>
      </c>
      <c r="M383" s="9" t="str">
        <f aca="false">IF(N(F383)&gt;0,"IN",IF(N(G383)&gt;0,"OUT",""))</f>
        <v/>
      </c>
      <c r="N383" s="9" t="str">
        <f aca="false">IF(M383="","",M383&amp;"|"&amp;TEXT(ROUND(N(F383)+N(G383),2),"0.00"))</f>
        <v/>
      </c>
      <c r="O383" s="9" t="str">
        <f aca="false">IF(OR(N383="",TRIM(E383&amp;"")=""),"",N383&amp;"|"&amp;UPPER(TRIM(E383&amp;"")))</f>
        <v/>
      </c>
      <c r="P383" s="9" t="n">
        <f aca="false">IF(O383="",0,IFERROR(MATCH(O383,'Bank Statement'!$O$8:$O$507,0),0))</f>
        <v>0</v>
      </c>
      <c r="Q383" s="9" t="str">
        <f aca="false">IF(OR(N383="",P383&gt;0),"",N383&amp;"#"&amp;COUNTIFS($N$8:N383,N383,$P$8:P383,0))</f>
        <v/>
      </c>
      <c r="R383" s="9" t="n">
        <f aca="false">IF(Q383="",0,IFERROR(MATCH(Q383,'Bank Statement'!$Q$8:$Q$507,0),0))</f>
        <v>0</v>
      </c>
      <c r="S383" s="9" t="n">
        <f aca="false">IF(P383&gt;0,P383,R383)</f>
        <v>0</v>
      </c>
      <c r="T383" s="9" t="str">
        <f aca="false">IF(OR(S383=0,B383=""),"",INDEX('Bank Statement'!$B$8:$B$507,S383)-B383)</f>
        <v/>
      </c>
      <c r="U383" s="9" t="n">
        <f aca="false">IF(S383=0,0,IF(P383&gt;0,S383,IF(AND(ISNUMBER(T383),ABS(N(T383))&lt;=Setup!$C$11),S383,0)))</f>
        <v>0</v>
      </c>
      <c r="V383" s="9" t="str">
        <f aca="false">IF(AND(N383&lt;&gt;"",U383=0),IF(M383="OUT",1,2)*100000+ROW(),"")</f>
        <v/>
      </c>
      <c r="W383" s="9" t="n">
        <f aca="false">N(F383)+N(G383)</f>
        <v>0</v>
      </c>
    </row>
    <row r="384" customFormat="false" ht="15" hidden="false" customHeight="false" outlineLevel="0" collapsed="false">
      <c r="A384" s="37" t="str">
        <f aca="false">IF(M384="","",ROW()-7)</f>
        <v/>
      </c>
      <c r="B384" s="70"/>
      <c r="C384" s="71"/>
      <c r="D384" s="72"/>
      <c r="E384" s="71"/>
      <c r="F384" s="73"/>
      <c r="G384" s="73"/>
      <c r="H384" s="42" t="str">
        <f aca="false">IF(M384="","",IF(U384&gt;0,"✔ Matched",IF(M384="OUT","Not yet presented","Not yet credited")))</f>
        <v/>
      </c>
      <c r="I384" s="43" t="str">
        <f aca="false">IF(N(U384)&gt;0,U384,"")</f>
        <v/>
      </c>
      <c r="J384" s="44" t="str">
        <f aca="false">IF(N(U384)&gt;0,T384,"")</f>
        <v/>
      </c>
      <c r="K384" s="45" t="str">
        <f aca="false">IF(AND(M384="",B384="",D384=""),"",IF(AND(N(F384)&gt;0,N(G384)&gt;0),"⚠ Fill deposit OR payment",IF(M384="","⚠ Enter amount",IF(B384="","⚠ Enter date",IF(AND(Setup!$C$8&lt;&gt;"",B384&gt;Setup!$C$8),"⚠ Date after period",IF(AND(O384&lt;&gt;"",COUNTIF($O$8:$O$507,O384)&gt;1),"⚠ Cheque no. used twice","✔"))))))</f>
        <v/>
      </c>
      <c r="M384" s="9" t="str">
        <f aca="false">IF(N(F384)&gt;0,"IN",IF(N(G384)&gt;0,"OUT",""))</f>
        <v/>
      </c>
      <c r="N384" s="9" t="str">
        <f aca="false">IF(M384="","",M384&amp;"|"&amp;TEXT(ROUND(N(F384)+N(G384),2),"0.00"))</f>
        <v/>
      </c>
      <c r="O384" s="9" t="str">
        <f aca="false">IF(OR(N384="",TRIM(E384&amp;"")=""),"",N384&amp;"|"&amp;UPPER(TRIM(E384&amp;"")))</f>
        <v/>
      </c>
      <c r="P384" s="9" t="n">
        <f aca="false">IF(O384="",0,IFERROR(MATCH(O384,'Bank Statement'!$O$8:$O$507,0),0))</f>
        <v>0</v>
      </c>
      <c r="Q384" s="9" t="str">
        <f aca="false">IF(OR(N384="",P384&gt;0),"",N384&amp;"#"&amp;COUNTIFS($N$8:N384,N384,$P$8:P384,0))</f>
        <v/>
      </c>
      <c r="R384" s="9" t="n">
        <f aca="false">IF(Q384="",0,IFERROR(MATCH(Q384,'Bank Statement'!$Q$8:$Q$507,0),0))</f>
        <v>0</v>
      </c>
      <c r="S384" s="9" t="n">
        <f aca="false">IF(P384&gt;0,P384,R384)</f>
        <v>0</v>
      </c>
      <c r="T384" s="9" t="str">
        <f aca="false">IF(OR(S384=0,B384=""),"",INDEX('Bank Statement'!$B$8:$B$507,S384)-B384)</f>
        <v/>
      </c>
      <c r="U384" s="9" t="n">
        <f aca="false">IF(S384=0,0,IF(P384&gt;0,S384,IF(AND(ISNUMBER(T384),ABS(N(T384))&lt;=Setup!$C$11),S384,0)))</f>
        <v>0</v>
      </c>
      <c r="V384" s="9" t="str">
        <f aca="false">IF(AND(N384&lt;&gt;"",U384=0),IF(M384="OUT",1,2)*100000+ROW(),"")</f>
        <v/>
      </c>
      <c r="W384" s="9" t="n">
        <f aca="false">N(F384)+N(G384)</f>
        <v>0</v>
      </c>
    </row>
    <row r="385" customFormat="false" ht="15" hidden="false" customHeight="false" outlineLevel="0" collapsed="false">
      <c r="A385" s="37" t="str">
        <f aca="false">IF(M385="","",ROW()-7)</f>
        <v/>
      </c>
      <c r="B385" s="70"/>
      <c r="C385" s="71"/>
      <c r="D385" s="72"/>
      <c r="E385" s="71"/>
      <c r="F385" s="73"/>
      <c r="G385" s="73"/>
      <c r="H385" s="42" t="str">
        <f aca="false">IF(M385="","",IF(U385&gt;0,"✔ Matched",IF(M385="OUT","Not yet presented","Not yet credited")))</f>
        <v/>
      </c>
      <c r="I385" s="43" t="str">
        <f aca="false">IF(N(U385)&gt;0,U385,"")</f>
        <v/>
      </c>
      <c r="J385" s="44" t="str">
        <f aca="false">IF(N(U385)&gt;0,T385,"")</f>
        <v/>
      </c>
      <c r="K385" s="45" t="str">
        <f aca="false">IF(AND(M385="",B385="",D385=""),"",IF(AND(N(F385)&gt;0,N(G385)&gt;0),"⚠ Fill deposit OR payment",IF(M385="","⚠ Enter amount",IF(B385="","⚠ Enter date",IF(AND(Setup!$C$8&lt;&gt;"",B385&gt;Setup!$C$8),"⚠ Date after period",IF(AND(O385&lt;&gt;"",COUNTIF($O$8:$O$507,O385)&gt;1),"⚠ Cheque no. used twice","✔"))))))</f>
        <v/>
      </c>
      <c r="M385" s="9" t="str">
        <f aca="false">IF(N(F385)&gt;0,"IN",IF(N(G385)&gt;0,"OUT",""))</f>
        <v/>
      </c>
      <c r="N385" s="9" t="str">
        <f aca="false">IF(M385="","",M385&amp;"|"&amp;TEXT(ROUND(N(F385)+N(G385),2),"0.00"))</f>
        <v/>
      </c>
      <c r="O385" s="9" t="str">
        <f aca="false">IF(OR(N385="",TRIM(E385&amp;"")=""),"",N385&amp;"|"&amp;UPPER(TRIM(E385&amp;"")))</f>
        <v/>
      </c>
      <c r="P385" s="9" t="n">
        <f aca="false">IF(O385="",0,IFERROR(MATCH(O385,'Bank Statement'!$O$8:$O$507,0),0))</f>
        <v>0</v>
      </c>
      <c r="Q385" s="9" t="str">
        <f aca="false">IF(OR(N385="",P385&gt;0),"",N385&amp;"#"&amp;COUNTIFS($N$8:N385,N385,$P$8:P385,0))</f>
        <v/>
      </c>
      <c r="R385" s="9" t="n">
        <f aca="false">IF(Q385="",0,IFERROR(MATCH(Q385,'Bank Statement'!$Q$8:$Q$507,0),0))</f>
        <v>0</v>
      </c>
      <c r="S385" s="9" t="n">
        <f aca="false">IF(P385&gt;0,P385,R385)</f>
        <v>0</v>
      </c>
      <c r="T385" s="9" t="str">
        <f aca="false">IF(OR(S385=0,B385=""),"",INDEX('Bank Statement'!$B$8:$B$507,S385)-B385)</f>
        <v/>
      </c>
      <c r="U385" s="9" t="n">
        <f aca="false">IF(S385=0,0,IF(P385&gt;0,S385,IF(AND(ISNUMBER(T385),ABS(N(T385))&lt;=Setup!$C$11),S385,0)))</f>
        <v>0</v>
      </c>
      <c r="V385" s="9" t="str">
        <f aca="false">IF(AND(N385&lt;&gt;"",U385=0),IF(M385="OUT",1,2)*100000+ROW(),"")</f>
        <v/>
      </c>
      <c r="W385" s="9" t="n">
        <f aca="false">N(F385)+N(G385)</f>
        <v>0</v>
      </c>
    </row>
    <row r="386" customFormat="false" ht="15" hidden="false" customHeight="false" outlineLevel="0" collapsed="false">
      <c r="A386" s="37" t="str">
        <f aca="false">IF(M386="","",ROW()-7)</f>
        <v/>
      </c>
      <c r="B386" s="70"/>
      <c r="C386" s="71"/>
      <c r="D386" s="72"/>
      <c r="E386" s="71"/>
      <c r="F386" s="73"/>
      <c r="G386" s="73"/>
      <c r="H386" s="42" t="str">
        <f aca="false">IF(M386="","",IF(U386&gt;0,"✔ Matched",IF(M386="OUT","Not yet presented","Not yet credited")))</f>
        <v/>
      </c>
      <c r="I386" s="43" t="str">
        <f aca="false">IF(N(U386)&gt;0,U386,"")</f>
        <v/>
      </c>
      <c r="J386" s="44" t="str">
        <f aca="false">IF(N(U386)&gt;0,T386,"")</f>
        <v/>
      </c>
      <c r="K386" s="45" t="str">
        <f aca="false">IF(AND(M386="",B386="",D386=""),"",IF(AND(N(F386)&gt;0,N(G386)&gt;0),"⚠ Fill deposit OR payment",IF(M386="","⚠ Enter amount",IF(B386="","⚠ Enter date",IF(AND(Setup!$C$8&lt;&gt;"",B386&gt;Setup!$C$8),"⚠ Date after period",IF(AND(O386&lt;&gt;"",COUNTIF($O$8:$O$507,O386)&gt;1),"⚠ Cheque no. used twice","✔"))))))</f>
        <v/>
      </c>
      <c r="M386" s="9" t="str">
        <f aca="false">IF(N(F386)&gt;0,"IN",IF(N(G386)&gt;0,"OUT",""))</f>
        <v/>
      </c>
      <c r="N386" s="9" t="str">
        <f aca="false">IF(M386="","",M386&amp;"|"&amp;TEXT(ROUND(N(F386)+N(G386),2),"0.00"))</f>
        <v/>
      </c>
      <c r="O386" s="9" t="str">
        <f aca="false">IF(OR(N386="",TRIM(E386&amp;"")=""),"",N386&amp;"|"&amp;UPPER(TRIM(E386&amp;"")))</f>
        <v/>
      </c>
      <c r="P386" s="9" t="n">
        <f aca="false">IF(O386="",0,IFERROR(MATCH(O386,'Bank Statement'!$O$8:$O$507,0),0))</f>
        <v>0</v>
      </c>
      <c r="Q386" s="9" t="str">
        <f aca="false">IF(OR(N386="",P386&gt;0),"",N386&amp;"#"&amp;COUNTIFS($N$8:N386,N386,$P$8:P386,0))</f>
        <v/>
      </c>
      <c r="R386" s="9" t="n">
        <f aca="false">IF(Q386="",0,IFERROR(MATCH(Q386,'Bank Statement'!$Q$8:$Q$507,0),0))</f>
        <v>0</v>
      </c>
      <c r="S386" s="9" t="n">
        <f aca="false">IF(P386&gt;0,P386,R386)</f>
        <v>0</v>
      </c>
      <c r="T386" s="9" t="str">
        <f aca="false">IF(OR(S386=0,B386=""),"",INDEX('Bank Statement'!$B$8:$B$507,S386)-B386)</f>
        <v/>
      </c>
      <c r="U386" s="9" t="n">
        <f aca="false">IF(S386=0,0,IF(P386&gt;0,S386,IF(AND(ISNUMBER(T386),ABS(N(T386))&lt;=Setup!$C$11),S386,0)))</f>
        <v>0</v>
      </c>
      <c r="V386" s="9" t="str">
        <f aca="false">IF(AND(N386&lt;&gt;"",U386=0),IF(M386="OUT",1,2)*100000+ROW(),"")</f>
        <v/>
      </c>
      <c r="W386" s="9" t="n">
        <f aca="false">N(F386)+N(G386)</f>
        <v>0</v>
      </c>
    </row>
    <row r="387" customFormat="false" ht="15" hidden="false" customHeight="false" outlineLevel="0" collapsed="false">
      <c r="A387" s="37" t="str">
        <f aca="false">IF(M387="","",ROW()-7)</f>
        <v/>
      </c>
      <c r="B387" s="70"/>
      <c r="C387" s="71"/>
      <c r="D387" s="72"/>
      <c r="E387" s="71"/>
      <c r="F387" s="73"/>
      <c r="G387" s="73"/>
      <c r="H387" s="42" t="str">
        <f aca="false">IF(M387="","",IF(U387&gt;0,"✔ Matched",IF(M387="OUT","Not yet presented","Not yet credited")))</f>
        <v/>
      </c>
      <c r="I387" s="43" t="str">
        <f aca="false">IF(N(U387)&gt;0,U387,"")</f>
        <v/>
      </c>
      <c r="J387" s="44" t="str">
        <f aca="false">IF(N(U387)&gt;0,T387,"")</f>
        <v/>
      </c>
      <c r="K387" s="45" t="str">
        <f aca="false">IF(AND(M387="",B387="",D387=""),"",IF(AND(N(F387)&gt;0,N(G387)&gt;0),"⚠ Fill deposit OR payment",IF(M387="","⚠ Enter amount",IF(B387="","⚠ Enter date",IF(AND(Setup!$C$8&lt;&gt;"",B387&gt;Setup!$C$8),"⚠ Date after period",IF(AND(O387&lt;&gt;"",COUNTIF($O$8:$O$507,O387)&gt;1),"⚠ Cheque no. used twice","✔"))))))</f>
        <v/>
      </c>
      <c r="M387" s="9" t="str">
        <f aca="false">IF(N(F387)&gt;0,"IN",IF(N(G387)&gt;0,"OUT",""))</f>
        <v/>
      </c>
      <c r="N387" s="9" t="str">
        <f aca="false">IF(M387="","",M387&amp;"|"&amp;TEXT(ROUND(N(F387)+N(G387),2),"0.00"))</f>
        <v/>
      </c>
      <c r="O387" s="9" t="str">
        <f aca="false">IF(OR(N387="",TRIM(E387&amp;"")=""),"",N387&amp;"|"&amp;UPPER(TRIM(E387&amp;"")))</f>
        <v/>
      </c>
      <c r="P387" s="9" t="n">
        <f aca="false">IF(O387="",0,IFERROR(MATCH(O387,'Bank Statement'!$O$8:$O$507,0),0))</f>
        <v>0</v>
      </c>
      <c r="Q387" s="9" t="str">
        <f aca="false">IF(OR(N387="",P387&gt;0),"",N387&amp;"#"&amp;COUNTIFS($N$8:N387,N387,$P$8:P387,0))</f>
        <v/>
      </c>
      <c r="R387" s="9" t="n">
        <f aca="false">IF(Q387="",0,IFERROR(MATCH(Q387,'Bank Statement'!$Q$8:$Q$507,0),0))</f>
        <v>0</v>
      </c>
      <c r="S387" s="9" t="n">
        <f aca="false">IF(P387&gt;0,P387,R387)</f>
        <v>0</v>
      </c>
      <c r="T387" s="9" t="str">
        <f aca="false">IF(OR(S387=0,B387=""),"",INDEX('Bank Statement'!$B$8:$B$507,S387)-B387)</f>
        <v/>
      </c>
      <c r="U387" s="9" t="n">
        <f aca="false">IF(S387=0,0,IF(P387&gt;0,S387,IF(AND(ISNUMBER(T387),ABS(N(T387))&lt;=Setup!$C$11),S387,0)))</f>
        <v>0</v>
      </c>
      <c r="V387" s="9" t="str">
        <f aca="false">IF(AND(N387&lt;&gt;"",U387=0),IF(M387="OUT",1,2)*100000+ROW(),"")</f>
        <v/>
      </c>
      <c r="W387" s="9" t="n">
        <f aca="false">N(F387)+N(G387)</f>
        <v>0</v>
      </c>
    </row>
    <row r="388" customFormat="false" ht="15" hidden="false" customHeight="false" outlineLevel="0" collapsed="false">
      <c r="A388" s="37" t="str">
        <f aca="false">IF(M388="","",ROW()-7)</f>
        <v/>
      </c>
      <c r="B388" s="70"/>
      <c r="C388" s="71"/>
      <c r="D388" s="72"/>
      <c r="E388" s="71"/>
      <c r="F388" s="73"/>
      <c r="G388" s="73"/>
      <c r="H388" s="42" t="str">
        <f aca="false">IF(M388="","",IF(U388&gt;0,"✔ Matched",IF(M388="OUT","Not yet presented","Not yet credited")))</f>
        <v/>
      </c>
      <c r="I388" s="43" t="str">
        <f aca="false">IF(N(U388)&gt;0,U388,"")</f>
        <v/>
      </c>
      <c r="J388" s="44" t="str">
        <f aca="false">IF(N(U388)&gt;0,T388,"")</f>
        <v/>
      </c>
      <c r="K388" s="45" t="str">
        <f aca="false">IF(AND(M388="",B388="",D388=""),"",IF(AND(N(F388)&gt;0,N(G388)&gt;0),"⚠ Fill deposit OR payment",IF(M388="","⚠ Enter amount",IF(B388="","⚠ Enter date",IF(AND(Setup!$C$8&lt;&gt;"",B388&gt;Setup!$C$8),"⚠ Date after period",IF(AND(O388&lt;&gt;"",COUNTIF($O$8:$O$507,O388)&gt;1),"⚠ Cheque no. used twice","✔"))))))</f>
        <v/>
      </c>
      <c r="M388" s="9" t="str">
        <f aca="false">IF(N(F388)&gt;0,"IN",IF(N(G388)&gt;0,"OUT",""))</f>
        <v/>
      </c>
      <c r="N388" s="9" t="str">
        <f aca="false">IF(M388="","",M388&amp;"|"&amp;TEXT(ROUND(N(F388)+N(G388),2),"0.00"))</f>
        <v/>
      </c>
      <c r="O388" s="9" t="str">
        <f aca="false">IF(OR(N388="",TRIM(E388&amp;"")=""),"",N388&amp;"|"&amp;UPPER(TRIM(E388&amp;"")))</f>
        <v/>
      </c>
      <c r="P388" s="9" t="n">
        <f aca="false">IF(O388="",0,IFERROR(MATCH(O388,'Bank Statement'!$O$8:$O$507,0),0))</f>
        <v>0</v>
      </c>
      <c r="Q388" s="9" t="str">
        <f aca="false">IF(OR(N388="",P388&gt;0),"",N388&amp;"#"&amp;COUNTIFS($N$8:N388,N388,$P$8:P388,0))</f>
        <v/>
      </c>
      <c r="R388" s="9" t="n">
        <f aca="false">IF(Q388="",0,IFERROR(MATCH(Q388,'Bank Statement'!$Q$8:$Q$507,0),0))</f>
        <v>0</v>
      </c>
      <c r="S388" s="9" t="n">
        <f aca="false">IF(P388&gt;0,P388,R388)</f>
        <v>0</v>
      </c>
      <c r="T388" s="9" t="str">
        <f aca="false">IF(OR(S388=0,B388=""),"",INDEX('Bank Statement'!$B$8:$B$507,S388)-B388)</f>
        <v/>
      </c>
      <c r="U388" s="9" t="n">
        <f aca="false">IF(S388=0,0,IF(P388&gt;0,S388,IF(AND(ISNUMBER(T388),ABS(N(T388))&lt;=Setup!$C$11),S388,0)))</f>
        <v>0</v>
      </c>
      <c r="V388" s="9" t="str">
        <f aca="false">IF(AND(N388&lt;&gt;"",U388=0),IF(M388="OUT",1,2)*100000+ROW(),"")</f>
        <v/>
      </c>
      <c r="W388" s="9" t="n">
        <f aca="false">N(F388)+N(G388)</f>
        <v>0</v>
      </c>
    </row>
    <row r="389" customFormat="false" ht="15" hidden="false" customHeight="false" outlineLevel="0" collapsed="false">
      <c r="A389" s="37" t="str">
        <f aca="false">IF(M389="","",ROW()-7)</f>
        <v/>
      </c>
      <c r="B389" s="70"/>
      <c r="C389" s="71"/>
      <c r="D389" s="72"/>
      <c r="E389" s="71"/>
      <c r="F389" s="73"/>
      <c r="G389" s="73"/>
      <c r="H389" s="42" t="str">
        <f aca="false">IF(M389="","",IF(U389&gt;0,"✔ Matched",IF(M389="OUT","Not yet presented","Not yet credited")))</f>
        <v/>
      </c>
      <c r="I389" s="43" t="str">
        <f aca="false">IF(N(U389)&gt;0,U389,"")</f>
        <v/>
      </c>
      <c r="J389" s="44" t="str">
        <f aca="false">IF(N(U389)&gt;0,T389,"")</f>
        <v/>
      </c>
      <c r="K389" s="45" t="str">
        <f aca="false">IF(AND(M389="",B389="",D389=""),"",IF(AND(N(F389)&gt;0,N(G389)&gt;0),"⚠ Fill deposit OR payment",IF(M389="","⚠ Enter amount",IF(B389="","⚠ Enter date",IF(AND(Setup!$C$8&lt;&gt;"",B389&gt;Setup!$C$8),"⚠ Date after period",IF(AND(O389&lt;&gt;"",COUNTIF($O$8:$O$507,O389)&gt;1),"⚠ Cheque no. used twice","✔"))))))</f>
        <v/>
      </c>
      <c r="M389" s="9" t="str">
        <f aca="false">IF(N(F389)&gt;0,"IN",IF(N(G389)&gt;0,"OUT",""))</f>
        <v/>
      </c>
      <c r="N389" s="9" t="str">
        <f aca="false">IF(M389="","",M389&amp;"|"&amp;TEXT(ROUND(N(F389)+N(G389),2),"0.00"))</f>
        <v/>
      </c>
      <c r="O389" s="9" t="str">
        <f aca="false">IF(OR(N389="",TRIM(E389&amp;"")=""),"",N389&amp;"|"&amp;UPPER(TRIM(E389&amp;"")))</f>
        <v/>
      </c>
      <c r="P389" s="9" t="n">
        <f aca="false">IF(O389="",0,IFERROR(MATCH(O389,'Bank Statement'!$O$8:$O$507,0),0))</f>
        <v>0</v>
      </c>
      <c r="Q389" s="9" t="str">
        <f aca="false">IF(OR(N389="",P389&gt;0),"",N389&amp;"#"&amp;COUNTIFS($N$8:N389,N389,$P$8:P389,0))</f>
        <v/>
      </c>
      <c r="R389" s="9" t="n">
        <f aca="false">IF(Q389="",0,IFERROR(MATCH(Q389,'Bank Statement'!$Q$8:$Q$507,0),0))</f>
        <v>0</v>
      </c>
      <c r="S389" s="9" t="n">
        <f aca="false">IF(P389&gt;0,P389,R389)</f>
        <v>0</v>
      </c>
      <c r="T389" s="9" t="str">
        <f aca="false">IF(OR(S389=0,B389=""),"",INDEX('Bank Statement'!$B$8:$B$507,S389)-B389)</f>
        <v/>
      </c>
      <c r="U389" s="9" t="n">
        <f aca="false">IF(S389=0,0,IF(P389&gt;0,S389,IF(AND(ISNUMBER(T389),ABS(N(T389))&lt;=Setup!$C$11),S389,0)))</f>
        <v>0</v>
      </c>
      <c r="V389" s="9" t="str">
        <f aca="false">IF(AND(N389&lt;&gt;"",U389=0),IF(M389="OUT",1,2)*100000+ROW(),"")</f>
        <v/>
      </c>
      <c r="W389" s="9" t="n">
        <f aca="false">N(F389)+N(G389)</f>
        <v>0</v>
      </c>
    </row>
    <row r="390" customFormat="false" ht="15" hidden="false" customHeight="false" outlineLevel="0" collapsed="false">
      <c r="A390" s="37" t="str">
        <f aca="false">IF(M390="","",ROW()-7)</f>
        <v/>
      </c>
      <c r="B390" s="70"/>
      <c r="C390" s="71"/>
      <c r="D390" s="72"/>
      <c r="E390" s="71"/>
      <c r="F390" s="73"/>
      <c r="G390" s="73"/>
      <c r="H390" s="42" t="str">
        <f aca="false">IF(M390="","",IF(U390&gt;0,"✔ Matched",IF(M390="OUT","Not yet presented","Not yet credited")))</f>
        <v/>
      </c>
      <c r="I390" s="43" t="str">
        <f aca="false">IF(N(U390)&gt;0,U390,"")</f>
        <v/>
      </c>
      <c r="J390" s="44" t="str">
        <f aca="false">IF(N(U390)&gt;0,T390,"")</f>
        <v/>
      </c>
      <c r="K390" s="45" t="str">
        <f aca="false">IF(AND(M390="",B390="",D390=""),"",IF(AND(N(F390)&gt;0,N(G390)&gt;0),"⚠ Fill deposit OR payment",IF(M390="","⚠ Enter amount",IF(B390="","⚠ Enter date",IF(AND(Setup!$C$8&lt;&gt;"",B390&gt;Setup!$C$8),"⚠ Date after period",IF(AND(O390&lt;&gt;"",COUNTIF($O$8:$O$507,O390)&gt;1),"⚠ Cheque no. used twice","✔"))))))</f>
        <v/>
      </c>
      <c r="M390" s="9" t="str">
        <f aca="false">IF(N(F390)&gt;0,"IN",IF(N(G390)&gt;0,"OUT",""))</f>
        <v/>
      </c>
      <c r="N390" s="9" t="str">
        <f aca="false">IF(M390="","",M390&amp;"|"&amp;TEXT(ROUND(N(F390)+N(G390),2),"0.00"))</f>
        <v/>
      </c>
      <c r="O390" s="9" t="str">
        <f aca="false">IF(OR(N390="",TRIM(E390&amp;"")=""),"",N390&amp;"|"&amp;UPPER(TRIM(E390&amp;"")))</f>
        <v/>
      </c>
      <c r="P390" s="9" t="n">
        <f aca="false">IF(O390="",0,IFERROR(MATCH(O390,'Bank Statement'!$O$8:$O$507,0),0))</f>
        <v>0</v>
      </c>
      <c r="Q390" s="9" t="str">
        <f aca="false">IF(OR(N390="",P390&gt;0),"",N390&amp;"#"&amp;COUNTIFS($N$8:N390,N390,$P$8:P390,0))</f>
        <v/>
      </c>
      <c r="R390" s="9" t="n">
        <f aca="false">IF(Q390="",0,IFERROR(MATCH(Q390,'Bank Statement'!$Q$8:$Q$507,0),0))</f>
        <v>0</v>
      </c>
      <c r="S390" s="9" t="n">
        <f aca="false">IF(P390&gt;0,P390,R390)</f>
        <v>0</v>
      </c>
      <c r="T390" s="9" t="str">
        <f aca="false">IF(OR(S390=0,B390=""),"",INDEX('Bank Statement'!$B$8:$B$507,S390)-B390)</f>
        <v/>
      </c>
      <c r="U390" s="9" t="n">
        <f aca="false">IF(S390=0,0,IF(P390&gt;0,S390,IF(AND(ISNUMBER(T390),ABS(N(T390))&lt;=Setup!$C$11),S390,0)))</f>
        <v>0</v>
      </c>
      <c r="V390" s="9" t="str">
        <f aca="false">IF(AND(N390&lt;&gt;"",U390=0),IF(M390="OUT",1,2)*100000+ROW(),"")</f>
        <v/>
      </c>
      <c r="W390" s="9" t="n">
        <f aca="false">N(F390)+N(G390)</f>
        <v>0</v>
      </c>
    </row>
    <row r="391" customFormat="false" ht="15" hidden="false" customHeight="false" outlineLevel="0" collapsed="false">
      <c r="A391" s="37" t="str">
        <f aca="false">IF(M391="","",ROW()-7)</f>
        <v/>
      </c>
      <c r="B391" s="70"/>
      <c r="C391" s="71"/>
      <c r="D391" s="72"/>
      <c r="E391" s="71"/>
      <c r="F391" s="73"/>
      <c r="G391" s="73"/>
      <c r="H391" s="42" t="str">
        <f aca="false">IF(M391="","",IF(U391&gt;0,"✔ Matched",IF(M391="OUT","Not yet presented","Not yet credited")))</f>
        <v/>
      </c>
      <c r="I391" s="43" t="str">
        <f aca="false">IF(N(U391)&gt;0,U391,"")</f>
        <v/>
      </c>
      <c r="J391" s="44" t="str">
        <f aca="false">IF(N(U391)&gt;0,T391,"")</f>
        <v/>
      </c>
      <c r="K391" s="45" t="str">
        <f aca="false">IF(AND(M391="",B391="",D391=""),"",IF(AND(N(F391)&gt;0,N(G391)&gt;0),"⚠ Fill deposit OR payment",IF(M391="","⚠ Enter amount",IF(B391="","⚠ Enter date",IF(AND(Setup!$C$8&lt;&gt;"",B391&gt;Setup!$C$8),"⚠ Date after period",IF(AND(O391&lt;&gt;"",COUNTIF($O$8:$O$507,O391)&gt;1),"⚠ Cheque no. used twice","✔"))))))</f>
        <v/>
      </c>
      <c r="M391" s="9" t="str">
        <f aca="false">IF(N(F391)&gt;0,"IN",IF(N(G391)&gt;0,"OUT",""))</f>
        <v/>
      </c>
      <c r="N391" s="9" t="str">
        <f aca="false">IF(M391="","",M391&amp;"|"&amp;TEXT(ROUND(N(F391)+N(G391),2),"0.00"))</f>
        <v/>
      </c>
      <c r="O391" s="9" t="str">
        <f aca="false">IF(OR(N391="",TRIM(E391&amp;"")=""),"",N391&amp;"|"&amp;UPPER(TRIM(E391&amp;"")))</f>
        <v/>
      </c>
      <c r="P391" s="9" t="n">
        <f aca="false">IF(O391="",0,IFERROR(MATCH(O391,'Bank Statement'!$O$8:$O$507,0),0))</f>
        <v>0</v>
      </c>
      <c r="Q391" s="9" t="str">
        <f aca="false">IF(OR(N391="",P391&gt;0),"",N391&amp;"#"&amp;COUNTIFS($N$8:N391,N391,$P$8:P391,0))</f>
        <v/>
      </c>
      <c r="R391" s="9" t="n">
        <f aca="false">IF(Q391="",0,IFERROR(MATCH(Q391,'Bank Statement'!$Q$8:$Q$507,0),0))</f>
        <v>0</v>
      </c>
      <c r="S391" s="9" t="n">
        <f aca="false">IF(P391&gt;0,P391,R391)</f>
        <v>0</v>
      </c>
      <c r="T391" s="9" t="str">
        <f aca="false">IF(OR(S391=0,B391=""),"",INDEX('Bank Statement'!$B$8:$B$507,S391)-B391)</f>
        <v/>
      </c>
      <c r="U391" s="9" t="n">
        <f aca="false">IF(S391=0,0,IF(P391&gt;0,S391,IF(AND(ISNUMBER(T391),ABS(N(T391))&lt;=Setup!$C$11),S391,0)))</f>
        <v>0</v>
      </c>
      <c r="V391" s="9" t="str">
        <f aca="false">IF(AND(N391&lt;&gt;"",U391=0),IF(M391="OUT",1,2)*100000+ROW(),"")</f>
        <v/>
      </c>
      <c r="W391" s="9" t="n">
        <f aca="false">N(F391)+N(G391)</f>
        <v>0</v>
      </c>
    </row>
    <row r="392" customFormat="false" ht="15" hidden="false" customHeight="false" outlineLevel="0" collapsed="false">
      <c r="A392" s="37" t="str">
        <f aca="false">IF(M392="","",ROW()-7)</f>
        <v/>
      </c>
      <c r="B392" s="70"/>
      <c r="C392" s="71"/>
      <c r="D392" s="72"/>
      <c r="E392" s="71"/>
      <c r="F392" s="73"/>
      <c r="G392" s="73"/>
      <c r="H392" s="42" t="str">
        <f aca="false">IF(M392="","",IF(U392&gt;0,"✔ Matched",IF(M392="OUT","Not yet presented","Not yet credited")))</f>
        <v/>
      </c>
      <c r="I392" s="43" t="str">
        <f aca="false">IF(N(U392)&gt;0,U392,"")</f>
        <v/>
      </c>
      <c r="J392" s="44" t="str">
        <f aca="false">IF(N(U392)&gt;0,T392,"")</f>
        <v/>
      </c>
      <c r="K392" s="45" t="str">
        <f aca="false">IF(AND(M392="",B392="",D392=""),"",IF(AND(N(F392)&gt;0,N(G392)&gt;0),"⚠ Fill deposit OR payment",IF(M392="","⚠ Enter amount",IF(B392="","⚠ Enter date",IF(AND(Setup!$C$8&lt;&gt;"",B392&gt;Setup!$C$8),"⚠ Date after period",IF(AND(O392&lt;&gt;"",COUNTIF($O$8:$O$507,O392)&gt;1),"⚠ Cheque no. used twice","✔"))))))</f>
        <v/>
      </c>
      <c r="M392" s="9" t="str">
        <f aca="false">IF(N(F392)&gt;0,"IN",IF(N(G392)&gt;0,"OUT",""))</f>
        <v/>
      </c>
      <c r="N392" s="9" t="str">
        <f aca="false">IF(M392="","",M392&amp;"|"&amp;TEXT(ROUND(N(F392)+N(G392),2),"0.00"))</f>
        <v/>
      </c>
      <c r="O392" s="9" t="str">
        <f aca="false">IF(OR(N392="",TRIM(E392&amp;"")=""),"",N392&amp;"|"&amp;UPPER(TRIM(E392&amp;"")))</f>
        <v/>
      </c>
      <c r="P392" s="9" t="n">
        <f aca="false">IF(O392="",0,IFERROR(MATCH(O392,'Bank Statement'!$O$8:$O$507,0),0))</f>
        <v>0</v>
      </c>
      <c r="Q392" s="9" t="str">
        <f aca="false">IF(OR(N392="",P392&gt;0),"",N392&amp;"#"&amp;COUNTIFS($N$8:N392,N392,$P$8:P392,0))</f>
        <v/>
      </c>
      <c r="R392" s="9" t="n">
        <f aca="false">IF(Q392="",0,IFERROR(MATCH(Q392,'Bank Statement'!$Q$8:$Q$507,0),0))</f>
        <v>0</v>
      </c>
      <c r="S392" s="9" t="n">
        <f aca="false">IF(P392&gt;0,P392,R392)</f>
        <v>0</v>
      </c>
      <c r="T392" s="9" t="str">
        <f aca="false">IF(OR(S392=0,B392=""),"",INDEX('Bank Statement'!$B$8:$B$507,S392)-B392)</f>
        <v/>
      </c>
      <c r="U392" s="9" t="n">
        <f aca="false">IF(S392=0,0,IF(P392&gt;0,S392,IF(AND(ISNUMBER(T392),ABS(N(T392))&lt;=Setup!$C$11),S392,0)))</f>
        <v>0</v>
      </c>
      <c r="V392" s="9" t="str">
        <f aca="false">IF(AND(N392&lt;&gt;"",U392=0),IF(M392="OUT",1,2)*100000+ROW(),"")</f>
        <v/>
      </c>
      <c r="W392" s="9" t="n">
        <f aca="false">N(F392)+N(G392)</f>
        <v>0</v>
      </c>
    </row>
    <row r="393" customFormat="false" ht="15" hidden="false" customHeight="false" outlineLevel="0" collapsed="false">
      <c r="A393" s="37" t="str">
        <f aca="false">IF(M393="","",ROW()-7)</f>
        <v/>
      </c>
      <c r="B393" s="70"/>
      <c r="C393" s="71"/>
      <c r="D393" s="72"/>
      <c r="E393" s="71"/>
      <c r="F393" s="73"/>
      <c r="G393" s="73"/>
      <c r="H393" s="42" t="str">
        <f aca="false">IF(M393="","",IF(U393&gt;0,"✔ Matched",IF(M393="OUT","Not yet presented","Not yet credited")))</f>
        <v/>
      </c>
      <c r="I393" s="43" t="str">
        <f aca="false">IF(N(U393)&gt;0,U393,"")</f>
        <v/>
      </c>
      <c r="J393" s="44" t="str">
        <f aca="false">IF(N(U393)&gt;0,T393,"")</f>
        <v/>
      </c>
      <c r="K393" s="45" t="str">
        <f aca="false">IF(AND(M393="",B393="",D393=""),"",IF(AND(N(F393)&gt;0,N(G393)&gt;0),"⚠ Fill deposit OR payment",IF(M393="","⚠ Enter amount",IF(B393="","⚠ Enter date",IF(AND(Setup!$C$8&lt;&gt;"",B393&gt;Setup!$C$8),"⚠ Date after period",IF(AND(O393&lt;&gt;"",COUNTIF($O$8:$O$507,O393)&gt;1),"⚠ Cheque no. used twice","✔"))))))</f>
        <v/>
      </c>
      <c r="M393" s="9" t="str">
        <f aca="false">IF(N(F393)&gt;0,"IN",IF(N(G393)&gt;0,"OUT",""))</f>
        <v/>
      </c>
      <c r="N393" s="9" t="str">
        <f aca="false">IF(M393="","",M393&amp;"|"&amp;TEXT(ROUND(N(F393)+N(G393),2),"0.00"))</f>
        <v/>
      </c>
      <c r="O393" s="9" t="str">
        <f aca="false">IF(OR(N393="",TRIM(E393&amp;"")=""),"",N393&amp;"|"&amp;UPPER(TRIM(E393&amp;"")))</f>
        <v/>
      </c>
      <c r="P393" s="9" t="n">
        <f aca="false">IF(O393="",0,IFERROR(MATCH(O393,'Bank Statement'!$O$8:$O$507,0),0))</f>
        <v>0</v>
      </c>
      <c r="Q393" s="9" t="str">
        <f aca="false">IF(OR(N393="",P393&gt;0),"",N393&amp;"#"&amp;COUNTIFS($N$8:N393,N393,$P$8:P393,0))</f>
        <v/>
      </c>
      <c r="R393" s="9" t="n">
        <f aca="false">IF(Q393="",0,IFERROR(MATCH(Q393,'Bank Statement'!$Q$8:$Q$507,0),0))</f>
        <v>0</v>
      </c>
      <c r="S393" s="9" t="n">
        <f aca="false">IF(P393&gt;0,P393,R393)</f>
        <v>0</v>
      </c>
      <c r="T393" s="9" t="str">
        <f aca="false">IF(OR(S393=0,B393=""),"",INDEX('Bank Statement'!$B$8:$B$507,S393)-B393)</f>
        <v/>
      </c>
      <c r="U393" s="9" t="n">
        <f aca="false">IF(S393=0,0,IF(P393&gt;0,S393,IF(AND(ISNUMBER(T393),ABS(N(T393))&lt;=Setup!$C$11),S393,0)))</f>
        <v>0</v>
      </c>
      <c r="V393" s="9" t="str">
        <f aca="false">IF(AND(N393&lt;&gt;"",U393=0),IF(M393="OUT",1,2)*100000+ROW(),"")</f>
        <v/>
      </c>
      <c r="W393" s="9" t="n">
        <f aca="false">N(F393)+N(G393)</f>
        <v>0</v>
      </c>
    </row>
    <row r="394" customFormat="false" ht="15" hidden="false" customHeight="false" outlineLevel="0" collapsed="false">
      <c r="A394" s="37" t="str">
        <f aca="false">IF(M394="","",ROW()-7)</f>
        <v/>
      </c>
      <c r="B394" s="70"/>
      <c r="C394" s="71"/>
      <c r="D394" s="72"/>
      <c r="E394" s="71"/>
      <c r="F394" s="73"/>
      <c r="G394" s="73"/>
      <c r="H394" s="42" t="str">
        <f aca="false">IF(M394="","",IF(U394&gt;0,"✔ Matched",IF(M394="OUT","Not yet presented","Not yet credited")))</f>
        <v/>
      </c>
      <c r="I394" s="43" t="str">
        <f aca="false">IF(N(U394)&gt;0,U394,"")</f>
        <v/>
      </c>
      <c r="J394" s="44" t="str">
        <f aca="false">IF(N(U394)&gt;0,T394,"")</f>
        <v/>
      </c>
      <c r="K394" s="45" t="str">
        <f aca="false">IF(AND(M394="",B394="",D394=""),"",IF(AND(N(F394)&gt;0,N(G394)&gt;0),"⚠ Fill deposit OR payment",IF(M394="","⚠ Enter amount",IF(B394="","⚠ Enter date",IF(AND(Setup!$C$8&lt;&gt;"",B394&gt;Setup!$C$8),"⚠ Date after period",IF(AND(O394&lt;&gt;"",COUNTIF($O$8:$O$507,O394)&gt;1),"⚠ Cheque no. used twice","✔"))))))</f>
        <v/>
      </c>
      <c r="M394" s="9" t="str">
        <f aca="false">IF(N(F394)&gt;0,"IN",IF(N(G394)&gt;0,"OUT",""))</f>
        <v/>
      </c>
      <c r="N394" s="9" t="str">
        <f aca="false">IF(M394="","",M394&amp;"|"&amp;TEXT(ROUND(N(F394)+N(G394),2),"0.00"))</f>
        <v/>
      </c>
      <c r="O394" s="9" t="str">
        <f aca="false">IF(OR(N394="",TRIM(E394&amp;"")=""),"",N394&amp;"|"&amp;UPPER(TRIM(E394&amp;"")))</f>
        <v/>
      </c>
      <c r="P394" s="9" t="n">
        <f aca="false">IF(O394="",0,IFERROR(MATCH(O394,'Bank Statement'!$O$8:$O$507,0),0))</f>
        <v>0</v>
      </c>
      <c r="Q394" s="9" t="str">
        <f aca="false">IF(OR(N394="",P394&gt;0),"",N394&amp;"#"&amp;COUNTIFS($N$8:N394,N394,$P$8:P394,0))</f>
        <v/>
      </c>
      <c r="R394" s="9" t="n">
        <f aca="false">IF(Q394="",0,IFERROR(MATCH(Q394,'Bank Statement'!$Q$8:$Q$507,0),0))</f>
        <v>0</v>
      </c>
      <c r="S394" s="9" t="n">
        <f aca="false">IF(P394&gt;0,P394,R394)</f>
        <v>0</v>
      </c>
      <c r="T394" s="9" t="str">
        <f aca="false">IF(OR(S394=0,B394=""),"",INDEX('Bank Statement'!$B$8:$B$507,S394)-B394)</f>
        <v/>
      </c>
      <c r="U394" s="9" t="n">
        <f aca="false">IF(S394=0,0,IF(P394&gt;0,S394,IF(AND(ISNUMBER(T394),ABS(N(T394))&lt;=Setup!$C$11),S394,0)))</f>
        <v>0</v>
      </c>
      <c r="V394" s="9" t="str">
        <f aca="false">IF(AND(N394&lt;&gt;"",U394=0),IF(M394="OUT",1,2)*100000+ROW(),"")</f>
        <v/>
      </c>
      <c r="W394" s="9" t="n">
        <f aca="false">N(F394)+N(G394)</f>
        <v>0</v>
      </c>
    </row>
    <row r="395" customFormat="false" ht="15" hidden="false" customHeight="false" outlineLevel="0" collapsed="false">
      <c r="A395" s="37" t="str">
        <f aca="false">IF(M395="","",ROW()-7)</f>
        <v/>
      </c>
      <c r="B395" s="70"/>
      <c r="C395" s="71"/>
      <c r="D395" s="72"/>
      <c r="E395" s="71"/>
      <c r="F395" s="73"/>
      <c r="G395" s="73"/>
      <c r="H395" s="42" t="str">
        <f aca="false">IF(M395="","",IF(U395&gt;0,"✔ Matched",IF(M395="OUT","Not yet presented","Not yet credited")))</f>
        <v/>
      </c>
      <c r="I395" s="43" t="str">
        <f aca="false">IF(N(U395)&gt;0,U395,"")</f>
        <v/>
      </c>
      <c r="J395" s="44" t="str">
        <f aca="false">IF(N(U395)&gt;0,T395,"")</f>
        <v/>
      </c>
      <c r="K395" s="45" t="str">
        <f aca="false">IF(AND(M395="",B395="",D395=""),"",IF(AND(N(F395)&gt;0,N(G395)&gt;0),"⚠ Fill deposit OR payment",IF(M395="","⚠ Enter amount",IF(B395="","⚠ Enter date",IF(AND(Setup!$C$8&lt;&gt;"",B395&gt;Setup!$C$8),"⚠ Date after period",IF(AND(O395&lt;&gt;"",COUNTIF($O$8:$O$507,O395)&gt;1),"⚠ Cheque no. used twice","✔"))))))</f>
        <v/>
      </c>
      <c r="M395" s="9" t="str">
        <f aca="false">IF(N(F395)&gt;0,"IN",IF(N(G395)&gt;0,"OUT",""))</f>
        <v/>
      </c>
      <c r="N395" s="9" t="str">
        <f aca="false">IF(M395="","",M395&amp;"|"&amp;TEXT(ROUND(N(F395)+N(G395),2),"0.00"))</f>
        <v/>
      </c>
      <c r="O395" s="9" t="str">
        <f aca="false">IF(OR(N395="",TRIM(E395&amp;"")=""),"",N395&amp;"|"&amp;UPPER(TRIM(E395&amp;"")))</f>
        <v/>
      </c>
      <c r="P395" s="9" t="n">
        <f aca="false">IF(O395="",0,IFERROR(MATCH(O395,'Bank Statement'!$O$8:$O$507,0),0))</f>
        <v>0</v>
      </c>
      <c r="Q395" s="9" t="str">
        <f aca="false">IF(OR(N395="",P395&gt;0),"",N395&amp;"#"&amp;COUNTIFS($N$8:N395,N395,$P$8:P395,0))</f>
        <v/>
      </c>
      <c r="R395" s="9" t="n">
        <f aca="false">IF(Q395="",0,IFERROR(MATCH(Q395,'Bank Statement'!$Q$8:$Q$507,0),0))</f>
        <v>0</v>
      </c>
      <c r="S395" s="9" t="n">
        <f aca="false">IF(P395&gt;0,P395,R395)</f>
        <v>0</v>
      </c>
      <c r="T395" s="9" t="str">
        <f aca="false">IF(OR(S395=0,B395=""),"",INDEX('Bank Statement'!$B$8:$B$507,S395)-B395)</f>
        <v/>
      </c>
      <c r="U395" s="9" t="n">
        <f aca="false">IF(S395=0,0,IF(P395&gt;0,S395,IF(AND(ISNUMBER(T395),ABS(N(T395))&lt;=Setup!$C$11),S395,0)))</f>
        <v>0</v>
      </c>
      <c r="V395" s="9" t="str">
        <f aca="false">IF(AND(N395&lt;&gt;"",U395=0),IF(M395="OUT",1,2)*100000+ROW(),"")</f>
        <v/>
      </c>
      <c r="W395" s="9" t="n">
        <f aca="false">N(F395)+N(G395)</f>
        <v>0</v>
      </c>
    </row>
    <row r="396" customFormat="false" ht="15" hidden="false" customHeight="false" outlineLevel="0" collapsed="false">
      <c r="A396" s="37" t="str">
        <f aca="false">IF(M396="","",ROW()-7)</f>
        <v/>
      </c>
      <c r="B396" s="70"/>
      <c r="C396" s="71"/>
      <c r="D396" s="72"/>
      <c r="E396" s="71"/>
      <c r="F396" s="73"/>
      <c r="G396" s="73"/>
      <c r="H396" s="42" t="str">
        <f aca="false">IF(M396="","",IF(U396&gt;0,"✔ Matched",IF(M396="OUT","Not yet presented","Not yet credited")))</f>
        <v/>
      </c>
      <c r="I396" s="43" t="str">
        <f aca="false">IF(N(U396)&gt;0,U396,"")</f>
        <v/>
      </c>
      <c r="J396" s="44" t="str">
        <f aca="false">IF(N(U396)&gt;0,T396,"")</f>
        <v/>
      </c>
      <c r="K396" s="45" t="str">
        <f aca="false">IF(AND(M396="",B396="",D396=""),"",IF(AND(N(F396)&gt;0,N(G396)&gt;0),"⚠ Fill deposit OR payment",IF(M396="","⚠ Enter amount",IF(B396="","⚠ Enter date",IF(AND(Setup!$C$8&lt;&gt;"",B396&gt;Setup!$C$8),"⚠ Date after period",IF(AND(O396&lt;&gt;"",COUNTIF($O$8:$O$507,O396)&gt;1),"⚠ Cheque no. used twice","✔"))))))</f>
        <v/>
      </c>
      <c r="M396" s="9" t="str">
        <f aca="false">IF(N(F396)&gt;0,"IN",IF(N(G396)&gt;0,"OUT",""))</f>
        <v/>
      </c>
      <c r="N396" s="9" t="str">
        <f aca="false">IF(M396="","",M396&amp;"|"&amp;TEXT(ROUND(N(F396)+N(G396),2),"0.00"))</f>
        <v/>
      </c>
      <c r="O396" s="9" t="str">
        <f aca="false">IF(OR(N396="",TRIM(E396&amp;"")=""),"",N396&amp;"|"&amp;UPPER(TRIM(E396&amp;"")))</f>
        <v/>
      </c>
      <c r="P396" s="9" t="n">
        <f aca="false">IF(O396="",0,IFERROR(MATCH(O396,'Bank Statement'!$O$8:$O$507,0),0))</f>
        <v>0</v>
      </c>
      <c r="Q396" s="9" t="str">
        <f aca="false">IF(OR(N396="",P396&gt;0),"",N396&amp;"#"&amp;COUNTIFS($N$8:N396,N396,$P$8:P396,0))</f>
        <v/>
      </c>
      <c r="R396" s="9" t="n">
        <f aca="false">IF(Q396="",0,IFERROR(MATCH(Q396,'Bank Statement'!$Q$8:$Q$507,0),0))</f>
        <v>0</v>
      </c>
      <c r="S396" s="9" t="n">
        <f aca="false">IF(P396&gt;0,P396,R396)</f>
        <v>0</v>
      </c>
      <c r="T396" s="9" t="str">
        <f aca="false">IF(OR(S396=0,B396=""),"",INDEX('Bank Statement'!$B$8:$B$507,S396)-B396)</f>
        <v/>
      </c>
      <c r="U396" s="9" t="n">
        <f aca="false">IF(S396=0,0,IF(P396&gt;0,S396,IF(AND(ISNUMBER(T396),ABS(N(T396))&lt;=Setup!$C$11),S396,0)))</f>
        <v>0</v>
      </c>
      <c r="V396" s="9" t="str">
        <f aca="false">IF(AND(N396&lt;&gt;"",U396=0),IF(M396="OUT",1,2)*100000+ROW(),"")</f>
        <v/>
      </c>
      <c r="W396" s="9" t="n">
        <f aca="false">N(F396)+N(G396)</f>
        <v>0</v>
      </c>
    </row>
    <row r="397" customFormat="false" ht="15" hidden="false" customHeight="false" outlineLevel="0" collapsed="false">
      <c r="A397" s="37" t="str">
        <f aca="false">IF(M397="","",ROW()-7)</f>
        <v/>
      </c>
      <c r="B397" s="70"/>
      <c r="C397" s="71"/>
      <c r="D397" s="72"/>
      <c r="E397" s="71"/>
      <c r="F397" s="73"/>
      <c r="G397" s="73"/>
      <c r="H397" s="42" t="str">
        <f aca="false">IF(M397="","",IF(U397&gt;0,"✔ Matched",IF(M397="OUT","Not yet presented","Not yet credited")))</f>
        <v/>
      </c>
      <c r="I397" s="43" t="str">
        <f aca="false">IF(N(U397)&gt;0,U397,"")</f>
        <v/>
      </c>
      <c r="J397" s="44" t="str">
        <f aca="false">IF(N(U397)&gt;0,T397,"")</f>
        <v/>
      </c>
      <c r="K397" s="45" t="str">
        <f aca="false">IF(AND(M397="",B397="",D397=""),"",IF(AND(N(F397)&gt;0,N(G397)&gt;0),"⚠ Fill deposit OR payment",IF(M397="","⚠ Enter amount",IF(B397="","⚠ Enter date",IF(AND(Setup!$C$8&lt;&gt;"",B397&gt;Setup!$C$8),"⚠ Date after period",IF(AND(O397&lt;&gt;"",COUNTIF($O$8:$O$507,O397)&gt;1),"⚠ Cheque no. used twice","✔"))))))</f>
        <v/>
      </c>
      <c r="M397" s="9" t="str">
        <f aca="false">IF(N(F397)&gt;0,"IN",IF(N(G397)&gt;0,"OUT",""))</f>
        <v/>
      </c>
      <c r="N397" s="9" t="str">
        <f aca="false">IF(M397="","",M397&amp;"|"&amp;TEXT(ROUND(N(F397)+N(G397),2),"0.00"))</f>
        <v/>
      </c>
      <c r="O397" s="9" t="str">
        <f aca="false">IF(OR(N397="",TRIM(E397&amp;"")=""),"",N397&amp;"|"&amp;UPPER(TRIM(E397&amp;"")))</f>
        <v/>
      </c>
      <c r="P397" s="9" t="n">
        <f aca="false">IF(O397="",0,IFERROR(MATCH(O397,'Bank Statement'!$O$8:$O$507,0),0))</f>
        <v>0</v>
      </c>
      <c r="Q397" s="9" t="str">
        <f aca="false">IF(OR(N397="",P397&gt;0),"",N397&amp;"#"&amp;COUNTIFS($N$8:N397,N397,$P$8:P397,0))</f>
        <v/>
      </c>
      <c r="R397" s="9" t="n">
        <f aca="false">IF(Q397="",0,IFERROR(MATCH(Q397,'Bank Statement'!$Q$8:$Q$507,0),0))</f>
        <v>0</v>
      </c>
      <c r="S397" s="9" t="n">
        <f aca="false">IF(P397&gt;0,P397,R397)</f>
        <v>0</v>
      </c>
      <c r="T397" s="9" t="str">
        <f aca="false">IF(OR(S397=0,B397=""),"",INDEX('Bank Statement'!$B$8:$B$507,S397)-B397)</f>
        <v/>
      </c>
      <c r="U397" s="9" t="n">
        <f aca="false">IF(S397=0,0,IF(P397&gt;0,S397,IF(AND(ISNUMBER(T397),ABS(N(T397))&lt;=Setup!$C$11),S397,0)))</f>
        <v>0</v>
      </c>
      <c r="V397" s="9" t="str">
        <f aca="false">IF(AND(N397&lt;&gt;"",U397=0),IF(M397="OUT",1,2)*100000+ROW(),"")</f>
        <v/>
      </c>
      <c r="W397" s="9" t="n">
        <f aca="false">N(F397)+N(G397)</f>
        <v>0</v>
      </c>
    </row>
    <row r="398" customFormat="false" ht="15" hidden="false" customHeight="false" outlineLevel="0" collapsed="false">
      <c r="A398" s="37" t="str">
        <f aca="false">IF(M398="","",ROW()-7)</f>
        <v/>
      </c>
      <c r="B398" s="70"/>
      <c r="C398" s="71"/>
      <c r="D398" s="72"/>
      <c r="E398" s="71"/>
      <c r="F398" s="73"/>
      <c r="G398" s="73"/>
      <c r="H398" s="42" t="str">
        <f aca="false">IF(M398="","",IF(U398&gt;0,"✔ Matched",IF(M398="OUT","Not yet presented","Not yet credited")))</f>
        <v/>
      </c>
      <c r="I398" s="43" t="str">
        <f aca="false">IF(N(U398)&gt;0,U398,"")</f>
        <v/>
      </c>
      <c r="J398" s="44" t="str">
        <f aca="false">IF(N(U398)&gt;0,T398,"")</f>
        <v/>
      </c>
      <c r="K398" s="45" t="str">
        <f aca="false">IF(AND(M398="",B398="",D398=""),"",IF(AND(N(F398)&gt;0,N(G398)&gt;0),"⚠ Fill deposit OR payment",IF(M398="","⚠ Enter amount",IF(B398="","⚠ Enter date",IF(AND(Setup!$C$8&lt;&gt;"",B398&gt;Setup!$C$8),"⚠ Date after period",IF(AND(O398&lt;&gt;"",COUNTIF($O$8:$O$507,O398)&gt;1),"⚠ Cheque no. used twice","✔"))))))</f>
        <v/>
      </c>
      <c r="M398" s="9" t="str">
        <f aca="false">IF(N(F398)&gt;0,"IN",IF(N(G398)&gt;0,"OUT",""))</f>
        <v/>
      </c>
      <c r="N398" s="9" t="str">
        <f aca="false">IF(M398="","",M398&amp;"|"&amp;TEXT(ROUND(N(F398)+N(G398),2),"0.00"))</f>
        <v/>
      </c>
      <c r="O398" s="9" t="str">
        <f aca="false">IF(OR(N398="",TRIM(E398&amp;"")=""),"",N398&amp;"|"&amp;UPPER(TRIM(E398&amp;"")))</f>
        <v/>
      </c>
      <c r="P398" s="9" t="n">
        <f aca="false">IF(O398="",0,IFERROR(MATCH(O398,'Bank Statement'!$O$8:$O$507,0),0))</f>
        <v>0</v>
      </c>
      <c r="Q398" s="9" t="str">
        <f aca="false">IF(OR(N398="",P398&gt;0),"",N398&amp;"#"&amp;COUNTIFS($N$8:N398,N398,$P$8:P398,0))</f>
        <v/>
      </c>
      <c r="R398" s="9" t="n">
        <f aca="false">IF(Q398="",0,IFERROR(MATCH(Q398,'Bank Statement'!$Q$8:$Q$507,0),0))</f>
        <v>0</v>
      </c>
      <c r="S398" s="9" t="n">
        <f aca="false">IF(P398&gt;0,P398,R398)</f>
        <v>0</v>
      </c>
      <c r="T398" s="9" t="str">
        <f aca="false">IF(OR(S398=0,B398=""),"",INDEX('Bank Statement'!$B$8:$B$507,S398)-B398)</f>
        <v/>
      </c>
      <c r="U398" s="9" t="n">
        <f aca="false">IF(S398=0,0,IF(P398&gt;0,S398,IF(AND(ISNUMBER(T398),ABS(N(T398))&lt;=Setup!$C$11),S398,0)))</f>
        <v>0</v>
      </c>
      <c r="V398" s="9" t="str">
        <f aca="false">IF(AND(N398&lt;&gt;"",U398=0),IF(M398="OUT",1,2)*100000+ROW(),"")</f>
        <v/>
      </c>
      <c r="W398" s="9" t="n">
        <f aca="false">N(F398)+N(G398)</f>
        <v>0</v>
      </c>
    </row>
    <row r="399" customFormat="false" ht="15" hidden="false" customHeight="false" outlineLevel="0" collapsed="false">
      <c r="A399" s="37" t="str">
        <f aca="false">IF(M399="","",ROW()-7)</f>
        <v/>
      </c>
      <c r="B399" s="70"/>
      <c r="C399" s="71"/>
      <c r="D399" s="72"/>
      <c r="E399" s="71"/>
      <c r="F399" s="73"/>
      <c r="G399" s="73"/>
      <c r="H399" s="42" t="str">
        <f aca="false">IF(M399="","",IF(U399&gt;0,"✔ Matched",IF(M399="OUT","Not yet presented","Not yet credited")))</f>
        <v/>
      </c>
      <c r="I399" s="43" t="str">
        <f aca="false">IF(N(U399)&gt;0,U399,"")</f>
        <v/>
      </c>
      <c r="J399" s="44" t="str">
        <f aca="false">IF(N(U399)&gt;0,T399,"")</f>
        <v/>
      </c>
      <c r="K399" s="45" t="str">
        <f aca="false">IF(AND(M399="",B399="",D399=""),"",IF(AND(N(F399)&gt;0,N(G399)&gt;0),"⚠ Fill deposit OR payment",IF(M399="","⚠ Enter amount",IF(B399="","⚠ Enter date",IF(AND(Setup!$C$8&lt;&gt;"",B399&gt;Setup!$C$8),"⚠ Date after period",IF(AND(O399&lt;&gt;"",COUNTIF($O$8:$O$507,O399)&gt;1),"⚠ Cheque no. used twice","✔"))))))</f>
        <v/>
      </c>
      <c r="M399" s="9" t="str">
        <f aca="false">IF(N(F399)&gt;0,"IN",IF(N(G399)&gt;0,"OUT",""))</f>
        <v/>
      </c>
      <c r="N399" s="9" t="str">
        <f aca="false">IF(M399="","",M399&amp;"|"&amp;TEXT(ROUND(N(F399)+N(G399),2),"0.00"))</f>
        <v/>
      </c>
      <c r="O399" s="9" t="str">
        <f aca="false">IF(OR(N399="",TRIM(E399&amp;"")=""),"",N399&amp;"|"&amp;UPPER(TRIM(E399&amp;"")))</f>
        <v/>
      </c>
      <c r="P399" s="9" t="n">
        <f aca="false">IF(O399="",0,IFERROR(MATCH(O399,'Bank Statement'!$O$8:$O$507,0),0))</f>
        <v>0</v>
      </c>
      <c r="Q399" s="9" t="str">
        <f aca="false">IF(OR(N399="",P399&gt;0),"",N399&amp;"#"&amp;COUNTIFS($N$8:N399,N399,$P$8:P399,0))</f>
        <v/>
      </c>
      <c r="R399" s="9" t="n">
        <f aca="false">IF(Q399="",0,IFERROR(MATCH(Q399,'Bank Statement'!$Q$8:$Q$507,0),0))</f>
        <v>0</v>
      </c>
      <c r="S399" s="9" t="n">
        <f aca="false">IF(P399&gt;0,P399,R399)</f>
        <v>0</v>
      </c>
      <c r="T399" s="9" t="str">
        <f aca="false">IF(OR(S399=0,B399=""),"",INDEX('Bank Statement'!$B$8:$B$507,S399)-B399)</f>
        <v/>
      </c>
      <c r="U399" s="9" t="n">
        <f aca="false">IF(S399=0,0,IF(P399&gt;0,S399,IF(AND(ISNUMBER(T399),ABS(N(T399))&lt;=Setup!$C$11),S399,0)))</f>
        <v>0</v>
      </c>
      <c r="V399" s="9" t="str">
        <f aca="false">IF(AND(N399&lt;&gt;"",U399=0),IF(M399="OUT",1,2)*100000+ROW(),"")</f>
        <v/>
      </c>
      <c r="W399" s="9" t="n">
        <f aca="false">N(F399)+N(G399)</f>
        <v>0</v>
      </c>
    </row>
    <row r="400" customFormat="false" ht="15" hidden="false" customHeight="false" outlineLevel="0" collapsed="false">
      <c r="A400" s="37" t="str">
        <f aca="false">IF(M400="","",ROW()-7)</f>
        <v/>
      </c>
      <c r="B400" s="70"/>
      <c r="C400" s="71"/>
      <c r="D400" s="72"/>
      <c r="E400" s="71"/>
      <c r="F400" s="73"/>
      <c r="G400" s="73"/>
      <c r="H400" s="42" t="str">
        <f aca="false">IF(M400="","",IF(U400&gt;0,"✔ Matched",IF(M400="OUT","Not yet presented","Not yet credited")))</f>
        <v/>
      </c>
      <c r="I400" s="43" t="str">
        <f aca="false">IF(N(U400)&gt;0,U400,"")</f>
        <v/>
      </c>
      <c r="J400" s="44" t="str">
        <f aca="false">IF(N(U400)&gt;0,T400,"")</f>
        <v/>
      </c>
      <c r="K400" s="45" t="str">
        <f aca="false">IF(AND(M400="",B400="",D400=""),"",IF(AND(N(F400)&gt;0,N(G400)&gt;0),"⚠ Fill deposit OR payment",IF(M400="","⚠ Enter amount",IF(B400="","⚠ Enter date",IF(AND(Setup!$C$8&lt;&gt;"",B400&gt;Setup!$C$8),"⚠ Date after period",IF(AND(O400&lt;&gt;"",COUNTIF($O$8:$O$507,O400)&gt;1),"⚠ Cheque no. used twice","✔"))))))</f>
        <v/>
      </c>
      <c r="M400" s="9" t="str">
        <f aca="false">IF(N(F400)&gt;0,"IN",IF(N(G400)&gt;0,"OUT",""))</f>
        <v/>
      </c>
      <c r="N400" s="9" t="str">
        <f aca="false">IF(M400="","",M400&amp;"|"&amp;TEXT(ROUND(N(F400)+N(G400),2),"0.00"))</f>
        <v/>
      </c>
      <c r="O400" s="9" t="str">
        <f aca="false">IF(OR(N400="",TRIM(E400&amp;"")=""),"",N400&amp;"|"&amp;UPPER(TRIM(E400&amp;"")))</f>
        <v/>
      </c>
      <c r="P400" s="9" t="n">
        <f aca="false">IF(O400="",0,IFERROR(MATCH(O400,'Bank Statement'!$O$8:$O$507,0),0))</f>
        <v>0</v>
      </c>
      <c r="Q400" s="9" t="str">
        <f aca="false">IF(OR(N400="",P400&gt;0),"",N400&amp;"#"&amp;COUNTIFS($N$8:N400,N400,$P$8:P400,0))</f>
        <v/>
      </c>
      <c r="R400" s="9" t="n">
        <f aca="false">IF(Q400="",0,IFERROR(MATCH(Q400,'Bank Statement'!$Q$8:$Q$507,0),0))</f>
        <v>0</v>
      </c>
      <c r="S400" s="9" t="n">
        <f aca="false">IF(P400&gt;0,P400,R400)</f>
        <v>0</v>
      </c>
      <c r="T400" s="9" t="str">
        <f aca="false">IF(OR(S400=0,B400=""),"",INDEX('Bank Statement'!$B$8:$B$507,S400)-B400)</f>
        <v/>
      </c>
      <c r="U400" s="9" t="n">
        <f aca="false">IF(S400=0,0,IF(P400&gt;0,S400,IF(AND(ISNUMBER(T400),ABS(N(T400))&lt;=Setup!$C$11),S400,0)))</f>
        <v>0</v>
      </c>
      <c r="V400" s="9" t="str">
        <f aca="false">IF(AND(N400&lt;&gt;"",U400=0),IF(M400="OUT",1,2)*100000+ROW(),"")</f>
        <v/>
      </c>
      <c r="W400" s="9" t="n">
        <f aca="false">N(F400)+N(G400)</f>
        <v>0</v>
      </c>
    </row>
    <row r="401" customFormat="false" ht="15" hidden="false" customHeight="false" outlineLevel="0" collapsed="false">
      <c r="A401" s="37" t="str">
        <f aca="false">IF(M401="","",ROW()-7)</f>
        <v/>
      </c>
      <c r="B401" s="70"/>
      <c r="C401" s="71"/>
      <c r="D401" s="72"/>
      <c r="E401" s="71"/>
      <c r="F401" s="73"/>
      <c r="G401" s="73"/>
      <c r="H401" s="42" t="str">
        <f aca="false">IF(M401="","",IF(U401&gt;0,"✔ Matched",IF(M401="OUT","Not yet presented","Not yet credited")))</f>
        <v/>
      </c>
      <c r="I401" s="43" t="str">
        <f aca="false">IF(N(U401)&gt;0,U401,"")</f>
        <v/>
      </c>
      <c r="J401" s="44" t="str">
        <f aca="false">IF(N(U401)&gt;0,T401,"")</f>
        <v/>
      </c>
      <c r="K401" s="45" t="str">
        <f aca="false">IF(AND(M401="",B401="",D401=""),"",IF(AND(N(F401)&gt;0,N(G401)&gt;0),"⚠ Fill deposit OR payment",IF(M401="","⚠ Enter amount",IF(B401="","⚠ Enter date",IF(AND(Setup!$C$8&lt;&gt;"",B401&gt;Setup!$C$8),"⚠ Date after period",IF(AND(O401&lt;&gt;"",COUNTIF($O$8:$O$507,O401)&gt;1),"⚠ Cheque no. used twice","✔"))))))</f>
        <v/>
      </c>
      <c r="M401" s="9" t="str">
        <f aca="false">IF(N(F401)&gt;0,"IN",IF(N(G401)&gt;0,"OUT",""))</f>
        <v/>
      </c>
      <c r="N401" s="9" t="str">
        <f aca="false">IF(M401="","",M401&amp;"|"&amp;TEXT(ROUND(N(F401)+N(G401),2),"0.00"))</f>
        <v/>
      </c>
      <c r="O401" s="9" t="str">
        <f aca="false">IF(OR(N401="",TRIM(E401&amp;"")=""),"",N401&amp;"|"&amp;UPPER(TRIM(E401&amp;"")))</f>
        <v/>
      </c>
      <c r="P401" s="9" t="n">
        <f aca="false">IF(O401="",0,IFERROR(MATCH(O401,'Bank Statement'!$O$8:$O$507,0),0))</f>
        <v>0</v>
      </c>
      <c r="Q401" s="9" t="str">
        <f aca="false">IF(OR(N401="",P401&gt;0),"",N401&amp;"#"&amp;COUNTIFS($N$8:N401,N401,$P$8:P401,0))</f>
        <v/>
      </c>
      <c r="R401" s="9" t="n">
        <f aca="false">IF(Q401="",0,IFERROR(MATCH(Q401,'Bank Statement'!$Q$8:$Q$507,0),0))</f>
        <v>0</v>
      </c>
      <c r="S401" s="9" t="n">
        <f aca="false">IF(P401&gt;0,P401,R401)</f>
        <v>0</v>
      </c>
      <c r="T401" s="9" t="str">
        <f aca="false">IF(OR(S401=0,B401=""),"",INDEX('Bank Statement'!$B$8:$B$507,S401)-B401)</f>
        <v/>
      </c>
      <c r="U401" s="9" t="n">
        <f aca="false">IF(S401=0,0,IF(P401&gt;0,S401,IF(AND(ISNUMBER(T401),ABS(N(T401))&lt;=Setup!$C$11),S401,0)))</f>
        <v>0</v>
      </c>
      <c r="V401" s="9" t="str">
        <f aca="false">IF(AND(N401&lt;&gt;"",U401=0),IF(M401="OUT",1,2)*100000+ROW(),"")</f>
        <v/>
      </c>
      <c r="W401" s="9" t="n">
        <f aca="false">N(F401)+N(G401)</f>
        <v>0</v>
      </c>
    </row>
    <row r="402" customFormat="false" ht="15" hidden="false" customHeight="false" outlineLevel="0" collapsed="false">
      <c r="A402" s="37" t="str">
        <f aca="false">IF(M402="","",ROW()-7)</f>
        <v/>
      </c>
      <c r="B402" s="70"/>
      <c r="C402" s="71"/>
      <c r="D402" s="72"/>
      <c r="E402" s="71"/>
      <c r="F402" s="73"/>
      <c r="G402" s="73"/>
      <c r="H402" s="42" t="str">
        <f aca="false">IF(M402="","",IF(U402&gt;0,"✔ Matched",IF(M402="OUT","Not yet presented","Not yet credited")))</f>
        <v/>
      </c>
      <c r="I402" s="43" t="str">
        <f aca="false">IF(N(U402)&gt;0,U402,"")</f>
        <v/>
      </c>
      <c r="J402" s="44" t="str">
        <f aca="false">IF(N(U402)&gt;0,T402,"")</f>
        <v/>
      </c>
      <c r="K402" s="45" t="str">
        <f aca="false">IF(AND(M402="",B402="",D402=""),"",IF(AND(N(F402)&gt;0,N(G402)&gt;0),"⚠ Fill deposit OR payment",IF(M402="","⚠ Enter amount",IF(B402="","⚠ Enter date",IF(AND(Setup!$C$8&lt;&gt;"",B402&gt;Setup!$C$8),"⚠ Date after period",IF(AND(O402&lt;&gt;"",COUNTIF($O$8:$O$507,O402)&gt;1),"⚠ Cheque no. used twice","✔"))))))</f>
        <v/>
      </c>
      <c r="M402" s="9" t="str">
        <f aca="false">IF(N(F402)&gt;0,"IN",IF(N(G402)&gt;0,"OUT",""))</f>
        <v/>
      </c>
      <c r="N402" s="9" t="str">
        <f aca="false">IF(M402="","",M402&amp;"|"&amp;TEXT(ROUND(N(F402)+N(G402),2),"0.00"))</f>
        <v/>
      </c>
      <c r="O402" s="9" t="str">
        <f aca="false">IF(OR(N402="",TRIM(E402&amp;"")=""),"",N402&amp;"|"&amp;UPPER(TRIM(E402&amp;"")))</f>
        <v/>
      </c>
      <c r="P402" s="9" t="n">
        <f aca="false">IF(O402="",0,IFERROR(MATCH(O402,'Bank Statement'!$O$8:$O$507,0),0))</f>
        <v>0</v>
      </c>
      <c r="Q402" s="9" t="str">
        <f aca="false">IF(OR(N402="",P402&gt;0),"",N402&amp;"#"&amp;COUNTIFS($N$8:N402,N402,$P$8:P402,0))</f>
        <v/>
      </c>
      <c r="R402" s="9" t="n">
        <f aca="false">IF(Q402="",0,IFERROR(MATCH(Q402,'Bank Statement'!$Q$8:$Q$507,0),0))</f>
        <v>0</v>
      </c>
      <c r="S402" s="9" t="n">
        <f aca="false">IF(P402&gt;0,P402,R402)</f>
        <v>0</v>
      </c>
      <c r="T402" s="9" t="str">
        <f aca="false">IF(OR(S402=0,B402=""),"",INDEX('Bank Statement'!$B$8:$B$507,S402)-B402)</f>
        <v/>
      </c>
      <c r="U402" s="9" t="n">
        <f aca="false">IF(S402=0,0,IF(P402&gt;0,S402,IF(AND(ISNUMBER(T402),ABS(N(T402))&lt;=Setup!$C$11),S402,0)))</f>
        <v>0</v>
      </c>
      <c r="V402" s="9" t="str">
        <f aca="false">IF(AND(N402&lt;&gt;"",U402=0),IF(M402="OUT",1,2)*100000+ROW(),"")</f>
        <v/>
      </c>
      <c r="W402" s="9" t="n">
        <f aca="false">N(F402)+N(G402)</f>
        <v>0</v>
      </c>
    </row>
    <row r="403" customFormat="false" ht="15" hidden="false" customHeight="false" outlineLevel="0" collapsed="false">
      <c r="A403" s="37" t="str">
        <f aca="false">IF(M403="","",ROW()-7)</f>
        <v/>
      </c>
      <c r="B403" s="70"/>
      <c r="C403" s="71"/>
      <c r="D403" s="72"/>
      <c r="E403" s="71"/>
      <c r="F403" s="73"/>
      <c r="G403" s="73"/>
      <c r="H403" s="42" t="str">
        <f aca="false">IF(M403="","",IF(U403&gt;0,"✔ Matched",IF(M403="OUT","Not yet presented","Not yet credited")))</f>
        <v/>
      </c>
      <c r="I403" s="43" t="str">
        <f aca="false">IF(N(U403)&gt;0,U403,"")</f>
        <v/>
      </c>
      <c r="J403" s="44" t="str">
        <f aca="false">IF(N(U403)&gt;0,T403,"")</f>
        <v/>
      </c>
      <c r="K403" s="45" t="str">
        <f aca="false">IF(AND(M403="",B403="",D403=""),"",IF(AND(N(F403)&gt;0,N(G403)&gt;0),"⚠ Fill deposit OR payment",IF(M403="","⚠ Enter amount",IF(B403="","⚠ Enter date",IF(AND(Setup!$C$8&lt;&gt;"",B403&gt;Setup!$C$8),"⚠ Date after period",IF(AND(O403&lt;&gt;"",COUNTIF($O$8:$O$507,O403)&gt;1),"⚠ Cheque no. used twice","✔"))))))</f>
        <v/>
      </c>
      <c r="M403" s="9" t="str">
        <f aca="false">IF(N(F403)&gt;0,"IN",IF(N(G403)&gt;0,"OUT",""))</f>
        <v/>
      </c>
      <c r="N403" s="9" t="str">
        <f aca="false">IF(M403="","",M403&amp;"|"&amp;TEXT(ROUND(N(F403)+N(G403),2),"0.00"))</f>
        <v/>
      </c>
      <c r="O403" s="9" t="str">
        <f aca="false">IF(OR(N403="",TRIM(E403&amp;"")=""),"",N403&amp;"|"&amp;UPPER(TRIM(E403&amp;"")))</f>
        <v/>
      </c>
      <c r="P403" s="9" t="n">
        <f aca="false">IF(O403="",0,IFERROR(MATCH(O403,'Bank Statement'!$O$8:$O$507,0),0))</f>
        <v>0</v>
      </c>
      <c r="Q403" s="9" t="str">
        <f aca="false">IF(OR(N403="",P403&gt;0),"",N403&amp;"#"&amp;COUNTIFS($N$8:N403,N403,$P$8:P403,0))</f>
        <v/>
      </c>
      <c r="R403" s="9" t="n">
        <f aca="false">IF(Q403="",0,IFERROR(MATCH(Q403,'Bank Statement'!$Q$8:$Q$507,0),0))</f>
        <v>0</v>
      </c>
      <c r="S403" s="9" t="n">
        <f aca="false">IF(P403&gt;0,P403,R403)</f>
        <v>0</v>
      </c>
      <c r="T403" s="9" t="str">
        <f aca="false">IF(OR(S403=0,B403=""),"",INDEX('Bank Statement'!$B$8:$B$507,S403)-B403)</f>
        <v/>
      </c>
      <c r="U403" s="9" t="n">
        <f aca="false">IF(S403=0,0,IF(P403&gt;0,S403,IF(AND(ISNUMBER(T403),ABS(N(T403))&lt;=Setup!$C$11),S403,0)))</f>
        <v>0</v>
      </c>
      <c r="V403" s="9" t="str">
        <f aca="false">IF(AND(N403&lt;&gt;"",U403=0),IF(M403="OUT",1,2)*100000+ROW(),"")</f>
        <v/>
      </c>
      <c r="W403" s="9" t="n">
        <f aca="false">N(F403)+N(G403)</f>
        <v>0</v>
      </c>
    </row>
    <row r="404" customFormat="false" ht="15" hidden="false" customHeight="false" outlineLevel="0" collapsed="false">
      <c r="A404" s="37" t="str">
        <f aca="false">IF(M404="","",ROW()-7)</f>
        <v/>
      </c>
      <c r="B404" s="70"/>
      <c r="C404" s="71"/>
      <c r="D404" s="72"/>
      <c r="E404" s="71"/>
      <c r="F404" s="73"/>
      <c r="G404" s="73"/>
      <c r="H404" s="42" t="str">
        <f aca="false">IF(M404="","",IF(U404&gt;0,"✔ Matched",IF(M404="OUT","Not yet presented","Not yet credited")))</f>
        <v/>
      </c>
      <c r="I404" s="43" t="str">
        <f aca="false">IF(N(U404)&gt;0,U404,"")</f>
        <v/>
      </c>
      <c r="J404" s="44" t="str">
        <f aca="false">IF(N(U404)&gt;0,T404,"")</f>
        <v/>
      </c>
      <c r="K404" s="45" t="str">
        <f aca="false">IF(AND(M404="",B404="",D404=""),"",IF(AND(N(F404)&gt;0,N(G404)&gt;0),"⚠ Fill deposit OR payment",IF(M404="","⚠ Enter amount",IF(B404="","⚠ Enter date",IF(AND(Setup!$C$8&lt;&gt;"",B404&gt;Setup!$C$8),"⚠ Date after period",IF(AND(O404&lt;&gt;"",COUNTIF($O$8:$O$507,O404)&gt;1),"⚠ Cheque no. used twice","✔"))))))</f>
        <v/>
      </c>
      <c r="M404" s="9" t="str">
        <f aca="false">IF(N(F404)&gt;0,"IN",IF(N(G404)&gt;0,"OUT",""))</f>
        <v/>
      </c>
      <c r="N404" s="9" t="str">
        <f aca="false">IF(M404="","",M404&amp;"|"&amp;TEXT(ROUND(N(F404)+N(G404),2),"0.00"))</f>
        <v/>
      </c>
      <c r="O404" s="9" t="str">
        <f aca="false">IF(OR(N404="",TRIM(E404&amp;"")=""),"",N404&amp;"|"&amp;UPPER(TRIM(E404&amp;"")))</f>
        <v/>
      </c>
      <c r="P404" s="9" t="n">
        <f aca="false">IF(O404="",0,IFERROR(MATCH(O404,'Bank Statement'!$O$8:$O$507,0),0))</f>
        <v>0</v>
      </c>
      <c r="Q404" s="9" t="str">
        <f aca="false">IF(OR(N404="",P404&gt;0),"",N404&amp;"#"&amp;COUNTIFS($N$8:N404,N404,$P$8:P404,0))</f>
        <v/>
      </c>
      <c r="R404" s="9" t="n">
        <f aca="false">IF(Q404="",0,IFERROR(MATCH(Q404,'Bank Statement'!$Q$8:$Q$507,0),0))</f>
        <v>0</v>
      </c>
      <c r="S404" s="9" t="n">
        <f aca="false">IF(P404&gt;0,P404,R404)</f>
        <v>0</v>
      </c>
      <c r="T404" s="9" t="str">
        <f aca="false">IF(OR(S404=0,B404=""),"",INDEX('Bank Statement'!$B$8:$B$507,S404)-B404)</f>
        <v/>
      </c>
      <c r="U404" s="9" t="n">
        <f aca="false">IF(S404=0,0,IF(P404&gt;0,S404,IF(AND(ISNUMBER(T404),ABS(N(T404))&lt;=Setup!$C$11),S404,0)))</f>
        <v>0</v>
      </c>
      <c r="V404" s="9" t="str">
        <f aca="false">IF(AND(N404&lt;&gt;"",U404=0),IF(M404="OUT",1,2)*100000+ROW(),"")</f>
        <v/>
      </c>
      <c r="W404" s="9" t="n">
        <f aca="false">N(F404)+N(G404)</f>
        <v>0</v>
      </c>
    </row>
    <row r="405" customFormat="false" ht="15" hidden="false" customHeight="false" outlineLevel="0" collapsed="false">
      <c r="A405" s="37" t="str">
        <f aca="false">IF(M405="","",ROW()-7)</f>
        <v/>
      </c>
      <c r="B405" s="70"/>
      <c r="C405" s="71"/>
      <c r="D405" s="72"/>
      <c r="E405" s="71"/>
      <c r="F405" s="73"/>
      <c r="G405" s="73"/>
      <c r="H405" s="42" t="str">
        <f aca="false">IF(M405="","",IF(U405&gt;0,"✔ Matched",IF(M405="OUT","Not yet presented","Not yet credited")))</f>
        <v/>
      </c>
      <c r="I405" s="43" t="str">
        <f aca="false">IF(N(U405)&gt;0,U405,"")</f>
        <v/>
      </c>
      <c r="J405" s="44" t="str">
        <f aca="false">IF(N(U405)&gt;0,T405,"")</f>
        <v/>
      </c>
      <c r="K405" s="45" t="str">
        <f aca="false">IF(AND(M405="",B405="",D405=""),"",IF(AND(N(F405)&gt;0,N(G405)&gt;0),"⚠ Fill deposit OR payment",IF(M405="","⚠ Enter amount",IF(B405="","⚠ Enter date",IF(AND(Setup!$C$8&lt;&gt;"",B405&gt;Setup!$C$8),"⚠ Date after period",IF(AND(O405&lt;&gt;"",COUNTIF($O$8:$O$507,O405)&gt;1),"⚠ Cheque no. used twice","✔"))))))</f>
        <v/>
      </c>
      <c r="M405" s="9" t="str">
        <f aca="false">IF(N(F405)&gt;0,"IN",IF(N(G405)&gt;0,"OUT",""))</f>
        <v/>
      </c>
      <c r="N405" s="9" t="str">
        <f aca="false">IF(M405="","",M405&amp;"|"&amp;TEXT(ROUND(N(F405)+N(G405),2),"0.00"))</f>
        <v/>
      </c>
      <c r="O405" s="9" t="str">
        <f aca="false">IF(OR(N405="",TRIM(E405&amp;"")=""),"",N405&amp;"|"&amp;UPPER(TRIM(E405&amp;"")))</f>
        <v/>
      </c>
      <c r="P405" s="9" t="n">
        <f aca="false">IF(O405="",0,IFERROR(MATCH(O405,'Bank Statement'!$O$8:$O$507,0),0))</f>
        <v>0</v>
      </c>
      <c r="Q405" s="9" t="str">
        <f aca="false">IF(OR(N405="",P405&gt;0),"",N405&amp;"#"&amp;COUNTIFS($N$8:N405,N405,$P$8:P405,0))</f>
        <v/>
      </c>
      <c r="R405" s="9" t="n">
        <f aca="false">IF(Q405="",0,IFERROR(MATCH(Q405,'Bank Statement'!$Q$8:$Q$507,0),0))</f>
        <v>0</v>
      </c>
      <c r="S405" s="9" t="n">
        <f aca="false">IF(P405&gt;0,P405,R405)</f>
        <v>0</v>
      </c>
      <c r="T405" s="9" t="str">
        <f aca="false">IF(OR(S405=0,B405=""),"",INDEX('Bank Statement'!$B$8:$B$507,S405)-B405)</f>
        <v/>
      </c>
      <c r="U405" s="9" t="n">
        <f aca="false">IF(S405=0,0,IF(P405&gt;0,S405,IF(AND(ISNUMBER(T405),ABS(N(T405))&lt;=Setup!$C$11),S405,0)))</f>
        <v>0</v>
      </c>
      <c r="V405" s="9" t="str">
        <f aca="false">IF(AND(N405&lt;&gt;"",U405=0),IF(M405="OUT",1,2)*100000+ROW(),"")</f>
        <v/>
      </c>
      <c r="W405" s="9" t="n">
        <f aca="false">N(F405)+N(G405)</f>
        <v>0</v>
      </c>
    </row>
    <row r="406" customFormat="false" ht="15" hidden="false" customHeight="false" outlineLevel="0" collapsed="false">
      <c r="A406" s="37" t="str">
        <f aca="false">IF(M406="","",ROW()-7)</f>
        <v/>
      </c>
      <c r="B406" s="70"/>
      <c r="C406" s="71"/>
      <c r="D406" s="72"/>
      <c r="E406" s="71"/>
      <c r="F406" s="73"/>
      <c r="G406" s="73"/>
      <c r="H406" s="42" t="str">
        <f aca="false">IF(M406="","",IF(U406&gt;0,"✔ Matched",IF(M406="OUT","Not yet presented","Not yet credited")))</f>
        <v/>
      </c>
      <c r="I406" s="43" t="str">
        <f aca="false">IF(N(U406)&gt;0,U406,"")</f>
        <v/>
      </c>
      <c r="J406" s="44" t="str">
        <f aca="false">IF(N(U406)&gt;0,T406,"")</f>
        <v/>
      </c>
      <c r="K406" s="45" t="str">
        <f aca="false">IF(AND(M406="",B406="",D406=""),"",IF(AND(N(F406)&gt;0,N(G406)&gt;0),"⚠ Fill deposit OR payment",IF(M406="","⚠ Enter amount",IF(B406="","⚠ Enter date",IF(AND(Setup!$C$8&lt;&gt;"",B406&gt;Setup!$C$8),"⚠ Date after period",IF(AND(O406&lt;&gt;"",COUNTIF($O$8:$O$507,O406)&gt;1),"⚠ Cheque no. used twice","✔"))))))</f>
        <v/>
      </c>
      <c r="M406" s="9" t="str">
        <f aca="false">IF(N(F406)&gt;0,"IN",IF(N(G406)&gt;0,"OUT",""))</f>
        <v/>
      </c>
      <c r="N406" s="9" t="str">
        <f aca="false">IF(M406="","",M406&amp;"|"&amp;TEXT(ROUND(N(F406)+N(G406),2),"0.00"))</f>
        <v/>
      </c>
      <c r="O406" s="9" t="str">
        <f aca="false">IF(OR(N406="",TRIM(E406&amp;"")=""),"",N406&amp;"|"&amp;UPPER(TRIM(E406&amp;"")))</f>
        <v/>
      </c>
      <c r="P406" s="9" t="n">
        <f aca="false">IF(O406="",0,IFERROR(MATCH(O406,'Bank Statement'!$O$8:$O$507,0),0))</f>
        <v>0</v>
      </c>
      <c r="Q406" s="9" t="str">
        <f aca="false">IF(OR(N406="",P406&gt;0),"",N406&amp;"#"&amp;COUNTIFS($N$8:N406,N406,$P$8:P406,0))</f>
        <v/>
      </c>
      <c r="R406" s="9" t="n">
        <f aca="false">IF(Q406="",0,IFERROR(MATCH(Q406,'Bank Statement'!$Q$8:$Q$507,0),0))</f>
        <v>0</v>
      </c>
      <c r="S406" s="9" t="n">
        <f aca="false">IF(P406&gt;0,P406,R406)</f>
        <v>0</v>
      </c>
      <c r="T406" s="9" t="str">
        <f aca="false">IF(OR(S406=0,B406=""),"",INDEX('Bank Statement'!$B$8:$B$507,S406)-B406)</f>
        <v/>
      </c>
      <c r="U406" s="9" t="n">
        <f aca="false">IF(S406=0,0,IF(P406&gt;0,S406,IF(AND(ISNUMBER(T406),ABS(N(T406))&lt;=Setup!$C$11),S406,0)))</f>
        <v>0</v>
      </c>
      <c r="V406" s="9" t="str">
        <f aca="false">IF(AND(N406&lt;&gt;"",U406=0),IF(M406="OUT",1,2)*100000+ROW(),"")</f>
        <v/>
      </c>
      <c r="W406" s="9" t="n">
        <f aca="false">N(F406)+N(G406)</f>
        <v>0</v>
      </c>
    </row>
    <row r="407" customFormat="false" ht="15" hidden="false" customHeight="false" outlineLevel="0" collapsed="false">
      <c r="A407" s="37" t="str">
        <f aca="false">IF(M407="","",ROW()-7)</f>
        <v/>
      </c>
      <c r="B407" s="70"/>
      <c r="C407" s="71"/>
      <c r="D407" s="72"/>
      <c r="E407" s="71"/>
      <c r="F407" s="73"/>
      <c r="G407" s="73"/>
      <c r="H407" s="42" t="str">
        <f aca="false">IF(M407="","",IF(U407&gt;0,"✔ Matched",IF(M407="OUT","Not yet presented","Not yet credited")))</f>
        <v/>
      </c>
      <c r="I407" s="43" t="str">
        <f aca="false">IF(N(U407)&gt;0,U407,"")</f>
        <v/>
      </c>
      <c r="J407" s="44" t="str">
        <f aca="false">IF(N(U407)&gt;0,T407,"")</f>
        <v/>
      </c>
      <c r="K407" s="45" t="str">
        <f aca="false">IF(AND(M407="",B407="",D407=""),"",IF(AND(N(F407)&gt;0,N(G407)&gt;0),"⚠ Fill deposit OR payment",IF(M407="","⚠ Enter amount",IF(B407="","⚠ Enter date",IF(AND(Setup!$C$8&lt;&gt;"",B407&gt;Setup!$C$8),"⚠ Date after period",IF(AND(O407&lt;&gt;"",COUNTIF($O$8:$O$507,O407)&gt;1),"⚠ Cheque no. used twice","✔"))))))</f>
        <v/>
      </c>
      <c r="M407" s="9" t="str">
        <f aca="false">IF(N(F407)&gt;0,"IN",IF(N(G407)&gt;0,"OUT",""))</f>
        <v/>
      </c>
      <c r="N407" s="9" t="str">
        <f aca="false">IF(M407="","",M407&amp;"|"&amp;TEXT(ROUND(N(F407)+N(G407),2),"0.00"))</f>
        <v/>
      </c>
      <c r="O407" s="9" t="str">
        <f aca="false">IF(OR(N407="",TRIM(E407&amp;"")=""),"",N407&amp;"|"&amp;UPPER(TRIM(E407&amp;"")))</f>
        <v/>
      </c>
      <c r="P407" s="9" t="n">
        <f aca="false">IF(O407="",0,IFERROR(MATCH(O407,'Bank Statement'!$O$8:$O$507,0),0))</f>
        <v>0</v>
      </c>
      <c r="Q407" s="9" t="str">
        <f aca="false">IF(OR(N407="",P407&gt;0),"",N407&amp;"#"&amp;COUNTIFS($N$8:N407,N407,$P$8:P407,0))</f>
        <v/>
      </c>
      <c r="R407" s="9" t="n">
        <f aca="false">IF(Q407="",0,IFERROR(MATCH(Q407,'Bank Statement'!$Q$8:$Q$507,0),0))</f>
        <v>0</v>
      </c>
      <c r="S407" s="9" t="n">
        <f aca="false">IF(P407&gt;0,P407,R407)</f>
        <v>0</v>
      </c>
      <c r="T407" s="9" t="str">
        <f aca="false">IF(OR(S407=0,B407=""),"",INDEX('Bank Statement'!$B$8:$B$507,S407)-B407)</f>
        <v/>
      </c>
      <c r="U407" s="9" t="n">
        <f aca="false">IF(S407=0,0,IF(P407&gt;0,S407,IF(AND(ISNUMBER(T407),ABS(N(T407))&lt;=Setup!$C$11),S407,0)))</f>
        <v>0</v>
      </c>
      <c r="V407" s="9" t="str">
        <f aca="false">IF(AND(N407&lt;&gt;"",U407=0),IF(M407="OUT",1,2)*100000+ROW(),"")</f>
        <v/>
      </c>
      <c r="W407" s="9" t="n">
        <f aca="false">N(F407)+N(G407)</f>
        <v>0</v>
      </c>
    </row>
    <row r="408" customFormat="false" ht="15" hidden="false" customHeight="false" outlineLevel="0" collapsed="false">
      <c r="A408" s="37" t="str">
        <f aca="false">IF(M408="","",ROW()-7)</f>
        <v/>
      </c>
      <c r="B408" s="70"/>
      <c r="C408" s="71"/>
      <c r="D408" s="72"/>
      <c r="E408" s="71"/>
      <c r="F408" s="73"/>
      <c r="G408" s="73"/>
      <c r="H408" s="42" t="str">
        <f aca="false">IF(M408="","",IF(U408&gt;0,"✔ Matched",IF(M408="OUT","Not yet presented","Not yet credited")))</f>
        <v/>
      </c>
      <c r="I408" s="43" t="str">
        <f aca="false">IF(N(U408)&gt;0,U408,"")</f>
        <v/>
      </c>
      <c r="J408" s="44" t="str">
        <f aca="false">IF(N(U408)&gt;0,T408,"")</f>
        <v/>
      </c>
      <c r="K408" s="45" t="str">
        <f aca="false">IF(AND(M408="",B408="",D408=""),"",IF(AND(N(F408)&gt;0,N(G408)&gt;0),"⚠ Fill deposit OR payment",IF(M408="","⚠ Enter amount",IF(B408="","⚠ Enter date",IF(AND(Setup!$C$8&lt;&gt;"",B408&gt;Setup!$C$8),"⚠ Date after period",IF(AND(O408&lt;&gt;"",COUNTIF($O$8:$O$507,O408)&gt;1),"⚠ Cheque no. used twice","✔"))))))</f>
        <v/>
      </c>
      <c r="M408" s="9" t="str">
        <f aca="false">IF(N(F408)&gt;0,"IN",IF(N(G408)&gt;0,"OUT",""))</f>
        <v/>
      </c>
      <c r="N408" s="9" t="str">
        <f aca="false">IF(M408="","",M408&amp;"|"&amp;TEXT(ROUND(N(F408)+N(G408),2),"0.00"))</f>
        <v/>
      </c>
      <c r="O408" s="9" t="str">
        <f aca="false">IF(OR(N408="",TRIM(E408&amp;"")=""),"",N408&amp;"|"&amp;UPPER(TRIM(E408&amp;"")))</f>
        <v/>
      </c>
      <c r="P408" s="9" t="n">
        <f aca="false">IF(O408="",0,IFERROR(MATCH(O408,'Bank Statement'!$O$8:$O$507,0),0))</f>
        <v>0</v>
      </c>
      <c r="Q408" s="9" t="str">
        <f aca="false">IF(OR(N408="",P408&gt;0),"",N408&amp;"#"&amp;COUNTIFS($N$8:N408,N408,$P$8:P408,0))</f>
        <v/>
      </c>
      <c r="R408" s="9" t="n">
        <f aca="false">IF(Q408="",0,IFERROR(MATCH(Q408,'Bank Statement'!$Q$8:$Q$507,0),0))</f>
        <v>0</v>
      </c>
      <c r="S408" s="9" t="n">
        <f aca="false">IF(P408&gt;0,P408,R408)</f>
        <v>0</v>
      </c>
      <c r="T408" s="9" t="str">
        <f aca="false">IF(OR(S408=0,B408=""),"",INDEX('Bank Statement'!$B$8:$B$507,S408)-B408)</f>
        <v/>
      </c>
      <c r="U408" s="9" t="n">
        <f aca="false">IF(S408=0,0,IF(P408&gt;0,S408,IF(AND(ISNUMBER(T408),ABS(N(T408))&lt;=Setup!$C$11),S408,0)))</f>
        <v>0</v>
      </c>
      <c r="V408" s="9" t="str">
        <f aca="false">IF(AND(N408&lt;&gt;"",U408=0),IF(M408="OUT",1,2)*100000+ROW(),"")</f>
        <v/>
      </c>
      <c r="W408" s="9" t="n">
        <f aca="false">N(F408)+N(G408)</f>
        <v>0</v>
      </c>
    </row>
    <row r="409" customFormat="false" ht="15" hidden="false" customHeight="false" outlineLevel="0" collapsed="false">
      <c r="A409" s="37" t="str">
        <f aca="false">IF(M409="","",ROW()-7)</f>
        <v/>
      </c>
      <c r="B409" s="70"/>
      <c r="C409" s="71"/>
      <c r="D409" s="72"/>
      <c r="E409" s="71"/>
      <c r="F409" s="73"/>
      <c r="G409" s="73"/>
      <c r="H409" s="42" t="str">
        <f aca="false">IF(M409="","",IF(U409&gt;0,"✔ Matched",IF(M409="OUT","Not yet presented","Not yet credited")))</f>
        <v/>
      </c>
      <c r="I409" s="43" t="str">
        <f aca="false">IF(N(U409)&gt;0,U409,"")</f>
        <v/>
      </c>
      <c r="J409" s="44" t="str">
        <f aca="false">IF(N(U409)&gt;0,T409,"")</f>
        <v/>
      </c>
      <c r="K409" s="45" t="str">
        <f aca="false">IF(AND(M409="",B409="",D409=""),"",IF(AND(N(F409)&gt;0,N(G409)&gt;0),"⚠ Fill deposit OR payment",IF(M409="","⚠ Enter amount",IF(B409="","⚠ Enter date",IF(AND(Setup!$C$8&lt;&gt;"",B409&gt;Setup!$C$8),"⚠ Date after period",IF(AND(O409&lt;&gt;"",COUNTIF($O$8:$O$507,O409)&gt;1),"⚠ Cheque no. used twice","✔"))))))</f>
        <v/>
      </c>
      <c r="M409" s="9" t="str">
        <f aca="false">IF(N(F409)&gt;0,"IN",IF(N(G409)&gt;0,"OUT",""))</f>
        <v/>
      </c>
      <c r="N409" s="9" t="str">
        <f aca="false">IF(M409="","",M409&amp;"|"&amp;TEXT(ROUND(N(F409)+N(G409),2),"0.00"))</f>
        <v/>
      </c>
      <c r="O409" s="9" t="str">
        <f aca="false">IF(OR(N409="",TRIM(E409&amp;"")=""),"",N409&amp;"|"&amp;UPPER(TRIM(E409&amp;"")))</f>
        <v/>
      </c>
      <c r="P409" s="9" t="n">
        <f aca="false">IF(O409="",0,IFERROR(MATCH(O409,'Bank Statement'!$O$8:$O$507,0),0))</f>
        <v>0</v>
      </c>
      <c r="Q409" s="9" t="str">
        <f aca="false">IF(OR(N409="",P409&gt;0),"",N409&amp;"#"&amp;COUNTIFS($N$8:N409,N409,$P$8:P409,0))</f>
        <v/>
      </c>
      <c r="R409" s="9" t="n">
        <f aca="false">IF(Q409="",0,IFERROR(MATCH(Q409,'Bank Statement'!$Q$8:$Q$507,0),0))</f>
        <v>0</v>
      </c>
      <c r="S409" s="9" t="n">
        <f aca="false">IF(P409&gt;0,P409,R409)</f>
        <v>0</v>
      </c>
      <c r="T409" s="9" t="str">
        <f aca="false">IF(OR(S409=0,B409=""),"",INDEX('Bank Statement'!$B$8:$B$507,S409)-B409)</f>
        <v/>
      </c>
      <c r="U409" s="9" t="n">
        <f aca="false">IF(S409=0,0,IF(P409&gt;0,S409,IF(AND(ISNUMBER(T409),ABS(N(T409))&lt;=Setup!$C$11),S409,0)))</f>
        <v>0</v>
      </c>
      <c r="V409" s="9" t="str">
        <f aca="false">IF(AND(N409&lt;&gt;"",U409=0),IF(M409="OUT",1,2)*100000+ROW(),"")</f>
        <v/>
      </c>
      <c r="W409" s="9" t="n">
        <f aca="false">N(F409)+N(G409)</f>
        <v>0</v>
      </c>
    </row>
    <row r="410" customFormat="false" ht="15" hidden="false" customHeight="false" outlineLevel="0" collapsed="false">
      <c r="A410" s="37" t="str">
        <f aca="false">IF(M410="","",ROW()-7)</f>
        <v/>
      </c>
      <c r="B410" s="70"/>
      <c r="C410" s="71"/>
      <c r="D410" s="72"/>
      <c r="E410" s="71"/>
      <c r="F410" s="73"/>
      <c r="G410" s="73"/>
      <c r="H410" s="42" t="str">
        <f aca="false">IF(M410="","",IF(U410&gt;0,"✔ Matched",IF(M410="OUT","Not yet presented","Not yet credited")))</f>
        <v/>
      </c>
      <c r="I410" s="43" t="str">
        <f aca="false">IF(N(U410)&gt;0,U410,"")</f>
        <v/>
      </c>
      <c r="J410" s="44" t="str">
        <f aca="false">IF(N(U410)&gt;0,T410,"")</f>
        <v/>
      </c>
      <c r="K410" s="45" t="str">
        <f aca="false">IF(AND(M410="",B410="",D410=""),"",IF(AND(N(F410)&gt;0,N(G410)&gt;0),"⚠ Fill deposit OR payment",IF(M410="","⚠ Enter amount",IF(B410="","⚠ Enter date",IF(AND(Setup!$C$8&lt;&gt;"",B410&gt;Setup!$C$8),"⚠ Date after period",IF(AND(O410&lt;&gt;"",COUNTIF($O$8:$O$507,O410)&gt;1),"⚠ Cheque no. used twice","✔"))))))</f>
        <v/>
      </c>
      <c r="M410" s="9" t="str">
        <f aca="false">IF(N(F410)&gt;0,"IN",IF(N(G410)&gt;0,"OUT",""))</f>
        <v/>
      </c>
      <c r="N410" s="9" t="str">
        <f aca="false">IF(M410="","",M410&amp;"|"&amp;TEXT(ROUND(N(F410)+N(G410),2),"0.00"))</f>
        <v/>
      </c>
      <c r="O410" s="9" t="str">
        <f aca="false">IF(OR(N410="",TRIM(E410&amp;"")=""),"",N410&amp;"|"&amp;UPPER(TRIM(E410&amp;"")))</f>
        <v/>
      </c>
      <c r="P410" s="9" t="n">
        <f aca="false">IF(O410="",0,IFERROR(MATCH(O410,'Bank Statement'!$O$8:$O$507,0),0))</f>
        <v>0</v>
      </c>
      <c r="Q410" s="9" t="str">
        <f aca="false">IF(OR(N410="",P410&gt;0),"",N410&amp;"#"&amp;COUNTIFS($N$8:N410,N410,$P$8:P410,0))</f>
        <v/>
      </c>
      <c r="R410" s="9" t="n">
        <f aca="false">IF(Q410="",0,IFERROR(MATCH(Q410,'Bank Statement'!$Q$8:$Q$507,0),0))</f>
        <v>0</v>
      </c>
      <c r="S410" s="9" t="n">
        <f aca="false">IF(P410&gt;0,P410,R410)</f>
        <v>0</v>
      </c>
      <c r="T410" s="9" t="str">
        <f aca="false">IF(OR(S410=0,B410=""),"",INDEX('Bank Statement'!$B$8:$B$507,S410)-B410)</f>
        <v/>
      </c>
      <c r="U410" s="9" t="n">
        <f aca="false">IF(S410=0,0,IF(P410&gt;0,S410,IF(AND(ISNUMBER(T410),ABS(N(T410))&lt;=Setup!$C$11),S410,0)))</f>
        <v>0</v>
      </c>
      <c r="V410" s="9" t="str">
        <f aca="false">IF(AND(N410&lt;&gt;"",U410=0),IF(M410="OUT",1,2)*100000+ROW(),"")</f>
        <v/>
      </c>
      <c r="W410" s="9" t="n">
        <f aca="false">N(F410)+N(G410)</f>
        <v>0</v>
      </c>
    </row>
    <row r="411" customFormat="false" ht="15" hidden="false" customHeight="false" outlineLevel="0" collapsed="false">
      <c r="A411" s="37" t="str">
        <f aca="false">IF(M411="","",ROW()-7)</f>
        <v/>
      </c>
      <c r="B411" s="70"/>
      <c r="C411" s="71"/>
      <c r="D411" s="72"/>
      <c r="E411" s="71"/>
      <c r="F411" s="73"/>
      <c r="G411" s="73"/>
      <c r="H411" s="42" t="str">
        <f aca="false">IF(M411="","",IF(U411&gt;0,"✔ Matched",IF(M411="OUT","Not yet presented","Not yet credited")))</f>
        <v/>
      </c>
      <c r="I411" s="43" t="str">
        <f aca="false">IF(N(U411)&gt;0,U411,"")</f>
        <v/>
      </c>
      <c r="J411" s="44" t="str">
        <f aca="false">IF(N(U411)&gt;0,T411,"")</f>
        <v/>
      </c>
      <c r="K411" s="45" t="str">
        <f aca="false">IF(AND(M411="",B411="",D411=""),"",IF(AND(N(F411)&gt;0,N(G411)&gt;0),"⚠ Fill deposit OR payment",IF(M411="","⚠ Enter amount",IF(B411="","⚠ Enter date",IF(AND(Setup!$C$8&lt;&gt;"",B411&gt;Setup!$C$8),"⚠ Date after period",IF(AND(O411&lt;&gt;"",COUNTIF($O$8:$O$507,O411)&gt;1),"⚠ Cheque no. used twice","✔"))))))</f>
        <v/>
      </c>
      <c r="M411" s="9" t="str">
        <f aca="false">IF(N(F411)&gt;0,"IN",IF(N(G411)&gt;0,"OUT",""))</f>
        <v/>
      </c>
      <c r="N411" s="9" t="str">
        <f aca="false">IF(M411="","",M411&amp;"|"&amp;TEXT(ROUND(N(F411)+N(G411),2),"0.00"))</f>
        <v/>
      </c>
      <c r="O411" s="9" t="str">
        <f aca="false">IF(OR(N411="",TRIM(E411&amp;"")=""),"",N411&amp;"|"&amp;UPPER(TRIM(E411&amp;"")))</f>
        <v/>
      </c>
      <c r="P411" s="9" t="n">
        <f aca="false">IF(O411="",0,IFERROR(MATCH(O411,'Bank Statement'!$O$8:$O$507,0),0))</f>
        <v>0</v>
      </c>
      <c r="Q411" s="9" t="str">
        <f aca="false">IF(OR(N411="",P411&gt;0),"",N411&amp;"#"&amp;COUNTIFS($N$8:N411,N411,$P$8:P411,0))</f>
        <v/>
      </c>
      <c r="R411" s="9" t="n">
        <f aca="false">IF(Q411="",0,IFERROR(MATCH(Q411,'Bank Statement'!$Q$8:$Q$507,0),0))</f>
        <v>0</v>
      </c>
      <c r="S411" s="9" t="n">
        <f aca="false">IF(P411&gt;0,P411,R411)</f>
        <v>0</v>
      </c>
      <c r="T411" s="9" t="str">
        <f aca="false">IF(OR(S411=0,B411=""),"",INDEX('Bank Statement'!$B$8:$B$507,S411)-B411)</f>
        <v/>
      </c>
      <c r="U411" s="9" t="n">
        <f aca="false">IF(S411=0,0,IF(P411&gt;0,S411,IF(AND(ISNUMBER(T411),ABS(N(T411))&lt;=Setup!$C$11),S411,0)))</f>
        <v>0</v>
      </c>
      <c r="V411" s="9" t="str">
        <f aca="false">IF(AND(N411&lt;&gt;"",U411=0),IF(M411="OUT",1,2)*100000+ROW(),"")</f>
        <v/>
      </c>
      <c r="W411" s="9" t="n">
        <f aca="false">N(F411)+N(G411)</f>
        <v>0</v>
      </c>
    </row>
    <row r="412" customFormat="false" ht="15" hidden="false" customHeight="false" outlineLevel="0" collapsed="false">
      <c r="A412" s="37" t="str">
        <f aca="false">IF(M412="","",ROW()-7)</f>
        <v/>
      </c>
      <c r="B412" s="70"/>
      <c r="C412" s="71"/>
      <c r="D412" s="72"/>
      <c r="E412" s="71"/>
      <c r="F412" s="73"/>
      <c r="G412" s="73"/>
      <c r="H412" s="42" t="str">
        <f aca="false">IF(M412="","",IF(U412&gt;0,"✔ Matched",IF(M412="OUT","Not yet presented","Not yet credited")))</f>
        <v/>
      </c>
      <c r="I412" s="43" t="str">
        <f aca="false">IF(N(U412)&gt;0,U412,"")</f>
        <v/>
      </c>
      <c r="J412" s="44" t="str">
        <f aca="false">IF(N(U412)&gt;0,T412,"")</f>
        <v/>
      </c>
      <c r="K412" s="45" t="str">
        <f aca="false">IF(AND(M412="",B412="",D412=""),"",IF(AND(N(F412)&gt;0,N(G412)&gt;0),"⚠ Fill deposit OR payment",IF(M412="","⚠ Enter amount",IF(B412="","⚠ Enter date",IF(AND(Setup!$C$8&lt;&gt;"",B412&gt;Setup!$C$8),"⚠ Date after period",IF(AND(O412&lt;&gt;"",COUNTIF($O$8:$O$507,O412)&gt;1),"⚠ Cheque no. used twice","✔"))))))</f>
        <v/>
      </c>
      <c r="M412" s="9" t="str">
        <f aca="false">IF(N(F412)&gt;0,"IN",IF(N(G412)&gt;0,"OUT",""))</f>
        <v/>
      </c>
      <c r="N412" s="9" t="str">
        <f aca="false">IF(M412="","",M412&amp;"|"&amp;TEXT(ROUND(N(F412)+N(G412),2),"0.00"))</f>
        <v/>
      </c>
      <c r="O412" s="9" t="str">
        <f aca="false">IF(OR(N412="",TRIM(E412&amp;"")=""),"",N412&amp;"|"&amp;UPPER(TRIM(E412&amp;"")))</f>
        <v/>
      </c>
      <c r="P412" s="9" t="n">
        <f aca="false">IF(O412="",0,IFERROR(MATCH(O412,'Bank Statement'!$O$8:$O$507,0),0))</f>
        <v>0</v>
      </c>
      <c r="Q412" s="9" t="str">
        <f aca="false">IF(OR(N412="",P412&gt;0),"",N412&amp;"#"&amp;COUNTIFS($N$8:N412,N412,$P$8:P412,0))</f>
        <v/>
      </c>
      <c r="R412" s="9" t="n">
        <f aca="false">IF(Q412="",0,IFERROR(MATCH(Q412,'Bank Statement'!$Q$8:$Q$507,0),0))</f>
        <v>0</v>
      </c>
      <c r="S412" s="9" t="n">
        <f aca="false">IF(P412&gt;0,P412,R412)</f>
        <v>0</v>
      </c>
      <c r="T412" s="9" t="str">
        <f aca="false">IF(OR(S412=0,B412=""),"",INDEX('Bank Statement'!$B$8:$B$507,S412)-B412)</f>
        <v/>
      </c>
      <c r="U412" s="9" t="n">
        <f aca="false">IF(S412=0,0,IF(P412&gt;0,S412,IF(AND(ISNUMBER(T412),ABS(N(T412))&lt;=Setup!$C$11),S412,0)))</f>
        <v>0</v>
      </c>
      <c r="V412" s="9" t="str">
        <f aca="false">IF(AND(N412&lt;&gt;"",U412=0),IF(M412="OUT",1,2)*100000+ROW(),"")</f>
        <v/>
      </c>
      <c r="W412" s="9" t="n">
        <f aca="false">N(F412)+N(G412)</f>
        <v>0</v>
      </c>
    </row>
    <row r="413" customFormat="false" ht="15" hidden="false" customHeight="false" outlineLevel="0" collapsed="false">
      <c r="A413" s="37" t="str">
        <f aca="false">IF(M413="","",ROW()-7)</f>
        <v/>
      </c>
      <c r="B413" s="70"/>
      <c r="C413" s="71"/>
      <c r="D413" s="72"/>
      <c r="E413" s="71"/>
      <c r="F413" s="73"/>
      <c r="G413" s="73"/>
      <c r="H413" s="42" t="str">
        <f aca="false">IF(M413="","",IF(U413&gt;0,"✔ Matched",IF(M413="OUT","Not yet presented","Not yet credited")))</f>
        <v/>
      </c>
      <c r="I413" s="43" t="str">
        <f aca="false">IF(N(U413)&gt;0,U413,"")</f>
        <v/>
      </c>
      <c r="J413" s="44" t="str">
        <f aca="false">IF(N(U413)&gt;0,T413,"")</f>
        <v/>
      </c>
      <c r="K413" s="45" t="str">
        <f aca="false">IF(AND(M413="",B413="",D413=""),"",IF(AND(N(F413)&gt;0,N(G413)&gt;0),"⚠ Fill deposit OR payment",IF(M413="","⚠ Enter amount",IF(B413="","⚠ Enter date",IF(AND(Setup!$C$8&lt;&gt;"",B413&gt;Setup!$C$8),"⚠ Date after period",IF(AND(O413&lt;&gt;"",COUNTIF($O$8:$O$507,O413)&gt;1),"⚠ Cheque no. used twice","✔"))))))</f>
        <v/>
      </c>
      <c r="M413" s="9" t="str">
        <f aca="false">IF(N(F413)&gt;0,"IN",IF(N(G413)&gt;0,"OUT",""))</f>
        <v/>
      </c>
      <c r="N413" s="9" t="str">
        <f aca="false">IF(M413="","",M413&amp;"|"&amp;TEXT(ROUND(N(F413)+N(G413),2),"0.00"))</f>
        <v/>
      </c>
      <c r="O413" s="9" t="str">
        <f aca="false">IF(OR(N413="",TRIM(E413&amp;"")=""),"",N413&amp;"|"&amp;UPPER(TRIM(E413&amp;"")))</f>
        <v/>
      </c>
      <c r="P413" s="9" t="n">
        <f aca="false">IF(O413="",0,IFERROR(MATCH(O413,'Bank Statement'!$O$8:$O$507,0),0))</f>
        <v>0</v>
      </c>
      <c r="Q413" s="9" t="str">
        <f aca="false">IF(OR(N413="",P413&gt;0),"",N413&amp;"#"&amp;COUNTIFS($N$8:N413,N413,$P$8:P413,0))</f>
        <v/>
      </c>
      <c r="R413" s="9" t="n">
        <f aca="false">IF(Q413="",0,IFERROR(MATCH(Q413,'Bank Statement'!$Q$8:$Q$507,0),0))</f>
        <v>0</v>
      </c>
      <c r="S413" s="9" t="n">
        <f aca="false">IF(P413&gt;0,P413,R413)</f>
        <v>0</v>
      </c>
      <c r="T413" s="9" t="str">
        <f aca="false">IF(OR(S413=0,B413=""),"",INDEX('Bank Statement'!$B$8:$B$507,S413)-B413)</f>
        <v/>
      </c>
      <c r="U413" s="9" t="n">
        <f aca="false">IF(S413=0,0,IF(P413&gt;0,S413,IF(AND(ISNUMBER(T413),ABS(N(T413))&lt;=Setup!$C$11),S413,0)))</f>
        <v>0</v>
      </c>
      <c r="V413" s="9" t="str">
        <f aca="false">IF(AND(N413&lt;&gt;"",U413=0),IF(M413="OUT",1,2)*100000+ROW(),"")</f>
        <v/>
      </c>
      <c r="W413" s="9" t="n">
        <f aca="false">N(F413)+N(G413)</f>
        <v>0</v>
      </c>
    </row>
    <row r="414" customFormat="false" ht="15" hidden="false" customHeight="false" outlineLevel="0" collapsed="false">
      <c r="A414" s="37" t="str">
        <f aca="false">IF(M414="","",ROW()-7)</f>
        <v/>
      </c>
      <c r="B414" s="70"/>
      <c r="C414" s="71"/>
      <c r="D414" s="72"/>
      <c r="E414" s="71"/>
      <c r="F414" s="73"/>
      <c r="G414" s="73"/>
      <c r="H414" s="42" t="str">
        <f aca="false">IF(M414="","",IF(U414&gt;0,"✔ Matched",IF(M414="OUT","Not yet presented","Not yet credited")))</f>
        <v/>
      </c>
      <c r="I414" s="43" t="str">
        <f aca="false">IF(N(U414)&gt;0,U414,"")</f>
        <v/>
      </c>
      <c r="J414" s="44" t="str">
        <f aca="false">IF(N(U414)&gt;0,T414,"")</f>
        <v/>
      </c>
      <c r="K414" s="45" t="str">
        <f aca="false">IF(AND(M414="",B414="",D414=""),"",IF(AND(N(F414)&gt;0,N(G414)&gt;0),"⚠ Fill deposit OR payment",IF(M414="","⚠ Enter amount",IF(B414="","⚠ Enter date",IF(AND(Setup!$C$8&lt;&gt;"",B414&gt;Setup!$C$8),"⚠ Date after period",IF(AND(O414&lt;&gt;"",COUNTIF($O$8:$O$507,O414)&gt;1),"⚠ Cheque no. used twice","✔"))))))</f>
        <v/>
      </c>
      <c r="M414" s="9" t="str">
        <f aca="false">IF(N(F414)&gt;0,"IN",IF(N(G414)&gt;0,"OUT",""))</f>
        <v/>
      </c>
      <c r="N414" s="9" t="str">
        <f aca="false">IF(M414="","",M414&amp;"|"&amp;TEXT(ROUND(N(F414)+N(G414),2),"0.00"))</f>
        <v/>
      </c>
      <c r="O414" s="9" t="str">
        <f aca="false">IF(OR(N414="",TRIM(E414&amp;"")=""),"",N414&amp;"|"&amp;UPPER(TRIM(E414&amp;"")))</f>
        <v/>
      </c>
      <c r="P414" s="9" t="n">
        <f aca="false">IF(O414="",0,IFERROR(MATCH(O414,'Bank Statement'!$O$8:$O$507,0),0))</f>
        <v>0</v>
      </c>
      <c r="Q414" s="9" t="str">
        <f aca="false">IF(OR(N414="",P414&gt;0),"",N414&amp;"#"&amp;COUNTIFS($N$8:N414,N414,$P$8:P414,0))</f>
        <v/>
      </c>
      <c r="R414" s="9" t="n">
        <f aca="false">IF(Q414="",0,IFERROR(MATCH(Q414,'Bank Statement'!$Q$8:$Q$507,0),0))</f>
        <v>0</v>
      </c>
      <c r="S414" s="9" t="n">
        <f aca="false">IF(P414&gt;0,P414,R414)</f>
        <v>0</v>
      </c>
      <c r="T414" s="9" t="str">
        <f aca="false">IF(OR(S414=0,B414=""),"",INDEX('Bank Statement'!$B$8:$B$507,S414)-B414)</f>
        <v/>
      </c>
      <c r="U414" s="9" t="n">
        <f aca="false">IF(S414=0,0,IF(P414&gt;0,S414,IF(AND(ISNUMBER(T414),ABS(N(T414))&lt;=Setup!$C$11),S414,0)))</f>
        <v>0</v>
      </c>
      <c r="V414" s="9" t="str">
        <f aca="false">IF(AND(N414&lt;&gt;"",U414=0),IF(M414="OUT",1,2)*100000+ROW(),"")</f>
        <v/>
      </c>
      <c r="W414" s="9" t="n">
        <f aca="false">N(F414)+N(G414)</f>
        <v>0</v>
      </c>
    </row>
    <row r="415" customFormat="false" ht="15" hidden="false" customHeight="false" outlineLevel="0" collapsed="false">
      <c r="A415" s="37" t="str">
        <f aca="false">IF(M415="","",ROW()-7)</f>
        <v/>
      </c>
      <c r="B415" s="70"/>
      <c r="C415" s="71"/>
      <c r="D415" s="72"/>
      <c r="E415" s="71"/>
      <c r="F415" s="73"/>
      <c r="G415" s="73"/>
      <c r="H415" s="42" t="str">
        <f aca="false">IF(M415="","",IF(U415&gt;0,"✔ Matched",IF(M415="OUT","Not yet presented","Not yet credited")))</f>
        <v/>
      </c>
      <c r="I415" s="43" t="str">
        <f aca="false">IF(N(U415)&gt;0,U415,"")</f>
        <v/>
      </c>
      <c r="J415" s="44" t="str">
        <f aca="false">IF(N(U415)&gt;0,T415,"")</f>
        <v/>
      </c>
      <c r="K415" s="45" t="str">
        <f aca="false">IF(AND(M415="",B415="",D415=""),"",IF(AND(N(F415)&gt;0,N(G415)&gt;0),"⚠ Fill deposit OR payment",IF(M415="","⚠ Enter amount",IF(B415="","⚠ Enter date",IF(AND(Setup!$C$8&lt;&gt;"",B415&gt;Setup!$C$8),"⚠ Date after period",IF(AND(O415&lt;&gt;"",COUNTIF($O$8:$O$507,O415)&gt;1),"⚠ Cheque no. used twice","✔"))))))</f>
        <v/>
      </c>
      <c r="M415" s="9" t="str">
        <f aca="false">IF(N(F415)&gt;0,"IN",IF(N(G415)&gt;0,"OUT",""))</f>
        <v/>
      </c>
      <c r="N415" s="9" t="str">
        <f aca="false">IF(M415="","",M415&amp;"|"&amp;TEXT(ROUND(N(F415)+N(G415),2),"0.00"))</f>
        <v/>
      </c>
      <c r="O415" s="9" t="str">
        <f aca="false">IF(OR(N415="",TRIM(E415&amp;"")=""),"",N415&amp;"|"&amp;UPPER(TRIM(E415&amp;"")))</f>
        <v/>
      </c>
      <c r="P415" s="9" t="n">
        <f aca="false">IF(O415="",0,IFERROR(MATCH(O415,'Bank Statement'!$O$8:$O$507,0),0))</f>
        <v>0</v>
      </c>
      <c r="Q415" s="9" t="str">
        <f aca="false">IF(OR(N415="",P415&gt;0),"",N415&amp;"#"&amp;COUNTIFS($N$8:N415,N415,$P$8:P415,0))</f>
        <v/>
      </c>
      <c r="R415" s="9" t="n">
        <f aca="false">IF(Q415="",0,IFERROR(MATCH(Q415,'Bank Statement'!$Q$8:$Q$507,0),0))</f>
        <v>0</v>
      </c>
      <c r="S415" s="9" t="n">
        <f aca="false">IF(P415&gt;0,P415,R415)</f>
        <v>0</v>
      </c>
      <c r="T415" s="9" t="str">
        <f aca="false">IF(OR(S415=0,B415=""),"",INDEX('Bank Statement'!$B$8:$B$507,S415)-B415)</f>
        <v/>
      </c>
      <c r="U415" s="9" t="n">
        <f aca="false">IF(S415=0,0,IF(P415&gt;0,S415,IF(AND(ISNUMBER(T415),ABS(N(T415))&lt;=Setup!$C$11),S415,0)))</f>
        <v>0</v>
      </c>
      <c r="V415" s="9" t="str">
        <f aca="false">IF(AND(N415&lt;&gt;"",U415=0),IF(M415="OUT",1,2)*100000+ROW(),"")</f>
        <v/>
      </c>
      <c r="W415" s="9" t="n">
        <f aca="false">N(F415)+N(G415)</f>
        <v>0</v>
      </c>
    </row>
    <row r="416" customFormat="false" ht="15" hidden="false" customHeight="false" outlineLevel="0" collapsed="false">
      <c r="A416" s="37" t="str">
        <f aca="false">IF(M416="","",ROW()-7)</f>
        <v/>
      </c>
      <c r="B416" s="70"/>
      <c r="C416" s="71"/>
      <c r="D416" s="72"/>
      <c r="E416" s="71"/>
      <c r="F416" s="73"/>
      <c r="G416" s="73"/>
      <c r="H416" s="42" t="str">
        <f aca="false">IF(M416="","",IF(U416&gt;0,"✔ Matched",IF(M416="OUT","Not yet presented","Not yet credited")))</f>
        <v/>
      </c>
      <c r="I416" s="43" t="str">
        <f aca="false">IF(N(U416)&gt;0,U416,"")</f>
        <v/>
      </c>
      <c r="J416" s="44" t="str">
        <f aca="false">IF(N(U416)&gt;0,T416,"")</f>
        <v/>
      </c>
      <c r="K416" s="45" t="str">
        <f aca="false">IF(AND(M416="",B416="",D416=""),"",IF(AND(N(F416)&gt;0,N(G416)&gt;0),"⚠ Fill deposit OR payment",IF(M416="","⚠ Enter amount",IF(B416="","⚠ Enter date",IF(AND(Setup!$C$8&lt;&gt;"",B416&gt;Setup!$C$8),"⚠ Date after period",IF(AND(O416&lt;&gt;"",COUNTIF($O$8:$O$507,O416)&gt;1),"⚠ Cheque no. used twice","✔"))))))</f>
        <v/>
      </c>
      <c r="M416" s="9" t="str">
        <f aca="false">IF(N(F416)&gt;0,"IN",IF(N(G416)&gt;0,"OUT",""))</f>
        <v/>
      </c>
      <c r="N416" s="9" t="str">
        <f aca="false">IF(M416="","",M416&amp;"|"&amp;TEXT(ROUND(N(F416)+N(G416),2),"0.00"))</f>
        <v/>
      </c>
      <c r="O416" s="9" t="str">
        <f aca="false">IF(OR(N416="",TRIM(E416&amp;"")=""),"",N416&amp;"|"&amp;UPPER(TRIM(E416&amp;"")))</f>
        <v/>
      </c>
      <c r="P416" s="9" t="n">
        <f aca="false">IF(O416="",0,IFERROR(MATCH(O416,'Bank Statement'!$O$8:$O$507,0),0))</f>
        <v>0</v>
      </c>
      <c r="Q416" s="9" t="str">
        <f aca="false">IF(OR(N416="",P416&gt;0),"",N416&amp;"#"&amp;COUNTIFS($N$8:N416,N416,$P$8:P416,0))</f>
        <v/>
      </c>
      <c r="R416" s="9" t="n">
        <f aca="false">IF(Q416="",0,IFERROR(MATCH(Q416,'Bank Statement'!$Q$8:$Q$507,0),0))</f>
        <v>0</v>
      </c>
      <c r="S416" s="9" t="n">
        <f aca="false">IF(P416&gt;0,P416,R416)</f>
        <v>0</v>
      </c>
      <c r="T416" s="9" t="str">
        <f aca="false">IF(OR(S416=0,B416=""),"",INDEX('Bank Statement'!$B$8:$B$507,S416)-B416)</f>
        <v/>
      </c>
      <c r="U416" s="9" t="n">
        <f aca="false">IF(S416=0,0,IF(P416&gt;0,S416,IF(AND(ISNUMBER(T416),ABS(N(T416))&lt;=Setup!$C$11),S416,0)))</f>
        <v>0</v>
      </c>
      <c r="V416" s="9" t="str">
        <f aca="false">IF(AND(N416&lt;&gt;"",U416=0),IF(M416="OUT",1,2)*100000+ROW(),"")</f>
        <v/>
      </c>
      <c r="W416" s="9" t="n">
        <f aca="false">N(F416)+N(G416)</f>
        <v>0</v>
      </c>
    </row>
    <row r="417" customFormat="false" ht="15" hidden="false" customHeight="false" outlineLevel="0" collapsed="false">
      <c r="A417" s="37" t="str">
        <f aca="false">IF(M417="","",ROW()-7)</f>
        <v/>
      </c>
      <c r="B417" s="70"/>
      <c r="C417" s="71"/>
      <c r="D417" s="72"/>
      <c r="E417" s="71"/>
      <c r="F417" s="73"/>
      <c r="G417" s="73"/>
      <c r="H417" s="42" t="str">
        <f aca="false">IF(M417="","",IF(U417&gt;0,"✔ Matched",IF(M417="OUT","Not yet presented","Not yet credited")))</f>
        <v/>
      </c>
      <c r="I417" s="43" t="str">
        <f aca="false">IF(N(U417)&gt;0,U417,"")</f>
        <v/>
      </c>
      <c r="J417" s="44" t="str">
        <f aca="false">IF(N(U417)&gt;0,T417,"")</f>
        <v/>
      </c>
      <c r="K417" s="45" t="str">
        <f aca="false">IF(AND(M417="",B417="",D417=""),"",IF(AND(N(F417)&gt;0,N(G417)&gt;0),"⚠ Fill deposit OR payment",IF(M417="","⚠ Enter amount",IF(B417="","⚠ Enter date",IF(AND(Setup!$C$8&lt;&gt;"",B417&gt;Setup!$C$8),"⚠ Date after period",IF(AND(O417&lt;&gt;"",COUNTIF($O$8:$O$507,O417)&gt;1),"⚠ Cheque no. used twice","✔"))))))</f>
        <v/>
      </c>
      <c r="M417" s="9" t="str">
        <f aca="false">IF(N(F417)&gt;0,"IN",IF(N(G417)&gt;0,"OUT",""))</f>
        <v/>
      </c>
      <c r="N417" s="9" t="str">
        <f aca="false">IF(M417="","",M417&amp;"|"&amp;TEXT(ROUND(N(F417)+N(G417),2),"0.00"))</f>
        <v/>
      </c>
      <c r="O417" s="9" t="str">
        <f aca="false">IF(OR(N417="",TRIM(E417&amp;"")=""),"",N417&amp;"|"&amp;UPPER(TRIM(E417&amp;"")))</f>
        <v/>
      </c>
      <c r="P417" s="9" t="n">
        <f aca="false">IF(O417="",0,IFERROR(MATCH(O417,'Bank Statement'!$O$8:$O$507,0),0))</f>
        <v>0</v>
      </c>
      <c r="Q417" s="9" t="str">
        <f aca="false">IF(OR(N417="",P417&gt;0),"",N417&amp;"#"&amp;COUNTIFS($N$8:N417,N417,$P$8:P417,0))</f>
        <v/>
      </c>
      <c r="R417" s="9" t="n">
        <f aca="false">IF(Q417="",0,IFERROR(MATCH(Q417,'Bank Statement'!$Q$8:$Q$507,0),0))</f>
        <v>0</v>
      </c>
      <c r="S417" s="9" t="n">
        <f aca="false">IF(P417&gt;0,P417,R417)</f>
        <v>0</v>
      </c>
      <c r="T417" s="9" t="str">
        <f aca="false">IF(OR(S417=0,B417=""),"",INDEX('Bank Statement'!$B$8:$B$507,S417)-B417)</f>
        <v/>
      </c>
      <c r="U417" s="9" t="n">
        <f aca="false">IF(S417=0,0,IF(P417&gt;0,S417,IF(AND(ISNUMBER(T417),ABS(N(T417))&lt;=Setup!$C$11),S417,0)))</f>
        <v>0</v>
      </c>
      <c r="V417" s="9" t="str">
        <f aca="false">IF(AND(N417&lt;&gt;"",U417=0),IF(M417="OUT",1,2)*100000+ROW(),"")</f>
        <v/>
      </c>
      <c r="W417" s="9" t="n">
        <f aca="false">N(F417)+N(G417)</f>
        <v>0</v>
      </c>
    </row>
    <row r="418" customFormat="false" ht="15" hidden="false" customHeight="false" outlineLevel="0" collapsed="false">
      <c r="A418" s="37" t="str">
        <f aca="false">IF(M418="","",ROW()-7)</f>
        <v/>
      </c>
      <c r="B418" s="70"/>
      <c r="C418" s="71"/>
      <c r="D418" s="72"/>
      <c r="E418" s="71"/>
      <c r="F418" s="73"/>
      <c r="G418" s="73"/>
      <c r="H418" s="42" t="str">
        <f aca="false">IF(M418="","",IF(U418&gt;0,"✔ Matched",IF(M418="OUT","Not yet presented","Not yet credited")))</f>
        <v/>
      </c>
      <c r="I418" s="43" t="str">
        <f aca="false">IF(N(U418)&gt;0,U418,"")</f>
        <v/>
      </c>
      <c r="J418" s="44" t="str">
        <f aca="false">IF(N(U418)&gt;0,T418,"")</f>
        <v/>
      </c>
      <c r="K418" s="45" t="str">
        <f aca="false">IF(AND(M418="",B418="",D418=""),"",IF(AND(N(F418)&gt;0,N(G418)&gt;0),"⚠ Fill deposit OR payment",IF(M418="","⚠ Enter amount",IF(B418="","⚠ Enter date",IF(AND(Setup!$C$8&lt;&gt;"",B418&gt;Setup!$C$8),"⚠ Date after period",IF(AND(O418&lt;&gt;"",COUNTIF($O$8:$O$507,O418)&gt;1),"⚠ Cheque no. used twice","✔"))))))</f>
        <v/>
      </c>
      <c r="M418" s="9" t="str">
        <f aca="false">IF(N(F418)&gt;0,"IN",IF(N(G418)&gt;0,"OUT",""))</f>
        <v/>
      </c>
      <c r="N418" s="9" t="str">
        <f aca="false">IF(M418="","",M418&amp;"|"&amp;TEXT(ROUND(N(F418)+N(G418),2),"0.00"))</f>
        <v/>
      </c>
      <c r="O418" s="9" t="str">
        <f aca="false">IF(OR(N418="",TRIM(E418&amp;"")=""),"",N418&amp;"|"&amp;UPPER(TRIM(E418&amp;"")))</f>
        <v/>
      </c>
      <c r="P418" s="9" t="n">
        <f aca="false">IF(O418="",0,IFERROR(MATCH(O418,'Bank Statement'!$O$8:$O$507,0),0))</f>
        <v>0</v>
      </c>
      <c r="Q418" s="9" t="str">
        <f aca="false">IF(OR(N418="",P418&gt;0),"",N418&amp;"#"&amp;COUNTIFS($N$8:N418,N418,$P$8:P418,0))</f>
        <v/>
      </c>
      <c r="R418" s="9" t="n">
        <f aca="false">IF(Q418="",0,IFERROR(MATCH(Q418,'Bank Statement'!$Q$8:$Q$507,0),0))</f>
        <v>0</v>
      </c>
      <c r="S418" s="9" t="n">
        <f aca="false">IF(P418&gt;0,P418,R418)</f>
        <v>0</v>
      </c>
      <c r="T418" s="9" t="str">
        <f aca="false">IF(OR(S418=0,B418=""),"",INDEX('Bank Statement'!$B$8:$B$507,S418)-B418)</f>
        <v/>
      </c>
      <c r="U418" s="9" t="n">
        <f aca="false">IF(S418=0,0,IF(P418&gt;0,S418,IF(AND(ISNUMBER(T418),ABS(N(T418))&lt;=Setup!$C$11),S418,0)))</f>
        <v>0</v>
      </c>
      <c r="V418" s="9" t="str">
        <f aca="false">IF(AND(N418&lt;&gt;"",U418=0),IF(M418="OUT",1,2)*100000+ROW(),"")</f>
        <v/>
      </c>
      <c r="W418" s="9" t="n">
        <f aca="false">N(F418)+N(G418)</f>
        <v>0</v>
      </c>
    </row>
    <row r="419" customFormat="false" ht="15" hidden="false" customHeight="false" outlineLevel="0" collapsed="false">
      <c r="A419" s="37" t="str">
        <f aca="false">IF(M419="","",ROW()-7)</f>
        <v/>
      </c>
      <c r="B419" s="70"/>
      <c r="C419" s="71"/>
      <c r="D419" s="72"/>
      <c r="E419" s="71"/>
      <c r="F419" s="73"/>
      <c r="G419" s="73"/>
      <c r="H419" s="42" t="str">
        <f aca="false">IF(M419="","",IF(U419&gt;0,"✔ Matched",IF(M419="OUT","Not yet presented","Not yet credited")))</f>
        <v/>
      </c>
      <c r="I419" s="43" t="str">
        <f aca="false">IF(N(U419)&gt;0,U419,"")</f>
        <v/>
      </c>
      <c r="J419" s="44" t="str">
        <f aca="false">IF(N(U419)&gt;0,T419,"")</f>
        <v/>
      </c>
      <c r="K419" s="45" t="str">
        <f aca="false">IF(AND(M419="",B419="",D419=""),"",IF(AND(N(F419)&gt;0,N(G419)&gt;0),"⚠ Fill deposit OR payment",IF(M419="","⚠ Enter amount",IF(B419="","⚠ Enter date",IF(AND(Setup!$C$8&lt;&gt;"",B419&gt;Setup!$C$8),"⚠ Date after period",IF(AND(O419&lt;&gt;"",COUNTIF($O$8:$O$507,O419)&gt;1),"⚠ Cheque no. used twice","✔"))))))</f>
        <v/>
      </c>
      <c r="M419" s="9" t="str">
        <f aca="false">IF(N(F419)&gt;0,"IN",IF(N(G419)&gt;0,"OUT",""))</f>
        <v/>
      </c>
      <c r="N419" s="9" t="str">
        <f aca="false">IF(M419="","",M419&amp;"|"&amp;TEXT(ROUND(N(F419)+N(G419),2),"0.00"))</f>
        <v/>
      </c>
      <c r="O419" s="9" t="str">
        <f aca="false">IF(OR(N419="",TRIM(E419&amp;"")=""),"",N419&amp;"|"&amp;UPPER(TRIM(E419&amp;"")))</f>
        <v/>
      </c>
      <c r="P419" s="9" t="n">
        <f aca="false">IF(O419="",0,IFERROR(MATCH(O419,'Bank Statement'!$O$8:$O$507,0),0))</f>
        <v>0</v>
      </c>
      <c r="Q419" s="9" t="str">
        <f aca="false">IF(OR(N419="",P419&gt;0),"",N419&amp;"#"&amp;COUNTIFS($N$8:N419,N419,$P$8:P419,0))</f>
        <v/>
      </c>
      <c r="R419" s="9" t="n">
        <f aca="false">IF(Q419="",0,IFERROR(MATCH(Q419,'Bank Statement'!$Q$8:$Q$507,0),0))</f>
        <v>0</v>
      </c>
      <c r="S419" s="9" t="n">
        <f aca="false">IF(P419&gt;0,P419,R419)</f>
        <v>0</v>
      </c>
      <c r="T419" s="9" t="str">
        <f aca="false">IF(OR(S419=0,B419=""),"",INDEX('Bank Statement'!$B$8:$B$507,S419)-B419)</f>
        <v/>
      </c>
      <c r="U419" s="9" t="n">
        <f aca="false">IF(S419=0,0,IF(P419&gt;0,S419,IF(AND(ISNUMBER(T419),ABS(N(T419))&lt;=Setup!$C$11),S419,0)))</f>
        <v>0</v>
      </c>
      <c r="V419" s="9" t="str">
        <f aca="false">IF(AND(N419&lt;&gt;"",U419=0),IF(M419="OUT",1,2)*100000+ROW(),"")</f>
        <v/>
      </c>
      <c r="W419" s="9" t="n">
        <f aca="false">N(F419)+N(G419)</f>
        <v>0</v>
      </c>
    </row>
    <row r="420" customFormat="false" ht="15" hidden="false" customHeight="false" outlineLevel="0" collapsed="false">
      <c r="A420" s="37" t="str">
        <f aca="false">IF(M420="","",ROW()-7)</f>
        <v/>
      </c>
      <c r="B420" s="70"/>
      <c r="C420" s="71"/>
      <c r="D420" s="72"/>
      <c r="E420" s="71"/>
      <c r="F420" s="73"/>
      <c r="G420" s="73"/>
      <c r="H420" s="42" t="str">
        <f aca="false">IF(M420="","",IF(U420&gt;0,"✔ Matched",IF(M420="OUT","Not yet presented","Not yet credited")))</f>
        <v/>
      </c>
      <c r="I420" s="43" t="str">
        <f aca="false">IF(N(U420)&gt;0,U420,"")</f>
        <v/>
      </c>
      <c r="J420" s="44" t="str">
        <f aca="false">IF(N(U420)&gt;0,T420,"")</f>
        <v/>
      </c>
      <c r="K420" s="45" t="str">
        <f aca="false">IF(AND(M420="",B420="",D420=""),"",IF(AND(N(F420)&gt;0,N(G420)&gt;0),"⚠ Fill deposit OR payment",IF(M420="","⚠ Enter amount",IF(B420="","⚠ Enter date",IF(AND(Setup!$C$8&lt;&gt;"",B420&gt;Setup!$C$8),"⚠ Date after period",IF(AND(O420&lt;&gt;"",COUNTIF($O$8:$O$507,O420)&gt;1),"⚠ Cheque no. used twice","✔"))))))</f>
        <v/>
      </c>
      <c r="M420" s="9" t="str">
        <f aca="false">IF(N(F420)&gt;0,"IN",IF(N(G420)&gt;0,"OUT",""))</f>
        <v/>
      </c>
      <c r="N420" s="9" t="str">
        <f aca="false">IF(M420="","",M420&amp;"|"&amp;TEXT(ROUND(N(F420)+N(G420),2),"0.00"))</f>
        <v/>
      </c>
      <c r="O420" s="9" t="str">
        <f aca="false">IF(OR(N420="",TRIM(E420&amp;"")=""),"",N420&amp;"|"&amp;UPPER(TRIM(E420&amp;"")))</f>
        <v/>
      </c>
      <c r="P420" s="9" t="n">
        <f aca="false">IF(O420="",0,IFERROR(MATCH(O420,'Bank Statement'!$O$8:$O$507,0),0))</f>
        <v>0</v>
      </c>
      <c r="Q420" s="9" t="str">
        <f aca="false">IF(OR(N420="",P420&gt;0),"",N420&amp;"#"&amp;COUNTIFS($N$8:N420,N420,$P$8:P420,0))</f>
        <v/>
      </c>
      <c r="R420" s="9" t="n">
        <f aca="false">IF(Q420="",0,IFERROR(MATCH(Q420,'Bank Statement'!$Q$8:$Q$507,0),0))</f>
        <v>0</v>
      </c>
      <c r="S420" s="9" t="n">
        <f aca="false">IF(P420&gt;0,P420,R420)</f>
        <v>0</v>
      </c>
      <c r="T420" s="9" t="str">
        <f aca="false">IF(OR(S420=0,B420=""),"",INDEX('Bank Statement'!$B$8:$B$507,S420)-B420)</f>
        <v/>
      </c>
      <c r="U420" s="9" t="n">
        <f aca="false">IF(S420=0,0,IF(P420&gt;0,S420,IF(AND(ISNUMBER(T420),ABS(N(T420))&lt;=Setup!$C$11),S420,0)))</f>
        <v>0</v>
      </c>
      <c r="V420" s="9" t="str">
        <f aca="false">IF(AND(N420&lt;&gt;"",U420=0),IF(M420="OUT",1,2)*100000+ROW(),"")</f>
        <v/>
      </c>
      <c r="W420" s="9" t="n">
        <f aca="false">N(F420)+N(G420)</f>
        <v>0</v>
      </c>
    </row>
    <row r="421" customFormat="false" ht="15" hidden="false" customHeight="false" outlineLevel="0" collapsed="false">
      <c r="A421" s="37" t="str">
        <f aca="false">IF(M421="","",ROW()-7)</f>
        <v/>
      </c>
      <c r="B421" s="70"/>
      <c r="C421" s="71"/>
      <c r="D421" s="72"/>
      <c r="E421" s="71"/>
      <c r="F421" s="73"/>
      <c r="G421" s="73"/>
      <c r="H421" s="42" t="str">
        <f aca="false">IF(M421="","",IF(U421&gt;0,"✔ Matched",IF(M421="OUT","Not yet presented","Not yet credited")))</f>
        <v/>
      </c>
      <c r="I421" s="43" t="str">
        <f aca="false">IF(N(U421)&gt;0,U421,"")</f>
        <v/>
      </c>
      <c r="J421" s="44" t="str">
        <f aca="false">IF(N(U421)&gt;0,T421,"")</f>
        <v/>
      </c>
      <c r="K421" s="45" t="str">
        <f aca="false">IF(AND(M421="",B421="",D421=""),"",IF(AND(N(F421)&gt;0,N(G421)&gt;0),"⚠ Fill deposit OR payment",IF(M421="","⚠ Enter amount",IF(B421="","⚠ Enter date",IF(AND(Setup!$C$8&lt;&gt;"",B421&gt;Setup!$C$8),"⚠ Date after period",IF(AND(O421&lt;&gt;"",COUNTIF($O$8:$O$507,O421)&gt;1),"⚠ Cheque no. used twice","✔"))))))</f>
        <v/>
      </c>
      <c r="M421" s="9" t="str">
        <f aca="false">IF(N(F421)&gt;0,"IN",IF(N(G421)&gt;0,"OUT",""))</f>
        <v/>
      </c>
      <c r="N421" s="9" t="str">
        <f aca="false">IF(M421="","",M421&amp;"|"&amp;TEXT(ROUND(N(F421)+N(G421),2),"0.00"))</f>
        <v/>
      </c>
      <c r="O421" s="9" t="str">
        <f aca="false">IF(OR(N421="",TRIM(E421&amp;"")=""),"",N421&amp;"|"&amp;UPPER(TRIM(E421&amp;"")))</f>
        <v/>
      </c>
      <c r="P421" s="9" t="n">
        <f aca="false">IF(O421="",0,IFERROR(MATCH(O421,'Bank Statement'!$O$8:$O$507,0),0))</f>
        <v>0</v>
      </c>
      <c r="Q421" s="9" t="str">
        <f aca="false">IF(OR(N421="",P421&gt;0),"",N421&amp;"#"&amp;COUNTIFS($N$8:N421,N421,$P$8:P421,0))</f>
        <v/>
      </c>
      <c r="R421" s="9" t="n">
        <f aca="false">IF(Q421="",0,IFERROR(MATCH(Q421,'Bank Statement'!$Q$8:$Q$507,0),0))</f>
        <v>0</v>
      </c>
      <c r="S421" s="9" t="n">
        <f aca="false">IF(P421&gt;0,P421,R421)</f>
        <v>0</v>
      </c>
      <c r="T421" s="9" t="str">
        <f aca="false">IF(OR(S421=0,B421=""),"",INDEX('Bank Statement'!$B$8:$B$507,S421)-B421)</f>
        <v/>
      </c>
      <c r="U421" s="9" t="n">
        <f aca="false">IF(S421=0,0,IF(P421&gt;0,S421,IF(AND(ISNUMBER(T421),ABS(N(T421))&lt;=Setup!$C$11),S421,0)))</f>
        <v>0</v>
      </c>
      <c r="V421" s="9" t="str">
        <f aca="false">IF(AND(N421&lt;&gt;"",U421=0),IF(M421="OUT",1,2)*100000+ROW(),"")</f>
        <v/>
      </c>
      <c r="W421" s="9" t="n">
        <f aca="false">N(F421)+N(G421)</f>
        <v>0</v>
      </c>
    </row>
    <row r="422" customFormat="false" ht="15" hidden="false" customHeight="false" outlineLevel="0" collapsed="false">
      <c r="A422" s="37" t="str">
        <f aca="false">IF(M422="","",ROW()-7)</f>
        <v/>
      </c>
      <c r="B422" s="70"/>
      <c r="C422" s="71"/>
      <c r="D422" s="72"/>
      <c r="E422" s="71"/>
      <c r="F422" s="73"/>
      <c r="G422" s="73"/>
      <c r="H422" s="42" t="str">
        <f aca="false">IF(M422="","",IF(U422&gt;0,"✔ Matched",IF(M422="OUT","Not yet presented","Not yet credited")))</f>
        <v/>
      </c>
      <c r="I422" s="43" t="str">
        <f aca="false">IF(N(U422)&gt;0,U422,"")</f>
        <v/>
      </c>
      <c r="J422" s="44" t="str">
        <f aca="false">IF(N(U422)&gt;0,T422,"")</f>
        <v/>
      </c>
      <c r="K422" s="45" t="str">
        <f aca="false">IF(AND(M422="",B422="",D422=""),"",IF(AND(N(F422)&gt;0,N(G422)&gt;0),"⚠ Fill deposit OR payment",IF(M422="","⚠ Enter amount",IF(B422="","⚠ Enter date",IF(AND(Setup!$C$8&lt;&gt;"",B422&gt;Setup!$C$8),"⚠ Date after period",IF(AND(O422&lt;&gt;"",COUNTIF($O$8:$O$507,O422)&gt;1),"⚠ Cheque no. used twice","✔"))))))</f>
        <v/>
      </c>
      <c r="M422" s="9" t="str">
        <f aca="false">IF(N(F422)&gt;0,"IN",IF(N(G422)&gt;0,"OUT",""))</f>
        <v/>
      </c>
      <c r="N422" s="9" t="str">
        <f aca="false">IF(M422="","",M422&amp;"|"&amp;TEXT(ROUND(N(F422)+N(G422),2),"0.00"))</f>
        <v/>
      </c>
      <c r="O422" s="9" t="str">
        <f aca="false">IF(OR(N422="",TRIM(E422&amp;"")=""),"",N422&amp;"|"&amp;UPPER(TRIM(E422&amp;"")))</f>
        <v/>
      </c>
      <c r="P422" s="9" t="n">
        <f aca="false">IF(O422="",0,IFERROR(MATCH(O422,'Bank Statement'!$O$8:$O$507,0),0))</f>
        <v>0</v>
      </c>
      <c r="Q422" s="9" t="str">
        <f aca="false">IF(OR(N422="",P422&gt;0),"",N422&amp;"#"&amp;COUNTIFS($N$8:N422,N422,$P$8:P422,0))</f>
        <v/>
      </c>
      <c r="R422" s="9" t="n">
        <f aca="false">IF(Q422="",0,IFERROR(MATCH(Q422,'Bank Statement'!$Q$8:$Q$507,0),0))</f>
        <v>0</v>
      </c>
      <c r="S422" s="9" t="n">
        <f aca="false">IF(P422&gt;0,P422,R422)</f>
        <v>0</v>
      </c>
      <c r="T422" s="9" t="str">
        <f aca="false">IF(OR(S422=0,B422=""),"",INDEX('Bank Statement'!$B$8:$B$507,S422)-B422)</f>
        <v/>
      </c>
      <c r="U422" s="9" t="n">
        <f aca="false">IF(S422=0,0,IF(P422&gt;0,S422,IF(AND(ISNUMBER(T422),ABS(N(T422))&lt;=Setup!$C$11),S422,0)))</f>
        <v>0</v>
      </c>
      <c r="V422" s="9" t="str">
        <f aca="false">IF(AND(N422&lt;&gt;"",U422=0),IF(M422="OUT",1,2)*100000+ROW(),"")</f>
        <v/>
      </c>
      <c r="W422" s="9" t="n">
        <f aca="false">N(F422)+N(G422)</f>
        <v>0</v>
      </c>
    </row>
    <row r="423" customFormat="false" ht="15" hidden="false" customHeight="false" outlineLevel="0" collapsed="false">
      <c r="A423" s="37" t="str">
        <f aca="false">IF(M423="","",ROW()-7)</f>
        <v/>
      </c>
      <c r="B423" s="70"/>
      <c r="C423" s="71"/>
      <c r="D423" s="72"/>
      <c r="E423" s="71"/>
      <c r="F423" s="73"/>
      <c r="G423" s="73"/>
      <c r="H423" s="42" t="str">
        <f aca="false">IF(M423="","",IF(U423&gt;0,"✔ Matched",IF(M423="OUT","Not yet presented","Not yet credited")))</f>
        <v/>
      </c>
      <c r="I423" s="43" t="str">
        <f aca="false">IF(N(U423)&gt;0,U423,"")</f>
        <v/>
      </c>
      <c r="J423" s="44" t="str">
        <f aca="false">IF(N(U423)&gt;0,T423,"")</f>
        <v/>
      </c>
      <c r="K423" s="45" t="str">
        <f aca="false">IF(AND(M423="",B423="",D423=""),"",IF(AND(N(F423)&gt;0,N(G423)&gt;0),"⚠ Fill deposit OR payment",IF(M423="","⚠ Enter amount",IF(B423="","⚠ Enter date",IF(AND(Setup!$C$8&lt;&gt;"",B423&gt;Setup!$C$8),"⚠ Date after period",IF(AND(O423&lt;&gt;"",COUNTIF($O$8:$O$507,O423)&gt;1),"⚠ Cheque no. used twice","✔"))))))</f>
        <v/>
      </c>
      <c r="M423" s="9" t="str">
        <f aca="false">IF(N(F423)&gt;0,"IN",IF(N(G423)&gt;0,"OUT",""))</f>
        <v/>
      </c>
      <c r="N423" s="9" t="str">
        <f aca="false">IF(M423="","",M423&amp;"|"&amp;TEXT(ROUND(N(F423)+N(G423),2),"0.00"))</f>
        <v/>
      </c>
      <c r="O423" s="9" t="str">
        <f aca="false">IF(OR(N423="",TRIM(E423&amp;"")=""),"",N423&amp;"|"&amp;UPPER(TRIM(E423&amp;"")))</f>
        <v/>
      </c>
      <c r="P423" s="9" t="n">
        <f aca="false">IF(O423="",0,IFERROR(MATCH(O423,'Bank Statement'!$O$8:$O$507,0),0))</f>
        <v>0</v>
      </c>
      <c r="Q423" s="9" t="str">
        <f aca="false">IF(OR(N423="",P423&gt;0),"",N423&amp;"#"&amp;COUNTIFS($N$8:N423,N423,$P$8:P423,0))</f>
        <v/>
      </c>
      <c r="R423" s="9" t="n">
        <f aca="false">IF(Q423="",0,IFERROR(MATCH(Q423,'Bank Statement'!$Q$8:$Q$507,0),0))</f>
        <v>0</v>
      </c>
      <c r="S423" s="9" t="n">
        <f aca="false">IF(P423&gt;0,P423,R423)</f>
        <v>0</v>
      </c>
      <c r="T423" s="9" t="str">
        <f aca="false">IF(OR(S423=0,B423=""),"",INDEX('Bank Statement'!$B$8:$B$507,S423)-B423)</f>
        <v/>
      </c>
      <c r="U423" s="9" t="n">
        <f aca="false">IF(S423=0,0,IF(P423&gt;0,S423,IF(AND(ISNUMBER(T423),ABS(N(T423))&lt;=Setup!$C$11),S423,0)))</f>
        <v>0</v>
      </c>
      <c r="V423" s="9" t="str">
        <f aca="false">IF(AND(N423&lt;&gt;"",U423=0),IF(M423="OUT",1,2)*100000+ROW(),"")</f>
        <v/>
      </c>
      <c r="W423" s="9" t="n">
        <f aca="false">N(F423)+N(G423)</f>
        <v>0</v>
      </c>
    </row>
    <row r="424" customFormat="false" ht="15" hidden="false" customHeight="false" outlineLevel="0" collapsed="false">
      <c r="A424" s="37" t="str">
        <f aca="false">IF(M424="","",ROW()-7)</f>
        <v/>
      </c>
      <c r="B424" s="70"/>
      <c r="C424" s="71"/>
      <c r="D424" s="72"/>
      <c r="E424" s="71"/>
      <c r="F424" s="73"/>
      <c r="G424" s="73"/>
      <c r="H424" s="42" t="str">
        <f aca="false">IF(M424="","",IF(U424&gt;0,"✔ Matched",IF(M424="OUT","Not yet presented","Not yet credited")))</f>
        <v/>
      </c>
      <c r="I424" s="43" t="str">
        <f aca="false">IF(N(U424)&gt;0,U424,"")</f>
        <v/>
      </c>
      <c r="J424" s="44" t="str">
        <f aca="false">IF(N(U424)&gt;0,T424,"")</f>
        <v/>
      </c>
      <c r="K424" s="45" t="str">
        <f aca="false">IF(AND(M424="",B424="",D424=""),"",IF(AND(N(F424)&gt;0,N(G424)&gt;0),"⚠ Fill deposit OR payment",IF(M424="","⚠ Enter amount",IF(B424="","⚠ Enter date",IF(AND(Setup!$C$8&lt;&gt;"",B424&gt;Setup!$C$8),"⚠ Date after period",IF(AND(O424&lt;&gt;"",COUNTIF($O$8:$O$507,O424)&gt;1),"⚠ Cheque no. used twice","✔"))))))</f>
        <v/>
      </c>
      <c r="M424" s="9" t="str">
        <f aca="false">IF(N(F424)&gt;0,"IN",IF(N(G424)&gt;0,"OUT",""))</f>
        <v/>
      </c>
      <c r="N424" s="9" t="str">
        <f aca="false">IF(M424="","",M424&amp;"|"&amp;TEXT(ROUND(N(F424)+N(G424),2),"0.00"))</f>
        <v/>
      </c>
      <c r="O424" s="9" t="str">
        <f aca="false">IF(OR(N424="",TRIM(E424&amp;"")=""),"",N424&amp;"|"&amp;UPPER(TRIM(E424&amp;"")))</f>
        <v/>
      </c>
      <c r="P424" s="9" t="n">
        <f aca="false">IF(O424="",0,IFERROR(MATCH(O424,'Bank Statement'!$O$8:$O$507,0),0))</f>
        <v>0</v>
      </c>
      <c r="Q424" s="9" t="str">
        <f aca="false">IF(OR(N424="",P424&gt;0),"",N424&amp;"#"&amp;COUNTIFS($N$8:N424,N424,$P$8:P424,0))</f>
        <v/>
      </c>
      <c r="R424" s="9" t="n">
        <f aca="false">IF(Q424="",0,IFERROR(MATCH(Q424,'Bank Statement'!$Q$8:$Q$507,0),0))</f>
        <v>0</v>
      </c>
      <c r="S424" s="9" t="n">
        <f aca="false">IF(P424&gt;0,P424,R424)</f>
        <v>0</v>
      </c>
      <c r="T424" s="9" t="str">
        <f aca="false">IF(OR(S424=0,B424=""),"",INDEX('Bank Statement'!$B$8:$B$507,S424)-B424)</f>
        <v/>
      </c>
      <c r="U424" s="9" t="n">
        <f aca="false">IF(S424=0,0,IF(P424&gt;0,S424,IF(AND(ISNUMBER(T424),ABS(N(T424))&lt;=Setup!$C$11),S424,0)))</f>
        <v>0</v>
      </c>
      <c r="V424" s="9" t="str">
        <f aca="false">IF(AND(N424&lt;&gt;"",U424=0),IF(M424="OUT",1,2)*100000+ROW(),"")</f>
        <v/>
      </c>
      <c r="W424" s="9" t="n">
        <f aca="false">N(F424)+N(G424)</f>
        <v>0</v>
      </c>
    </row>
    <row r="425" customFormat="false" ht="15" hidden="false" customHeight="false" outlineLevel="0" collapsed="false">
      <c r="A425" s="37" t="str">
        <f aca="false">IF(M425="","",ROW()-7)</f>
        <v/>
      </c>
      <c r="B425" s="70"/>
      <c r="C425" s="71"/>
      <c r="D425" s="72"/>
      <c r="E425" s="71"/>
      <c r="F425" s="73"/>
      <c r="G425" s="73"/>
      <c r="H425" s="42" t="str">
        <f aca="false">IF(M425="","",IF(U425&gt;0,"✔ Matched",IF(M425="OUT","Not yet presented","Not yet credited")))</f>
        <v/>
      </c>
      <c r="I425" s="43" t="str">
        <f aca="false">IF(N(U425)&gt;0,U425,"")</f>
        <v/>
      </c>
      <c r="J425" s="44" t="str">
        <f aca="false">IF(N(U425)&gt;0,T425,"")</f>
        <v/>
      </c>
      <c r="K425" s="45" t="str">
        <f aca="false">IF(AND(M425="",B425="",D425=""),"",IF(AND(N(F425)&gt;0,N(G425)&gt;0),"⚠ Fill deposit OR payment",IF(M425="","⚠ Enter amount",IF(B425="","⚠ Enter date",IF(AND(Setup!$C$8&lt;&gt;"",B425&gt;Setup!$C$8),"⚠ Date after period",IF(AND(O425&lt;&gt;"",COUNTIF($O$8:$O$507,O425)&gt;1),"⚠ Cheque no. used twice","✔"))))))</f>
        <v/>
      </c>
      <c r="M425" s="9" t="str">
        <f aca="false">IF(N(F425)&gt;0,"IN",IF(N(G425)&gt;0,"OUT",""))</f>
        <v/>
      </c>
      <c r="N425" s="9" t="str">
        <f aca="false">IF(M425="","",M425&amp;"|"&amp;TEXT(ROUND(N(F425)+N(G425),2),"0.00"))</f>
        <v/>
      </c>
      <c r="O425" s="9" t="str">
        <f aca="false">IF(OR(N425="",TRIM(E425&amp;"")=""),"",N425&amp;"|"&amp;UPPER(TRIM(E425&amp;"")))</f>
        <v/>
      </c>
      <c r="P425" s="9" t="n">
        <f aca="false">IF(O425="",0,IFERROR(MATCH(O425,'Bank Statement'!$O$8:$O$507,0),0))</f>
        <v>0</v>
      </c>
      <c r="Q425" s="9" t="str">
        <f aca="false">IF(OR(N425="",P425&gt;0),"",N425&amp;"#"&amp;COUNTIFS($N$8:N425,N425,$P$8:P425,0))</f>
        <v/>
      </c>
      <c r="R425" s="9" t="n">
        <f aca="false">IF(Q425="",0,IFERROR(MATCH(Q425,'Bank Statement'!$Q$8:$Q$507,0),0))</f>
        <v>0</v>
      </c>
      <c r="S425" s="9" t="n">
        <f aca="false">IF(P425&gt;0,P425,R425)</f>
        <v>0</v>
      </c>
      <c r="T425" s="9" t="str">
        <f aca="false">IF(OR(S425=0,B425=""),"",INDEX('Bank Statement'!$B$8:$B$507,S425)-B425)</f>
        <v/>
      </c>
      <c r="U425" s="9" t="n">
        <f aca="false">IF(S425=0,0,IF(P425&gt;0,S425,IF(AND(ISNUMBER(T425),ABS(N(T425))&lt;=Setup!$C$11),S425,0)))</f>
        <v>0</v>
      </c>
      <c r="V425" s="9" t="str">
        <f aca="false">IF(AND(N425&lt;&gt;"",U425=0),IF(M425="OUT",1,2)*100000+ROW(),"")</f>
        <v/>
      </c>
      <c r="W425" s="9" t="n">
        <f aca="false">N(F425)+N(G425)</f>
        <v>0</v>
      </c>
    </row>
    <row r="426" customFormat="false" ht="15" hidden="false" customHeight="false" outlineLevel="0" collapsed="false">
      <c r="A426" s="37" t="str">
        <f aca="false">IF(M426="","",ROW()-7)</f>
        <v/>
      </c>
      <c r="B426" s="70"/>
      <c r="C426" s="71"/>
      <c r="D426" s="72"/>
      <c r="E426" s="71"/>
      <c r="F426" s="73"/>
      <c r="G426" s="73"/>
      <c r="H426" s="42" t="str">
        <f aca="false">IF(M426="","",IF(U426&gt;0,"✔ Matched",IF(M426="OUT","Not yet presented","Not yet credited")))</f>
        <v/>
      </c>
      <c r="I426" s="43" t="str">
        <f aca="false">IF(N(U426)&gt;0,U426,"")</f>
        <v/>
      </c>
      <c r="J426" s="44" t="str">
        <f aca="false">IF(N(U426)&gt;0,T426,"")</f>
        <v/>
      </c>
      <c r="K426" s="45" t="str">
        <f aca="false">IF(AND(M426="",B426="",D426=""),"",IF(AND(N(F426)&gt;0,N(G426)&gt;0),"⚠ Fill deposit OR payment",IF(M426="","⚠ Enter amount",IF(B426="","⚠ Enter date",IF(AND(Setup!$C$8&lt;&gt;"",B426&gt;Setup!$C$8),"⚠ Date after period",IF(AND(O426&lt;&gt;"",COUNTIF($O$8:$O$507,O426)&gt;1),"⚠ Cheque no. used twice","✔"))))))</f>
        <v/>
      </c>
      <c r="M426" s="9" t="str">
        <f aca="false">IF(N(F426)&gt;0,"IN",IF(N(G426)&gt;0,"OUT",""))</f>
        <v/>
      </c>
      <c r="N426" s="9" t="str">
        <f aca="false">IF(M426="","",M426&amp;"|"&amp;TEXT(ROUND(N(F426)+N(G426),2),"0.00"))</f>
        <v/>
      </c>
      <c r="O426" s="9" t="str">
        <f aca="false">IF(OR(N426="",TRIM(E426&amp;"")=""),"",N426&amp;"|"&amp;UPPER(TRIM(E426&amp;"")))</f>
        <v/>
      </c>
      <c r="P426" s="9" t="n">
        <f aca="false">IF(O426="",0,IFERROR(MATCH(O426,'Bank Statement'!$O$8:$O$507,0),0))</f>
        <v>0</v>
      </c>
      <c r="Q426" s="9" t="str">
        <f aca="false">IF(OR(N426="",P426&gt;0),"",N426&amp;"#"&amp;COUNTIFS($N$8:N426,N426,$P$8:P426,0))</f>
        <v/>
      </c>
      <c r="R426" s="9" t="n">
        <f aca="false">IF(Q426="",0,IFERROR(MATCH(Q426,'Bank Statement'!$Q$8:$Q$507,0),0))</f>
        <v>0</v>
      </c>
      <c r="S426" s="9" t="n">
        <f aca="false">IF(P426&gt;0,P426,R426)</f>
        <v>0</v>
      </c>
      <c r="T426" s="9" t="str">
        <f aca="false">IF(OR(S426=0,B426=""),"",INDEX('Bank Statement'!$B$8:$B$507,S426)-B426)</f>
        <v/>
      </c>
      <c r="U426" s="9" t="n">
        <f aca="false">IF(S426=0,0,IF(P426&gt;0,S426,IF(AND(ISNUMBER(T426),ABS(N(T426))&lt;=Setup!$C$11),S426,0)))</f>
        <v>0</v>
      </c>
      <c r="V426" s="9" t="str">
        <f aca="false">IF(AND(N426&lt;&gt;"",U426=0),IF(M426="OUT",1,2)*100000+ROW(),"")</f>
        <v/>
      </c>
      <c r="W426" s="9" t="n">
        <f aca="false">N(F426)+N(G426)</f>
        <v>0</v>
      </c>
    </row>
    <row r="427" customFormat="false" ht="15" hidden="false" customHeight="false" outlineLevel="0" collapsed="false">
      <c r="A427" s="37" t="str">
        <f aca="false">IF(M427="","",ROW()-7)</f>
        <v/>
      </c>
      <c r="B427" s="70"/>
      <c r="C427" s="71"/>
      <c r="D427" s="72"/>
      <c r="E427" s="71"/>
      <c r="F427" s="73"/>
      <c r="G427" s="73"/>
      <c r="H427" s="42" t="str">
        <f aca="false">IF(M427="","",IF(U427&gt;0,"✔ Matched",IF(M427="OUT","Not yet presented","Not yet credited")))</f>
        <v/>
      </c>
      <c r="I427" s="43" t="str">
        <f aca="false">IF(N(U427)&gt;0,U427,"")</f>
        <v/>
      </c>
      <c r="J427" s="44" t="str">
        <f aca="false">IF(N(U427)&gt;0,T427,"")</f>
        <v/>
      </c>
      <c r="K427" s="45" t="str">
        <f aca="false">IF(AND(M427="",B427="",D427=""),"",IF(AND(N(F427)&gt;0,N(G427)&gt;0),"⚠ Fill deposit OR payment",IF(M427="","⚠ Enter amount",IF(B427="","⚠ Enter date",IF(AND(Setup!$C$8&lt;&gt;"",B427&gt;Setup!$C$8),"⚠ Date after period",IF(AND(O427&lt;&gt;"",COUNTIF($O$8:$O$507,O427)&gt;1),"⚠ Cheque no. used twice","✔"))))))</f>
        <v/>
      </c>
      <c r="M427" s="9" t="str">
        <f aca="false">IF(N(F427)&gt;0,"IN",IF(N(G427)&gt;0,"OUT",""))</f>
        <v/>
      </c>
      <c r="N427" s="9" t="str">
        <f aca="false">IF(M427="","",M427&amp;"|"&amp;TEXT(ROUND(N(F427)+N(G427),2),"0.00"))</f>
        <v/>
      </c>
      <c r="O427" s="9" t="str">
        <f aca="false">IF(OR(N427="",TRIM(E427&amp;"")=""),"",N427&amp;"|"&amp;UPPER(TRIM(E427&amp;"")))</f>
        <v/>
      </c>
      <c r="P427" s="9" t="n">
        <f aca="false">IF(O427="",0,IFERROR(MATCH(O427,'Bank Statement'!$O$8:$O$507,0),0))</f>
        <v>0</v>
      </c>
      <c r="Q427" s="9" t="str">
        <f aca="false">IF(OR(N427="",P427&gt;0),"",N427&amp;"#"&amp;COUNTIFS($N$8:N427,N427,$P$8:P427,0))</f>
        <v/>
      </c>
      <c r="R427" s="9" t="n">
        <f aca="false">IF(Q427="",0,IFERROR(MATCH(Q427,'Bank Statement'!$Q$8:$Q$507,0),0))</f>
        <v>0</v>
      </c>
      <c r="S427" s="9" t="n">
        <f aca="false">IF(P427&gt;0,P427,R427)</f>
        <v>0</v>
      </c>
      <c r="T427" s="9" t="str">
        <f aca="false">IF(OR(S427=0,B427=""),"",INDEX('Bank Statement'!$B$8:$B$507,S427)-B427)</f>
        <v/>
      </c>
      <c r="U427" s="9" t="n">
        <f aca="false">IF(S427=0,0,IF(P427&gt;0,S427,IF(AND(ISNUMBER(T427),ABS(N(T427))&lt;=Setup!$C$11),S427,0)))</f>
        <v>0</v>
      </c>
      <c r="V427" s="9" t="str">
        <f aca="false">IF(AND(N427&lt;&gt;"",U427=0),IF(M427="OUT",1,2)*100000+ROW(),"")</f>
        <v/>
      </c>
      <c r="W427" s="9" t="n">
        <f aca="false">N(F427)+N(G427)</f>
        <v>0</v>
      </c>
    </row>
    <row r="428" customFormat="false" ht="15" hidden="false" customHeight="false" outlineLevel="0" collapsed="false">
      <c r="A428" s="37" t="str">
        <f aca="false">IF(M428="","",ROW()-7)</f>
        <v/>
      </c>
      <c r="B428" s="70"/>
      <c r="C428" s="71"/>
      <c r="D428" s="72"/>
      <c r="E428" s="71"/>
      <c r="F428" s="73"/>
      <c r="G428" s="73"/>
      <c r="H428" s="42" t="str">
        <f aca="false">IF(M428="","",IF(U428&gt;0,"✔ Matched",IF(M428="OUT","Not yet presented","Not yet credited")))</f>
        <v/>
      </c>
      <c r="I428" s="43" t="str">
        <f aca="false">IF(N(U428)&gt;0,U428,"")</f>
        <v/>
      </c>
      <c r="J428" s="44" t="str">
        <f aca="false">IF(N(U428)&gt;0,T428,"")</f>
        <v/>
      </c>
      <c r="K428" s="45" t="str">
        <f aca="false">IF(AND(M428="",B428="",D428=""),"",IF(AND(N(F428)&gt;0,N(G428)&gt;0),"⚠ Fill deposit OR payment",IF(M428="","⚠ Enter amount",IF(B428="","⚠ Enter date",IF(AND(Setup!$C$8&lt;&gt;"",B428&gt;Setup!$C$8),"⚠ Date after period",IF(AND(O428&lt;&gt;"",COUNTIF($O$8:$O$507,O428)&gt;1),"⚠ Cheque no. used twice","✔"))))))</f>
        <v/>
      </c>
      <c r="M428" s="9" t="str">
        <f aca="false">IF(N(F428)&gt;0,"IN",IF(N(G428)&gt;0,"OUT",""))</f>
        <v/>
      </c>
      <c r="N428" s="9" t="str">
        <f aca="false">IF(M428="","",M428&amp;"|"&amp;TEXT(ROUND(N(F428)+N(G428),2),"0.00"))</f>
        <v/>
      </c>
      <c r="O428" s="9" t="str">
        <f aca="false">IF(OR(N428="",TRIM(E428&amp;"")=""),"",N428&amp;"|"&amp;UPPER(TRIM(E428&amp;"")))</f>
        <v/>
      </c>
      <c r="P428" s="9" t="n">
        <f aca="false">IF(O428="",0,IFERROR(MATCH(O428,'Bank Statement'!$O$8:$O$507,0),0))</f>
        <v>0</v>
      </c>
      <c r="Q428" s="9" t="str">
        <f aca="false">IF(OR(N428="",P428&gt;0),"",N428&amp;"#"&amp;COUNTIFS($N$8:N428,N428,$P$8:P428,0))</f>
        <v/>
      </c>
      <c r="R428" s="9" t="n">
        <f aca="false">IF(Q428="",0,IFERROR(MATCH(Q428,'Bank Statement'!$Q$8:$Q$507,0),0))</f>
        <v>0</v>
      </c>
      <c r="S428" s="9" t="n">
        <f aca="false">IF(P428&gt;0,P428,R428)</f>
        <v>0</v>
      </c>
      <c r="T428" s="9" t="str">
        <f aca="false">IF(OR(S428=0,B428=""),"",INDEX('Bank Statement'!$B$8:$B$507,S428)-B428)</f>
        <v/>
      </c>
      <c r="U428" s="9" t="n">
        <f aca="false">IF(S428=0,0,IF(P428&gt;0,S428,IF(AND(ISNUMBER(T428),ABS(N(T428))&lt;=Setup!$C$11),S428,0)))</f>
        <v>0</v>
      </c>
      <c r="V428" s="9" t="str">
        <f aca="false">IF(AND(N428&lt;&gt;"",U428=0),IF(M428="OUT",1,2)*100000+ROW(),"")</f>
        <v/>
      </c>
      <c r="W428" s="9" t="n">
        <f aca="false">N(F428)+N(G428)</f>
        <v>0</v>
      </c>
    </row>
    <row r="429" customFormat="false" ht="15" hidden="false" customHeight="false" outlineLevel="0" collapsed="false">
      <c r="A429" s="37" t="str">
        <f aca="false">IF(M429="","",ROW()-7)</f>
        <v/>
      </c>
      <c r="B429" s="70"/>
      <c r="C429" s="71"/>
      <c r="D429" s="72"/>
      <c r="E429" s="71"/>
      <c r="F429" s="73"/>
      <c r="G429" s="73"/>
      <c r="H429" s="42" t="str">
        <f aca="false">IF(M429="","",IF(U429&gt;0,"✔ Matched",IF(M429="OUT","Not yet presented","Not yet credited")))</f>
        <v/>
      </c>
      <c r="I429" s="43" t="str">
        <f aca="false">IF(N(U429)&gt;0,U429,"")</f>
        <v/>
      </c>
      <c r="J429" s="44" t="str">
        <f aca="false">IF(N(U429)&gt;0,T429,"")</f>
        <v/>
      </c>
      <c r="K429" s="45" t="str">
        <f aca="false">IF(AND(M429="",B429="",D429=""),"",IF(AND(N(F429)&gt;0,N(G429)&gt;0),"⚠ Fill deposit OR payment",IF(M429="","⚠ Enter amount",IF(B429="","⚠ Enter date",IF(AND(Setup!$C$8&lt;&gt;"",B429&gt;Setup!$C$8),"⚠ Date after period",IF(AND(O429&lt;&gt;"",COUNTIF($O$8:$O$507,O429)&gt;1),"⚠ Cheque no. used twice","✔"))))))</f>
        <v/>
      </c>
      <c r="M429" s="9" t="str">
        <f aca="false">IF(N(F429)&gt;0,"IN",IF(N(G429)&gt;0,"OUT",""))</f>
        <v/>
      </c>
      <c r="N429" s="9" t="str">
        <f aca="false">IF(M429="","",M429&amp;"|"&amp;TEXT(ROUND(N(F429)+N(G429),2),"0.00"))</f>
        <v/>
      </c>
      <c r="O429" s="9" t="str">
        <f aca="false">IF(OR(N429="",TRIM(E429&amp;"")=""),"",N429&amp;"|"&amp;UPPER(TRIM(E429&amp;"")))</f>
        <v/>
      </c>
      <c r="P429" s="9" t="n">
        <f aca="false">IF(O429="",0,IFERROR(MATCH(O429,'Bank Statement'!$O$8:$O$507,0),0))</f>
        <v>0</v>
      </c>
      <c r="Q429" s="9" t="str">
        <f aca="false">IF(OR(N429="",P429&gt;0),"",N429&amp;"#"&amp;COUNTIFS($N$8:N429,N429,$P$8:P429,0))</f>
        <v/>
      </c>
      <c r="R429" s="9" t="n">
        <f aca="false">IF(Q429="",0,IFERROR(MATCH(Q429,'Bank Statement'!$Q$8:$Q$507,0),0))</f>
        <v>0</v>
      </c>
      <c r="S429" s="9" t="n">
        <f aca="false">IF(P429&gt;0,P429,R429)</f>
        <v>0</v>
      </c>
      <c r="T429" s="9" t="str">
        <f aca="false">IF(OR(S429=0,B429=""),"",INDEX('Bank Statement'!$B$8:$B$507,S429)-B429)</f>
        <v/>
      </c>
      <c r="U429" s="9" t="n">
        <f aca="false">IF(S429=0,0,IF(P429&gt;0,S429,IF(AND(ISNUMBER(T429),ABS(N(T429))&lt;=Setup!$C$11),S429,0)))</f>
        <v>0</v>
      </c>
      <c r="V429" s="9" t="str">
        <f aca="false">IF(AND(N429&lt;&gt;"",U429=0),IF(M429="OUT",1,2)*100000+ROW(),"")</f>
        <v/>
      </c>
      <c r="W429" s="9" t="n">
        <f aca="false">N(F429)+N(G429)</f>
        <v>0</v>
      </c>
    </row>
    <row r="430" customFormat="false" ht="15" hidden="false" customHeight="false" outlineLevel="0" collapsed="false">
      <c r="A430" s="37" t="str">
        <f aca="false">IF(M430="","",ROW()-7)</f>
        <v/>
      </c>
      <c r="B430" s="70"/>
      <c r="C430" s="71"/>
      <c r="D430" s="72"/>
      <c r="E430" s="71"/>
      <c r="F430" s="73"/>
      <c r="G430" s="73"/>
      <c r="H430" s="42" t="str">
        <f aca="false">IF(M430="","",IF(U430&gt;0,"✔ Matched",IF(M430="OUT","Not yet presented","Not yet credited")))</f>
        <v/>
      </c>
      <c r="I430" s="43" t="str">
        <f aca="false">IF(N(U430)&gt;0,U430,"")</f>
        <v/>
      </c>
      <c r="J430" s="44" t="str">
        <f aca="false">IF(N(U430)&gt;0,T430,"")</f>
        <v/>
      </c>
      <c r="K430" s="45" t="str">
        <f aca="false">IF(AND(M430="",B430="",D430=""),"",IF(AND(N(F430)&gt;0,N(G430)&gt;0),"⚠ Fill deposit OR payment",IF(M430="","⚠ Enter amount",IF(B430="","⚠ Enter date",IF(AND(Setup!$C$8&lt;&gt;"",B430&gt;Setup!$C$8),"⚠ Date after period",IF(AND(O430&lt;&gt;"",COUNTIF($O$8:$O$507,O430)&gt;1),"⚠ Cheque no. used twice","✔"))))))</f>
        <v/>
      </c>
      <c r="M430" s="9" t="str">
        <f aca="false">IF(N(F430)&gt;0,"IN",IF(N(G430)&gt;0,"OUT",""))</f>
        <v/>
      </c>
      <c r="N430" s="9" t="str">
        <f aca="false">IF(M430="","",M430&amp;"|"&amp;TEXT(ROUND(N(F430)+N(G430),2),"0.00"))</f>
        <v/>
      </c>
      <c r="O430" s="9" t="str">
        <f aca="false">IF(OR(N430="",TRIM(E430&amp;"")=""),"",N430&amp;"|"&amp;UPPER(TRIM(E430&amp;"")))</f>
        <v/>
      </c>
      <c r="P430" s="9" t="n">
        <f aca="false">IF(O430="",0,IFERROR(MATCH(O430,'Bank Statement'!$O$8:$O$507,0),0))</f>
        <v>0</v>
      </c>
      <c r="Q430" s="9" t="str">
        <f aca="false">IF(OR(N430="",P430&gt;0),"",N430&amp;"#"&amp;COUNTIFS($N$8:N430,N430,$P$8:P430,0))</f>
        <v/>
      </c>
      <c r="R430" s="9" t="n">
        <f aca="false">IF(Q430="",0,IFERROR(MATCH(Q430,'Bank Statement'!$Q$8:$Q$507,0),0))</f>
        <v>0</v>
      </c>
      <c r="S430" s="9" t="n">
        <f aca="false">IF(P430&gt;0,P430,R430)</f>
        <v>0</v>
      </c>
      <c r="T430" s="9" t="str">
        <f aca="false">IF(OR(S430=0,B430=""),"",INDEX('Bank Statement'!$B$8:$B$507,S430)-B430)</f>
        <v/>
      </c>
      <c r="U430" s="9" t="n">
        <f aca="false">IF(S430=0,0,IF(P430&gt;0,S430,IF(AND(ISNUMBER(T430),ABS(N(T430))&lt;=Setup!$C$11),S430,0)))</f>
        <v>0</v>
      </c>
      <c r="V430" s="9" t="str">
        <f aca="false">IF(AND(N430&lt;&gt;"",U430=0),IF(M430="OUT",1,2)*100000+ROW(),"")</f>
        <v/>
      </c>
      <c r="W430" s="9" t="n">
        <f aca="false">N(F430)+N(G430)</f>
        <v>0</v>
      </c>
    </row>
    <row r="431" customFormat="false" ht="15" hidden="false" customHeight="false" outlineLevel="0" collapsed="false">
      <c r="A431" s="37" t="str">
        <f aca="false">IF(M431="","",ROW()-7)</f>
        <v/>
      </c>
      <c r="B431" s="70"/>
      <c r="C431" s="71"/>
      <c r="D431" s="72"/>
      <c r="E431" s="71"/>
      <c r="F431" s="73"/>
      <c r="G431" s="73"/>
      <c r="H431" s="42" t="str">
        <f aca="false">IF(M431="","",IF(U431&gt;0,"✔ Matched",IF(M431="OUT","Not yet presented","Not yet credited")))</f>
        <v/>
      </c>
      <c r="I431" s="43" t="str">
        <f aca="false">IF(N(U431)&gt;0,U431,"")</f>
        <v/>
      </c>
      <c r="J431" s="44" t="str">
        <f aca="false">IF(N(U431)&gt;0,T431,"")</f>
        <v/>
      </c>
      <c r="K431" s="45" t="str">
        <f aca="false">IF(AND(M431="",B431="",D431=""),"",IF(AND(N(F431)&gt;0,N(G431)&gt;0),"⚠ Fill deposit OR payment",IF(M431="","⚠ Enter amount",IF(B431="","⚠ Enter date",IF(AND(Setup!$C$8&lt;&gt;"",B431&gt;Setup!$C$8),"⚠ Date after period",IF(AND(O431&lt;&gt;"",COUNTIF($O$8:$O$507,O431)&gt;1),"⚠ Cheque no. used twice","✔"))))))</f>
        <v/>
      </c>
      <c r="M431" s="9" t="str">
        <f aca="false">IF(N(F431)&gt;0,"IN",IF(N(G431)&gt;0,"OUT",""))</f>
        <v/>
      </c>
      <c r="N431" s="9" t="str">
        <f aca="false">IF(M431="","",M431&amp;"|"&amp;TEXT(ROUND(N(F431)+N(G431),2),"0.00"))</f>
        <v/>
      </c>
      <c r="O431" s="9" t="str">
        <f aca="false">IF(OR(N431="",TRIM(E431&amp;"")=""),"",N431&amp;"|"&amp;UPPER(TRIM(E431&amp;"")))</f>
        <v/>
      </c>
      <c r="P431" s="9" t="n">
        <f aca="false">IF(O431="",0,IFERROR(MATCH(O431,'Bank Statement'!$O$8:$O$507,0),0))</f>
        <v>0</v>
      </c>
      <c r="Q431" s="9" t="str">
        <f aca="false">IF(OR(N431="",P431&gt;0),"",N431&amp;"#"&amp;COUNTIFS($N$8:N431,N431,$P$8:P431,0))</f>
        <v/>
      </c>
      <c r="R431" s="9" t="n">
        <f aca="false">IF(Q431="",0,IFERROR(MATCH(Q431,'Bank Statement'!$Q$8:$Q$507,0),0))</f>
        <v>0</v>
      </c>
      <c r="S431" s="9" t="n">
        <f aca="false">IF(P431&gt;0,P431,R431)</f>
        <v>0</v>
      </c>
      <c r="T431" s="9" t="str">
        <f aca="false">IF(OR(S431=0,B431=""),"",INDEX('Bank Statement'!$B$8:$B$507,S431)-B431)</f>
        <v/>
      </c>
      <c r="U431" s="9" t="n">
        <f aca="false">IF(S431=0,0,IF(P431&gt;0,S431,IF(AND(ISNUMBER(T431),ABS(N(T431))&lt;=Setup!$C$11),S431,0)))</f>
        <v>0</v>
      </c>
      <c r="V431" s="9" t="str">
        <f aca="false">IF(AND(N431&lt;&gt;"",U431=0),IF(M431="OUT",1,2)*100000+ROW(),"")</f>
        <v/>
      </c>
      <c r="W431" s="9" t="n">
        <f aca="false">N(F431)+N(G431)</f>
        <v>0</v>
      </c>
    </row>
    <row r="432" customFormat="false" ht="15" hidden="false" customHeight="false" outlineLevel="0" collapsed="false">
      <c r="A432" s="37" t="str">
        <f aca="false">IF(M432="","",ROW()-7)</f>
        <v/>
      </c>
      <c r="B432" s="70"/>
      <c r="C432" s="71"/>
      <c r="D432" s="72"/>
      <c r="E432" s="71"/>
      <c r="F432" s="73"/>
      <c r="G432" s="73"/>
      <c r="H432" s="42" t="str">
        <f aca="false">IF(M432="","",IF(U432&gt;0,"✔ Matched",IF(M432="OUT","Not yet presented","Not yet credited")))</f>
        <v/>
      </c>
      <c r="I432" s="43" t="str">
        <f aca="false">IF(N(U432)&gt;0,U432,"")</f>
        <v/>
      </c>
      <c r="J432" s="44" t="str">
        <f aca="false">IF(N(U432)&gt;0,T432,"")</f>
        <v/>
      </c>
      <c r="K432" s="45" t="str">
        <f aca="false">IF(AND(M432="",B432="",D432=""),"",IF(AND(N(F432)&gt;0,N(G432)&gt;0),"⚠ Fill deposit OR payment",IF(M432="","⚠ Enter amount",IF(B432="","⚠ Enter date",IF(AND(Setup!$C$8&lt;&gt;"",B432&gt;Setup!$C$8),"⚠ Date after period",IF(AND(O432&lt;&gt;"",COUNTIF($O$8:$O$507,O432)&gt;1),"⚠ Cheque no. used twice","✔"))))))</f>
        <v/>
      </c>
      <c r="M432" s="9" t="str">
        <f aca="false">IF(N(F432)&gt;0,"IN",IF(N(G432)&gt;0,"OUT",""))</f>
        <v/>
      </c>
      <c r="N432" s="9" t="str">
        <f aca="false">IF(M432="","",M432&amp;"|"&amp;TEXT(ROUND(N(F432)+N(G432),2),"0.00"))</f>
        <v/>
      </c>
      <c r="O432" s="9" t="str">
        <f aca="false">IF(OR(N432="",TRIM(E432&amp;"")=""),"",N432&amp;"|"&amp;UPPER(TRIM(E432&amp;"")))</f>
        <v/>
      </c>
      <c r="P432" s="9" t="n">
        <f aca="false">IF(O432="",0,IFERROR(MATCH(O432,'Bank Statement'!$O$8:$O$507,0),0))</f>
        <v>0</v>
      </c>
      <c r="Q432" s="9" t="str">
        <f aca="false">IF(OR(N432="",P432&gt;0),"",N432&amp;"#"&amp;COUNTIFS($N$8:N432,N432,$P$8:P432,0))</f>
        <v/>
      </c>
      <c r="R432" s="9" t="n">
        <f aca="false">IF(Q432="",0,IFERROR(MATCH(Q432,'Bank Statement'!$Q$8:$Q$507,0),0))</f>
        <v>0</v>
      </c>
      <c r="S432" s="9" t="n">
        <f aca="false">IF(P432&gt;0,P432,R432)</f>
        <v>0</v>
      </c>
      <c r="T432" s="9" t="str">
        <f aca="false">IF(OR(S432=0,B432=""),"",INDEX('Bank Statement'!$B$8:$B$507,S432)-B432)</f>
        <v/>
      </c>
      <c r="U432" s="9" t="n">
        <f aca="false">IF(S432=0,0,IF(P432&gt;0,S432,IF(AND(ISNUMBER(T432),ABS(N(T432))&lt;=Setup!$C$11),S432,0)))</f>
        <v>0</v>
      </c>
      <c r="V432" s="9" t="str">
        <f aca="false">IF(AND(N432&lt;&gt;"",U432=0),IF(M432="OUT",1,2)*100000+ROW(),"")</f>
        <v/>
      </c>
      <c r="W432" s="9" t="n">
        <f aca="false">N(F432)+N(G432)</f>
        <v>0</v>
      </c>
    </row>
    <row r="433" customFormat="false" ht="15" hidden="false" customHeight="false" outlineLevel="0" collapsed="false">
      <c r="A433" s="37" t="str">
        <f aca="false">IF(M433="","",ROW()-7)</f>
        <v/>
      </c>
      <c r="B433" s="70"/>
      <c r="C433" s="71"/>
      <c r="D433" s="72"/>
      <c r="E433" s="71"/>
      <c r="F433" s="73"/>
      <c r="G433" s="73"/>
      <c r="H433" s="42" t="str">
        <f aca="false">IF(M433="","",IF(U433&gt;0,"✔ Matched",IF(M433="OUT","Not yet presented","Not yet credited")))</f>
        <v/>
      </c>
      <c r="I433" s="43" t="str">
        <f aca="false">IF(N(U433)&gt;0,U433,"")</f>
        <v/>
      </c>
      <c r="J433" s="44" t="str">
        <f aca="false">IF(N(U433)&gt;0,T433,"")</f>
        <v/>
      </c>
      <c r="K433" s="45" t="str">
        <f aca="false">IF(AND(M433="",B433="",D433=""),"",IF(AND(N(F433)&gt;0,N(G433)&gt;0),"⚠ Fill deposit OR payment",IF(M433="","⚠ Enter amount",IF(B433="","⚠ Enter date",IF(AND(Setup!$C$8&lt;&gt;"",B433&gt;Setup!$C$8),"⚠ Date after period",IF(AND(O433&lt;&gt;"",COUNTIF($O$8:$O$507,O433)&gt;1),"⚠ Cheque no. used twice","✔"))))))</f>
        <v/>
      </c>
      <c r="M433" s="9" t="str">
        <f aca="false">IF(N(F433)&gt;0,"IN",IF(N(G433)&gt;0,"OUT",""))</f>
        <v/>
      </c>
      <c r="N433" s="9" t="str">
        <f aca="false">IF(M433="","",M433&amp;"|"&amp;TEXT(ROUND(N(F433)+N(G433),2),"0.00"))</f>
        <v/>
      </c>
      <c r="O433" s="9" t="str">
        <f aca="false">IF(OR(N433="",TRIM(E433&amp;"")=""),"",N433&amp;"|"&amp;UPPER(TRIM(E433&amp;"")))</f>
        <v/>
      </c>
      <c r="P433" s="9" t="n">
        <f aca="false">IF(O433="",0,IFERROR(MATCH(O433,'Bank Statement'!$O$8:$O$507,0),0))</f>
        <v>0</v>
      </c>
      <c r="Q433" s="9" t="str">
        <f aca="false">IF(OR(N433="",P433&gt;0),"",N433&amp;"#"&amp;COUNTIFS($N$8:N433,N433,$P$8:P433,0))</f>
        <v/>
      </c>
      <c r="R433" s="9" t="n">
        <f aca="false">IF(Q433="",0,IFERROR(MATCH(Q433,'Bank Statement'!$Q$8:$Q$507,0),0))</f>
        <v>0</v>
      </c>
      <c r="S433" s="9" t="n">
        <f aca="false">IF(P433&gt;0,P433,R433)</f>
        <v>0</v>
      </c>
      <c r="T433" s="9" t="str">
        <f aca="false">IF(OR(S433=0,B433=""),"",INDEX('Bank Statement'!$B$8:$B$507,S433)-B433)</f>
        <v/>
      </c>
      <c r="U433" s="9" t="n">
        <f aca="false">IF(S433=0,0,IF(P433&gt;0,S433,IF(AND(ISNUMBER(T433),ABS(N(T433))&lt;=Setup!$C$11),S433,0)))</f>
        <v>0</v>
      </c>
      <c r="V433" s="9" t="str">
        <f aca="false">IF(AND(N433&lt;&gt;"",U433=0),IF(M433="OUT",1,2)*100000+ROW(),"")</f>
        <v/>
      </c>
      <c r="W433" s="9" t="n">
        <f aca="false">N(F433)+N(G433)</f>
        <v>0</v>
      </c>
    </row>
    <row r="434" customFormat="false" ht="15" hidden="false" customHeight="false" outlineLevel="0" collapsed="false">
      <c r="A434" s="37" t="str">
        <f aca="false">IF(M434="","",ROW()-7)</f>
        <v/>
      </c>
      <c r="B434" s="70"/>
      <c r="C434" s="71"/>
      <c r="D434" s="72"/>
      <c r="E434" s="71"/>
      <c r="F434" s="73"/>
      <c r="G434" s="73"/>
      <c r="H434" s="42" t="str">
        <f aca="false">IF(M434="","",IF(U434&gt;0,"✔ Matched",IF(M434="OUT","Not yet presented","Not yet credited")))</f>
        <v/>
      </c>
      <c r="I434" s="43" t="str">
        <f aca="false">IF(N(U434)&gt;0,U434,"")</f>
        <v/>
      </c>
      <c r="J434" s="44" t="str">
        <f aca="false">IF(N(U434)&gt;0,T434,"")</f>
        <v/>
      </c>
      <c r="K434" s="45" t="str">
        <f aca="false">IF(AND(M434="",B434="",D434=""),"",IF(AND(N(F434)&gt;0,N(G434)&gt;0),"⚠ Fill deposit OR payment",IF(M434="","⚠ Enter amount",IF(B434="","⚠ Enter date",IF(AND(Setup!$C$8&lt;&gt;"",B434&gt;Setup!$C$8),"⚠ Date after period",IF(AND(O434&lt;&gt;"",COUNTIF($O$8:$O$507,O434)&gt;1),"⚠ Cheque no. used twice","✔"))))))</f>
        <v/>
      </c>
      <c r="M434" s="9" t="str">
        <f aca="false">IF(N(F434)&gt;0,"IN",IF(N(G434)&gt;0,"OUT",""))</f>
        <v/>
      </c>
      <c r="N434" s="9" t="str">
        <f aca="false">IF(M434="","",M434&amp;"|"&amp;TEXT(ROUND(N(F434)+N(G434),2),"0.00"))</f>
        <v/>
      </c>
      <c r="O434" s="9" t="str">
        <f aca="false">IF(OR(N434="",TRIM(E434&amp;"")=""),"",N434&amp;"|"&amp;UPPER(TRIM(E434&amp;"")))</f>
        <v/>
      </c>
      <c r="P434" s="9" t="n">
        <f aca="false">IF(O434="",0,IFERROR(MATCH(O434,'Bank Statement'!$O$8:$O$507,0),0))</f>
        <v>0</v>
      </c>
      <c r="Q434" s="9" t="str">
        <f aca="false">IF(OR(N434="",P434&gt;0),"",N434&amp;"#"&amp;COUNTIFS($N$8:N434,N434,$P$8:P434,0))</f>
        <v/>
      </c>
      <c r="R434" s="9" t="n">
        <f aca="false">IF(Q434="",0,IFERROR(MATCH(Q434,'Bank Statement'!$Q$8:$Q$507,0),0))</f>
        <v>0</v>
      </c>
      <c r="S434" s="9" t="n">
        <f aca="false">IF(P434&gt;0,P434,R434)</f>
        <v>0</v>
      </c>
      <c r="T434" s="9" t="str">
        <f aca="false">IF(OR(S434=0,B434=""),"",INDEX('Bank Statement'!$B$8:$B$507,S434)-B434)</f>
        <v/>
      </c>
      <c r="U434" s="9" t="n">
        <f aca="false">IF(S434=0,0,IF(P434&gt;0,S434,IF(AND(ISNUMBER(T434),ABS(N(T434))&lt;=Setup!$C$11),S434,0)))</f>
        <v>0</v>
      </c>
      <c r="V434" s="9" t="str">
        <f aca="false">IF(AND(N434&lt;&gt;"",U434=0),IF(M434="OUT",1,2)*100000+ROW(),"")</f>
        <v/>
      </c>
      <c r="W434" s="9" t="n">
        <f aca="false">N(F434)+N(G434)</f>
        <v>0</v>
      </c>
    </row>
    <row r="435" customFormat="false" ht="15" hidden="false" customHeight="false" outlineLevel="0" collapsed="false">
      <c r="A435" s="37" t="str">
        <f aca="false">IF(M435="","",ROW()-7)</f>
        <v/>
      </c>
      <c r="B435" s="70"/>
      <c r="C435" s="71"/>
      <c r="D435" s="72"/>
      <c r="E435" s="71"/>
      <c r="F435" s="73"/>
      <c r="G435" s="73"/>
      <c r="H435" s="42" t="str">
        <f aca="false">IF(M435="","",IF(U435&gt;0,"✔ Matched",IF(M435="OUT","Not yet presented","Not yet credited")))</f>
        <v/>
      </c>
      <c r="I435" s="43" t="str">
        <f aca="false">IF(N(U435)&gt;0,U435,"")</f>
        <v/>
      </c>
      <c r="J435" s="44" t="str">
        <f aca="false">IF(N(U435)&gt;0,T435,"")</f>
        <v/>
      </c>
      <c r="K435" s="45" t="str">
        <f aca="false">IF(AND(M435="",B435="",D435=""),"",IF(AND(N(F435)&gt;0,N(G435)&gt;0),"⚠ Fill deposit OR payment",IF(M435="","⚠ Enter amount",IF(B435="","⚠ Enter date",IF(AND(Setup!$C$8&lt;&gt;"",B435&gt;Setup!$C$8),"⚠ Date after period",IF(AND(O435&lt;&gt;"",COUNTIF($O$8:$O$507,O435)&gt;1),"⚠ Cheque no. used twice","✔"))))))</f>
        <v/>
      </c>
      <c r="M435" s="9" t="str">
        <f aca="false">IF(N(F435)&gt;0,"IN",IF(N(G435)&gt;0,"OUT",""))</f>
        <v/>
      </c>
      <c r="N435" s="9" t="str">
        <f aca="false">IF(M435="","",M435&amp;"|"&amp;TEXT(ROUND(N(F435)+N(G435),2),"0.00"))</f>
        <v/>
      </c>
      <c r="O435" s="9" t="str">
        <f aca="false">IF(OR(N435="",TRIM(E435&amp;"")=""),"",N435&amp;"|"&amp;UPPER(TRIM(E435&amp;"")))</f>
        <v/>
      </c>
      <c r="P435" s="9" t="n">
        <f aca="false">IF(O435="",0,IFERROR(MATCH(O435,'Bank Statement'!$O$8:$O$507,0),0))</f>
        <v>0</v>
      </c>
      <c r="Q435" s="9" t="str">
        <f aca="false">IF(OR(N435="",P435&gt;0),"",N435&amp;"#"&amp;COUNTIFS($N$8:N435,N435,$P$8:P435,0))</f>
        <v/>
      </c>
      <c r="R435" s="9" t="n">
        <f aca="false">IF(Q435="",0,IFERROR(MATCH(Q435,'Bank Statement'!$Q$8:$Q$507,0),0))</f>
        <v>0</v>
      </c>
      <c r="S435" s="9" t="n">
        <f aca="false">IF(P435&gt;0,P435,R435)</f>
        <v>0</v>
      </c>
      <c r="T435" s="9" t="str">
        <f aca="false">IF(OR(S435=0,B435=""),"",INDEX('Bank Statement'!$B$8:$B$507,S435)-B435)</f>
        <v/>
      </c>
      <c r="U435" s="9" t="n">
        <f aca="false">IF(S435=0,0,IF(P435&gt;0,S435,IF(AND(ISNUMBER(T435),ABS(N(T435))&lt;=Setup!$C$11),S435,0)))</f>
        <v>0</v>
      </c>
      <c r="V435" s="9" t="str">
        <f aca="false">IF(AND(N435&lt;&gt;"",U435=0),IF(M435="OUT",1,2)*100000+ROW(),"")</f>
        <v/>
      </c>
      <c r="W435" s="9" t="n">
        <f aca="false">N(F435)+N(G435)</f>
        <v>0</v>
      </c>
    </row>
    <row r="436" customFormat="false" ht="15" hidden="false" customHeight="false" outlineLevel="0" collapsed="false">
      <c r="A436" s="37" t="str">
        <f aca="false">IF(M436="","",ROW()-7)</f>
        <v/>
      </c>
      <c r="B436" s="70"/>
      <c r="C436" s="71"/>
      <c r="D436" s="72"/>
      <c r="E436" s="71"/>
      <c r="F436" s="73"/>
      <c r="G436" s="73"/>
      <c r="H436" s="42" t="str">
        <f aca="false">IF(M436="","",IF(U436&gt;0,"✔ Matched",IF(M436="OUT","Not yet presented","Not yet credited")))</f>
        <v/>
      </c>
      <c r="I436" s="43" t="str">
        <f aca="false">IF(N(U436)&gt;0,U436,"")</f>
        <v/>
      </c>
      <c r="J436" s="44" t="str">
        <f aca="false">IF(N(U436)&gt;0,T436,"")</f>
        <v/>
      </c>
      <c r="K436" s="45" t="str">
        <f aca="false">IF(AND(M436="",B436="",D436=""),"",IF(AND(N(F436)&gt;0,N(G436)&gt;0),"⚠ Fill deposit OR payment",IF(M436="","⚠ Enter amount",IF(B436="","⚠ Enter date",IF(AND(Setup!$C$8&lt;&gt;"",B436&gt;Setup!$C$8),"⚠ Date after period",IF(AND(O436&lt;&gt;"",COUNTIF($O$8:$O$507,O436)&gt;1),"⚠ Cheque no. used twice","✔"))))))</f>
        <v/>
      </c>
      <c r="M436" s="9" t="str">
        <f aca="false">IF(N(F436)&gt;0,"IN",IF(N(G436)&gt;0,"OUT",""))</f>
        <v/>
      </c>
      <c r="N436" s="9" t="str">
        <f aca="false">IF(M436="","",M436&amp;"|"&amp;TEXT(ROUND(N(F436)+N(G436),2),"0.00"))</f>
        <v/>
      </c>
      <c r="O436" s="9" t="str">
        <f aca="false">IF(OR(N436="",TRIM(E436&amp;"")=""),"",N436&amp;"|"&amp;UPPER(TRIM(E436&amp;"")))</f>
        <v/>
      </c>
      <c r="P436" s="9" t="n">
        <f aca="false">IF(O436="",0,IFERROR(MATCH(O436,'Bank Statement'!$O$8:$O$507,0),0))</f>
        <v>0</v>
      </c>
      <c r="Q436" s="9" t="str">
        <f aca="false">IF(OR(N436="",P436&gt;0),"",N436&amp;"#"&amp;COUNTIFS($N$8:N436,N436,$P$8:P436,0))</f>
        <v/>
      </c>
      <c r="R436" s="9" t="n">
        <f aca="false">IF(Q436="",0,IFERROR(MATCH(Q436,'Bank Statement'!$Q$8:$Q$507,0),0))</f>
        <v>0</v>
      </c>
      <c r="S436" s="9" t="n">
        <f aca="false">IF(P436&gt;0,P436,R436)</f>
        <v>0</v>
      </c>
      <c r="T436" s="9" t="str">
        <f aca="false">IF(OR(S436=0,B436=""),"",INDEX('Bank Statement'!$B$8:$B$507,S436)-B436)</f>
        <v/>
      </c>
      <c r="U436" s="9" t="n">
        <f aca="false">IF(S436=0,0,IF(P436&gt;0,S436,IF(AND(ISNUMBER(T436),ABS(N(T436))&lt;=Setup!$C$11),S436,0)))</f>
        <v>0</v>
      </c>
      <c r="V436" s="9" t="str">
        <f aca="false">IF(AND(N436&lt;&gt;"",U436=0),IF(M436="OUT",1,2)*100000+ROW(),"")</f>
        <v/>
      </c>
      <c r="W436" s="9" t="n">
        <f aca="false">N(F436)+N(G436)</f>
        <v>0</v>
      </c>
    </row>
    <row r="437" customFormat="false" ht="15" hidden="false" customHeight="false" outlineLevel="0" collapsed="false">
      <c r="A437" s="37" t="str">
        <f aca="false">IF(M437="","",ROW()-7)</f>
        <v/>
      </c>
      <c r="B437" s="70"/>
      <c r="C437" s="71"/>
      <c r="D437" s="72"/>
      <c r="E437" s="71"/>
      <c r="F437" s="73"/>
      <c r="G437" s="73"/>
      <c r="H437" s="42" t="str">
        <f aca="false">IF(M437="","",IF(U437&gt;0,"✔ Matched",IF(M437="OUT","Not yet presented","Not yet credited")))</f>
        <v/>
      </c>
      <c r="I437" s="43" t="str">
        <f aca="false">IF(N(U437)&gt;0,U437,"")</f>
        <v/>
      </c>
      <c r="J437" s="44" t="str">
        <f aca="false">IF(N(U437)&gt;0,T437,"")</f>
        <v/>
      </c>
      <c r="K437" s="45" t="str">
        <f aca="false">IF(AND(M437="",B437="",D437=""),"",IF(AND(N(F437)&gt;0,N(G437)&gt;0),"⚠ Fill deposit OR payment",IF(M437="","⚠ Enter amount",IF(B437="","⚠ Enter date",IF(AND(Setup!$C$8&lt;&gt;"",B437&gt;Setup!$C$8),"⚠ Date after period",IF(AND(O437&lt;&gt;"",COUNTIF($O$8:$O$507,O437)&gt;1),"⚠ Cheque no. used twice","✔"))))))</f>
        <v/>
      </c>
      <c r="M437" s="9" t="str">
        <f aca="false">IF(N(F437)&gt;0,"IN",IF(N(G437)&gt;0,"OUT",""))</f>
        <v/>
      </c>
      <c r="N437" s="9" t="str">
        <f aca="false">IF(M437="","",M437&amp;"|"&amp;TEXT(ROUND(N(F437)+N(G437),2),"0.00"))</f>
        <v/>
      </c>
      <c r="O437" s="9" t="str">
        <f aca="false">IF(OR(N437="",TRIM(E437&amp;"")=""),"",N437&amp;"|"&amp;UPPER(TRIM(E437&amp;"")))</f>
        <v/>
      </c>
      <c r="P437" s="9" t="n">
        <f aca="false">IF(O437="",0,IFERROR(MATCH(O437,'Bank Statement'!$O$8:$O$507,0),0))</f>
        <v>0</v>
      </c>
      <c r="Q437" s="9" t="str">
        <f aca="false">IF(OR(N437="",P437&gt;0),"",N437&amp;"#"&amp;COUNTIFS($N$8:N437,N437,$P$8:P437,0))</f>
        <v/>
      </c>
      <c r="R437" s="9" t="n">
        <f aca="false">IF(Q437="",0,IFERROR(MATCH(Q437,'Bank Statement'!$Q$8:$Q$507,0),0))</f>
        <v>0</v>
      </c>
      <c r="S437" s="9" t="n">
        <f aca="false">IF(P437&gt;0,P437,R437)</f>
        <v>0</v>
      </c>
      <c r="T437" s="9" t="str">
        <f aca="false">IF(OR(S437=0,B437=""),"",INDEX('Bank Statement'!$B$8:$B$507,S437)-B437)</f>
        <v/>
      </c>
      <c r="U437" s="9" t="n">
        <f aca="false">IF(S437=0,0,IF(P437&gt;0,S437,IF(AND(ISNUMBER(T437),ABS(N(T437))&lt;=Setup!$C$11),S437,0)))</f>
        <v>0</v>
      </c>
      <c r="V437" s="9" t="str">
        <f aca="false">IF(AND(N437&lt;&gt;"",U437=0),IF(M437="OUT",1,2)*100000+ROW(),"")</f>
        <v/>
      </c>
      <c r="W437" s="9" t="n">
        <f aca="false">N(F437)+N(G437)</f>
        <v>0</v>
      </c>
    </row>
    <row r="438" customFormat="false" ht="15" hidden="false" customHeight="false" outlineLevel="0" collapsed="false">
      <c r="A438" s="37" t="str">
        <f aca="false">IF(M438="","",ROW()-7)</f>
        <v/>
      </c>
      <c r="B438" s="70"/>
      <c r="C438" s="71"/>
      <c r="D438" s="72"/>
      <c r="E438" s="71"/>
      <c r="F438" s="73"/>
      <c r="G438" s="73"/>
      <c r="H438" s="42" t="str">
        <f aca="false">IF(M438="","",IF(U438&gt;0,"✔ Matched",IF(M438="OUT","Not yet presented","Not yet credited")))</f>
        <v/>
      </c>
      <c r="I438" s="43" t="str">
        <f aca="false">IF(N(U438)&gt;0,U438,"")</f>
        <v/>
      </c>
      <c r="J438" s="44" t="str">
        <f aca="false">IF(N(U438)&gt;0,T438,"")</f>
        <v/>
      </c>
      <c r="K438" s="45" t="str">
        <f aca="false">IF(AND(M438="",B438="",D438=""),"",IF(AND(N(F438)&gt;0,N(G438)&gt;0),"⚠ Fill deposit OR payment",IF(M438="","⚠ Enter amount",IF(B438="","⚠ Enter date",IF(AND(Setup!$C$8&lt;&gt;"",B438&gt;Setup!$C$8),"⚠ Date after period",IF(AND(O438&lt;&gt;"",COUNTIF($O$8:$O$507,O438)&gt;1),"⚠ Cheque no. used twice","✔"))))))</f>
        <v/>
      </c>
      <c r="M438" s="9" t="str">
        <f aca="false">IF(N(F438)&gt;0,"IN",IF(N(G438)&gt;0,"OUT",""))</f>
        <v/>
      </c>
      <c r="N438" s="9" t="str">
        <f aca="false">IF(M438="","",M438&amp;"|"&amp;TEXT(ROUND(N(F438)+N(G438),2),"0.00"))</f>
        <v/>
      </c>
      <c r="O438" s="9" t="str">
        <f aca="false">IF(OR(N438="",TRIM(E438&amp;"")=""),"",N438&amp;"|"&amp;UPPER(TRIM(E438&amp;"")))</f>
        <v/>
      </c>
      <c r="P438" s="9" t="n">
        <f aca="false">IF(O438="",0,IFERROR(MATCH(O438,'Bank Statement'!$O$8:$O$507,0),0))</f>
        <v>0</v>
      </c>
      <c r="Q438" s="9" t="str">
        <f aca="false">IF(OR(N438="",P438&gt;0),"",N438&amp;"#"&amp;COUNTIFS($N$8:N438,N438,$P$8:P438,0))</f>
        <v/>
      </c>
      <c r="R438" s="9" t="n">
        <f aca="false">IF(Q438="",0,IFERROR(MATCH(Q438,'Bank Statement'!$Q$8:$Q$507,0),0))</f>
        <v>0</v>
      </c>
      <c r="S438" s="9" t="n">
        <f aca="false">IF(P438&gt;0,P438,R438)</f>
        <v>0</v>
      </c>
      <c r="T438" s="9" t="str">
        <f aca="false">IF(OR(S438=0,B438=""),"",INDEX('Bank Statement'!$B$8:$B$507,S438)-B438)</f>
        <v/>
      </c>
      <c r="U438" s="9" t="n">
        <f aca="false">IF(S438=0,0,IF(P438&gt;0,S438,IF(AND(ISNUMBER(T438),ABS(N(T438))&lt;=Setup!$C$11),S438,0)))</f>
        <v>0</v>
      </c>
      <c r="V438" s="9" t="str">
        <f aca="false">IF(AND(N438&lt;&gt;"",U438=0),IF(M438="OUT",1,2)*100000+ROW(),"")</f>
        <v/>
      </c>
      <c r="W438" s="9" t="n">
        <f aca="false">N(F438)+N(G438)</f>
        <v>0</v>
      </c>
    </row>
    <row r="439" customFormat="false" ht="15" hidden="false" customHeight="false" outlineLevel="0" collapsed="false">
      <c r="A439" s="37" t="str">
        <f aca="false">IF(M439="","",ROW()-7)</f>
        <v/>
      </c>
      <c r="B439" s="70"/>
      <c r="C439" s="71"/>
      <c r="D439" s="72"/>
      <c r="E439" s="71"/>
      <c r="F439" s="73"/>
      <c r="G439" s="73"/>
      <c r="H439" s="42" t="str">
        <f aca="false">IF(M439="","",IF(U439&gt;0,"✔ Matched",IF(M439="OUT","Not yet presented","Not yet credited")))</f>
        <v/>
      </c>
      <c r="I439" s="43" t="str">
        <f aca="false">IF(N(U439)&gt;0,U439,"")</f>
        <v/>
      </c>
      <c r="J439" s="44" t="str">
        <f aca="false">IF(N(U439)&gt;0,T439,"")</f>
        <v/>
      </c>
      <c r="K439" s="45" t="str">
        <f aca="false">IF(AND(M439="",B439="",D439=""),"",IF(AND(N(F439)&gt;0,N(G439)&gt;0),"⚠ Fill deposit OR payment",IF(M439="","⚠ Enter amount",IF(B439="","⚠ Enter date",IF(AND(Setup!$C$8&lt;&gt;"",B439&gt;Setup!$C$8),"⚠ Date after period",IF(AND(O439&lt;&gt;"",COUNTIF($O$8:$O$507,O439)&gt;1),"⚠ Cheque no. used twice","✔"))))))</f>
        <v/>
      </c>
      <c r="M439" s="9" t="str">
        <f aca="false">IF(N(F439)&gt;0,"IN",IF(N(G439)&gt;0,"OUT",""))</f>
        <v/>
      </c>
      <c r="N439" s="9" t="str">
        <f aca="false">IF(M439="","",M439&amp;"|"&amp;TEXT(ROUND(N(F439)+N(G439),2),"0.00"))</f>
        <v/>
      </c>
      <c r="O439" s="9" t="str">
        <f aca="false">IF(OR(N439="",TRIM(E439&amp;"")=""),"",N439&amp;"|"&amp;UPPER(TRIM(E439&amp;"")))</f>
        <v/>
      </c>
      <c r="P439" s="9" t="n">
        <f aca="false">IF(O439="",0,IFERROR(MATCH(O439,'Bank Statement'!$O$8:$O$507,0),0))</f>
        <v>0</v>
      </c>
      <c r="Q439" s="9" t="str">
        <f aca="false">IF(OR(N439="",P439&gt;0),"",N439&amp;"#"&amp;COUNTIFS($N$8:N439,N439,$P$8:P439,0))</f>
        <v/>
      </c>
      <c r="R439" s="9" t="n">
        <f aca="false">IF(Q439="",0,IFERROR(MATCH(Q439,'Bank Statement'!$Q$8:$Q$507,0),0))</f>
        <v>0</v>
      </c>
      <c r="S439" s="9" t="n">
        <f aca="false">IF(P439&gt;0,P439,R439)</f>
        <v>0</v>
      </c>
      <c r="T439" s="9" t="str">
        <f aca="false">IF(OR(S439=0,B439=""),"",INDEX('Bank Statement'!$B$8:$B$507,S439)-B439)</f>
        <v/>
      </c>
      <c r="U439" s="9" t="n">
        <f aca="false">IF(S439=0,0,IF(P439&gt;0,S439,IF(AND(ISNUMBER(T439),ABS(N(T439))&lt;=Setup!$C$11),S439,0)))</f>
        <v>0</v>
      </c>
      <c r="V439" s="9" t="str">
        <f aca="false">IF(AND(N439&lt;&gt;"",U439=0),IF(M439="OUT",1,2)*100000+ROW(),"")</f>
        <v/>
      </c>
      <c r="W439" s="9" t="n">
        <f aca="false">N(F439)+N(G439)</f>
        <v>0</v>
      </c>
    </row>
    <row r="440" customFormat="false" ht="15" hidden="false" customHeight="false" outlineLevel="0" collapsed="false">
      <c r="A440" s="37" t="str">
        <f aca="false">IF(M440="","",ROW()-7)</f>
        <v/>
      </c>
      <c r="B440" s="70"/>
      <c r="C440" s="71"/>
      <c r="D440" s="72"/>
      <c r="E440" s="71"/>
      <c r="F440" s="73"/>
      <c r="G440" s="73"/>
      <c r="H440" s="42" t="str">
        <f aca="false">IF(M440="","",IF(U440&gt;0,"✔ Matched",IF(M440="OUT","Not yet presented","Not yet credited")))</f>
        <v/>
      </c>
      <c r="I440" s="43" t="str">
        <f aca="false">IF(N(U440)&gt;0,U440,"")</f>
        <v/>
      </c>
      <c r="J440" s="44" t="str">
        <f aca="false">IF(N(U440)&gt;0,T440,"")</f>
        <v/>
      </c>
      <c r="K440" s="45" t="str">
        <f aca="false">IF(AND(M440="",B440="",D440=""),"",IF(AND(N(F440)&gt;0,N(G440)&gt;0),"⚠ Fill deposit OR payment",IF(M440="","⚠ Enter amount",IF(B440="","⚠ Enter date",IF(AND(Setup!$C$8&lt;&gt;"",B440&gt;Setup!$C$8),"⚠ Date after period",IF(AND(O440&lt;&gt;"",COUNTIF($O$8:$O$507,O440)&gt;1),"⚠ Cheque no. used twice","✔"))))))</f>
        <v/>
      </c>
      <c r="M440" s="9" t="str">
        <f aca="false">IF(N(F440)&gt;0,"IN",IF(N(G440)&gt;0,"OUT",""))</f>
        <v/>
      </c>
      <c r="N440" s="9" t="str">
        <f aca="false">IF(M440="","",M440&amp;"|"&amp;TEXT(ROUND(N(F440)+N(G440),2),"0.00"))</f>
        <v/>
      </c>
      <c r="O440" s="9" t="str">
        <f aca="false">IF(OR(N440="",TRIM(E440&amp;"")=""),"",N440&amp;"|"&amp;UPPER(TRIM(E440&amp;"")))</f>
        <v/>
      </c>
      <c r="P440" s="9" t="n">
        <f aca="false">IF(O440="",0,IFERROR(MATCH(O440,'Bank Statement'!$O$8:$O$507,0),0))</f>
        <v>0</v>
      </c>
      <c r="Q440" s="9" t="str">
        <f aca="false">IF(OR(N440="",P440&gt;0),"",N440&amp;"#"&amp;COUNTIFS($N$8:N440,N440,$P$8:P440,0))</f>
        <v/>
      </c>
      <c r="R440" s="9" t="n">
        <f aca="false">IF(Q440="",0,IFERROR(MATCH(Q440,'Bank Statement'!$Q$8:$Q$507,0),0))</f>
        <v>0</v>
      </c>
      <c r="S440" s="9" t="n">
        <f aca="false">IF(P440&gt;0,P440,R440)</f>
        <v>0</v>
      </c>
      <c r="T440" s="9" t="str">
        <f aca="false">IF(OR(S440=0,B440=""),"",INDEX('Bank Statement'!$B$8:$B$507,S440)-B440)</f>
        <v/>
      </c>
      <c r="U440" s="9" t="n">
        <f aca="false">IF(S440=0,0,IF(P440&gt;0,S440,IF(AND(ISNUMBER(T440),ABS(N(T440))&lt;=Setup!$C$11),S440,0)))</f>
        <v>0</v>
      </c>
      <c r="V440" s="9" t="str">
        <f aca="false">IF(AND(N440&lt;&gt;"",U440=0),IF(M440="OUT",1,2)*100000+ROW(),"")</f>
        <v/>
      </c>
      <c r="W440" s="9" t="n">
        <f aca="false">N(F440)+N(G440)</f>
        <v>0</v>
      </c>
    </row>
    <row r="441" customFormat="false" ht="15" hidden="false" customHeight="false" outlineLevel="0" collapsed="false">
      <c r="A441" s="37" t="str">
        <f aca="false">IF(M441="","",ROW()-7)</f>
        <v/>
      </c>
      <c r="B441" s="70"/>
      <c r="C441" s="71"/>
      <c r="D441" s="72"/>
      <c r="E441" s="71"/>
      <c r="F441" s="73"/>
      <c r="G441" s="73"/>
      <c r="H441" s="42" t="str">
        <f aca="false">IF(M441="","",IF(U441&gt;0,"✔ Matched",IF(M441="OUT","Not yet presented","Not yet credited")))</f>
        <v/>
      </c>
      <c r="I441" s="43" t="str">
        <f aca="false">IF(N(U441)&gt;0,U441,"")</f>
        <v/>
      </c>
      <c r="J441" s="44" t="str">
        <f aca="false">IF(N(U441)&gt;0,T441,"")</f>
        <v/>
      </c>
      <c r="K441" s="45" t="str">
        <f aca="false">IF(AND(M441="",B441="",D441=""),"",IF(AND(N(F441)&gt;0,N(G441)&gt;0),"⚠ Fill deposit OR payment",IF(M441="","⚠ Enter amount",IF(B441="","⚠ Enter date",IF(AND(Setup!$C$8&lt;&gt;"",B441&gt;Setup!$C$8),"⚠ Date after period",IF(AND(O441&lt;&gt;"",COUNTIF($O$8:$O$507,O441)&gt;1),"⚠ Cheque no. used twice","✔"))))))</f>
        <v/>
      </c>
      <c r="M441" s="9" t="str">
        <f aca="false">IF(N(F441)&gt;0,"IN",IF(N(G441)&gt;0,"OUT",""))</f>
        <v/>
      </c>
      <c r="N441" s="9" t="str">
        <f aca="false">IF(M441="","",M441&amp;"|"&amp;TEXT(ROUND(N(F441)+N(G441),2),"0.00"))</f>
        <v/>
      </c>
      <c r="O441" s="9" t="str">
        <f aca="false">IF(OR(N441="",TRIM(E441&amp;"")=""),"",N441&amp;"|"&amp;UPPER(TRIM(E441&amp;"")))</f>
        <v/>
      </c>
      <c r="P441" s="9" t="n">
        <f aca="false">IF(O441="",0,IFERROR(MATCH(O441,'Bank Statement'!$O$8:$O$507,0),0))</f>
        <v>0</v>
      </c>
      <c r="Q441" s="9" t="str">
        <f aca="false">IF(OR(N441="",P441&gt;0),"",N441&amp;"#"&amp;COUNTIFS($N$8:N441,N441,$P$8:P441,0))</f>
        <v/>
      </c>
      <c r="R441" s="9" t="n">
        <f aca="false">IF(Q441="",0,IFERROR(MATCH(Q441,'Bank Statement'!$Q$8:$Q$507,0),0))</f>
        <v>0</v>
      </c>
      <c r="S441" s="9" t="n">
        <f aca="false">IF(P441&gt;0,P441,R441)</f>
        <v>0</v>
      </c>
      <c r="T441" s="9" t="str">
        <f aca="false">IF(OR(S441=0,B441=""),"",INDEX('Bank Statement'!$B$8:$B$507,S441)-B441)</f>
        <v/>
      </c>
      <c r="U441" s="9" t="n">
        <f aca="false">IF(S441=0,0,IF(P441&gt;0,S441,IF(AND(ISNUMBER(T441),ABS(N(T441))&lt;=Setup!$C$11),S441,0)))</f>
        <v>0</v>
      </c>
      <c r="V441" s="9" t="str">
        <f aca="false">IF(AND(N441&lt;&gt;"",U441=0),IF(M441="OUT",1,2)*100000+ROW(),"")</f>
        <v/>
      </c>
      <c r="W441" s="9" t="n">
        <f aca="false">N(F441)+N(G441)</f>
        <v>0</v>
      </c>
    </row>
    <row r="442" customFormat="false" ht="15" hidden="false" customHeight="false" outlineLevel="0" collapsed="false">
      <c r="A442" s="37" t="str">
        <f aca="false">IF(M442="","",ROW()-7)</f>
        <v/>
      </c>
      <c r="B442" s="70"/>
      <c r="C442" s="71"/>
      <c r="D442" s="72"/>
      <c r="E442" s="71"/>
      <c r="F442" s="73"/>
      <c r="G442" s="73"/>
      <c r="H442" s="42" t="str">
        <f aca="false">IF(M442="","",IF(U442&gt;0,"✔ Matched",IF(M442="OUT","Not yet presented","Not yet credited")))</f>
        <v/>
      </c>
      <c r="I442" s="43" t="str">
        <f aca="false">IF(N(U442)&gt;0,U442,"")</f>
        <v/>
      </c>
      <c r="J442" s="44" t="str">
        <f aca="false">IF(N(U442)&gt;0,T442,"")</f>
        <v/>
      </c>
      <c r="K442" s="45" t="str">
        <f aca="false">IF(AND(M442="",B442="",D442=""),"",IF(AND(N(F442)&gt;0,N(G442)&gt;0),"⚠ Fill deposit OR payment",IF(M442="","⚠ Enter amount",IF(B442="","⚠ Enter date",IF(AND(Setup!$C$8&lt;&gt;"",B442&gt;Setup!$C$8),"⚠ Date after period",IF(AND(O442&lt;&gt;"",COUNTIF($O$8:$O$507,O442)&gt;1),"⚠ Cheque no. used twice","✔"))))))</f>
        <v/>
      </c>
      <c r="M442" s="9" t="str">
        <f aca="false">IF(N(F442)&gt;0,"IN",IF(N(G442)&gt;0,"OUT",""))</f>
        <v/>
      </c>
      <c r="N442" s="9" t="str">
        <f aca="false">IF(M442="","",M442&amp;"|"&amp;TEXT(ROUND(N(F442)+N(G442),2),"0.00"))</f>
        <v/>
      </c>
      <c r="O442" s="9" t="str">
        <f aca="false">IF(OR(N442="",TRIM(E442&amp;"")=""),"",N442&amp;"|"&amp;UPPER(TRIM(E442&amp;"")))</f>
        <v/>
      </c>
      <c r="P442" s="9" t="n">
        <f aca="false">IF(O442="",0,IFERROR(MATCH(O442,'Bank Statement'!$O$8:$O$507,0),0))</f>
        <v>0</v>
      </c>
      <c r="Q442" s="9" t="str">
        <f aca="false">IF(OR(N442="",P442&gt;0),"",N442&amp;"#"&amp;COUNTIFS($N$8:N442,N442,$P$8:P442,0))</f>
        <v/>
      </c>
      <c r="R442" s="9" t="n">
        <f aca="false">IF(Q442="",0,IFERROR(MATCH(Q442,'Bank Statement'!$Q$8:$Q$507,0),0))</f>
        <v>0</v>
      </c>
      <c r="S442" s="9" t="n">
        <f aca="false">IF(P442&gt;0,P442,R442)</f>
        <v>0</v>
      </c>
      <c r="T442" s="9" t="str">
        <f aca="false">IF(OR(S442=0,B442=""),"",INDEX('Bank Statement'!$B$8:$B$507,S442)-B442)</f>
        <v/>
      </c>
      <c r="U442" s="9" t="n">
        <f aca="false">IF(S442=0,0,IF(P442&gt;0,S442,IF(AND(ISNUMBER(T442),ABS(N(T442))&lt;=Setup!$C$11),S442,0)))</f>
        <v>0</v>
      </c>
      <c r="V442" s="9" t="str">
        <f aca="false">IF(AND(N442&lt;&gt;"",U442=0),IF(M442="OUT",1,2)*100000+ROW(),"")</f>
        <v/>
      </c>
      <c r="W442" s="9" t="n">
        <f aca="false">N(F442)+N(G442)</f>
        <v>0</v>
      </c>
    </row>
    <row r="443" customFormat="false" ht="15" hidden="false" customHeight="false" outlineLevel="0" collapsed="false">
      <c r="A443" s="37" t="str">
        <f aca="false">IF(M443="","",ROW()-7)</f>
        <v/>
      </c>
      <c r="B443" s="70"/>
      <c r="C443" s="71"/>
      <c r="D443" s="72"/>
      <c r="E443" s="71"/>
      <c r="F443" s="73"/>
      <c r="G443" s="73"/>
      <c r="H443" s="42" t="str">
        <f aca="false">IF(M443="","",IF(U443&gt;0,"✔ Matched",IF(M443="OUT","Not yet presented","Not yet credited")))</f>
        <v/>
      </c>
      <c r="I443" s="43" t="str">
        <f aca="false">IF(N(U443)&gt;0,U443,"")</f>
        <v/>
      </c>
      <c r="J443" s="44" t="str">
        <f aca="false">IF(N(U443)&gt;0,T443,"")</f>
        <v/>
      </c>
      <c r="K443" s="45" t="str">
        <f aca="false">IF(AND(M443="",B443="",D443=""),"",IF(AND(N(F443)&gt;0,N(G443)&gt;0),"⚠ Fill deposit OR payment",IF(M443="","⚠ Enter amount",IF(B443="","⚠ Enter date",IF(AND(Setup!$C$8&lt;&gt;"",B443&gt;Setup!$C$8),"⚠ Date after period",IF(AND(O443&lt;&gt;"",COUNTIF($O$8:$O$507,O443)&gt;1),"⚠ Cheque no. used twice","✔"))))))</f>
        <v/>
      </c>
      <c r="M443" s="9" t="str">
        <f aca="false">IF(N(F443)&gt;0,"IN",IF(N(G443)&gt;0,"OUT",""))</f>
        <v/>
      </c>
      <c r="N443" s="9" t="str">
        <f aca="false">IF(M443="","",M443&amp;"|"&amp;TEXT(ROUND(N(F443)+N(G443),2),"0.00"))</f>
        <v/>
      </c>
      <c r="O443" s="9" t="str">
        <f aca="false">IF(OR(N443="",TRIM(E443&amp;"")=""),"",N443&amp;"|"&amp;UPPER(TRIM(E443&amp;"")))</f>
        <v/>
      </c>
      <c r="P443" s="9" t="n">
        <f aca="false">IF(O443="",0,IFERROR(MATCH(O443,'Bank Statement'!$O$8:$O$507,0),0))</f>
        <v>0</v>
      </c>
      <c r="Q443" s="9" t="str">
        <f aca="false">IF(OR(N443="",P443&gt;0),"",N443&amp;"#"&amp;COUNTIFS($N$8:N443,N443,$P$8:P443,0))</f>
        <v/>
      </c>
      <c r="R443" s="9" t="n">
        <f aca="false">IF(Q443="",0,IFERROR(MATCH(Q443,'Bank Statement'!$Q$8:$Q$507,0),0))</f>
        <v>0</v>
      </c>
      <c r="S443" s="9" t="n">
        <f aca="false">IF(P443&gt;0,P443,R443)</f>
        <v>0</v>
      </c>
      <c r="T443" s="9" t="str">
        <f aca="false">IF(OR(S443=0,B443=""),"",INDEX('Bank Statement'!$B$8:$B$507,S443)-B443)</f>
        <v/>
      </c>
      <c r="U443" s="9" t="n">
        <f aca="false">IF(S443=0,0,IF(P443&gt;0,S443,IF(AND(ISNUMBER(T443),ABS(N(T443))&lt;=Setup!$C$11),S443,0)))</f>
        <v>0</v>
      </c>
      <c r="V443" s="9" t="str">
        <f aca="false">IF(AND(N443&lt;&gt;"",U443=0),IF(M443="OUT",1,2)*100000+ROW(),"")</f>
        <v/>
      </c>
      <c r="W443" s="9" t="n">
        <f aca="false">N(F443)+N(G443)</f>
        <v>0</v>
      </c>
    </row>
    <row r="444" customFormat="false" ht="15" hidden="false" customHeight="false" outlineLevel="0" collapsed="false">
      <c r="A444" s="37" t="str">
        <f aca="false">IF(M444="","",ROW()-7)</f>
        <v/>
      </c>
      <c r="B444" s="70"/>
      <c r="C444" s="71"/>
      <c r="D444" s="72"/>
      <c r="E444" s="71"/>
      <c r="F444" s="73"/>
      <c r="G444" s="73"/>
      <c r="H444" s="42" t="str">
        <f aca="false">IF(M444="","",IF(U444&gt;0,"✔ Matched",IF(M444="OUT","Not yet presented","Not yet credited")))</f>
        <v/>
      </c>
      <c r="I444" s="43" t="str">
        <f aca="false">IF(N(U444)&gt;0,U444,"")</f>
        <v/>
      </c>
      <c r="J444" s="44" t="str">
        <f aca="false">IF(N(U444)&gt;0,T444,"")</f>
        <v/>
      </c>
      <c r="K444" s="45" t="str">
        <f aca="false">IF(AND(M444="",B444="",D444=""),"",IF(AND(N(F444)&gt;0,N(G444)&gt;0),"⚠ Fill deposit OR payment",IF(M444="","⚠ Enter amount",IF(B444="","⚠ Enter date",IF(AND(Setup!$C$8&lt;&gt;"",B444&gt;Setup!$C$8),"⚠ Date after period",IF(AND(O444&lt;&gt;"",COUNTIF($O$8:$O$507,O444)&gt;1),"⚠ Cheque no. used twice","✔"))))))</f>
        <v/>
      </c>
      <c r="M444" s="9" t="str">
        <f aca="false">IF(N(F444)&gt;0,"IN",IF(N(G444)&gt;0,"OUT",""))</f>
        <v/>
      </c>
      <c r="N444" s="9" t="str">
        <f aca="false">IF(M444="","",M444&amp;"|"&amp;TEXT(ROUND(N(F444)+N(G444),2),"0.00"))</f>
        <v/>
      </c>
      <c r="O444" s="9" t="str">
        <f aca="false">IF(OR(N444="",TRIM(E444&amp;"")=""),"",N444&amp;"|"&amp;UPPER(TRIM(E444&amp;"")))</f>
        <v/>
      </c>
      <c r="P444" s="9" t="n">
        <f aca="false">IF(O444="",0,IFERROR(MATCH(O444,'Bank Statement'!$O$8:$O$507,0),0))</f>
        <v>0</v>
      </c>
      <c r="Q444" s="9" t="str">
        <f aca="false">IF(OR(N444="",P444&gt;0),"",N444&amp;"#"&amp;COUNTIFS($N$8:N444,N444,$P$8:P444,0))</f>
        <v/>
      </c>
      <c r="R444" s="9" t="n">
        <f aca="false">IF(Q444="",0,IFERROR(MATCH(Q444,'Bank Statement'!$Q$8:$Q$507,0),0))</f>
        <v>0</v>
      </c>
      <c r="S444" s="9" t="n">
        <f aca="false">IF(P444&gt;0,P444,R444)</f>
        <v>0</v>
      </c>
      <c r="T444" s="9" t="str">
        <f aca="false">IF(OR(S444=0,B444=""),"",INDEX('Bank Statement'!$B$8:$B$507,S444)-B444)</f>
        <v/>
      </c>
      <c r="U444" s="9" t="n">
        <f aca="false">IF(S444=0,0,IF(P444&gt;0,S444,IF(AND(ISNUMBER(T444),ABS(N(T444))&lt;=Setup!$C$11),S444,0)))</f>
        <v>0</v>
      </c>
      <c r="V444" s="9" t="str">
        <f aca="false">IF(AND(N444&lt;&gt;"",U444=0),IF(M444="OUT",1,2)*100000+ROW(),"")</f>
        <v/>
      </c>
      <c r="W444" s="9" t="n">
        <f aca="false">N(F444)+N(G444)</f>
        <v>0</v>
      </c>
    </row>
    <row r="445" customFormat="false" ht="15" hidden="false" customHeight="false" outlineLevel="0" collapsed="false">
      <c r="A445" s="37" t="str">
        <f aca="false">IF(M445="","",ROW()-7)</f>
        <v/>
      </c>
      <c r="B445" s="70"/>
      <c r="C445" s="71"/>
      <c r="D445" s="72"/>
      <c r="E445" s="71"/>
      <c r="F445" s="73"/>
      <c r="G445" s="73"/>
      <c r="H445" s="42" t="str">
        <f aca="false">IF(M445="","",IF(U445&gt;0,"✔ Matched",IF(M445="OUT","Not yet presented","Not yet credited")))</f>
        <v/>
      </c>
      <c r="I445" s="43" t="str">
        <f aca="false">IF(N(U445)&gt;0,U445,"")</f>
        <v/>
      </c>
      <c r="J445" s="44" t="str">
        <f aca="false">IF(N(U445)&gt;0,T445,"")</f>
        <v/>
      </c>
      <c r="K445" s="45" t="str">
        <f aca="false">IF(AND(M445="",B445="",D445=""),"",IF(AND(N(F445)&gt;0,N(G445)&gt;0),"⚠ Fill deposit OR payment",IF(M445="","⚠ Enter amount",IF(B445="","⚠ Enter date",IF(AND(Setup!$C$8&lt;&gt;"",B445&gt;Setup!$C$8),"⚠ Date after period",IF(AND(O445&lt;&gt;"",COUNTIF($O$8:$O$507,O445)&gt;1),"⚠ Cheque no. used twice","✔"))))))</f>
        <v/>
      </c>
      <c r="M445" s="9" t="str">
        <f aca="false">IF(N(F445)&gt;0,"IN",IF(N(G445)&gt;0,"OUT",""))</f>
        <v/>
      </c>
      <c r="N445" s="9" t="str">
        <f aca="false">IF(M445="","",M445&amp;"|"&amp;TEXT(ROUND(N(F445)+N(G445),2),"0.00"))</f>
        <v/>
      </c>
      <c r="O445" s="9" t="str">
        <f aca="false">IF(OR(N445="",TRIM(E445&amp;"")=""),"",N445&amp;"|"&amp;UPPER(TRIM(E445&amp;"")))</f>
        <v/>
      </c>
      <c r="P445" s="9" t="n">
        <f aca="false">IF(O445="",0,IFERROR(MATCH(O445,'Bank Statement'!$O$8:$O$507,0),0))</f>
        <v>0</v>
      </c>
      <c r="Q445" s="9" t="str">
        <f aca="false">IF(OR(N445="",P445&gt;0),"",N445&amp;"#"&amp;COUNTIFS($N$8:N445,N445,$P$8:P445,0))</f>
        <v/>
      </c>
      <c r="R445" s="9" t="n">
        <f aca="false">IF(Q445="",0,IFERROR(MATCH(Q445,'Bank Statement'!$Q$8:$Q$507,0),0))</f>
        <v>0</v>
      </c>
      <c r="S445" s="9" t="n">
        <f aca="false">IF(P445&gt;0,P445,R445)</f>
        <v>0</v>
      </c>
      <c r="T445" s="9" t="str">
        <f aca="false">IF(OR(S445=0,B445=""),"",INDEX('Bank Statement'!$B$8:$B$507,S445)-B445)</f>
        <v/>
      </c>
      <c r="U445" s="9" t="n">
        <f aca="false">IF(S445=0,0,IF(P445&gt;0,S445,IF(AND(ISNUMBER(T445),ABS(N(T445))&lt;=Setup!$C$11),S445,0)))</f>
        <v>0</v>
      </c>
      <c r="V445" s="9" t="str">
        <f aca="false">IF(AND(N445&lt;&gt;"",U445=0),IF(M445="OUT",1,2)*100000+ROW(),"")</f>
        <v/>
      </c>
      <c r="W445" s="9" t="n">
        <f aca="false">N(F445)+N(G445)</f>
        <v>0</v>
      </c>
    </row>
    <row r="446" customFormat="false" ht="15" hidden="false" customHeight="false" outlineLevel="0" collapsed="false">
      <c r="A446" s="37" t="str">
        <f aca="false">IF(M446="","",ROW()-7)</f>
        <v/>
      </c>
      <c r="B446" s="70"/>
      <c r="C446" s="71"/>
      <c r="D446" s="72"/>
      <c r="E446" s="71"/>
      <c r="F446" s="73"/>
      <c r="G446" s="73"/>
      <c r="H446" s="42" t="str">
        <f aca="false">IF(M446="","",IF(U446&gt;0,"✔ Matched",IF(M446="OUT","Not yet presented","Not yet credited")))</f>
        <v/>
      </c>
      <c r="I446" s="43" t="str">
        <f aca="false">IF(N(U446)&gt;0,U446,"")</f>
        <v/>
      </c>
      <c r="J446" s="44" t="str">
        <f aca="false">IF(N(U446)&gt;0,T446,"")</f>
        <v/>
      </c>
      <c r="K446" s="45" t="str">
        <f aca="false">IF(AND(M446="",B446="",D446=""),"",IF(AND(N(F446)&gt;0,N(G446)&gt;0),"⚠ Fill deposit OR payment",IF(M446="","⚠ Enter amount",IF(B446="","⚠ Enter date",IF(AND(Setup!$C$8&lt;&gt;"",B446&gt;Setup!$C$8),"⚠ Date after period",IF(AND(O446&lt;&gt;"",COUNTIF($O$8:$O$507,O446)&gt;1),"⚠ Cheque no. used twice","✔"))))))</f>
        <v/>
      </c>
      <c r="M446" s="9" t="str">
        <f aca="false">IF(N(F446)&gt;0,"IN",IF(N(G446)&gt;0,"OUT",""))</f>
        <v/>
      </c>
      <c r="N446" s="9" t="str">
        <f aca="false">IF(M446="","",M446&amp;"|"&amp;TEXT(ROUND(N(F446)+N(G446),2),"0.00"))</f>
        <v/>
      </c>
      <c r="O446" s="9" t="str">
        <f aca="false">IF(OR(N446="",TRIM(E446&amp;"")=""),"",N446&amp;"|"&amp;UPPER(TRIM(E446&amp;"")))</f>
        <v/>
      </c>
      <c r="P446" s="9" t="n">
        <f aca="false">IF(O446="",0,IFERROR(MATCH(O446,'Bank Statement'!$O$8:$O$507,0),0))</f>
        <v>0</v>
      </c>
      <c r="Q446" s="9" t="str">
        <f aca="false">IF(OR(N446="",P446&gt;0),"",N446&amp;"#"&amp;COUNTIFS($N$8:N446,N446,$P$8:P446,0))</f>
        <v/>
      </c>
      <c r="R446" s="9" t="n">
        <f aca="false">IF(Q446="",0,IFERROR(MATCH(Q446,'Bank Statement'!$Q$8:$Q$507,0),0))</f>
        <v>0</v>
      </c>
      <c r="S446" s="9" t="n">
        <f aca="false">IF(P446&gt;0,P446,R446)</f>
        <v>0</v>
      </c>
      <c r="T446" s="9" t="str">
        <f aca="false">IF(OR(S446=0,B446=""),"",INDEX('Bank Statement'!$B$8:$B$507,S446)-B446)</f>
        <v/>
      </c>
      <c r="U446" s="9" t="n">
        <f aca="false">IF(S446=0,0,IF(P446&gt;0,S446,IF(AND(ISNUMBER(T446),ABS(N(T446))&lt;=Setup!$C$11),S446,0)))</f>
        <v>0</v>
      </c>
      <c r="V446" s="9" t="str">
        <f aca="false">IF(AND(N446&lt;&gt;"",U446=0),IF(M446="OUT",1,2)*100000+ROW(),"")</f>
        <v/>
      </c>
      <c r="W446" s="9" t="n">
        <f aca="false">N(F446)+N(G446)</f>
        <v>0</v>
      </c>
    </row>
    <row r="447" customFormat="false" ht="15" hidden="false" customHeight="false" outlineLevel="0" collapsed="false">
      <c r="A447" s="37" t="str">
        <f aca="false">IF(M447="","",ROW()-7)</f>
        <v/>
      </c>
      <c r="B447" s="70"/>
      <c r="C447" s="71"/>
      <c r="D447" s="72"/>
      <c r="E447" s="71"/>
      <c r="F447" s="73"/>
      <c r="G447" s="73"/>
      <c r="H447" s="42" t="str">
        <f aca="false">IF(M447="","",IF(U447&gt;0,"✔ Matched",IF(M447="OUT","Not yet presented","Not yet credited")))</f>
        <v/>
      </c>
      <c r="I447" s="43" t="str">
        <f aca="false">IF(N(U447)&gt;0,U447,"")</f>
        <v/>
      </c>
      <c r="J447" s="44" t="str">
        <f aca="false">IF(N(U447)&gt;0,T447,"")</f>
        <v/>
      </c>
      <c r="K447" s="45" t="str">
        <f aca="false">IF(AND(M447="",B447="",D447=""),"",IF(AND(N(F447)&gt;0,N(G447)&gt;0),"⚠ Fill deposit OR payment",IF(M447="","⚠ Enter amount",IF(B447="","⚠ Enter date",IF(AND(Setup!$C$8&lt;&gt;"",B447&gt;Setup!$C$8),"⚠ Date after period",IF(AND(O447&lt;&gt;"",COUNTIF($O$8:$O$507,O447)&gt;1),"⚠ Cheque no. used twice","✔"))))))</f>
        <v/>
      </c>
      <c r="M447" s="9" t="str">
        <f aca="false">IF(N(F447)&gt;0,"IN",IF(N(G447)&gt;0,"OUT",""))</f>
        <v/>
      </c>
      <c r="N447" s="9" t="str">
        <f aca="false">IF(M447="","",M447&amp;"|"&amp;TEXT(ROUND(N(F447)+N(G447),2),"0.00"))</f>
        <v/>
      </c>
      <c r="O447" s="9" t="str">
        <f aca="false">IF(OR(N447="",TRIM(E447&amp;"")=""),"",N447&amp;"|"&amp;UPPER(TRIM(E447&amp;"")))</f>
        <v/>
      </c>
      <c r="P447" s="9" t="n">
        <f aca="false">IF(O447="",0,IFERROR(MATCH(O447,'Bank Statement'!$O$8:$O$507,0),0))</f>
        <v>0</v>
      </c>
      <c r="Q447" s="9" t="str">
        <f aca="false">IF(OR(N447="",P447&gt;0),"",N447&amp;"#"&amp;COUNTIFS($N$8:N447,N447,$P$8:P447,0))</f>
        <v/>
      </c>
      <c r="R447" s="9" t="n">
        <f aca="false">IF(Q447="",0,IFERROR(MATCH(Q447,'Bank Statement'!$Q$8:$Q$507,0),0))</f>
        <v>0</v>
      </c>
      <c r="S447" s="9" t="n">
        <f aca="false">IF(P447&gt;0,P447,R447)</f>
        <v>0</v>
      </c>
      <c r="T447" s="9" t="str">
        <f aca="false">IF(OR(S447=0,B447=""),"",INDEX('Bank Statement'!$B$8:$B$507,S447)-B447)</f>
        <v/>
      </c>
      <c r="U447" s="9" t="n">
        <f aca="false">IF(S447=0,0,IF(P447&gt;0,S447,IF(AND(ISNUMBER(T447),ABS(N(T447))&lt;=Setup!$C$11),S447,0)))</f>
        <v>0</v>
      </c>
      <c r="V447" s="9" t="str">
        <f aca="false">IF(AND(N447&lt;&gt;"",U447=0),IF(M447="OUT",1,2)*100000+ROW(),"")</f>
        <v/>
      </c>
      <c r="W447" s="9" t="n">
        <f aca="false">N(F447)+N(G447)</f>
        <v>0</v>
      </c>
    </row>
    <row r="448" customFormat="false" ht="15" hidden="false" customHeight="false" outlineLevel="0" collapsed="false">
      <c r="A448" s="37" t="str">
        <f aca="false">IF(M448="","",ROW()-7)</f>
        <v/>
      </c>
      <c r="B448" s="70"/>
      <c r="C448" s="71"/>
      <c r="D448" s="72"/>
      <c r="E448" s="71"/>
      <c r="F448" s="73"/>
      <c r="G448" s="73"/>
      <c r="H448" s="42" t="str">
        <f aca="false">IF(M448="","",IF(U448&gt;0,"✔ Matched",IF(M448="OUT","Not yet presented","Not yet credited")))</f>
        <v/>
      </c>
      <c r="I448" s="43" t="str">
        <f aca="false">IF(N(U448)&gt;0,U448,"")</f>
        <v/>
      </c>
      <c r="J448" s="44" t="str">
        <f aca="false">IF(N(U448)&gt;0,T448,"")</f>
        <v/>
      </c>
      <c r="K448" s="45" t="str">
        <f aca="false">IF(AND(M448="",B448="",D448=""),"",IF(AND(N(F448)&gt;0,N(G448)&gt;0),"⚠ Fill deposit OR payment",IF(M448="","⚠ Enter amount",IF(B448="","⚠ Enter date",IF(AND(Setup!$C$8&lt;&gt;"",B448&gt;Setup!$C$8),"⚠ Date after period",IF(AND(O448&lt;&gt;"",COUNTIF($O$8:$O$507,O448)&gt;1),"⚠ Cheque no. used twice","✔"))))))</f>
        <v/>
      </c>
      <c r="M448" s="9" t="str">
        <f aca="false">IF(N(F448)&gt;0,"IN",IF(N(G448)&gt;0,"OUT",""))</f>
        <v/>
      </c>
      <c r="N448" s="9" t="str">
        <f aca="false">IF(M448="","",M448&amp;"|"&amp;TEXT(ROUND(N(F448)+N(G448),2),"0.00"))</f>
        <v/>
      </c>
      <c r="O448" s="9" t="str">
        <f aca="false">IF(OR(N448="",TRIM(E448&amp;"")=""),"",N448&amp;"|"&amp;UPPER(TRIM(E448&amp;"")))</f>
        <v/>
      </c>
      <c r="P448" s="9" t="n">
        <f aca="false">IF(O448="",0,IFERROR(MATCH(O448,'Bank Statement'!$O$8:$O$507,0),0))</f>
        <v>0</v>
      </c>
      <c r="Q448" s="9" t="str">
        <f aca="false">IF(OR(N448="",P448&gt;0),"",N448&amp;"#"&amp;COUNTIFS($N$8:N448,N448,$P$8:P448,0))</f>
        <v/>
      </c>
      <c r="R448" s="9" t="n">
        <f aca="false">IF(Q448="",0,IFERROR(MATCH(Q448,'Bank Statement'!$Q$8:$Q$507,0),0))</f>
        <v>0</v>
      </c>
      <c r="S448" s="9" t="n">
        <f aca="false">IF(P448&gt;0,P448,R448)</f>
        <v>0</v>
      </c>
      <c r="T448" s="9" t="str">
        <f aca="false">IF(OR(S448=0,B448=""),"",INDEX('Bank Statement'!$B$8:$B$507,S448)-B448)</f>
        <v/>
      </c>
      <c r="U448" s="9" t="n">
        <f aca="false">IF(S448=0,0,IF(P448&gt;0,S448,IF(AND(ISNUMBER(T448),ABS(N(T448))&lt;=Setup!$C$11),S448,0)))</f>
        <v>0</v>
      </c>
      <c r="V448" s="9" t="str">
        <f aca="false">IF(AND(N448&lt;&gt;"",U448=0),IF(M448="OUT",1,2)*100000+ROW(),"")</f>
        <v/>
      </c>
      <c r="W448" s="9" t="n">
        <f aca="false">N(F448)+N(G448)</f>
        <v>0</v>
      </c>
    </row>
    <row r="449" customFormat="false" ht="15" hidden="false" customHeight="false" outlineLevel="0" collapsed="false">
      <c r="A449" s="37" t="str">
        <f aca="false">IF(M449="","",ROW()-7)</f>
        <v/>
      </c>
      <c r="B449" s="70"/>
      <c r="C449" s="71"/>
      <c r="D449" s="72"/>
      <c r="E449" s="71"/>
      <c r="F449" s="73"/>
      <c r="G449" s="73"/>
      <c r="H449" s="42" t="str">
        <f aca="false">IF(M449="","",IF(U449&gt;0,"✔ Matched",IF(M449="OUT","Not yet presented","Not yet credited")))</f>
        <v/>
      </c>
      <c r="I449" s="43" t="str">
        <f aca="false">IF(N(U449)&gt;0,U449,"")</f>
        <v/>
      </c>
      <c r="J449" s="44" t="str">
        <f aca="false">IF(N(U449)&gt;0,T449,"")</f>
        <v/>
      </c>
      <c r="K449" s="45" t="str">
        <f aca="false">IF(AND(M449="",B449="",D449=""),"",IF(AND(N(F449)&gt;0,N(G449)&gt;0),"⚠ Fill deposit OR payment",IF(M449="","⚠ Enter amount",IF(B449="","⚠ Enter date",IF(AND(Setup!$C$8&lt;&gt;"",B449&gt;Setup!$C$8),"⚠ Date after period",IF(AND(O449&lt;&gt;"",COUNTIF($O$8:$O$507,O449)&gt;1),"⚠ Cheque no. used twice","✔"))))))</f>
        <v/>
      </c>
      <c r="M449" s="9" t="str">
        <f aca="false">IF(N(F449)&gt;0,"IN",IF(N(G449)&gt;0,"OUT",""))</f>
        <v/>
      </c>
      <c r="N449" s="9" t="str">
        <f aca="false">IF(M449="","",M449&amp;"|"&amp;TEXT(ROUND(N(F449)+N(G449),2),"0.00"))</f>
        <v/>
      </c>
      <c r="O449" s="9" t="str">
        <f aca="false">IF(OR(N449="",TRIM(E449&amp;"")=""),"",N449&amp;"|"&amp;UPPER(TRIM(E449&amp;"")))</f>
        <v/>
      </c>
      <c r="P449" s="9" t="n">
        <f aca="false">IF(O449="",0,IFERROR(MATCH(O449,'Bank Statement'!$O$8:$O$507,0),0))</f>
        <v>0</v>
      </c>
      <c r="Q449" s="9" t="str">
        <f aca="false">IF(OR(N449="",P449&gt;0),"",N449&amp;"#"&amp;COUNTIFS($N$8:N449,N449,$P$8:P449,0))</f>
        <v/>
      </c>
      <c r="R449" s="9" t="n">
        <f aca="false">IF(Q449="",0,IFERROR(MATCH(Q449,'Bank Statement'!$Q$8:$Q$507,0),0))</f>
        <v>0</v>
      </c>
      <c r="S449" s="9" t="n">
        <f aca="false">IF(P449&gt;0,P449,R449)</f>
        <v>0</v>
      </c>
      <c r="T449" s="9" t="str">
        <f aca="false">IF(OR(S449=0,B449=""),"",INDEX('Bank Statement'!$B$8:$B$507,S449)-B449)</f>
        <v/>
      </c>
      <c r="U449" s="9" t="n">
        <f aca="false">IF(S449=0,0,IF(P449&gt;0,S449,IF(AND(ISNUMBER(T449),ABS(N(T449))&lt;=Setup!$C$11),S449,0)))</f>
        <v>0</v>
      </c>
      <c r="V449" s="9" t="str">
        <f aca="false">IF(AND(N449&lt;&gt;"",U449=0),IF(M449="OUT",1,2)*100000+ROW(),"")</f>
        <v/>
      </c>
      <c r="W449" s="9" t="n">
        <f aca="false">N(F449)+N(G449)</f>
        <v>0</v>
      </c>
    </row>
    <row r="450" customFormat="false" ht="15" hidden="false" customHeight="false" outlineLevel="0" collapsed="false">
      <c r="A450" s="37" t="str">
        <f aca="false">IF(M450="","",ROW()-7)</f>
        <v/>
      </c>
      <c r="B450" s="70"/>
      <c r="C450" s="71"/>
      <c r="D450" s="72"/>
      <c r="E450" s="71"/>
      <c r="F450" s="73"/>
      <c r="G450" s="73"/>
      <c r="H450" s="42" t="str">
        <f aca="false">IF(M450="","",IF(U450&gt;0,"✔ Matched",IF(M450="OUT","Not yet presented","Not yet credited")))</f>
        <v/>
      </c>
      <c r="I450" s="43" t="str">
        <f aca="false">IF(N(U450)&gt;0,U450,"")</f>
        <v/>
      </c>
      <c r="J450" s="44" t="str">
        <f aca="false">IF(N(U450)&gt;0,T450,"")</f>
        <v/>
      </c>
      <c r="K450" s="45" t="str">
        <f aca="false">IF(AND(M450="",B450="",D450=""),"",IF(AND(N(F450)&gt;0,N(G450)&gt;0),"⚠ Fill deposit OR payment",IF(M450="","⚠ Enter amount",IF(B450="","⚠ Enter date",IF(AND(Setup!$C$8&lt;&gt;"",B450&gt;Setup!$C$8),"⚠ Date after period",IF(AND(O450&lt;&gt;"",COUNTIF($O$8:$O$507,O450)&gt;1),"⚠ Cheque no. used twice","✔"))))))</f>
        <v/>
      </c>
      <c r="M450" s="9" t="str">
        <f aca="false">IF(N(F450)&gt;0,"IN",IF(N(G450)&gt;0,"OUT",""))</f>
        <v/>
      </c>
      <c r="N450" s="9" t="str">
        <f aca="false">IF(M450="","",M450&amp;"|"&amp;TEXT(ROUND(N(F450)+N(G450),2),"0.00"))</f>
        <v/>
      </c>
      <c r="O450" s="9" t="str">
        <f aca="false">IF(OR(N450="",TRIM(E450&amp;"")=""),"",N450&amp;"|"&amp;UPPER(TRIM(E450&amp;"")))</f>
        <v/>
      </c>
      <c r="P450" s="9" t="n">
        <f aca="false">IF(O450="",0,IFERROR(MATCH(O450,'Bank Statement'!$O$8:$O$507,0),0))</f>
        <v>0</v>
      </c>
      <c r="Q450" s="9" t="str">
        <f aca="false">IF(OR(N450="",P450&gt;0),"",N450&amp;"#"&amp;COUNTIFS($N$8:N450,N450,$P$8:P450,0))</f>
        <v/>
      </c>
      <c r="R450" s="9" t="n">
        <f aca="false">IF(Q450="",0,IFERROR(MATCH(Q450,'Bank Statement'!$Q$8:$Q$507,0),0))</f>
        <v>0</v>
      </c>
      <c r="S450" s="9" t="n">
        <f aca="false">IF(P450&gt;0,P450,R450)</f>
        <v>0</v>
      </c>
      <c r="T450" s="9" t="str">
        <f aca="false">IF(OR(S450=0,B450=""),"",INDEX('Bank Statement'!$B$8:$B$507,S450)-B450)</f>
        <v/>
      </c>
      <c r="U450" s="9" t="n">
        <f aca="false">IF(S450=0,0,IF(P450&gt;0,S450,IF(AND(ISNUMBER(T450),ABS(N(T450))&lt;=Setup!$C$11),S450,0)))</f>
        <v>0</v>
      </c>
      <c r="V450" s="9" t="str">
        <f aca="false">IF(AND(N450&lt;&gt;"",U450=0),IF(M450="OUT",1,2)*100000+ROW(),"")</f>
        <v/>
      </c>
      <c r="W450" s="9" t="n">
        <f aca="false">N(F450)+N(G450)</f>
        <v>0</v>
      </c>
    </row>
    <row r="451" customFormat="false" ht="15" hidden="false" customHeight="false" outlineLevel="0" collapsed="false">
      <c r="A451" s="37" t="str">
        <f aca="false">IF(M451="","",ROW()-7)</f>
        <v/>
      </c>
      <c r="B451" s="70"/>
      <c r="C451" s="71"/>
      <c r="D451" s="72"/>
      <c r="E451" s="71"/>
      <c r="F451" s="73"/>
      <c r="G451" s="73"/>
      <c r="H451" s="42" t="str">
        <f aca="false">IF(M451="","",IF(U451&gt;0,"✔ Matched",IF(M451="OUT","Not yet presented","Not yet credited")))</f>
        <v/>
      </c>
      <c r="I451" s="43" t="str">
        <f aca="false">IF(N(U451)&gt;0,U451,"")</f>
        <v/>
      </c>
      <c r="J451" s="44" t="str">
        <f aca="false">IF(N(U451)&gt;0,T451,"")</f>
        <v/>
      </c>
      <c r="K451" s="45" t="str">
        <f aca="false">IF(AND(M451="",B451="",D451=""),"",IF(AND(N(F451)&gt;0,N(G451)&gt;0),"⚠ Fill deposit OR payment",IF(M451="","⚠ Enter amount",IF(B451="","⚠ Enter date",IF(AND(Setup!$C$8&lt;&gt;"",B451&gt;Setup!$C$8),"⚠ Date after period",IF(AND(O451&lt;&gt;"",COUNTIF($O$8:$O$507,O451)&gt;1),"⚠ Cheque no. used twice","✔"))))))</f>
        <v/>
      </c>
      <c r="M451" s="9" t="str">
        <f aca="false">IF(N(F451)&gt;0,"IN",IF(N(G451)&gt;0,"OUT",""))</f>
        <v/>
      </c>
      <c r="N451" s="9" t="str">
        <f aca="false">IF(M451="","",M451&amp;"|"&amp;TEXT(ROUND(N(F451)+N(G451),2),"0.00"))</f>
        <v/>
      </c>
      <c r="O451" s="9" t="str">
        <f aca="false">IF(OR(N451="",TRIM(E451&amp;"")=""),"",N451&amp;"|"&amp;UPPER(TRIM(E451&amp;"")))</f>
        <v/>
      </c>
      <c r="P451" s="9" t="n">
        <f aca="false">IF(O451="",0,IFERROR(MATCH(O451,'Bank Statement'!$O$8:$O$507,0),0))</f>
        <v>0</v>
      </c>
      <c r="Q451" s="9" t="str">
        <f aca="false">IF(OR(N451="",P451&gt;0),"",N451&amp;"#"&amp;COUNTIFS($N$8:N451,N451,$P$8:P451,0))</f>
        <v/>
      </c>
      <c r="R451" s="9" t="n">
        <f aca="false">IF(Q451="",0,IFERROR(MATCH(Q451,'Bank Statement'!$Q$8:$Q$507,0),0))</f>
        <v>0</v>
      </c>
      <c r="S451" s="9" t="n">
        <f aca="false">IF(P451&gt;0,P451,R451)</f>
        <v>0</v>
      </c>
      <c r="T451" s="9" t="str">
        <f aca="false">IF(OR(S451=0,B451=""),"",INDEX('Bank Statement'!$B$8:$B$507,S451)-B451)</f>
        <v/>
      </c>
      <c r="U451" s="9" t="n">
        <f aca="false">IF(S451=0,0,IF(P451&gt;0,S451,IF(AND(ISNUMBER(T451),ABS(N(T451))&lt;=Setup!$C$11),S451,0)))</f>
        <v>0</v>
      </c>
      <c r="V451" s="9" t="str">
        <f aca="false">IF(AND(N451&lt;&gt;"",U451=0),IF(M451="OUT",1,2)*100000+ROW(),"")</f>
        <v/>
      </c>
      <c r="W451" s="9" t="n">
        <f aca="false">N(F451)+N(G451)</f>
        <v>0</v>
      </c>
    </row>
    <row r="452" customFormat="false" ht="15" hidden="false" customHeight="false" outlineLevel="0" collapsed="false">
      <c r="A452" s="37" t="str">
        <f aca="false">IF(M452="","",ROW()-7)</f>
        <v/>
      </c>
      <c r="B452" s="70"/>
      <c r="C452" s="71"/>
      <c r="D452" s="72"/>
      <c r="E452" s="71"/>
      <c r="F452" s="73"/>
      <c r="G452" s="73"/>
      <c r="H452" s="42" t="str">
        <f aca="false">IF(M452="","",IF(U452&gt;0,"✔ Matched",IF(M452="OUT","Not yet presented","Not yet credited")))</f>
        <v/>
      </c>
      <c r="I452" s="43" t="str">
        <f aca="false">IF(N(U452)&gt;0,U452,"")</f>
        <v/>
      </c>
      <c r="J452" s="44" t="str">
        <f aca="false">IF(N(U452)&gt;0,T452,"")</f>
        <v/>
      </c>
      <c r="K452" s="45" t="str">
        <f aca="false">IF(AND(M452="",B452="",D452=""),"",IF(AND(N(F452)&gt;0,N(G452)&gt;0),"⚠ Fill deposit OR payment",IF(M452="","⚠ Enter amount",IF(B452="","⚠ Enter date",IF(AND(Setup!$C$8&lt;&gt;"",B452&gt;Setup!$C$8),"⚠ Date after period",IF(AND(O452&lt;&gt;"",COUNTIF($O$8:$O$507,O452)&gt;1),"⚠ Cheque no. used twice","✔"))))))</f>
        <v/>
      </c>
      <c r="M452" s="9" t="str">
        <f aca="false">IF(N(F452)&gt;0,"IN",IF(N(G452)&gt;0,"OUT",""))</f>
        <v/>
      </c>
      <c r="N452" s="9" t="str">
        <f aca="false">IF(M452="","",M452&amp;"|"&amp;TEXT(ROUND(N(F452)+N(G452),2),"0.00"))</f>
        <v/>
      </c>
      <c r="O452" s="9" t="str">
        <f aca="false">IF(OR(N452="",TRIM(E452&amp;"")=""),"",N452&amp;"|"&amp;UPPER(TRIM(E452&amp;"")))</f>
        <v/>
      </c>
      <c r="P452" s="9" t="n">
        <f aca="false">IF(O452="",0,IFERROR(MATCH(O452,'Bank Statement'!$O$8:$O$507,0),0))</f>
        <v>0</v>
      </c>
      <c r="Q452" s="9" t="str">
        <f aca="false">IF(OR(N452="",P452&gt;0),"",N452&amp;"#"&amp;COUNTIFS($N$8:N452,N452,$P$8:P452,0))</f>
        <v/>
      </c>
      <c r="R452" s="9" t="n">
        <f aca="false">IF(Q452="",0,IFERROR(MATCH(Q452,'Bank Statement'!$Q$8:$Q$507,0),0))</f>
        <v>0</v>
      </c>
      <c r="S452" s="9" t="n">
        <f aca="false">IF(P452&gt;0,P452,R452)</f>
        <v>0</v>
      </c>
      <c r="T452" s="9" t="str">
        <f aca="false">IF(OR(S452=0,B452=""),"",INDEX('Bank Statement'!$B$8:$B$507,S452)-B452)</f>
        <v/>
      </c>
      <c r="U452" s="9" t="n">
        <f aca="false">IF(S452=0,0,IF(P452&gt;0,S452,IF(AND(ISNUMBER(T452),ABS(N(T452))&lt;=Setup!$C$11),S452,0)))</f>
        <v>0</v>
      </c>
      <c r="V452" s="9" t="str">
        <f aca="false">IF(AND(N452&lt;&gt;"",U452=0),IF(M452="OUT",1,2)*100000+ROW(),"")</f>
        <v/>
      </c>
      <c r="W452" s="9" t="n">
        <f aca="false">N(F452)+N(G452)</f>
        <v>0</v>
      </c>
    </row>
    <row r="453" customFormat="false" ht="15" hidden="false" customHeight="false" outlineLevel="0" collapsed="false">
      <c r="A453" s="37" t="str">
        <f aca="false">IF(M453="","",ROW()-7)</f>
        <v/>
      </c>
      <c r="B453" s="70"/>
      <c r="C453" s="71"/>
      <c r="D453" s="72"/>
      <c r="E453" s="71"/>
      <c r="F453" s="73"/>
      <c r="G453" s="73"/>
      <c r="H453" s="42" t="str">
        <f aca="false">IF(M453="","",IF(U453&gt;0,"✔ Matched",IF(M453="OUT","Not yet presented","Not yet credited")))</f>
        <v/>
      </c>
      <c r="I453" s="43" t="str">
        <f aca="false">IF(N(U453)&gt;0,U453,"")</f>
        <v/>
      </c>
      <c r="J453" s="44" t="str">
        <f aca="false">IF(N(U453)&gt;0,T453,"")</f>
        <v/>
      </c>
      <c r="K453" s="45" t="str">
        <f aca="false">IF(AND(M453="",B453="",D453=""),"",IF(AND(N(F453)&gt;0,N(G453)&gt;0),"⚠ Fill deposit OR payment",IF(M453="","⚠ Enter amount",IF(B453="","⚠ Enter date",IF(AND(Setup!$C$8&lt;&gt;"",B453&gt;Setup!$C$8),"⚠ Date after period",IF(AND(O453&lt;&gt;"",COUNTIF($O$8:$O$507,O453)&gt;1),"⚠ Cheque no. used twice","✔"))))))</f>
        <v/>
      </c>
      <c r="M453" s="9" t="str">
        <f aca="false">IF(N(F453)&gt;0,"IN",IF(N(G453)&gt;0,"OUT",""))</f>
        <v/>
      </c>
      <c r="N453" s="9" t="str">
        <f aca="false">IF(M453="","",M453&amp;"|"&amp;TEXT(ROUND(N(F453)+N(G453),2),"0.00"))</f>
        <v/>
      </c>
      <c r="O453" s="9" t="str">
        <f aca="false">IF(OR(N453="",TRIM(E453&amp;"")=""),"",N453&amp;"|"&amp;UPPER(TRIM(E453&amp;"")))</f>
        <v/>
      </c>
      <c r="P453" s="9" t="n">
        <f aca="false">IF(O453="",0,IFERROR(MATCH(O453,'Bank Statement'!$O$8:$O$507,0),0))</f>
        <v>0</v>
      </c>
      <c r="Q453" s="9" t="str">
        <f aca="false">IF(OR(N453="",P453&gt;0),"",N453&amp;"#"&amp;COUNTIFS($N$8:N453,N453,$P$8:P453,0))</f>
        <v/>
      </c>
      <c r="R453" s="9" t="n">
        <f aca="false">IF(Q453="",0,IFERROR(MATCH(Q453,'Bank Statement'!$Q$8:$Q$507,0),0))</f>
        <v>0</v>
      </c>
      <c r="S453" s="9" t="n">
        <f aca="false">IF(P453&gt;0,P453,R453)</f>
        <v>0</v>
      </c>
      <c r="T453" s="9" t="str">
        <f aca="false">IF(OR(S453=0,B453=""),"",INDEX('Bank Statement'!$B$8:$B$507,S453)-B453)</f>
        <v/>
      </c>
      <c r="U453" s="9" t="n">
        <f aca="false">IF(S453=0,0,IF(P453&gt;0,S453,IF(AND(ISNUMBER(T453),ABS(N(T453))&lt;=Setup!$C$11),S453,0)))</f>
        <v>0</v>
      </c>
      <c r="V453" s="9" t="str">
        <f aca="false">IF(AND(N453&lt;&gt;"",U453=0),IF(M453="OUT",1,2)*100000+ROW(),"")</f>
        <v/>
      </c>
      <c r="W453" s="9" t="n">
        <f aca="false">N(F453)+N(G453)</f>
        <v>0</v>
      </c>
    </row>
    <row r="454" customFormat="false" ht="15" hidden="false" customHeight="false" outlineLevel="0" collapsed="false">
      <c r="A454" s="37" t="str">
        <f aca="false">IF(M454="","",ROW()-7)</f>
        <v/>
      </c>
      <c r="B454" s="70"/>
      <c r="C454" s="71"/>
      <c r="D454" s="72"/>
      <c r="E454" s="71"/>
      <c r="F454" s="73"/>
      <c r="G454" s="73"/>
      <c r="H454" s="42" t="str">
        <f aca="false">IF(M454="","",IF(U454&gt;0,"✔ Matched",IF(M454="OUT","Not yet presented","Not yet credited")))</f>
        <v/>
      </c>
      <c r="I454" s="43" t="str">
        <f aca="false">IF(N(U454)&gt;0,U454,"")</f>
        <v/>
      </c>
      <c r="J454" s="44" t="str">
        <f aca="false">IF(N(U454)&gt;0,T454,"")</f>
        <v/>
      </c>
      <c r="K454" s="45" t="str">
        <f aca="false">IF(AND(M454="",B454="",D454=""),"",IF(AND(N(F454)&gt;0,N(G454)&gt;0),"⚠ Fill deposit OR payment",IF(M454="","⚠ Enter amount",IF(B454="","⚠ Enter date",IF(AND(Setup!$C$8&lt;&gt;"",B454&gt;Setup!$C$8),"⚠ Date after period",IF(AND(O454&lt;&gt;"",COUNTIF($O$8:$O$507,O454)&gt;1),"⚠ Cheque no. used twice","✔"))))))</f>
        <v/>
      </c>
      <c r="M454" s="9" t="str">
        <f aca="false">IF(N(F454)&gt;0,"IN",IF(N(G454)&gt;0,"OUT",""))</f>
        <v/>
      </c>
      <c r="N454" s="9" t="str">
        <f aca="false">IF(M454="","",M454&amp;"|"&amp;TEXT(ROUND(N(F454)+N(G454),2),"0.00"))</f>
        <v/>
      </c>
      <c r="O454" s="9" t="str">
        <f aca="false">IF(OR(N454="",TRIM(E454&amp;"")=""),"",N454&amp;"|"&amp;UPPER(TRIM(E454&amp;"")))</f>
        <v/>
      </c>
      <c r="P454" s="9" t="n">
        <f aca="false">IF(O454="",0,IFERROR(MATCH(O454,'Bank Statement'!$O$8:$O$507,0),0))</f>
        <v>0</v>
      </c>
      <c r="Q454" s="9" t="str">
        <f aca="false">IF(OR(N454="",P454&gt;0),"",N454&amp;"#"&amp;COUNTIFS($N$8:N454,N454,$P$8:P454,0))</f>
        <v/>
      </c>
      <c r="R454" s="9" t="n">
        <f aca="false">IF(Q454="",0,IFERROR(MATCH(Q454,'Bank Statement'!$Q$8:$Q$507,0),0))</f>
        <v>0</v>
      </c>
      <c r="S454" s="9" t="n">
        <f aca="false">IF(P454&gt;0,P454,R454)</f>
        <v>0</v>
      </c>
      <c r="T454" s="9" t="str">
        <f aca="false">IF(OR(S454=0,B454=""),"",INDEX('Bank Statement'!$B$8:$B$507,S454)-B454)</f>
        <v/>
      </c>
      <c r="U454" s="9" t="n">
        <f aca="false">IF(S454=0,0,IF(P454&gt;0,S454,IF(AND(ISNUMBER(T454),ABS(N(T454))&lt;=Setup!$C$11),S454,0)))</f>
        <v>0</v>
      </c>
      <c r="V454" s="9" t="str">
        <f aca="false">IF(AND(N454&lt;&gt;"",U454=0),IF(M454="OUT",1,2)*100000+ROW(),"")</f>
        <v/>
      </c>
      <c r="W454" s="9" t="n">
        <f aca="false">N(F454)+N(G454)</f>
        <v>0</v>
      </c>
    </row>
    <row r="455" customFormat="false" ht="15" hidden="false" customHeight="false" outlineLevel="0" collapsed="false">
      <c r="A455" s="37" t="str">
        <f aca="false">IF(M455="","",ROW()-7)</f>
        <v/>
      </c>
      <c r="B455" s="70"/>
      <c r="C455" s="71"/>
      <c r="D455" s="72"/>
      <c r="E455" s="71"/>
      <c r="F455" s="73"/>
      <c r="G455" s="73"/>
      <c r="H455" s="42" t="str">
        <f aca="false">IF(M455="","",IF(U455&gt;0,"✔ Matched",IF(M455="OUT","Not yet presented","Not yet credited")))</f>
        <v/>
      </c>
      <c r="I455" s="43" t="str">
        <f aca="false">IF(N(U455)&gt;0,U455,"")</f>
        <v/>
      </c>
      <c r="J455" s="44" t="str">
        <f aca="false">IF(N(U455)&gt;0,T455,"")</f>
        <v/>
      </c>
      <c r="K455" s="45" t="str">
        <f aca="false">IF(AND(M455="",B455="",D455=""),"",IF(AND(N(F455)&gt;0,N(G455)&gt;0),"⚠ Fill deposit OR payment",IF(M455="","⚠ Enter amount",IF(B455="","⚠ Enter date",IF(AND(Setup!$C$8&lt;&gt;"",B455&gt;Setup!$C$8),"⚠ Date after period",IF(AND(O455&lt;&gt;"",COUNTIF($O$8:$O$507,O455)&gt;1),"⚠ Cheque no. used twice","✔"))))))</f>
        <v/>
      </c>
      <c r="M455" s="9" t="str">
        <f aca="false">IF(N(F455)&gt;0,"IN",IF(N(G455)&gt;0,"OUT",""))</f>
        <v/>
      </c>
      <c r="N455" s="9" t="str">
        <f aca="false">IF(M455="","",M455&amp;"|"&amp;TEXT(ROUND(N(F455)+N(G455),2),"0.00"))</f>
        <v/>
      </c>
      <c r="O455" s="9" t="str">
        <f aca="false">IF(OR(N455="",TRIM(E455&amp;"")=""),"",N455&amp;"|"&amp;UPPER(TRIM(E455&amp;"")))</f>
        <v/>
      </c>
      <c r="P455" s="9" t="n">
        <f aca="false">IF(O455="",0,IFERROR(MATCH(O455,'Bank Statement'!$O$8:$O$507,0),0))</f>
        <v>0</v>
      </c>
      <c r="Q455" s="9" t="str">
        <f aca="false">IF(OR(N455="",P455&gt;0),"",N455&amp;"#"&amp;COUNTIFS($N$8:N455,N455,$P$8:P455,0))</f>
        <v/>
      </c>
      <c r="R455" s="9" t="n">
        <f aca="false">IF(Q455="",0,IFERROR(MATCH(Q455,'Bank Statement'!$Q$8:$Q$507,0),0))</f>
        <v>0</v>
      </c>
      <c r="S455" s="9" t="n">
        <f aca="false">IF(P455&gt;0,P455,R455)</f>
        <v>0</v>
      </c>
      <c r="T455" s="9" t="str">
        <f aca="false">IF(OR(S455=0,B455=""),"",INDEX('Bank Statement'!$B$8:$B$507,S455)-B455)</f>
        <v/>
      </c>
      <c r="U455" s="9" t="n">
        <f aca="false">IF(S455=0,0,IF(P455&gt;0,S455,IF(AND(ISNUMBER(T455),ABS(N(T455))&lt;=Setup!$C$11),S455,0)))</f>
        <v>0</v>
      </c>
      <c r="V455" s="9" t="str">
        <f aca="false">IF(AND(N455&lt;&gt;"",U455=0),IF(M455="OUT",1,2)*100000+ROW(),"")</f>
        <v/>
      </c>
      <c r="W455" s="9" t="n">
        <f aca="false">N(F455)+N(G455)</f>
        <v>0</v>
      </c>
    </row>
    <row r="456" customFormat="false" ht="15" hidden="false" customHeight="false" outlineLevel="0" collapsed="false">
      <c r="A456" s="37" t="str">
        <f aca="false">IF(M456="","",ROW()-7)</f>
        <v/>
      </c>
      <c r="B456" s="70"/>
      <c r="C456" s="71"/>
      <c r="D456" s="72"/>
      <c r="E456" s="71"/>
      <c r="F456" s="73"/>
      <c r="G456" s="73"/>
      <c r="H456" s="42" t="str">
        <f aca="false">IF(M456="","",IF(U456&gt;0,"✔ Matched",IF(M456="OUT","Not yet presented","Not yet credited")))</f>
        <v/>
      </c>
      <c r="I456" s="43" t="str">
        <f aca="false">IF(N(U456)&gt;0,U456,"")</f>
        <v/>
      </c>
      <c r="J456" s="44" t="str">
        <f aca="false">IF(N(U456)&gt;0,T456,"")</f>
        <v/>
      </c>
      <c r="K456" s="45" t="str">
        <f aca="false">IF(AND(M456="",B456="",D456=""),"",IF(AND(N(F456)&gt;0,N(G456)&gt;0),"⚠ Fill deposit OR payment",IF(M456="","⚠ Enter amount",IF(B456="","⚠ Enter date",IF(AND(Setup!$C$8&lt;&gt;"",B456&gt;Setup!$C$8),"⚠ Date after period",IF(AND(O456&lt;&gt;"",COUNTIF($O$8:$O$507,O456)&gt;1),"⚠ Cheque no. used twice","✔"))))))</f>
        <v/>
      </c>
      <c r="M456" s="9" t="str">
        <f aca="false">IF(N(F456)&gt;0,"IN",IF(N(G456)&gt;0,"OUT",""))</f>
        <v/>
      </c>
      <c r="N456" s="9" t="str">
        <f aca="false">IF(M456="","",M456&amp;"|"&amp;TEXT(ROUND(N(F456)+N(G456),2),"0.00"))</f>
        <v/>
      </c>
      <c r="O456" s="9" t="str">
        <f aca="false">IF(OR(N456="",TRIM(E456&amp;"")=""),"",N456&amp;"|"&amp;UPPER(TRIM(E456&amp;"")))</f>
        <v/>
      </c>
      <c r="P456" s="9" t="n">
        <f aca="false">IF(O456="",0,IFERROR(MATCH(O456,'Bank Statement'!$O$8:$O$507,0),0))</f>
        <v>0</v>
      </c>
      <c r="Q456" s="9" t="str">
        <f aca="false">IF(OR(N456="",P456&gt;0),"",N456&amp;"#"&amp;COUNTIFS($N$8:N456,N456,$P$8:P456,0))</f>
        <v/>
      </c>
      <c r="R456" s="9" t="n">
        <f aca="false">IF(Q456="",0,IFERROR(MATCH(Q456,'Bank Statement'!$Q$8:$Q$507,0),0))</f>
        <v>0</v>
      </c>
      <c r="S456" s="9" t="n">
        <f aca="false">IF(P456&gt;0,P456,R456)</f>
        <v>0</v>
      </c>
      <c r="T456" s="9" t="str">
        <f aca="false">IF(OR(S456=0,B456=""),"",INDEX('Bank Statement'!$B$8:$B$507,S456)-B456)</f>
        <v/>
      </c>
      <c r="U456" s="9" t="n">
        <f aca="false">IF(S456=0,0,IF(P456&gt;0,S456,IF(AND(ISNUMBER(T456),ABS(N(T456))&lt;=Setup!$C$11),S456,0)))</f>
        <v>0</v>
      </c>
      <c r="V456" s="9" t="str">
        <f aca="false">IF(AND(N456&lt;&gt;"",U456=0),IF(M456="OUT",1,2)*100000+ROW(),"")</f>
        <v/>
      </c>
      <c r="W456" s="9" t="n">
        <f aca="false">N(F456)+N(G456)</f>
        <v>0</v>
      </c>
    </row>
    <row r="457" customFormat="false" ht="15" hidden="false" customHeight="false" outlineLevel="0" collapsed="false">
      <c r="A457" s="37" t="str">
        <f aca="false">IF(M457="","",ROW()-7)</f>
        <v/>
      </c>
      <c r="B457" s="70"/>
      <c r="C457" s="71"/>
      <c r="D457" s="72"/>
      <c r="E457" s="71"/>
      <c r="F457" s="73"/>
      <c r="G457" s="73"/>
      <c r="H457" s="42" t="str">
        <f aca="false">IF(M457="","",IF(U457&gt;0,"✔ Matched",IF(M457="OUT","Not yet presented","Not yet credited")))</f>
        <v/>
      </c>
      <c r="I457" s="43" t="str">
        <f aca="false">IF(N(U457)&gt;0,U457,"")</f>
        <v/>
      </c>
      <c r="J457" s="44" t="str">
        <f aca="false">IF(N(U457)&gt;0,T457,"")</f>
        <v/>
      </c>
      <c r="K457" s="45" t="str">
        <f aca="false">IF(AND(M457="",B457="",D457=""),"",IF(AND(N(F457)&gt;0,N(G457)&gt;0),"⚠ Fill deposit OR payment",IF(M457="","⚠ Enter amount",IF(B457="","⚠ Enter date",IF(AND(Setup!$C$8&lt;&gt;"",B457&gt;Setup!$C$8),"⚠ Date after period",IF(AND(O457&lt;&gt;"",COUNTIF($O$8:$O$507,O457)&gt;1),"⚠ Cheque no. used twice","✔"))))))</f>
        <v/>
      </c>
      <c r="M457" s="9" t="str">
        <f aca="false">IF(N(F457)&gt;0,"IN",IF(N(G457)&gt;0,"OUT",""))</f>
        <v/>
      </c>
      <c r="N457" s="9" t="str">
        <f aca="false">IF(M457="","",M457&amp;"|"&amp;TEXT(ROUND(N(F457)+N(G457),2),"0.00"))</f>
        <v/>
      </c>
      <c r="O457" s="9" t="str">
        <f aca="false">IF(OR(N457="",TRIM(E457&amp;"")=""),"",N457&amp;"|"&amp;UPPER(TRIM(E457&amp;"")))</f>
        <v/>
      </c>
      <c r="P457" s="9" t="n">
        <f aca="false">IF(O457="",0,IFERROR(MATCH(O457,'Bank Statement'!$O$8:$O$507,0),0))</f>
        <v>0</v>
      </c>
      <c r="Q457" s="9" t="str">
        <f aca="false">IF(OR(N457="",P457&gt;0),"",N457&amp;"#"&amp;COUNTIFS($N$8:N457,N457,$P$8:P457,0))</f>
        <v/>
      </c>
      <c r="R457" s="9" t="n">
        <f aca="false">IF(Q457="",0,IFERROR(MATCH(Q457,'Bank Statement'!$Q$8:$Q$507,0),0))</f>
        <v>0</v>
      </c>
      <c r="S457" s="9" t="n">
        <f aca="false">IF(P457&gt;0,P457,R457)</f>
        <v>0</v>
      </c>
      <c r="T457" s="9" t="str">
        <f aca="false">IF(OR(S457=0,B457=""),"",INDEX('Bank Statement'!$B$8:$B$507,S457)-B457)</f>
        <v/>
      </c>
      <c r="U457" s="9" t="n">
        <f aca="false">IF(S457=0,0,IF(P457&gt;0,S457,IF(AND(ISNUMBER(T457),ABS(N(T457))&lt;=Setup!$C$11),S457,0)))</f>
        <v>0</v>
      </c>
      <c r="V457" s="9" t="str">
        <f aca="false">IF(AND(N457&lt;&gt;"",U457=0),IF(M457="OUT",1,2)*100000+ROW(),"")</f>
        <v/>
      </c>
      <c r="W457" s="9" t="n">
        <f aca="false">N(F457)+N(G457)</f>
        <v>0</v>
      </c>
    </row>
    <row r="458" customFormat="false" ht="15" hidden="false" customHeight="false" outlineLevel="0" collapsed="false">
      <c r="A458" s="37" t="str">
        <f aca="false">IF(M458="","",ROW()-7)</f>
        <v/>
      </c>
      <c r="B458" s="70"/>
      <c r="C458" s="71"/>
      <c r="D458" s="72"/>
      <c r="E458" s="71"/>
      <c r="F458" s="73"/>
      <c r="G458" s="73"/>
      <c r="H458" s="42" t="str">
        <f aca="false">IF(M458="","",IF(U458&gt;0,"✔ Matched",IF(M458="OUT","Not yet presented","Not yet credited")))</f>
        <v/>
      </c>
      <c r="I458" s="43" t="str">
        <f aca="false">IF(N(U458)&gt;0,U458,"")</f>
        <v/>
      </c>
      <c r="J458" s="44" t="str">
        <f aca="false">IF(N(U458)&gt;0,T458,"")</f>
        <v/>
      </c>
      <c r="K458" s="45" t="str">
        <f aca="false">IF(AND(M458="",B458="",D458=""),"",IF(AND(N(F458)&gt;0,N(G458)&gt;0),"⚠ Fill deposit OR payment",IF(M458="","⚠ Enter amount",IF(B458="","⚠ Enter date",IF(AND(Setup!$C$8&lt;&gt;"",B458&gt;Setup!$C$8),"⚠ Date after period",IF(AND(O458&lt;&gt;"",COUNTIF($O$8:$O$507,O458)&gt;1),"⚠ Cheque no. used twice","✔"))))))</f>
        <v/>
      </c>
      <c r="M458" s="9" t="str">
        <f aca="false">IF(N(F458)&gt;0,"IN",IF(N(G458)&gt;0,"OUT",""))</f>
        <v/>
      </c>
      <c r="N458" s="9" t="str">
        <f aca="false">IF(M458="","",M458&amp;"|"&amp;TEXT(ROUND(N(F458)+N(G458),2),"0.00"))</f>
        <v/>
      </c>
      <c r="O458" s="9" t="str">
        <f aca="false">IF(OR(N458="",TRIM(E458&amp;"")=""),"",N458&amp;"|"&amp;UPPER(TRIM(E458&amp;"")))</f>
        <v/>
      </c>
      <c r="P458" s="9" t="n">
        <f aca="false">IF(O458="",0,IFERROR(MATCH(O458,'Bank Statement'!$O$8:$O$507,0),0))</f>
        <v>0</v>
      </c>
      <c r="Q458" s="9" t="str">
        <f aca="false">IF(OR(N458="",P458&gt;0),"",N458&amp;"#"&amp;COUNTIFS($N$8:N458,N458,$P$8:P458,0))</f>
        <v/>
      </c>
      <c r="R458" s="9" t="n">
        <f aca="false">IF(Q458="",0,IFERROR(MATCH(Q458,'Bank Statement'!$Q$8:$Q$507,0),0))</f>
        <v>0</v>
      </c>
      <c r="S458" s="9" t="n">
        <f aca="false">IF(P458&gt;0,P458,R458)</f>
        <v>0</v>
      </c>
      <c r="T458" s="9" t="str">
        <f aca="false">IF(OR(S458=0,B458=""),"",INDEX('Bank Statement'!$B$8:$B$507,S458)-B458)</f>
        <v/>
      </c>
      <c r="U458" s="9" t="n">
        <f aca="false">IF(S458=0,0,IF(P458&gt;0,S458,IF(AND(ISNUMBER(T458),ABS(N(T458))&lt;=Setup!$C$11),S458,0)))</f>
        <v>0</v>
      </c>
      <c r="V458" s="9" t="str">
        <f aca="false">IF(AND(N458&lt;&gt;"",U458=0),IF(M458="OUT",1,2)*100000+ROW(),"")</f>
        <v/>
      </c>
      <c r="W458" s="9" t="n">
        <f aca="false">N(F458)+N(G458)</f>
        <v>0</v>
      </c>
    </row>
    <row r="459" customFormat="false" ht="15" hidden="false" customHeight="false" outlineLevel="0" collapsed="false">
      <c r="A459" s="37" t="str">
        <f aca="false">IF(M459="","",ROW()-7)</f>
        <v/>
      </c>
      <c r="B459" s="70"/>
      <c r="C459" s="71"/>
      <c r="D459" s="72"/>
      <c r="E459" s="71"/>
      <c r="F459" s="73"/>
      <c r="G459" s="73"/>
      <c r="H459" s="42" t="str">
        <f aca="false">IF(M459="","",IF(U459&gt;0,"✔ Matched",IF(M459="OUT","Not yet presented","Not yet credited")))</f>
        <v/>
      </c>
      <c r="I459" s="43" t="str">
        <f aca="false">IF(N(U459)&gt;0,U459,"")</f>
        <v/>
      </c>
      <c r="J459" s="44" t="str">
        <f aca="false">IF(N(U459)&gt;0,T459,"")</f>
        <v/>
      </c>
      <c r="K459" s="45" t="str">
        <f aca="false">IF(AND(M459="",B459="",D459=""),"",IF(AND(N(F459)&gt;0,N(G459)&gt;0),"⚠ Fill deposit OR payment",IF(M459="","⚠ Enter amount",IF(B459="","⚠ Enter date",IF(AND(Setup!$C$8&lt;&gt;"",B459&gt;Setup!$C$8),"⚠ Date after period",IF(AND(O459&lt;&gt;"",COUNTIF($O$8:$O$507,O459)&gt;1),"⚠ Cheque no. used twice","✔"))))))</f>
        <v/>
      </c>
      <c r="M459" s="9" t="str">
        <f aca="false">IF(N(F459)&gt;0,"IN",IF(N(G459)&gt;0,"OUT",""))</f>
        <v/>
      </c>
      <c r="N459" s="9" t="str">
        <f aca="false">IF(M459="","",M459&amp;"|"&amp;TEXT(ROUND(N(F459)+N(G459),2),"0.00"))</f>
        <v/>
      </c>
      <c r="O459" s="9" t="str">
        <f aca="false">IF(OR(N459="",TRIM(E459&amp;"")=""),"",N459&amp;"|"&amp;UPPER(TRIM(E459&amp;"")))</f>
        <v/>
      </c>
      <c r="P459" s="9" t="n">
        <f aca="false">IF(O459="",0,IFERROR(MATCH(O459,'Bank Statement'!$O$8:$O$507,0),0))</f>
        <v>0</v>
      </c>
      <c r="Q459" s="9" t="str">
        <f aca="false">IF(OR(N459="",P459&gt;0),"",N459&amp;"#"&amp;COUNTIFS($N$8:N459,N459,$P$8:P459,0))</f>
        <v/>
      </c>
      <c r="R459" s="9" t="n">
        <f aca="false">IF(Q459="",0,IFERROR(MATCH(Q459,'Bank Statement'!$Q$8:$Q$507,0),0))</f>
        <v>0</v>
      </c>
      <c r="S459" s="9" t="n">
        <f aca="false">IF(P459&gt;0,P459,R459)</f>
        <v>0</v>
      </c>
      <c r="T459" s="9" t="str">
        <f aca="false">IF(OR(S459=0,B459=""),"",INDEX('Bank Statement'!$B$8:$B$507,S459)-B459)</f>
        <v/>
      </c>
      <c r="U459" s="9" t="n">
        <f aca="false">IF(S459=0,0,IF(P459&gt;0,S459,IF(AND(ISNUMBER(T459),ABS(N(T459))&lt;=Setup!$C$11),S459,0)))</f>
        <v>0</v>
      </c>
      <c r="V459" s="9" t="str">
        <f aca="false">IF(AND(N459&lt;&gt;"",U459=0),IF(M459="OUT",1,2)*100000+ROW(),"")</f>
        <v/>
      </c>
      <c r="W459" s="9" t="n">
        <f aca="false">N(F459)+N(G459)</f>
        <v>0</v>
      </c>
    </row>
    <row r="460" customFormat="false" ht="15" hidden="false" customHeight="false" outlineLevel="0" collapsed="false">
      <c r="A460" s="37" t="str">
        <f aca="false">IF(M460="","",ROW()-7)</f>
        <v/>
      </c>
      <c r="B460" s="70"/>
      <c r="C460" s="71"/>
      <c r="D460" s="72"/>
      <c r="E460" s="71"/>
      <c r="F460" s="73"/>
      <c r="G460" s="73"/>
      <c r="H460" s="42" t="str">
        <f aca="false">IF(M460="","",IF(U460&gt;0,"✔ Matched",IF(M460="OUT","Not yet presented","Not yet credited")))</f>
        <v/>
      </c>
      <c r="I460" s="43" t="str">
        <f aca="false">IF(N(U460)&gt;0,U460,"")</f>
        <v/>
      </c>
      <c r="J460" s="44" t="str">
        <f aca="false">IF(N(U460)&gt;0,T460,"")</f>
        <v/>
      </c>
      <c r="K460" s="45" t="str">
        <f aca="false">IF(AND(M460="",B460="",D460=""),"",IF(AND(N(F460)&gt;0,N(G460)&gt;0),"⚠ Fill deposit OR payment",IF(M460="","⚠ Enter amount",IF(B460="","⚠ Enter date",IF(AND(Setup!$C$8&lt;&gt;"",B460&gt;Setup!$C$8),"⚠ Date after period",IF(AND(O460&lt;&gt;"",COUNTIF($O$8:$O$507,O460)&gt;1),"⚠ Cheque no. used twice","✔"))))))</f>
        <v/>
      </c>
      <c r="M460" s="9" t="str">
        <f aca="false">IF(N(F460)&gt;0,"IN",IF(N(G460)&gt;0,"OUT",""))</f>
        <v/>
      </c>
      <c r="N460" s="9" t="str">
        <f aca="false">IF(M460="","",M460&amp;"|"&amp;TEXT(ROUND(N(F460)+N(G460),2),"0.00"))</f>
        <v/>
      </c>
      <c r="O460" s="9" t="str">
        <f aca="false">IF(OR(N460="",TRIM(E460&amp;"")=""),"",N460&amp;"|"&amp;UPPER(TRIM(E460&amp;"")))</f>
        <v/>
      </c>
      <c r="P460" s="9" t="n">
        <f aca="false">IF(O460="",0,IFERROR(MATCH(O460,'Bank Statement'!$O$8:$O$507,0),0))</f>
        <v>0</v>
      </c>
      <c r="Q460" s="9" t="str">
        <f aca="false">IF(OR(N460="",P460&gt;0),"",N460&amp;"#"&amp;COUNTIFS($N$8:N460,N460,$P$8:P460,0))</f>
        <v/>
      </c>
      <c r="R460" s="9" t="n">
        <f aca="false">IF(Q460="",0,IFERROR(MATCH(Q460,'Bank Statement'!$Q$8:$Q$507,0),0))</f>
        <v>0</v>
      </c>
      <c r="S460" s="9" t="n">
        <f aca="false">IF(P460&gt;0,P460,R460)</f>
        <v>0</v>
      </c>
      <c r="T460" s="9" t="str">
        <f aca="false">IF(OR(S460=0,B460=""),"",INDEX('Bank Statement'!$B$8:$B$507,S460)-B460)</f>
        <v/>
      </c>
      <c r="U460" s="9" t="n">
        <f aca="false">IF(S460=0,0,IF(P460&gt;0,S460,IF(AND(ISNUMBER(T460),ABS(N(T460))&lt;=Setup!$C$11),S460,0)))</f>
        <v>0</v>
      </c>
      <c r="V460" s="9" t="str">
        <f aca="false">IF(AND(N460&lt;&gt;"",U460=0),IF(M460="OUT",1,2)*100000+ROW(),"")</f>
        <v/>
      </c>
      <c r="W460" s="9" t="n">
        <f aca="false">N(F460)+N(G460)</f>
        <v>0</v>
      </c>
    </row>
    <row r="461" customFormat="false" ht="15" hidden="false" customHeight="false" outlineLevel="0" collapsed="false">
      <c r="A461" s="37" t="str">
        <f aca="false">IF(M461="","",ROW()-7)</f>
        <v/>
      </c>
      <c r="B461" s="70"/>
      <c r="C461" s="71"/>
      <c r="D461" s="72"/>
      <c r="E461" s="71"/>
      <c r="F461" s="73"/>
      <c r="G461" s="73"/>
      <c r="H461" s="42" t="str">
        <f aca="false">IF(M461="","",IF(U461&gt;0,"✔ Matched",IF(M461="OUT","Not yet presented","Not yet credited")))</f>
        <v/>
      </c>
      <c r="I461" s="43" t="str">
        <f aca="false">IF(N(U461)&gt;0,U461,"")</f>
        <v/>
      </c>
      <c r="J461" s="44" t="str">
        <f aca="false">IF(N(U461)&gt;0,T461,"")</f>
        <v/>
      </c>
      <c r="K461" s="45" t="str">
        <f aca="false">IF(AND(M461="",B461="",D461=""),"",IF(AND(N(F461)&gt;0,N(G461)&gt;0),"⚠ Fill deposit OR payment",IF(M461="","⚠ Enter amount",IF(B461="","⚠ Enter date",IF(AND(Setup!$C$8&lt;&gt;"",B461&gt;Setup!$C$8),"⚠ Date after period",IF(AND(O461&lt;&gt;"",COUNTIF($O$8:$O$507,O461)&gt;1),"⚠ Cheque no. used twice","✔"))))))</f>
        <v/>
      </c>
      <c r="M461" s="9" t="str">
        <f aca="false">IF(N(F461)&gt;0,"IN",IF(N(G461)&gt;0,"OUT",""))</f>
        <v/>
      </c>
      <c r="N461" s="9" t="str">
        <f aca="false">IF(M461="","",M461&amp;"|"&amp;TEXT(ROUND(N(F461)+N(G461),2),"0.00"))</f>
        <v/>
      </c>
      <c r="O461" s="9" t="str">
        <f aca="false">IF(OR(N461="",TRIM(E461&amp;"")=""),"",N461&amp;"|"&amp;UPPER(TRIM(E461&amp;"")))</f>
        <v/>
      </c>
      <c r="P461" s="9" t="n">
        <f aca="false">IF(O461="",0,IFERROR(MATCH(O461,'Bank Statement'!$O$8:$O$507,0),0))</f>
        <v>0</v>
      </c>
      <c r="Q461" s="9" t="str">
        <f aca="false">IF(OR(N461="",P461&gt;0),"",N461&amp;"#"&amp;COUNTIFS($N$8:N461,N461,$P$8:P461,0))</f>
        <v/>
      </c>
      <c r="R461" s="9" t="n">
        <f aca="false">IF(Q461="",0,IFERROR(MATCH(Q461,'Bank Statement'!$Q$8:$Q$507,0),0))</f>
        <v>0</v>
      </c>
      <c r="S461" s="9" t="n">
        <f aca="false">IF(P461&gt;0,P461,R461)</f>
        <v>0</v>
      </c>
      <c r="T461" s="9" t="str">
        <f aca="false">IF(OR(S461=0,B461=""),"",INDEX('Bank Statement'!$B$8:$B$507,S461)-B461)</f>
        <v/>
      </c>
      <c r="U461" s="9" t="n">
        <f aca="false">IF(S461=0,0,IF(P461&gt;0,S461,IF(AND(ISNUMBER(T461),ABS(N(T461))&lt;=Setup!$C$11),S461,0)))</f>
        <v>0</v>
      </c>
      <c r="V461" s="9" t="str">
        <f aca="false">IF(AND(N461&lt;&gt;"",U461=0),IF(M461="OUT",1,2)*100000+ROW(),"")</f>
        <v/>
      </c>
      <c r="W461" s="9" t="n">
        <f aca="false">N(F461)+N(G461)</f>
        <v>0</v>
      </c>
    </row>
    <row r="462" customFormat="false" ht="15" hidden="false" customHeight="false" outlineLevel="0" collapsed="false">
      <c r="A462" s="37" t="str">
        <f aca="false">IF(M462="","",ROW()-7)</f>
        <v/>
      </c>
      <c r="B462" s="70"/>
      <c r="C462" s="71"/>
      <c r="D462" s="72"/>
      <c r="E462" s="71"/>
      <c r="F462" s="73"/>
      <c r="G462" s="73"/>
      <c r="H462" s="42" t="str">
        <f aca="false">IF(M462="","",IF(U462&gt;0,"✔ Matched",IF(M462="OUT","Not yet presented","Not yet credited")))</f>
        <v/>
      </c>
      <c r="I462" s="43" t="str">
        <f aca="false">IF(N(U462)&gt;0,U462,"")</f>
        <v/>
      </c>
      <c r="J462" s="44" t="str">
        <f aca="false">IF(N(U462)&gt;0,T462,"")</f>
        <v/>
      </c>
      <c r="K462" s="45" t="str">
        <f aca="false">IF(AND(M462="",B462="",D462=""),"",IF(AND(N(F462)&gt;0,N(G462)&gt;0),"⚠ Fill deposit OR payment",IF(M462="","⚠ Enter amount",IF(B462="","⚠ Enter date",IF(AND(Setup!$C$8&lt;&gt;"",B462&gt;Setup!$C$8),"⚠ Date after period",IF(AND(O462&lt;&gt;"",COUNTIF($O$8:$O$507,O462)&gt;1),"⚠ Cheque no. used twice","✔"))))))</f>
        <v/>
      </c>
      <c r="M462" s="9" t="str">
        <f aca="false">IF(N(F462)&gt;0,"IN",IF(N(G462)&gt;0,"OUT",""))</f>
        <v/>
      </c>
      <c r="N462" s="9" t="str">
        <f aca="false">IF(M462="","",M462&amp;"|"&amp;TEXT(ROUND(N(F462)+N(G462),2),"0.00"))</f>
        <v/>
      </c>
      <c r="O462" s="9" t="str">
        <f aca="false">IF(OR(N462="",TRIM(E462&amp;"")=""),"",N462&amp;"|"&amp;UPPER(TRIM(E462&amp;"")))</f>
        <v/>
      </c>
      <c r="P462" s="9" t="n">
        <f aca="false">IF(O462="",0,IFERROR(MATCH(O462,'Bank Statement'!$O$8:$O$507,0),0))</f>
        <v>0</v>
      </c>
      <c r="Q462" s="9" t="str">
        <f aca="false">IF(OR(N462="",P462&gt;0),"",N462&amp;"#"&amp;COUNTIFS($N$8:N462,N462,$P$8:P462,0))</f>
        <v/>
      </c>
      <c r="R462" s="9" t="n">
        <f aca="false">IF(Q462="",0,IFERROR(MATCH(Q462,'Bank Statement'!$Q$8:$Q$507,0),0))</f>
        <v>0</v>
      </c>
      <c r="S462" s="9" t="n">
        <f aca="false">IF(P462&gt;0,P462,R462)</f>
        <v>0</v>
      </c>
      <c r="T462" s="9" t="str">
        <f aca="false">IF(OR(S462=0,B462=""),"",INDEX('Bank Statement'!$B$8:$B$507,S462)-B462)</f>
        <v/>
      </c>
      <c r="U462" s="9" t="n">
        <f aca="false">IF(S462=0,0,IF(P462&gt;0,S462,IF(AND(ISNUMBER(T462),ABS(N(T462))&lt;=Setup!$C$11),S462,0)))</f>
        <v>0</v>
      </c>
      <c r="V462" s="9" t="str">
        <f aca="false">IF(AND(N462&lt;&gt;"",U462=0),IF(M462="OUT",1,2)*100000+ROW(),"")</f>
        <v/>
      </c>
      <c r="W462" s="9" t="n">
        <f aca="false">N(F462)+N(G462)</f>
        <v>0</v>
      </c>
    </row>
    <row r="463" customFormat="false" ht="15" hidden="false" customHeight="false" outlineLevel="0" collapsed="false">
      <c r="A463" s="37" t="str">
        <f aca="false">IF(M463="","",ROW()-7)</f>
        <v/>
      </c>
      <c r="B463" s="70"/>
      <c r="C463" s="71"/>
      <c r="D463" s="72"/>
      <c r="E463" s="71"/>
      <c r="F463" s="73"/>
      <c r="G463" s="73"/>
      <c r="H463" s="42" t="str">
        <f aca="false">IF(M463="","",IF(U463&gt;0,"✔ Matched",IF(M463="OUT","Not yet presented","Not yet credited")))</f>
        <v/>
      </c>
      <c r="I463" s="43" t="str">
        <f aca="false">IF(N(U463)&gt;0,U463,"")</f>
        <v/>
      </c>
      <c r="J463" s="44" t="str">
        <f aca="false">IF(N(U463)&gt;0,T463,"")</f>
        <v/>
      </c>
      <c r="K463" s="45" t="str">
        <f aca="false">IF(AND(M463="",B463="",D463=""),"",IF(AND(N(F463)&gt;0,N(G463)&gt;0),"⚠ Fill deposit OR payment",IF(M463="","⚠ Enter amount",IF(B463="","⚠ Enter date",IF(AND(Setup!$C$8&lt;&gt;"",B463&gt;Setup!$C$8),"⚠ Date after period",IF(AND(O463&lt;&gt;"",COUNTIF($O$8:$O$507,O463)&gt;1),"⚠ Cheque no. used twice","✔"))))))</f>
        <v/>
      </c>
      <c r="M463" s="9" t="str">
        <f aca="false">IF(N(F463)&gt;0,"IN",IF(N(G463)&gt;0,"OUT",""))</f>
        <v/>
      </c>
      <c r="N463" s="9" t="str">
        <f aca="false">IF(M463="","",M463&amp;"|"&amp;TEXT(ROUND(N(F463)+N(G463),2),"0.00"))</f>
        <v/>
      </c>
      <c r="O463" s="9" t="str">
        <f aca="false">IF(OR(N463="",TRIM(E463&amp;"")=""),"",N463&amp;"|"&amp;UPPER(TRIM(E463&amp;"")))</f>
        <v/>
      </c>
      <c r="P463" s="9" t="n">
        <f aca="false">IF(O463="",0,IFERROR(MATCH(O463,'Bank Statement'!$O$8:$O$507,0),0))</f>
        <v>0</v>
      </c>
      <c r="Q463" s="9" t="str">
        <f aca="false">IF(OR(N463="",P463&gt;0),"",N463&amp;"#"&amp;COUNTIFS($N$8:N463,N463,$P$8:P463,0))</f>
        <v/>
      </c>
      <c r="R463" s="9" t="n">
        <f aca="false">IF(Q463="",0,IFERROR(MATCH(Q463,'Bank Statement'!$Q$8:$Q$507,0),0))</f>
        <v>0</v>
      </c>
      <c r="S463" s="9" t="n">
        <f aca="false">IF(P463&gt;0,P463,R463)</f>
        <v>0</v>
      </c>
      <c r="T463" s="9" t="str">
        <f aca="false">IF(OR(S463=0,B463=""),"",INDEX('Bank Statement'!$B$8:$B$507,S463)-B463)</f>
        <v/>
      </c>
      <c r="U463" s="9" t="n">
        <f aca="false">IF(S463=0,0,IF(P463&gt;0,S463,IF(AND(ISNUMBER(T463),ABS(N(T463))&lt;=Setup!$C$11),S463,0)))</f>
        <v>0</v>
      </c>
      <c r="V463" s="9" t="str">
        <f aca="false">IF(AND(N463&lt;&gt;"",U463=0),IF(M463="OUT",1,2)*100000+ROW(),"")</f>
        <v/>
      </c>
      <c r="W463" s="9" t="n">
        <f aca="false">N(F463)+N(G463)</f>
        <v>0</v>
      </c>
    </row>
    <row r="464" customFormat="false" ht="15" hidden="false" customHeight="false" outlineLevel="0" collapsed="false">
      <c r="A464" s="37" t="str">
        <f aca="false">IF(M464="","",ROW()-7)</f>
        <v/>
      </c>
      <c r="B464" s="70"/>
      <c r="C464" s="71"/>
      <c r="D464" s="72"/>
      <c r="E464" s="71"/>
      <c r="F464" s="73"/>
      <c r="G464" s="73"/>
      <c r="H464" s="42" t="str">
        <f aca="false">IF(M464="","",IF(U464&gt;0,"✔ Matched",IF(M464="OUT","Not yet presented","Not yet credited")))</f>
        <v/>
      </c>
      <c r="I464" s="43" t="str">
        <f aca="false">IF(N(U464)&gt;0,U464,"")</f>
        <v/>
      </c>
      <c r="J464" s="44" t="str">
        <f aca="false">IF(N(U464)&gt;0,T464,"")</f>
        <v/>
      </c>
      <c r="K464" s="45" t="str">
        <f aca="false">IF(AND(M464="",B464="",D464=""),"",IF(AND(N(F464)&gt;0,N(G464)&gt;0),"⚠ Fill deposit OR payment",IF(M464="","⚠ Enter amount",IF(B464="","⚠ Enter date",IF(AND(Setup!$C$8&lt;&gt;"",B464&gt;Setup!$C$8),"⚠ Date after period",IF(AND(O464&lt;&gt;"",COUNTIF($O$8:$O$507,O464)&gt;1),"⚠ Cheque no. used twice","✔"))))))</f>
        <v/>
      </c>
      <c r="M464" s="9" t="str">
        <f aca="false">IF(N(F464)&gt;0,"IN",IF(N(G464)&gt;0,"OUT",""))</f>
        <v/>
      </c>
      <c r="N464" s="9" t="str">
        <f aca="false">IF(M464="","",M464&amp;"|"&amp;TEXT(ROUND(N(F464)+N(G464),2),"0.00"))</f>
        <v/>
      </c>
      <c r="O464" s="9" t="str">
        <f aca="false">IF(OR(N464="",TRIM(E464&amp;"")=""),"",N464&amp;"|"&amp;UPPER(TRIM(E464&amp;"")))</f>
        <v/>
      </c>
      <c r="P464" s="9" t="n">
        <f aca="false">IF(O464="",0,IFERROR(MATCH(O464,'Bank Statement'!$O$8:$O$507,0),0))</f>
        <v>0</v>
      </c>
      <c r="Q464" s="9" t="str">
        <f aca="false">IF(OR(N464="",P464&gt;0),"",N464&amp;"#"&amp;COUNTIFS($N$8:N464,N464,$P$8:P464,0))</f>
        <v/>
      </c>
      <c r="R464" s="9" t="n">
        <f aca="false">IF(Q464="",0,IFERROR(MATCH(Q464,'Bank Statement'!$Q$8:$Q$507,0),0))</f>
        <v>0</v>
      </c>
      <c r="S464" s="9" t="n">
        <f aca="false">IF(P464&gt;0,P464,R464)</f>
        <v>0</v>
      </c>
      <c r="T464" s="9" t="str">
        <f aca="false">IF(OR(S464=0,B464=""),"",INDEX('Bank Statement'!$B$8:$B$507,S464)-B464)</f>
        <v/>
      </c>
      <c r="U464" s="9" t="n">
        <f aca="false">IF(S464=0,0,IF(P464&gt;0,S464,IF(AND(ISNUMBER(T464),ABS(N(T464))&lt;=Setup!$C$11),S464,0)))</f>
        <v>0</v>
      </c>
      <c r="V464" s="9" t="str">
        <f aca="false">IF(AND(N464&lt;&gt;"",U464=0),IF(M464="OUT",1,2)*100000+ROW(),"")</f>
        <v/>
      </c>
      <c r="W464" s="9" t="n">
        <f aca="false">N(F464)+N(G464)</f>
        <v>0</v>
      </c>
    </row>
    <row r="465" customFormat="false" ht="15" hidden="false" customHeight="false" outlineLevel="0" collapsed="false">
      <c r="A465" s="37" t="str">
        <f aca="false">IF(M465="","",ROW()-7)</f>
        <v/>
      </c>
      <c r="B465" s="70"/>
      <c r="C465" s="71"/>
      <c r="D465" s="72"/>
      <c r="E465" s="71"/>
      <c r="F465" s="73"/>
      <c r="G465" s="73"/>
      <c r="H465" s="42" t="str">
        <f aca="false">IF(M465="","",IF(U465&gt;0,"✔ Matched",IF(M465="OUT","Not yet presented","Not yet credited")))</f>
        <v/>
      </c>
      <c r="I465" s="43" t="str">
        <f aca="false">IF(N(U465)&gt;0,U465,"")</f>
        <v/>
      </c>
      <c r="J465" s="44" t="str">
        <f aca="false">IF(N(U465)&gt;0,T465,"")</f>
        <v/>
      </c>
      <c r="K465" s="45" t="str">
        <f aca="false">IF(AND(M465="",B465="",D465=""),"",IF(AND(N(F465)&gt;0,N(G465)&gt;0),"⚠ Fill deposit OR payment",IF(M465="","⚠ Enter amount",IF(B465="","⚠ Enter date",IF(AND(Setup!$C$8&lt;&gt;"",B465&gt;Setup!$C$8),"⚠ Date after period",IF(AND(O465&lt;&gt;"",COUNTIF($O$8:$O$507,O465)&gt;1),"⚠ Cheque no. used twice","✔"))))))</f>
        <v/>
      </c>
      <c r="M465" s="9" t="str">
        <f aca="false">IF(N(F465)&gt;0,"IN",IF(N(G465)&gt;0,"OUT",""))</f>
        <v/>
      </c>
      <c r="N465" s="9" t="str">
        <f aca="false">IF(M465="","",M465&amp;"|"&amp;TEXT(ROUND(N(F465)+N(G465),2),"0.00"))</f>
        <v/>
      </c>
      <c r="O465" s="9" t="str">
        <f aca="false">IF(OR(N465="",TRIM(E465&amp;"")=""),"",N465&amp;"|"&amp;UPPER(TRIM(E465&amp;"")))</f>
        <v/>
      </c>
      <c r="P465" s="9" t="n">
        <f aca="false">IF(O465="",0,IFERROR(MATCH(O465,'Bank Statement'!$O$8:$O$507,0),0))</f>
        <v>0</v>
      </c>
      <c r="Q465" s="9" t="str">
        <f aca="false">IF(OR(N465="",P465&gt;0),"",N465&amp;"#"&amp;COUNTIFS($N$8:N465,N465,$P$8:P465,0))</f>
        <v/>
      </c>
      <c r="R465" s="9" t="n">
        <f aca="false">IF(Q465="",0,IFERROR(MATCH(Q465,'Bank Statement'!$Q$8:$Q$507,0),0))</f>
        <v>0</v>
      </c>
      <c r="S465" s="9" t="n">
        <f aca="false">IF(P465&gt;0,P465,R465)</f>
        <v>0</v>
      </c>
      <c r="T465" s="9" t="str">
        <f aca="false">IF(OR(S465=0,B465=""),"",INDEX('Bank Statement'!$B$8:$B$507,S465)-B465)</f>
        <v/>
      </c>
      <c r="U465" s="9" t="n">
        <f aca="false">IF(S465=0,0,IF(P465&gt;0,S465,IF(AND(ISNUMBER(T465),ABS(N(T465))&lt;=Setup!$C$11),S465,0)))</f>
        <v>0</v>
      </c>
      <c r="V465" s="9" t="str">
        <f aca="false">IF(AND(N465&lt;&gt;"",U465=0),IF(M465="OUT",1,2)*100000+ROW(),"")</f>
        <v/>
      </c>
      <c r="W465" s="9" t="n">
        <f aca="false">N(F465)+N(G465)</f>
        <v>0</v>
      </c>
    </row>
    <row r="466" customFormat="false" ht="15" hidden="false" customHeight="false" outlineLevel="0" collapsed="false">
      <c r="A466" s="37" t="str">
        <f aca="false">IF(M466="","",ROW()-7)</f>
        <v/>
      </c>
      <c r="B466" s="70"/>
      <c r="C466" s="71"/>
      <c r="D466" s="72"/>
      <c r="E466" s="71"/>
      <c r="F466" s="73"/>
      <c r="G466" s="73"/>
      <c r="H466" s="42" t="str">
        <f aca="false">IF(M466="","",IF(U466&gt;0,"✔ Matched",IF(M466="OUT","Not yet presented","Not yet credited")))</f>
        <v/>
      </c>
      <c r="I466" s="43" t="str">
        <f aca="false">IF(N(U466)&gt;0,U466,"")</f>
        <v/>
      </c>
      <c r="J466" s="44" t="str">
        <f aca="false">IF(N(U466)&gt;0,T466,"")</f>
        <v/>
      </c>
      <c r="K466" s="45" t="str">
        <f aca="false">IF(AND(M466="",B466="",D466=""),"",IF(AND(N(F466)&gt;0,N(G466)&gt;0),"⚠ Fill deposit OR payment",IF(M466="","⚠ Enter amount",IF(B466="","⚠ Enter date",IF(AND(Setup!$C$8&lt;&gt;"",B466&gt;Setup!$C$8),"⚠ Date after period",IF(AND(O466&lt;&gt;"",COUNTIF($O$8:$O$507,O466)&gt;1),"⚠ Cheque no. used twice","✔"))))))</f>
        <v/>
      </c>
      <c r="M466" s="9" t="str">
        <f aca="false">IF(N(F466)&gt;0,"IN",IF(N(G466)&gt;0,"OUT",""))</f>
        <v/>
      </c>
      <c r="N466" s="9" t="str">
        <f aca="false">IF(M466="","",M466&amp;"|"&amp;TEXT(ROUND(N(F466)+N(G466),2),"0.00"))</f>
        <v/>
      </c>
      <c r="O466" s="9" t="str">
        <f aca="false">IF(OR(N466="",TRIM(E466&amp;"")=""),"",N466&amp;"|"&amp;UPPER(TRIM(E466&amp;"")))</f>
        <v/>
      </c>
      <c r="P466" s="9" t="n">
        <f aca="false">IF(O466="",0,IFERROR(MATCH(O466,'Bank Statement'!$O$8:$O$507,0),0))</f>
        <v>0</v>
      </c>
      <c r="Q466" s="9" t="str">
        <f aca="false">IF(OR(N466="",P466&gt;0),"",N466&amp;"#"&amp;COUNTIFS($N$8:N466,N466,$P$8:P466,0))</f>
        <v/>
      </c>
      <c r="R466" s="9" t="n">
        <f aca="false">IF(Q466="",0,IFERROR(MATCH(Q466,'Bank Statement'!$Q$8:$Q$507,0),0))</f>
        <v>0</v>
      </c>
      <c r="S466" s="9" t="n">
        <f aca="false">IF(P466&gt;0,P466,R466)</f>
        <v>0</v>
      </c>
      <c r="T466" s="9" t="str">
        <f aca="false">IF(OR(S466=0,B466=""),"",INDEX('Bank Statement'!$B$8:$B$507,S466)-B466)</f>
        <v/>
      </c>
      <c r="U466" s="9" t="n">
        <f aca="false">IF(S466=0,0,IF(P466&gt;0,S466,IF(AND(ISNUMBER(T466),ABS(N(T466))&lt;=Setup!$C$11),S466,0)))</f>
        <v>0</v>
      </c>
      <c r="V466" s="9" t="str">
        <f aca="false">IF(AND(N466&lt;&gt;"",U466=0),IF(M466="OUT",1,2)*100000+ROW(),"")</f>
        <v/>
      </c>
      <c r="W466" s="9" t="n">
        <f aca="false">N(F466)+N(G466)</f>
        <v>0</v>
      </c>
    </row>
    <row r="467" customFormat="false" ht="15" hidden="false" customHeight="false" outlineLevel="0" collapsed="false">
      <c r="A467" s="37" t="str">
        <f aca="false">IF(M467="","",ROW()-7)</f>
        <v/>
      </c>
      <c r="B467" s="70"/>
      <c r="C467" s="71"/>
      <c r="D467" s="72"/>
      <c r="E467" s="71"/>
      <c r="F467" s="73"/>
      <c r="G467" s="73"/>
      <c r="H467" s="42" t="str">
        <f aca="false">IF(M467="","",IF(U467&gt;0,"✔ Matched",IF(M467="OUT","Not yet presented","Not yet credited")))</f>
        <v/>
      </c>
      <c r="I467" s="43" t="str">
        <f aca="false">IF(N(U467)&gt;0,U467,"")</f>
        <v/>
      </c>
      <c r="J467" s="44" t="str">
        <f aca="false">IF(N(U467)&gt;0,T467,"")</f>
        <v/>
      </c>
      <c r="K467" s="45" t="str">
        <f aca="false">IF(AND(M467="",B467="",D467=""),"",IF(AND(N(F467)&gt;0,N(G467)&gt;0),"⚠ Fill deposit OR payment",IF(M467="","⚠ Enter amount",IF(B467="","⚠ Enter date",IF(AND(Setup!$C$8&lt;&gt;"",B467&gt;Setup!$C$8),"⚠ Date after period",IF(AND(O467&lt;&gt;"",COUNTIF($O$8:$O$507,O467)&gt;1),"⚠ Cheque no. used twice","✔"))))))</f>
        <v/>
      </c>
      <c r="M467" s="9" t="str">
        <f aca="false">IF(N(F467)&gt;0,"IN",IF(N(G467)&gt;0,"OUT",""))</f>
        <v/>
      </c>
      <c r="N467" s="9" t="str">
        <f aca="false">IF(M467="","",M467&amp;"|"&amp;TEXT(ROUND(N(F467)+N(G467),2),"0.00"))</f>
        <v/>
      </c>
      <c r="O467" s="9" t="str">
        <f aca="false">IF(OR(N467="",TRIM(E467&amp;"")=""),"",N467&amp;"|"&amp;UPPER(TRIM(E467&amp;"")))</f>
        <v/>
      </c>
      <c r="P467" s="9" t="n">
        <f aca="false">IF(O467="",0,IFERROR(MATCH(O467,'Bank Statement'!$O$8:$O$507,0),0))</f>
        <v>0</v>
      </c>
      <c r="Q467" s="9" t="str">
        <f aca="false">IF(OR(N467="",P467&gt;0),"",N467&amp;"#"&amp;COUNTIFS($N$8:N467,N467,$P$8:P467,0))</f>
        <v/>
      </c>
      <c r="R467" s="9" t="n">
        <f aca="false">IF(Q467="",0,IFERROR(MATCH(Q467,'Bank Statement'!$Q$8:$Q$507,0),0))</f>
        <v>0</v>
      </c>
      <c r="S467" s="9" t="n">
        <f aca="false">IF(P467&gt;0,P467,R467)</f>
        <v>0</v>
      </c>
      <c r="T467" s="9" t="str">
        <f aca="false">IF(OR(S467=0,B467=""),"",INDEX('Bank Statement'!$B$8:$B$507,S467)-B467)</f>
        <v/>
      </c>
      <c r="U467" s="9" t="n">
        <f aca="false">IF(S467=0,0,IF(P467&gt;0,S467,IF(AND(ISNUMBER(T467),ABS(N(T467))&lt;=Setup!$C$11),S467,0)))</f>
        <v>0</v>
      </c>
      <c r="V467" s="9" t="str">
        <f aca="false">IF(AND(N467&lt;&gt;"",U467=0),IF(M467="OUT",1,2)*100000+ROW(),"")</f>
        <v/>
      </c>
      <c r="W467" s="9" t="n">
        <f aca="false">N(F467)+N(G467)</f>
        <v>0</v>
      </c>
    </row>
    <row r="468" customFormat="false" ht="15" hidden="false" customHeight="false" outlineLevel="0" collapsed="false">
      <c r="A468" s="37" t="str">
        <f aca="false">IF(M468="","",ROW()-7)</f>
        <v/>
      </c>
      <c r="B468" s="70"/>
      <c r="C468" s="71"/>
      <c r="D468" s="72"/>
      <c r="E468" s="71"/>
      <c r="F468" s="73"/>
      <c r="G468" s="73"/>
      <c r="H468" s="42" t="str">
        <f aca="false">IF(M468="","",IF(U468&gt;0,"✔ Matched",IF(M468="OUT","Not yet presented","Not yet credited")))</f>
        <v/>
      </c>
      <c r="I468" s="43" t="str">
        <f aca="false">IF(N(U468)&gt;0,U468,"")</f>
        <v/>
      </c>
      <c r="J468" s="44" t="str">
        <f aca="false">IF(N(U468)&gt;0,T468,"")</f>
        <v/>
      </c>
      <c r="K468" s="45" t="str">
        <f aca="false">IF(AND(M468="",B468="",D468=""),"",IF(AND(N(F468)&gt;0,N(G468)&gt;0),"⚠ Fill deposit OR payment",IF(M468="","⚠ Enter amount",IF(B468="","⚠ Enter date",IF(AND(Setup!$C$8&lt;&gt;"",B468&gt;Setup!$C$8),"⚠ Date after period",IF(AND(O468&lt;&gt;"",COUNTIF($O$8:$O$507,O468)&gt;1),"⚠ Cheque no. used twice","✔"))))))</f>
        <v/>
      </c>
      <c r="M468" s="9" t="str">
        <f aca="false">IF(N(F468)&gt;0,"IN",IF(N(G468)&gt;0,"OUT",""))</f>
        <v/>
      </c>
      <c r="N468" s="9" t="str">
        <f aca="false">IF(M468="","",M468&amp;"|"&amp;TEXT(ROUND(N(F468)+N(G468),2),"0.00"))</f>
        <v/>
      </c>
      <c r="O468" s="9" t="str">
        <f aca="false">IF(OR(N468="",TRIM(E468&amp;"")=""),"",N468&amp;"|"&amp;UPPER(TRIM(E468&amp;"")))</f>
        <v/>
      </c>
      <c r="P468" s="9" t="n">
        <f aca="false">IF(O468="",0,IFERROR(MATCH(O468,'Bank Statement'!$O$8:$O$507,0),0))</f>
        <v>0</v>
      </c>
      <c r="Q468" s="9" t="str">
        <f aca="false">IF(OR(N468="",P468&gt;0),"",N468&amp;"#"&amp;COUNTIFS($N$8:N468,N468,$P$8:P468,0))</f>
        <v/>
      </c>
      <c r="R468" s="9" t="n">
        <f aca="false">IF(Q468="",0,IFERROR(MATCH(Q468,'Bank Statement'!$Q$8:$Q$507,0),0))</f>
        <v>0</v>
      </c>
      <c r="S468" s="9" t="n">
        <f aca="false">IF(P468&gt;0,P468,R468)</f>
        <v>0</v>
      </c>
      <c r="T468" s="9" t="str">
        <f aca="false">IF(OR(S468=0,B468=""),"",INDEX('Bank Statement'!$B$8:$B$507,S468)-B468)</f>
        <v/>
      </c>
      <c r="U468" s="9" t="n">
        <f aca="false">IF(S468=0,0,IF(P468&gt;0,S468,IF(AND(ISNUMBER(T468),ABS(N(T468))&lt;=Setup!$C$11),S468,0)))</f>
        <v>0</v>
      </c>
      <c r="V468" s="9" t="str">
        <f aca="false">IF(AND(N468&lt;&gt;"",U468=0),IF(M468="OUT",1,2)*100000+ROW(),"")</f>
        <v/>
      </c>
      <c r="W468" s="9" t="n">
        <f aca="false">N(F468)+N(G468)</f>
        <v>0</v>
      </c>
    </row>
    <row r="469" customFormat="false" ht="15" hidden="false" customHeight="false" outlineLevel="0" collapsed="false">
      <c r="A469" s="37" t="str">
        <f aca="false">IF(M469="","",ROW()-7)</f>
        <v/>
      </c>
      <c r="B469" s="70"/>
      <c r="C469" s="71"/>
      <c r="D469" s="72"/>
      <c r="E469" s="71"/>
      <c r="F469" s="73"/>
      <c r="G469" s="73"/>
      <c r="H469" s="42" t="str">
        <f aca="false">IF(M469="","",IF(U469&gt;0,"✔ Matched",IF(M469="OUT","Not yet presented","Not yet credited")))</f>
        <v/>
      </c>
      <c r="I469" s="43" t="str">
        <f aca="false">IF(N(U469)&gt;0,U469,"")</f>
        <v/>
      </c>
      <c r="J469" s="44" t="str">
        <f aca="false">IF(N(U469)&gt;0,T469,"")</f>
        <v/>
      </c>
      <c r="K469" s="45" t="str">
        <f aca="false">IF(AND(M469="",B469="",D469=""),"",IF(AND(N(F469)&gt;0,N(G469)&gt;0),"⚠ Fill deposit OR payment",IF(M469="","⚠ Enter amount",IF(B469="","⚠ Enter date",IF(AND(Setup!$C$8&lt;&gt;"",B469&gt;Setup!$C$8),"⚠ Date after period",IF(AND(O469&lt;&gt;"",COUNTIF($O$8:$O$507,O469)&gt;1),"⚠ Cheque no. used twice","✔"))))))</f>
        <v/>
      </c>
      <c r="M469" s="9" t="str">
        <f aca="false">IF(N(F469)&gt;0,"IN",IF(N(G469)&gt;0,"OUT",""))</f>
        <v/>
      </c>
      <c r="N469" s="9" t="str">
        <f aca="false">IF(M469="","",M469&amp;"|"&amp;TEXT(ROUND(N(F469)+N(G469),2),"0.00"))</f>
        <v/>
      </c>
      <c r="O469" s="9" t="str">
        <f aca="false">IF(OR(N469="",TRIM(E469&amp;"")=""),"",N469&amp;"|"&amp;UPPER(TRIM(E469&amp;"")))</f>
        <v/>
      </c>
      <c r="P469" s="9" t="n">
        <f aca="false">IF(O469="",0,IFERROR(MATCH(O469,'Bank Statement'!$O$8:$O$507,0),0))</f>
        <v>0</v>
      </c>
      <c r="Q469" s="9" t="str">
        <f aca="false">IF(OR(N469="",P469&gt;0),"",N469&amp;"#"&amp;COUNTIFS($N$8:N469,N469,$P$8:P469,0))</f>
        <v/>
      </c>
      <c r="R469" s="9" t="n">
        <f aca="false">IF(Q469="",0,IFERROR(MATCH(Q469,'Bank Statement'!$Q$8:$Q$507,0),0))</f>
        <v>0</v>
      </c>
      <c r="S469" s="9" t="n">
        <f aca="false">IF(P469&gt;0,P469,R469)</f>
        <v>0</v>
      </c>
      <c r="T469" s="9" t="str">
        <f aca="false">IF(OR(S469=0,B469=""),"",INDEX('Bank Statement'!$B$8:$B$507,S469)-B469)</f>
        <v/>
      </c>
      <c r="U469" s="9" t="n">
        <f aca="false">IF(S469=0,0,IF(P469&gt;0,S469,IF(AND(ISNUMBER(T469),ABS(N(T469))&lt;=Setup!$C$11),S469,0)))</f>
        <v>0</v>
      </c>
      <c r="V469" s="9" t="str">
        <f aca="false">IF(AND(N469&lt;&gt;"",U469=0),IF(M469="OUT",1,2)*100000+ROW(),"")</f>
        <v/>
      </c>
      <c r="W469" s="9" t="n">
        <f aca="false">N(F469)+N(G469)</f>
        <v>0</v>
      </c>
    </row>
    <row r="470" customFormat="false" ht="15" hidden="false" customHeight="false" outlineLevel="0" collapsed="false">
      <c r="A470" s="37" t="str">
        <f aca="false">IF(M470="","",ROW()-7)</f>
        <v/>
      </c>
      <c r="B470" s="70"/>
      <c r="C470" s="71"/>
      <c r="D470" s="72"/>
      <c r="E470" s="71"/>
      <c r="F470" s="73"/>
      <c r="G470" s="73"/>
      <c r="H470" s="42" t="str">
        <f aca="false">IF(M470="","",IF(U470&gt;0,"✔ Matched",IF(M470="OUT","Not yet presented","Not yet credited")))</f>
        <v/>
      </c>
      <c r="I470" s="43" t="str">
        <f aca="false">IF(N(U470)&gt;0,U470,"")</f>
        <v/>
      </c>
      <c r="J470" s="44" t="str">
        <f aca="false">IF(N(U470)&gt;0,T470,"")</f>
        <v/>
      </c>
      <c r="K470" s="45" t="str">
        <f aca="false">IF(AND(M470="",B470="",D470=""),"",IF(AND(N(F470)&gt;0,N(G470)&gt;0),"⚠ Fill deposit OR payment",IF(M470="","⚠ Enter amount",IF(B470="","⚠ Enter date",IF(AND(Setup!$C$8&lt;&gt;"",B470&gt;Setup!$C$8),"⚠ Date after period",IF(AND(O470&lt;&gt;"",COUNTIF($O$8:$O$507,O470)&gt;1),"⚠ Cheque no. used twice","✔"))))))</f>
        <v/>
      </c>
      <c r="M470" s="9" t="str">
        <f aca="false">IF(N(F470)&gt;0,"IN",IF(N(G470)&gt;0,"OUT",""))</f>
        <v/>
      </c>
      <c r="N470" s="9" t="str">
        <f aca="false">IF(M470="","",M470&amp;"|"&amp;TEXT(ROUND(N(F470)+N(G470),2),"0.00"))</f>
        <v/>
      </c>
      <c r="O470" s="9" t="str">
        <f aca="false">IF(OR(N470="",TRIM(E470&amp;"")=""),"",N470&amp;"|"&amp;UPPER(TRIM(E470&amp;"")))</f>
        <v/>
      </c>
      <c r="P470" s="9" t="n">
        <f aca="false">IF(O470="",0,IFERROR(MATCH(O470,'Bank Statement'!$O$8:$O$507,0),0))</f>
        <v>0</v>
      </c>
      <c r="Q470" s="9" t="str">
        <f aca="false">IF(OR(N470="",P470&gt;0),"",N470&amp;"#"&amp;COUNTIFS($N$8:N470,N470,$P$8:P470,0))</f>
        <v/>
      </c>
      <c r="R470" s="9" t="n">
        <f aca="false">IF(Q470="",0,IFERROR(MATCH(Q470,'Bank Statement'!$Q$8:$Q$507,0),0))</f>
        <v>0</v>
      </c>
      <c r="S470" s="9" t="n">
        <f aca="false">IF(P470&gt;0,P470,R470)</f>
        <v>0</v>
      </c>
      <c r="T470" s="9" t="str">
        <f aca="false">IF(OR(S470=0,B470=""),"",INDEX('Bank Statement'!$B$8:$B$507,S470)-B470)</f>
        <v/>
      </c>
      <c r="U470" s="9" t="n">
        <f aca="false">IF(S470=0,0,IF(P470&gt;0,S470,IF(AND(ISNUMBER(T470),ABS(N(T470))&lt;=Setup!$C$11),S470,0)))</f>
        <v>0</v>
      </c>
      <c r="V470" s="9" t="str">
        <f aca="false">IF(AND(N470&lt;&gt;"",U470=0),IF(M470="OUT",1,2)*100000+ROW(),"")</f>
        <v/>
      </c>
      <c r="W470" s="9" t="n">
        <f aca="false">N(F470)+N(G470)</f>
        <v>0</v>
      </c>
    </row>
    <row r="471" customFormat="false" ht="15" hidden="false" customHeight="false" outlineLevel="0" collapsed="false">
      <c r="A471" s="37" t="str">
        <f aca="false">IF(M471="","",ROW()-7)</f>
        <v/>
      </c>
      <c r="B471" s="70"/>
      <c r="C471" s="71"/>
      <c r="D471" s="72"/>
      <c r="E471" s="71"/>
      <c r="F471" s="73"/>
      <c r="G471" s="73"/>
      <c r="H471" s="42" t="str">
        <f aca="false">IF(M471="","",IF(U471&gt;0,"✔ Matched",IF(M471="OUT","Not yet presented","Not yet credited")))</f>
        <v/>
      </c>
      <c r="I471" s="43" t="str">
        <f aca="false">IF(N(U471)&gt;0,U471,"")</f>
        <v/>
      </c>
      <c r="J471" s="44" t="str">
        <f aca="false">IF(N(U471)&gt;0,T471,"")</f>
        <v/>
      </c>
      <c r="K471" s="45" t="str">
        <f aca="false">IF(AND(M471="",B471="",D471=""),"",IF(AND(N(F471)&gt;0,N(G471)&gt;0),"⚠ Fill deposit OR payment",IF(M471="","⚠ Enter amount",IF(B471="","⚠ Enter date",IF(AND(Setup!$C$8&lt;&gt;"",B471&gt;Setup!$C$8),"⚠ Date after period",IF(AND(O471&lt;&gt;"",COUNTIF($O$8:$O$507,O471)&gt;1),"⚠ Cheque no. used twice","✔"))))))</f>
        <v/>
      </c>
      <c r="M471" s="9" t="str">
        <f aca="false">IF(N(F471)&gt;0,"IN",IF(N(G471)&gt;0,"OUT",""))</f>
        <v/>
      </c>
      <c r="N471" s="9" t="str">
        <f aca="false">IF(M471="","",M471&amp;"|"&amp;TEXT(ROUND(N(F471)+N(G471),2),"0.00"))</f>
        <v/>
      </c>
      <c r="O471" s="9" t="str">
        <f aca="false">IF(OR(N471="",TRIM(E471&amp;"")=""),"",N471&amp;"|"&amp;UPPER(TRIM(E471&amp;"")))</f>
        <v/>
      </c>
      <c r="P471" s="9" t="n">
        <f aca="false">IF(O471="",0,IFERROR(MATCH(O471,'Bank Statement'!$O$8:$O$507,0),0))</f>
        <v>0</v>
      </c>
      <c r="Q471" s="9" t="str">
        <f aca="false">IF(OR(N471="",P471&gt;0),"",N471&amp;"#"&amp;COUNTIFS($N$8:N471,N471,$P$8:P471,0))</f>
        <v/>
      </c>
      <c r="R471" s="9" t="n">
        <f aca="false">IF(Q471="",0,IFERROR(MATCH(Q471,'Bank Statement'!$Q$8:$Q$507,0),0))</f>
        <v>0</v>
      </c>
      <c r="S471" s="9" t="n">
        <f aca="false">IF(P471&gt;0,P471,R471)</f>
        <v>0</v>
      </c>
      <c r="T471" s="9" t="str">
        <f aca="false">IF(OR(S471=0,B471=""),"",INDEX('Bank Statement'!$B$8:$B$507,S471)-B471)</f>
        <v/>
      </c>
      <c r="U471" s="9" t="n">
        <f aca="false">IF(S471=0,0,IF(P471&gt;0,S471,IF(AND(ISNUMBER(T471),ABS(N(T471))&lt;=Setup!$C$11),S471,0)))</f>
        <v>0</v>
      </c>
      <c r="V471" s="9" t="str">
        <f aca="false">IF(AND(N471&lt;&gt;"",U471=0),IF(M471="OUT",1,2)*100000+ROW(),"")</f>
        <v/>
      </c>
      <c r="W471" s="9" t="n">
        <f aca="false">N(F471)+N(G471)</f>
        <v>0</v>
      </c>
    </row>
    <row r="472" customFormat="false" ht="15" hidden="false" customHeight="false" outlineLevel="0" collapsed="false">
      <c r="A472" s="37" t="str">
        <f aca="false">IF(M472="","",ROW()-7)</f>
        <v/>
      </c>
      <c r="B472" s="70"/>
      <c r="C472" s="71"/>
      <c r="D472" s="72"/>
      <c r="E472" s="71"/>
      <c r="F472" s="73"/>
      <c r="G472" s="73"/>
      <c r="H472" s="42" t="str">
        <f aca="false">IF(M472="","",IF(U472&gt;0,"✔ Matched",IF(M472="OUT","Not yet presented","Not yet credited")))</f>
        <v/>
      </c>
      <c r="I472" s="43" t="str">
        <f aca="false">IF(N(U472)&gt;0,U472,"")</f>
        <v/>
      </c>
      <c r="J472" s="44" t="str">
        <f aca="false">IF(N(U472)&gt;0,T472,"")</f>
        <v/>
      </c>
      <c r="K472" s="45" t="str">
        <f aca="false">IF(AND(M472="",B472="",D472=""),"",IF(AND(N(F472)&gt;0,N(G472)&gt;0),"⚠ Fill deposit OR payment",IF(M472="","⚠ Enter amount",IF(B472="","⚠ Enter date",IF(AND(Setup!$C$8&lt;&gt;"",B472&gt;Setup!$C$8),"⚠ Date after period",IF(AND(O472&lt;&gt;"",COUNTIF($O$8:$O$507,O472)&gt;1),"⚠ Cheque no. used twice","✔"))))))</f>
        <v/>
      </c>
      <c r="M472" s="9" t="str">
        <f aca="false">IF(N(F472)&gt;0,"IN",IF(N(G472)&gt;0,"OUT",""))</f>
        <v/>
      </c>
      <c r="N472" s="9" t="str">
        <f aca="false">IF(M472="","",M472&amp;"|"&amp;TEXT(ROUND(N(F472)+N(G472),2),"0.00"))</f>
        <v/>
      </c>
      <c r="O472" s="9" t="str">
        <f aca="false">IF(OR(N472="",TRIM(E472&amp;"")=""),"",N472&amp;"|"&amp;UPPER(TRIM(E472&amp;"")))</f>
        <v/>
      </c>
      <c r="P472" s="9" t="n">
        <f aca="false">IF(O472="",0,IFERROR(MATCH(O472,'Bank Statement'!$O$8:$O$507,0),0))</f>
        <v>0</v>
      </c>
      <c r="Q472" s="9" t="str">
        <f aca="false">IF(OR(N472="",P472&gt;0),"",N472&amp;"#"&amp;COUNTIFS($N$8:N472,N472,$P$8:P472,0))</f>
        <v/>
      </c>
      <c r="R472" s="9" t="n">
        <f aca="false">IF(Q472="",0,IFERROR(MATCH(Q472,'Bank Statement'!$Q$8:$Q$507,0),0))</f>
        <v>0</v>
      </c>
      <c r="S472" s="9" t="n">
        <f aca="false">IF(P472&gt;0,P472,R472)</f>
        <v>0</v>
      </c>
      <c r="T472" s="9" t="str">
        <f aca="false">IF(OR(S472=0,B472=""),"",INDEX('Bank Statement'!$B$8:$B$507,S472)-B472)</f>
        <v/>
      </c>
      <c r="U472" s="9" t="n">
        <f aca="false">IF(S472=0,0,IF(P472&gt;0,S472,IF(AND(ISNUMBER(T472),ABS(N(T472))&lt;=Setup!$C$11),S472,0)))</f>
        <v>0</v>
      </c>
      <c r="V472" s="9" t="str">
        <f aca="false">IF(AND(N472&lt;&gt;"",U472=0),IF(M472="OUT",1,2)*100000+ROW(),"")</f>
        <v/>
      </c>
      <c r="W472" s="9" t="n">
        <f aca="false">N(F472)+N(G472)</f>
        <v>0</v>
      </c>
    </row>
    <row r="473" customFormat="false" ht="15" hidden="false" customHeight="false" outlineLevel="0" collapsed="false">
      <c r="A473" s="37" t="str">
        <f aca="false">IF(M473="","",ROW()-7)</f>
        <v/>
      </c>
      <c r="B473" s="70"/>
      <c r="C473" s="71"/>
      <c r="D473" s="72"/>
      <c r="E473" s="71"/>
      <c r="F473" s="73"/>
      <c r="G473" s="73"/>
      <c r="H473" s="42" t="str">
        <f aca="false">IF(M473="","",IF(U473&gt;0,"✔ Matched",IF(M473="OUT","Not yet presented","Not yet credited")))</f>
        <v/>
      </c>
      <c r="I473" s="43" t="str">
        <f aca="false">IF(N(U473)&gt;0,U473,"")</f>
        <v/>
      </c>
      <c r="J473" s="44" t="str">
        <f aca="false">IF(N(U473)&gt;0,T473,"")</f>
        <v/>
      </c>
      <c r="K473" s="45" t="str">
        <f aca="false">IF(AND(M473="",B473="",D473=""),"",IF(AND(N(F473)&gt;0,N(G473)&gt;0),"⚠ Fill deposit OR payment",IF(M473="","⚠ Enter amount",IF(B473="","⚠ Enter date",IF(AND(Setup!$C$8&lt;&gt;"",B473&gt;Setup!$C$8),"⚠ Date after period",IF(AND(O473&lt;&gt;"",COUNTIF($O$8:$O$507,O473)&gt;1),"⚠ Cheque no. used twice","✔"))))))</f>
        <v/>
      </c>
      <c r="M473" s="9" t="str">
        <f aca="false">IF(N(F473)&gt;0,"IN",IF(N(G473)&gt;0,"OUT",""))</f>
        <v/>
      </c>
      <c r="N473" s="9" t="str">
        <f aca="false">IF(M473="","",M473&amp;"|"&amp;TEXT(ROUND(N(F473)+N(G473),2),"0.00"))</f>
        <v/>
      </c>
      <c r="O473" s="9" t="str">
        <f aca="false">IF(OR(N473="",TRIM(E473&amp;"")=""),"",N473&amp;"|"&amp;UPPER(TRIM(E473&amp;"")))</f>
        <v/>
      </c>
      <c r="P473" s="9" t="n">
        <f aca="false">IF(O473="",0,IFERROR(MATCH(O473,'Bank Statement'!$O$8:$O$507,0),0))</f>
        <v>0</v>
      </c>
      <c r="Q473" s="9" t="str">
        <f aca="false">IF(OR(N473="",P473&gt;0),"",N473&amp;"#"&amp;COUNTIFS($N$8:N473,N473,$P$8:P473,0))</f>
        <v/>
      </c>
      <c r="R473" s="9" t="n">
        <f aca="false">IF(Q473="",0,IFERROR(MATCH(Q473,'Bank Statement'!$Q$8:$Q$507,0),0))</f>
        <v>0</v>
      </c>
      <c r="S473" s="9" t="n">
        <f aca="false">IF(P473&gt;0,P473,R473)</f>
        <v>0</v>
      </c>
      <c r="T473" s="9" t="str">
        <f aca="false">IF(OR(S473=0,B473=""),"",INDEX('Bank Statement'!$B$8:$B$507,S473)-B473)</f>
        <v/>
      </c>
      <c r="U473" s="9" t="n">
        <f aca="false">IF(S473=0,0,IF(P473&gt;0,S473,IF(AND(ISNUMBER(T473),ABS(N(T473))&lt;=Setup!$C$11),S473,0)))</f>
        <v>0</v>
      </c>
      <c r="V473" s="9" t="str">
        <f aca="false">IF(AND(N473&lt;&gt;"",U473=0),IF(M473="OUT",1,2)*100000+ROW(),"")</f>
        <v/>
      </c>
      <c r="W473" s="9" t="n">
        <f aca="false">N(F473)+N(G473)</f>
        <v>0</v>
      </c>
    </row>
    <row r="474" customFormat="false" ht="15" hidden="false" customHeight="false" outlineLevel="0" collapsed="false">
      <c r="A474" s="37" t="str">
        <f aca="false">IF(M474="","",ROW()-7)</f>
        <v/>
      </c>
      <c r="B474" s="70"/>
      <c r="C474" s="71"/>
      <c r="D474" s="72"/>
      <c r="E474" s="71"/>
      <c r="F474" s="73"/>
      <c r="G474" s="73"/>
      <c r="H474" s="42" t="str">
        <f aca="false">IF(M474="","",IF(U474&gt;0,"✔ Matched",IF(M474="OUT","Not yet presented","Not yet credited")))</f>
        <v/>
      </c>
      <c r="I474" s="43" t="str">
        <f aca="false">IF(N(U474)&gt;0,U474,"")</f>
        <v/>
      </c>
      <c r="J474" s="44" t="str">
        <f aca="false">IF(N(U474)&gt;0,T474,"")</f>
        <v/>
      </c>
      <c r="K474" s="45" t="str">
        <f aca="false">IF(AND(M474="",B474="",D474=""),"",IF(AND(N(F474)&gt;0,N(G474)&gt;0),"⚠ Fill deposit OR payment",IF(M474="","⚠ Enter amount",IF(B474="","⚠ Enter date",IF(AND(Setup!$C$8&lt;&gt;"",B474&gt;Setup!$C$8),"⚠ Date after period",IF(AND(O474&lt;&gt;"",COUNTIF($O$8:$O$507,O474)&gt;1),"⚠ Cheque no. used twice","✔"))))))</f>
        <v/>
      </c>
      <c r="M474" s="9" t="str">
        <f aca="false">IF(N(F474)&gt;0,"IN",IF(N(G474)&gt;0,"OUT",""))</f>
        <v/>
      </c>
      <c r="N474" s="9" t="str">
        <f aca="false">IF(M474="","",M474&amp;"|"&amp;TEXT(ROUND(N(F474)+N(G474),2),"0.00"))</f>
        <v/>
      </c>
      <c r="O474" s="9" t="str">
        <f aca="false">IF(OR(N474="",TRIM(E474&amp;"")=""),"",N474&amp;"|"&amp;UPPER(TRIM(E474&amp;"")))</f>
        <v/>
      </c>
      <c r="P474" s="9" t="n">
        <f aca="false">IF(O474="",0,IFERROR(MATCH(O474,'Bank Statement'!$O$8:$O$507,0),0))</f>
        <v>0</v>
      </c>
      <c r="Q474" s="9" t="str">
        <f aca="false">IF(OR(N474="",P474&gt;0),"",N474&amp;"#"&amp;COUNTIFS($N$8:N474,N474,$P$8:P474,0))</f>
        <v/>
      </c>
      <c r="R474" s="9" t="n">
        <f aca="false">IF(Q474="",0,IFERROR(MATCH(Q474,'Bank Statement'!$Q$8:$Q$507,0),0))</f>
        <v>0</v>
      </c>
      <c r="S474" s="9" t="n">
        <f aca="false">IF(P474&gt;0,P474,R474)</f>
        <v>0</v>
      </c>
      <c r="T474" s="9" t="str">
        <f aca="false">IF(OR(S474=0,B474=""),"",INDEX('Bank Statement'!$B$8:$B$507,S474)-B474)</f>
        <v/>
      </c>
      <c r="U474" s="9" t="n">
        <f aca="false">IF(S474=0,0,IF(P474&gt;0,S474,IF(AND(ISNUMBER(T474),ABS(N(T474))&lt;=Setup!$C$11),S474,0)))</f>
        <v>0</v>
      </c>
      <c r="V474" s="9" t="str">
        <f aca="false">IF(AND(N474&lt;&gt;"",U474=0),IF(M474="OUT",1,2)*100000+ROW(),"")</f>
        <v/>
      </c>
      <c r="W474" s="9" t="n">
        <f aca="false">N(F474)+N(G474)</f>
        <v>0</v>
      </c>
    </row>
    <row r="475" customFormat="false" ht="15" hidden="false" customHeight="false" outlineLevel="0" collapsed="false">
      <c r="A475" s="37" t="str">
        <f aca="false">IF(M475="","",ROW()-7)</f>
        <v/>
      </c>
      <c r="B475" s="70"/>
      <c r="C475" s="71"/>
      <c r="D475" s="72"/>
      <c r="E475" s="71"/>
      <c r="F475" s="73"/>
      <c r="G475" s="73"/>
      <c r="H475" s="42" t="str">
        <f aca="false">IF(M475="","",IF(U475&gt;0,"✔ Matched",IF(M475="OUT","Not yet presented","Not yet credited")))</f>
        <v/>
      </c>
      <c r="I475" s="43" t="str">
        <f aca="false">IF(N(U475)&gt;0,U475,"")</f>
        <v/>
      </c>
      <c r="J475" s="44" t="str">
        <f aca="false">IF(N(U475)&gt;0,T475,"")</f>
        <v/>
      </c>
      <c r="K475" s="45" t="str">
        <f aca="false">IF(AND(M475="",B475="",D475=""),"",IF(AND(N(F475)&gt;0,N(G475)&gt;0),"⚠ Fill deposit OR payment",IF(M475="","⚠ Enter amount",IF(B475="","⚠ Enter date",IF(AND(Setup!$C$8&lt;&gt;"",B475&gt;Setup!$C$8),"⚠ Date after period",IF(AND(O475&lt;&gt;"",COUNTIF($O$8:$O$507,O475)&gt;1),"⚠ Cheque no. used twice","✔"))))))</f>
        <v/>
      </c>
      <c r="M475" s="9" t="str">
        <f aca="false">IF(N(F475)&gt;0,"IN",IF(N(G475)&gt;0,"OUT",""))</f>
        <v/>
      </c>
      <c r="N475" s="9" t="str">
        <f aca="false">IF(M475="","",M475&amp;"|"&amp;TEXT(ROUND(N(F475)+N(G475),2),"0.00"))</f>
        <v/>
      </c>
      <c r="O475" s="9" t="str">
        <f aca="false">IF(OR(N475="",TRIM(E475&amp;"")=""),"",N475&amp;"|"&amp;UPPER(TRIM(E475&amp;"")))</f>
        <v/>
      </c>
      <c r="P475" s="9" t="n">
        <f aca="false">IF(O475="",0,IFERROR(MATCH(O475,'Bank Statement'!$O$8:$O$507,0),0))</f>
        <v>0</v>
      </c>
      <c r="Q475" s="9" t="str">
        <f aca="false">IF(OR(N475="",P475&gt;0),"",N475&amp;"#"&amp;COUNTIFS($N$8:N475,N475,$P$8:P475,0))</f>
        <v/>
      </c>
      <c r="R475" s="9" t="n">
        <f aca="false">IF(Q475="",0,IFERROR(MATCH(Q475,'Bank Statement'!$Q$8:$Q$507,0),0))</f>
        <v>0</v>
      </c>
      <c r="S475" s="9" t="n">
        <f aca="false">IF(P475&gt;0,P475,R475)</f>
        <v>0</v>
      </c>
      <c r="T475" s="9" t="str">
        <f aca="false">IF(OR(S475=0,B475=""),"",INDEX('Bank Statement'!$B$8:$B$507,S475)-B475)</f>
        <v/>
      </c>
      <c r="U475" s="9" t="n">
        <f aca="false">IF(S475=0,0,IF(P475&gt;0,S475,IF(AND(ISNUMBER(T475),ABS(N(T475))&lt;=Setup!$C$11),S475,0)))</f>
        <v>0</v>
      </c>
      <c r="V475" s="9" t="str">
        <f aca="false">IF(AND(N475&lt;&gt;"",U475=0),IF(M475="OUT",1,2)*100000+ROW(),"")</f>
        <v/>
      </c>
      <c r="W475" s="9" t="n">
        <f aca="false">N(F475)+N(G475)</f>
        <v>0</v>
      </c>
    </row>
    <row r="476" customFormat="false" ht="15" hidden="false" customHeight="false" outlineLevel="0" collapsed="false">
      <c r="A476" s="37" t="str">
        <f aca="false">IF(M476="","",ROW()-7)</f>
        <v/>
      </c>
      <c r="B476" s="70"/>
      <c r="C476" s="71"/>
      <c r="D476" s="72"/>
      <c r="E476" s="71"/>
      <c r="F476" s="73"/>
      <c r="G476" s="73"/>
      <c r="H476" s="42" t="str">
        <f aca="false">IF(M476="","",IF(U476&gt;0,"✔ Matched",IF(M476="OUT","Not yet presented","Not yet credited")))</f>
        <v/>
      </c>
      <c r="I476" s="43" t="str">
        <f aca="false">IF(N(U476)&gt;0,U476,"")</f>
        <v/>
      </c>
      <c r="J476" s="44" t="str">
        <f aca="false">IF(N(U476)&gt;0,T476,"")</f>
        <v/>
      </c>
      <c r="K476" s="45" t="str">
        <f aca="false">IF(AND(M476="",B476="",D476=""),"",IF(AND(N(F476)&gt;0,N(G476)&gt;0),"⚠ Fill deposit OR payment",IF(M476="","⚠ Enter amount",IF(B476="","⚠ Enter date",IF(AND(Setup!$C$8&lt;&gt;"",B476&gt;Setup!$C$8),"⚠ Date after period",IF(AND(O476&lt;&gt;"",COUNTIF($O$8:$O$507,O476)&gt;1),"⚠ Cheque no. used twice","✔"))))))</f>
        <v/>
      </c>
      <c r="M476" s="9" t="str">
        <f aca="false">IF(N(F476)&gt;0,"IN",IF(N(G476)&gt;0,"OUT",""))</f>
        <v/>
      </c>
      <c r="N476" s="9" t="str">
        <f aca="false">IF(M476="","",M476&amp;"|"&amp;TEXT(ROUND(N(F476)+N(G476),2),"0.00"))</f>
        <v/>
      </c>
      <c r="O476" s="9" t="str">
        <f aca="false">IF(OR(N476="",TRIM(E476&amp;"")=""),"",N476&amp;"|"&amp;UPPER(TRIM(E476&amp;"")))</f>
        <v/>
      </c>
      <c r="P476" s="9" t="n">
        <f aca="false">IF(O476="",0,IFERROR(MATCH(O476,'Bank Statement'!$O$8:$O$507,0),0))</f>
        <v>0</v>
      </c>
      <c r="Q476" s="9" t="str">
        <f aca="false">IF(OR(N476="",P476&gt;0),"",N476&amp;"#"&amp;COUNTIFS($N$8:N476,N476,$P$8:P476,0))</f>
        <v/>
      </c>
      <c r="R476" s="9" t="n">
        <f aca="false">IF(Q476="",0,IFERROR(MATCH(Q476,'Bank Statement'!$Q$8:$Q$507,0),0))</f>
        <v>0</v>
      </c>
      <c r="S476" s="9" t="n">
        <f aca="false">IF(P476&gt;0,P476,R476)</f>
        <v>0</v>
      </c>
      <c r="T476" s="9" t="str">
        <f aca="false">IF(OR(S476=0,B476=""),"",INDEX('Bank Statement'!$B$8:$B$507,S476)-B476)</f>
        <v/>
      </c>
      <c r="U476" s="9" t="n">
        <f aca="false">IF(S476=0,0,IF(P476&gt;0,S476,IF(AND(ISNUMBER(T476),ABS(N(T476))&lt;=Setup!$C$11),S476,0)))</f>
        <v>0</v>
      </c>
      <c r="V476" s="9" t="str">
        <f aca="false">IF(AND(N476&lt;&gt;"",U476=0),IF(M476="OUT",1,2)*100000+ROW(),"")</f>
        <v/>
      </c>
      <c r="W476" s="9" t="n">
        <f aca="false">N(F476)+N(G476)</f>
        <v>0</v>
      </c>
    </row>
    <row r="477" customFormat="false" ht="15" hidden="false" customHeight="false" outlineLevel="0" collapsed="false">
      <c r="A477" s="37" t="str">
        <f aca="false">IF(M477="","",ROW()-7)</f>
        <v/>
      </c>
      <c r="B477" s="70"/>
      <c r="C477" s="71"/>
      <c r="D477" s="72"/>
      <c r="E477" s="71"/>
      <c r="F477" s="73"/>
      <c r="G477" s="73"/>
      <c r="H477" s="42" t="str">
        <f aca="false">IF(M477="","",IF(U477&gt;0,"✔ Matched",IF(M477="OUT","Not yet presented","Not yet credited")))</f>
        <v/>
      </c>
      <c r="I477" s="43" t="str">
        <f aca="false">IF(N(U477)&gt;0,U477,"")</f>
        <v/>
      </c>
      <c r="J477" s="44" t="str">
        <f aca="false">IF(N(U477)&gt;0,T477,"")</f>
        <v/>
      </c>
      <c r="K477" s="45" t="str">
        <f aca="false">IF(AND(M477="",B477="",D477=""),"",IF(AND(N(F477)&gt;0,N(G477)&gt;0),"⚠ Fill deposit OR payment",IF(M477="","⚠ Enter amount",IF(B477="","⚠ Enter date",IF(AND(Setup!$C$8&lt;&gt;"",B477&gt;Setup!$C$8),"⚠ Date after period",IF(AND(O477&lt;&gt;"",COUNTIF($O$8:$O$507,O477)&gt;1),"⚠ Cheque no. used twice","✔"))))))</f>
        <v/>
      </c>
      <c r="M477" s="9" t="str">
        <f aca="false">IF(N(F477)&gt;0,"IN",IF(N(G477)&gt;0,"OUT",""))</f>
        <v/>
      </c>
      <c r="N477" s="9" t="str">
        <f aca="false">IF(M477="","",M477&amp;"|"&amp;TEXT(ROUND(N(F477)+N(G477),2),"0.00"))</f>
        <v/>
      </c>
      <c r="O477" s="9" t="str">
        <f aca="false">IF(OR(N477="",TRIM(E477&amp;"")=""),"",N477&amp;"|"&amp;UPPER(TRIM(E477&amp;"")))</f>
        <v/>
      </c>
      <c r="P477" s="9" t="n">
        <f aca="false">IF(O477="",0,IFERROR(MATCH(O477,'Bank Statement'!$O$8:$O$507,0),0))</f>
        <v>0</v>
      </c>
      <c r="Q477" s="9" t="str">
        <f aca="false">IF(OR(N477="",P477&gt;0),"",N477&amp;"#"&amp;COUNTIFS($N$8:N477,N477,$P$8:P477,0))</f>
        <v/>
      </c>
      <c r="R477" s="9" t="n">
        <f aca="false">IF(Q477="",0,IFERROR(MATCH(Q477,'Bank Statement'!$Q$8:$Q$507,0),0))</f>
        <v>0</v>
      </c>
      <c r="S477" s="9" t="n">
        <f aca="false">IF(P477&gt;0,P477,R477)</f>
        <v>0</v>
      </c>
      <c r="T477" s="9" t="str">
        <f aca="false">IF(OR(S477=0,B477=""),"",INDEX('Bank Statement'!$B$8:$B$507,S477)-B477)</f>
        <v/>
      </c>
      <c r="U477" s="9" t="n">
        <f aca="false">IF(S477=0,0,IF(P477&gt;0,S477,IF(AND(ISNUMBER(T477),ABS(N(T477))&lt;=Setup!$C$11),S477,0)))</f>
        <v>0</v>
      </c>
      <c r="V477" s="9" t="str">
        <f aca="false">IF(AND(N477&lt;&gt;"",U477=0),IF(M477="OUT",1,2)*100000+ROW(),"")</f>
        <v/>
      </c>
      <c r="W477" s="9" t="n">
        <f aca="false">N(F477)+N(G477)</f>
        <v>0</v>
      </c>
    </row>
    <row r="478" customFormat="false" ht="15" hidden="false" customHeight="false" outlineLevel="0" collapsed="false">
      <c r="A478" s="37" t="str">
        <f aca="false">IF(M478="","",ROW()-7)</f>
        <v/>
      </c>
      <c r="B478" s="70"/>
      <c r="C478" s="71"/>
      <c r="D478" s="72"/>
      <c r="E478" s="71"/>
      <c r="F478" s="73"/>
      <c r="G478" s="73"/>
      <c r="H478" s="42" t="str">
        <f aca="false">IF(M478="","",IF(U478&gt;0,"✔ Matched",IF(M478="OUT","Not yet presented","Not yet credited")))</f>
        <v/>
      </c>
      <c r="I478" s="43" t="str">
        <f aca="false">IF(N(U478)&gt;0,U478,"")</f>
        <v/>
      </c>
      <c r="J478" s="44" t="str">
        <f aca="false">IF(N(U478)&gt;0,T478,"")</f>
        <v/>
      </c>
      <c r="K478" s="45" t="str">
        <f aca="false">IF(AND(M478="",B478="",D478=""),"",IF(AND(N(F478)&gt;0,N(G478)&gt;0),"⚠ Fill deposit OR payment",IF(M478="","⚠ Enter amount",IF(B478="","⚠ Enter date",IF(AND(Setup!$C$8&lt;&gt;"",B478&gt;Setup!$C$8),"⚠ Date after period",IF(AND(O478&lt;&gt;"",COUNTIF($O$8:$O$507,O478)&gt;1),"⚠ Cheque no. used twice","✔"))))))</f>
        <v/>
      </c>
      <c r="M478" s="9" t="str">
        <f aca="false">IF(N(F478)&gt;0,"IN",IF(N(G478)&gt;0,"OUT",""))</f>
        <v/>
      </c>
      <c r="N478" s="9" t="str">
        <f aca="false">IF(M478="","",M478&amp;"|"&amp;TEXT(ROUND(N(F478)+N(G478),2),"0.00"))</f>
        <v/>
      </c>
      <c r="O478" s="9" t="str">
        <f aca="false">IF(OR(N478="",TRIM(E478&amp;"")=""),"",N478&amp;"|"&amp;UPPER(TRIM(E478&amp;"")))</f>
        <v/>
      </c>
      <c r="P478" s="9" t="n">
        <f aca="false">IF(O478="",0,IFERROR(MATCH(O478,'Bank Statement'!$O$8:$O$507,0),0))</f>
        <v>0</v>
      </c>
      <c r="Q478" s="9" t="str">
        <f aca="false">IF(OR(N478="",P478&gt;0),"",N478&amp;"#"&amp;COUNTIFS($N$8:N478,N478,$P$8:P478,0))</f>
        <v/>
      </c>
      <c r="R478" s="9" t="n">
        <f aca="false">IF(Q478="",0,IFERROR(MATCH(Q478,'Bank Statement'!$Q$8:$Q$507,0),0))</f>
        <v>0</v>
      </c>
      <c r="S478" s="9" t="n">
        <f aca="false">IF(P478&gt;0,P478,R478)</f>
        <v>0</v>
      </c>
      <c r="T478" s="9" t="str">
        <f aca="false">IF(OR(S478=0,B478=""),"",INDEX('Bank Statement'!$B$8:$B$507,S478)-B478)</f>
        <v/>
      </c>
      <c r="U478" s="9" t="n">
        <f aca="false">IF(S478=0,0,IF(P478&gt;0,S478,IF(AND(ISNUMBER(T478),ABS(N(T478))&lt;=Setup!$C$11),S478,0)))</f>
        <v>0</v>
      </c>
      <c r="V478" s="9" t="str">
        <f aca="false">IF(AND(N478&lt;&gt;"",U478=0),IF(M478="OUT",1,2)*100000+ROW(),"")</f>
        <v/>
      </c>
      <c r="W478" s="9" t="n">
        <f aca="false">N(F478)+N(G478)</f>
        <v>0</v>
      </c>
    </row>
    <row r="479" customFormat="false" ht="15" hidden="false" customHeight="false" outlineLevel="0" collapsed="false">
      <c r="A479" s="37" t="str">
        <f aca="false">IF(M479="","",ROW()-7)</f>
        <v/>
      </c>
      <c r="B479" s="70"/>
      <c r="C479" s="71"/>
      <c r="D479" s="72"/>
      <c r="E479" s="71"/>
      <c r="F479" s="73"/>
      <c r="G479" s="73"/>
      <c r="H479" s="42" t="str">
        <f aca="false">IF(M479="","",IF(U479&gt;0,"✔ Matched",IF(M479="OUT","Not yet presented","Not yet credited")))</f>
        <v/>
      </c>
      <c r="I479" s="43" t="str">
        <f aca="false">IF(N(U479)&gt;0,U479,"")</f>
        <v/>
      </c>
      <c r="J479" s="44" t="str">
        <f aca="false">IF(N(U479)&gt;0,T479,"")</f>
        <v/>
      </c>
      <c r="K479" s="45" t="str">
        <f aca="false">IF(AND(M479="",B479="",D479=""),"",IF(AND(N(F479)&gt;0,N(G479)&gt;0),"⚠ Fill deposit OR payment",IF(M479="","⚠ Enter amount",IF(B479="","⚠ Enter date",IF(AND(Setup!$C$8&lt;&gt;"",B479&gt;Setup!$C$8),"⚠ Date after period",IF(AND(O479&lt;&gt;"",COUNTIF($O$8:$O$507,O479)&gt;1),"⚠ Cheque no. used twice","✔"))))))</f>
        <v/>
      </c>
      <c r="M479" s="9" t="str">
        <f aca="false">IF(N(F479)&gt;0,"IN",IF(N(G479)&gt;0,"OUT",""))</f>
        <v/>
      </c>
      <c r="N479" s="9" t="str">
        <f aca="false">IF(M479="","",M479&amp;"|"&amp;TEXT(ROUND(N(F479)+N(G479),2),"0.00"))</f>
        <v/>
      </c>
      <c r="O479" s="9" t="str">
        <f aca="false">IF(OR(N479="",TRIM(E479&amp;"")=""),"",N479&amp;"|"&amp;UPPER(TRIM(E479&amp;"")))</f>
        <v/>
      </c>
      <c r="P479" s="9" t="n">
        <f aca="false">IF(O479="",0,IFERROR(MATCH(O479,'Bank Statement'!$O$8:$O$507,0),0))</f>
        <v>0</v>
      </c>
      <c r="Q479" s="9" t="str">
        <f aca="false">IF(OR(N479="",P479&gt;0),"",N479&amp;"#"&amp;COUNTIFS($N$8:N479,N479,$P$8:P479,0))</f>
        <v/>
      </c>
      <c r="R479" s="9" t="n">
        <f aca="false">IF(Q479="",0,IFERROR(MATCH(Q479,'Bank Statement'!$Q$8:$Q$507,0),0))</f>
        <v>0</v>
      </c>
      <c r="S479" s="9" t="n">
        <f aca="false">IF(P479&gt;0,P479,R479)</f>
        <v>0</v>
      </c>
      <c r="T479" s="9" t="str">
        <f aca="false">IF(OR(S479=0,B479=""),"",INDEX('Bank Statement'!$B$8:$B$507,S479)-B479)</f>
        <v/>
      </c>
      <c r="U479" s="9" t="n">
        <f aca="false">IF(S479=0,0,IF(P479&gt;0,S479,IF(AND(ISNUMBER(T479),ABS(N(T479))&lt;=Setup!$C$11),S479,0)))</f>
        <v>0</v>
      </c>
      <c r="V479" s="9" t="str">
        <f aca="false">IF(AND(N479&lt;&gt;"",U479=0),IF(M479="OUT",1,2)*100000+ROW(),"")</f>
        <v/>
      </c>
      <c r="W479" s="9" t="n">
        <f aca="false">N(F479)+N(G479)</f>
        <v>0</v>
      </c>
    </row>
    <row r="480" customFormat="false" ht="15" hidden="false" customHeight="false" outlineLevel="0" collapsed="false">
      <c r="A480" s="37" t="str">
        <f aca="false">IF(M480="","",ROW()-7)</f>
        <v/>
      </c>
      <c r="B480" s="70"/>
      <c r="C480" s="71"/>
      <c r="D480" s="72"/>
      <c r="E480" s="71"/>
      <c r="F480" s="73"/>
      <c r="G480" s="73"/>
      <c r="H480" s="42" t="str">
        <f aca="false">IF(M480="","",IF(U480&gt;0,"✔ Matched",IF(M480="OUT","Not yet presented","Not yet credited")))</f>
        <v/>
      </c>
      <c r="I480" s="43" t="str">
        <f aca="false">IF(N(U480)&gt;0,U480,"")</f>
        <v/>
      </c>
      <c r="J480" s="44" t="str">
        <f aca="false">IF(N(U480)&gt;0,T480,"")</f>
        <v/>
      </c>
      <c r="K480" s="45" t="str">
        <f aca="false">IF(AND(M480="",B480="",D480=""),"",IF(AND(N(F480)&gt;0,N(G480)&gt;0),"⚠ Fill deposit OR payment",IF(M480="","⚠ Enter amount",IF(B480="","⚠ Enter date",IF(AND(Setup!$C$8&lt;&gt;"",B480&gt;Setup!$C$8),"⚠ Date after period",IF(AND(O480&lt;&gt;"",COUNTIF($O$8:$O$507,O480)&gt;1),"⚠ Cheque no. used twice","✔"))))))</f>
        <v/>
      </c>
      <c r="M480" s="9" t="str">
        <f aca="false">IF(N(F480)&gt;0,"IN",IF(N(G480)&gt;0,"OUT",""))</f>
        <v/>
      </c>
      <c r="N480" s="9" t="str">
        <f aca="false">IF(M480="","",M480&amp;"|"&amp;TEXT(ROUND(N(F480)+N(G480),2),"0.00"))</f>
        <v/>
      </c>
      <c r="O480" s="9" t="str">
        <f aca="false">IF(OR(N480="",TRIM(E480&amp;"")=""),"",N480&amp;"|"&amp;UPPER(TRIM(E480&amp;"")))</f>
        <v/>
      </c>
      <c r="P480" s="9" t="n">
        <f aca="false">IF(O480="",0,IFERROR(MATCH(O480,'Bank Statement'!$O$8:$O$507,0),0))</f>
        <v>0</v>
      </c>
      <c r="Q480" s="9" t="str">
        <f aca="false">IF(OR(N480="",P480&gt;0),"",N480&amp;"#"&amp;COUNTIFS($N$8:N480,N480,$P$8:P480,0))</f>
        <v/>
      </c>
      <c r="R480" s="9" t="n">
        <f aca="false">IF(Q480="",0,IFERROR(MATCH(Q480,'Bank Statement'!$Q$8:$Q$507,0),0))</f>
        <v>0</v>
      </c>
      <c r="S480" s="9" t="n">
        <f aca="false">IF(P480&gt;0,P480,R480)</f>
        <v>0</v>
      </c>
      <c r="T480" s="9" t="str">
        <f aca="false">IF(OR(S480=0,B480=""),"",INDEX('Bank Statement'!$B$8:$B$507,S480)-B480)</f>
        <v/>
      </c>
      <c r="U480" s="9" t="n">
        <f aca="false">IF(S480=0,0,IF(P480&gt;0,S480,IF(AND(ISNUMBER(T480),ABS(N(T480))&lt;=Setup!$C$11),S480,0)))</f>
        <v>0</v>
      </c>
      <c r="V480" s="9" t="str">
        <f aca="false">IF(AND(N480&lt;&gt;"",U480=0),IF(M480="OUT",1,2)*100000+ROW(),"")</f>
        <v/>
      </c>
      <c r="W480" s="9" t="n">
        <f aca="false">N(F480)+N(G480)</f>
        <v>0</v>
      </c>
    </row>
    <row r="481" customFormat="false" ht="15" hidden="false" customHeight="false" outlineLevel="0" collapsed="false">
      <c r="A481" s="37" t="str">
        <f aca="false">IF(M481="","",ROW()-7)</f>
        <v/>
      </c>
      <c r="B481" s="70"/>
      <c r="C481" s="71"/>
      <c r="D481" s="72"/>
      <c r="E481" s="71"/>
      <c r="F481" s="73"/>
      <c r="G481" s="73"/>
      <c r="H481" s="42" t="str">
        <f aca="false">IF(M481="","",IF(U481&gt;0,"✔ Matched",IF(M481="OUT","Not yet presented","Not yet credited")))</f>
        <v/>
      </c>
      <c r="I481" s="43" t="str">
        <f aca="false">IF(N(U481)&gt;0,U481,"")</f>
        <v/>
      </c>
      <c r="J481" s="44" t="str">
        <f aca="false">IF(N(U481)&gt;0,T481,"")</f>
        <v/>
      </c>
      <c r="K481" s="45" t="str">
        <f aca="false">IF(AND(M481="",B481="",D481=""),"",IF(AND(N(F481)&gt;0,N(G481)&gt;0),"⚠ Fill deposit OR payment",IF(M481="","⚠ Enter amount",IF(B481="","⚠ Enter date",IF(AND(Setup!$C$8&lt;&gt;"",B481&gt;Setup!$C$8),"⚠ Date after period",IF(AND(O481&lt;&gt;"",COUNTIF($O$8:$O$507,O481)&gt;1),"⚠ Cheque no. used twice","✔"))))))</f>
        <v/>
      </c>
      <c r="M481" s="9" t="str">
        <f aca="false">IF(N(F481)&gt;0,"IN",IF(N(G481)&gt;0,"OUT",""))</f>
        <v/>
      </c>
      <c r="N481" s="9" t="str">
        <f aca="false">IF(M481="","",M481&amp;"|"&amp;TEXT(ROUND(N(F481)+N(G481),2),"0.00"))</f>
        <v/>
      </c>
      <c r="O481" s="9" t="str">
        <f aca="false">IF(OR(N481="",TRIM(E481&amp;"")=""),"",N481&amp;"|"&amp;UPPER(TRIM(E481&amp;"")))</f>
        <v/>
      </c>
      <c r="P481" s="9" t="n">
        <f aca="false">IF(O481="",0,IFERROR(MATCH(O481,'Bank Statement'!$O$8:$O$507,0),0))</f>
        <v>0</v>
      </c>
      <c r="Q481" s="9" t="str">
        <f aca="false">IF(OR(N481="",P481&gt;0),"",N481&amp;"#"&amp;COUNTIFS($N$8:N481,N481,$P$8:P481,0))</f>
        <v/>
      </c>
      <c r="R481" s="9" t="n">
        <f aca="false">IF(Q481="",0,IFERROR(MATCH(Q481,'Bank Statement'!$Q$8:$Q$507,0),0))</f>
        <v>0</v>
      </c>
      <c r="S481" s="9" t="n">
        <f aca="false">IF(P481&gt;0,P481,R481)</f>
        <v>0</v>
      </c>
      <c r="T481" s="9" t="str">
        <f aca="false">IF(OR(S481=0,B481=""),"",INDEX('Bank Statement'!$B$8:$B$507,S481)-B481)</f>
        <v/>
      </c>
      <c r="U481" s="9" t="n">
        <f aca="false">IF(S481=0,0,IF(P481&gt;0,S481,IF(AND(ISNUMBER(T481),ABS(N(T481))&lt;=Setup!$C$11),S481,0)))</f>
        <v>0</v>
      </c>
      <c r="V481" s="9" t="str">
        <f aca="false">IF(AND(N481&lt;&gt;"",U481=0),IF(M481="OUT",1,2)*100000+ROW(),"")</f>
        <v/>
      </c>
      <c r="W481" s="9" t="n">
        <f aca="false">N(F481)+N(G481)</f>
        <v>0</v>
      </c>
    </row>
    <row r="482" customFormat="false" ht="15" hidden="false" customHeight="false" outlineLevel="0" collapsed="false">
      <c r="A482" s="37" t="str">
        <f aca="false">IF(M482="","",ROW()-7)</f>
        <v/>
      </c>
      <c r="B482" s="70"/>
      <c r="C482" s="71"/>
      <c r="D482" s="72"/>
      <c r="E482" s="71"/>
      <c r="F482" s="73"/>
      <c r="G482" s="73"/>
      <c r="H482" s="42" t="str">
        <f aca="false">IF(M482="","",IF(U482&gt;0,"✔ Matched",IF(M482="OUT","Not yet presented","Not yet credited")))</f>
        <v/>
      </c>
      <c r="I482" s="43" t="str">
        <f aca="false">IF(N(U482)&gt;0,U482,"")</f>
        <v/>
      </c>
      <c r="J482" s="44" t="str">
        <f aca="false">IF(N(U482)&gt;0,T482,"")</f>
        <v/>
      </c>
      <c r="K482" s="45" t="str">
        <f aca="false">IF(AND(M482="",B482="",D482=""),"",IF(AND(N(F482)&gt;0,N(G482)&gt;0),"⚠ Fill deposit OR payment",IF(M482="","⚠ Enter amount",IF(B482="","⚠ Enter date",IF(AND(Setup!$C$8&lt;&gt;"",B482&gt;Setup!$C$8),"⚠ Date after period",IF(AND(O482&lt;&gt;"",COUNTIF($O$8:$O$507,O482)&gt;1),"⚠ Cheque no. used twice","✔"))))))</f>
        <v/>
      </c>
      <c r="M482" s="9" t="str">
        <f aca="false">IF(N(F482)&gt;0,"IN",IF(N(G482)&gt;0,"OUT",""))</f>
        <v/>
      </c>
      <c r="N482" s="9" t="str">
        <f aca="false">IF(M482="","",M482&amp;"|"&amp;TEXT(ROUND(N(F482)+N(G482),2),"0.00"))</f>
        <v/>
      </c>
      <c r="O482" s="9" t="str">
        <f aca="false">IF(OR(N482="",TRIM(E482&amp;"")=""),"",N482&amp;"|"&amp;UPPER(TRIM(E482&amp;"")))</f>
        <v/>
      </c>
      <c r="P482" s="9" t="n">
        <f aca="false">IF(O482="",0,IFERROR(MATCH(O482,'Bank Statement'!$O$8:$O$507,0),0))</f>
        <v>0</v>
      </c>
      <c r="Q482" s="9" t="str">
        <f aca="false">IF(OR(N482="",P482&gt;0),"",N482&amp;"#"&amp;COUNTIFS($N$8:N482,N482,$P$8:P482,0))</f>
        <v/>
      </c>
      <c r="R482" s="9" t="n">
        <f aca="false">IF(Q482="",0,IFERROR(MATCH(Q482,'Bank Statement'!$Q$8:$Q$507,0),0))</f>
        <v>0</v>
      </c>
      <c r="S482" s="9" t="n">
        <f aca="false">IF(P482&gt;0,P482,R482)</f>
        <v>0</v>
      </c>
      <c r="T482" s="9" t="str">
        <f aca="false">IF(OR(S482=0,B482=""),"",INDEX('Bank Statement'!$B$8:$B$507,S482)-B482)</f>
        <v/>
      </c>
      <c r="U482" s="9" t="n">
        <f aca="false">IF(S482=0,0,IF(P482&gt;0,S482,IF(AND(ISNUMBER(T482),ABS(N(T482))&lt;=Setup!$C$11),S482,0)))</f>
        <v>0</v>
      </c>
      <c r="V482" s="9" t="str">
        <f aca="false">IF(AND(N482&lt;&gt;"",U482=0),IF(M482="OUT",1,2)*100000+ROW(),"")</f>
        <v/>
      </c>
      <c r="W482" s="9" t="n">
        <f aca="false">N(F482)+N(G482)</f>
        <v>0</v>
      </c>
    </row>
    <row r="483" customFormat="false" ht="15" hidden="false" customHeight="false" outlineLevel="0" collapsed="false">
      <c r="A483" s="37" t="str">
        <f aca="false">IF(M483="","",ROW()-7)</f>
        <v/>
      </c>
      <c r="B483" s="70"/>
      <c r="C483" s="71"/>
      <c r="D483" s="72"/>
      <c r="E483" s="71"/>
      <c r="F483" s="73"/>
      <c r="G483" s="73"/>
      <c r="H483" s="42" t="str">
        <f aca="false">IF(M483="","",IF(U483&gt;0,"✔ Matched",IF(M483="OUT","Not yet presented","Not yet credited")))</f>
        <v/>
      </c>
      <c r="I483" s="43" t="str">
        <f aca="false">IF(N(U483)&gt;0,U483,"")</f>
        <v/>
      </c>
      <c r="J483" s="44" t="str">
        <f aca="false">IF(N(U483)&gt;0,T483,"")</f>
        <v/>
      </c>
      <c r="K483" s="45" t="str">
        <f aca="false">IF(AND(M483="",B483="",D483=""),"",IF(AND(N(F483)&gt;0,N(G483)&gt;0),"⚠ Fill deposit OR payment",IF(M483="","⚠ Enter amount",IF(B483="","⚠ Enter date",IF(AND(Setup!$C$8&lt;&gt;"",B483&gt;Setup!$C$8),"⚠ Date after period",IF(AND(O483&lt;&gt;"",COUNTIF($O$8:$O$507,O483)&gt;1),"⚠ Cheque no. used twice","✔"))))))</f>
        <v/>
      </c>
      <c r="M483" s="9" t="str">
        <f aca="false">IF(N(F483)&gt;0,"IN",IF(N(G483)&gt;0,"OUT",""))</f>
        <v/>
      </c>
      <c r="N483" s="9" t="str">
        <f aca="false">IF(M483="","",M483&amp;"|"&amp;TEXT(ROUND(N(F483)+N(G483),2),"0.00"))</f>
        <v/>
      </c>
      <c r="O483" s="9" t="str">
        <f aca="false">IF(OR(N483="",TRIM(E483&amp;"")=""),"",N483&amp;"|"&amp;UPPER(TRIM(E483&amp;"")))</f>
        <v/>
      </c>
      <c r="P483" s="9" t="n">
        <f aca="false">IF(O483="",0,IFERROR(MATCH(O483,'Bank Statement'!$O$8:$O$507,0),0))</f>
        <v>0</v>
      </c>
      <c r="Q483" s="9" t="str">
        <f aca="false">IF(OR(N483="",P483&gt;0),"",N483&amp;"#"&amp;COUNTIFS($N$8:N483,N483,$P$8:P483,0))</f>
        <v/>
      </c>
      <c r="R483" s="9" t="n">
        <f aca="false">IF(Q483="",0,IFERROR(MATCH(Q483,'Bank Statement'!$Q$8:$Q$507,0),0))</f>
        <v>0</v>
      </c>
      <c r="S483" s="9" t="n">
        <f aca="false">IF(P483&gt;0,P483,R483)</f>
        <v>0</v>
      </c>
      <c r="T483" s="9" t="str">
        <f aca="false">IF(OR(S483=0,B483=""),"",INDEX('Bank Statement'!$B$8:$B$507,S483)-B483)</f>
        <v/>
      </c>
      <c r="U483" s="9" t="n">
        <f aca="false">IF(S483=0,0,IF(P483&gt;0,S483,IF(AND(ISNUMBER(T483),ABS(N(T483))&lt;=Setup!$C$11),S483,0)))</f>
        <v>0</v>
      </c>
      <c r="V483" s="9" t="str">
        <f aca="false">IF(AND(N483&lt;&gt;"",U483=0),IF(M483="OUT",1,2)*100000+ROW(),"")</f>
        <v/>
      </c>
      <c r="W483" s="9" t="n">
        <f aca="false">N(F483)+N(G483)</f>
        <v>0</v>
      </c>
    </row>
    <row r="484" customFormat="false" ht="15" hidden="false" customHeight="false" outlineLevel="0" collapsed="false">
      <c r="A484" s="37" t="str">
        <f aca="false">IF(M484="","",ROW()-7)</f>
        <v/>
      </c>
      <c r="B484" s="70"/>
      <c r="C484" s="71"/>
      <c r="D484" s="72"/>
      <c r="E484" s="71"/>
      <c r="F484" s="73"/>
      <c r="G484" s="73"/>
      <c r="H484" s="42" t="str">
        <f aca="false">IF(M484="","",IF(U484&gt;0,"✔ Matched",IF(M484="OUT","Not yet presented","Not yet credited")))</f>
        <v/>
      </c>
      <c r="I484" s="43" t="str">
        <f aca="false">IF(N(U484)&gt;0,U484,"")</f>
        <v/>
      </c>
      <c r="J484" s="44" t="str">
        <f aca="false">IF(N(U484)&gt;0,T484,"")</f>
        <v/>
      </c>
      <c r="K484" s="45" t="str">
        <f aca="false">IF(AND(M484="",B484="",D484=""),"",IF(AND(N(F484)&gt;0,N(G484)&gt;0),"⚠ Fill deposit OR payment",IF(M484="","⚠ Enter amount",IF(B484="","⚠ Enter date",IF(AND(Setup!$C$8&lt;&gt;"",B484&gt;Setup!$C$8),"⚠ Date after period",IF(AND(O484&lt;&gt;"",COUNTIF($O$8:$O$507,O484)&gt;1),"⚠ Cheque no. used twice","✔"))))))</f>
        <v/>
      </c>
      <c r="M484" s="9" t="str">
        <f aca="false">IF(N(F484)&gt;0,"IN",IF(N(G484)&gt;0,"OUT",""))</f>
        <v/>
      </c>
      <c r="N484" s="9" t="str">
        <f aca="false">IF(M484="","",M484&amp;"|"&amp;TEXT(ROUND(N(F484)+N(G484),2),"0.00"))</f>
        <v/>
      </c>
      <c r="O484" s="9" t="str">
        <f aca="false">IF(OR(N484="",TRIM(E484&amp;"")=""),"",N484&amp;"|"&amp;UPPER(TRIM(E484&amp;"")))</f>
        <v/>
      </c>
      <c r="P484" s="9" t="n">
        <f aca="false">IF(O484="",0,IFERROR(MATCH(O484,'Bank Statement'!$O$8:$O$507,0),0))</f>
        <v>0</v>
      </c>
      <c r="Q484" s="9" t="str">
        <f aca="false">IF(OR(N484="",P484&gt;0),"",N484&amp;"#"&amp;COUNTIFS($N$8:N484,N484,$P$8:P484,0))</f>
        <v/>
      </c>
      <c r="R484" s="9" t="n">
        <f aca="false">IF(Q484="",0,IFERROR(MATCH(Q484,'Bank Statement'!$Q$8:$Q$507,0),0))</f>
        <v>0</v>
      </c>
      <c r="S484" s="9" t="n">
        <f aca="false">IF(P484&gt;0,P484,R484)</f>
        <v>0</v>
      </c>
      <c r="T484" s="9" t="str">
        <f aca="false">IF(OR(S484=0,B484=""),"",INDEX('Bank Statement'!$B$8:$B$507,S484)-B484)</f>
        <v/>
      </c>
      <c r="U484" s="9" t="n">
        <f aca="false">IF(S484=0,0,IF(P484&gt;0,S484,IF(AND(ISNUMBER(T484),ABS(N(T484))&lt;=Setup!$C$11),S484,0)))</f>
        <v>0</v>
      </c>
      <c r="V484" s="9" t="str">
        <f aca="false">IF(AND(N484&lt;&gt;"",U484=0),IF(M484="OUT",1,2)*100000+ROW(),"")</f>
        <v/>
      </c>
      <c r="W484" s="9" t="n">
        <f aca="false">N(F484)+N(G484)</f>
        <v>0</v>
      </c>
    </row>
    <row r="485" customFormat="false" ht="15" hidden="false" customHeight="false" outlineLevel="0" collapsed="false">
      <c r="A485" s="37" t="str">
        <f aca="false">IF(M485="","",ROW()-7)</f>
        <v/>
      </c>
      <c r="B485" s="70"/>
      <c r="C485" s="71"/>
      <c r="D485" s="72"/>
      <c r="E485" s="71"/>
      <c r="F485" s="73"/>
      <c r="G485" s="73"/>
      <c r="H485" s="42" t="str">
        <f aca="false">IF(M485="","",IF(U485&gt;0,"✔ Matched",IF(M485="OUT","Not yet presented","Not yet credited")))</f>
        <v/>
      </c>
      <c r="I485" s="43" t="str">
        <f aca="false">IF(N(U485)&gt;0,U485,"")</f>
        <v/>
      </c>
      <c r="J485" s="44" t="str">
        <f aca="false">IF(N(U485)&gt;0,T485,"")</f>
        <v/>
      </c>
      <c r="K485" s="45" t="str">
        <f aca="false">IF(AND(M485="",B485="",D485=""),"",IF(AND(N(F485)&gt;0,N(G485)&gt;0),"⚠ Fill deposit OR payment",IF(M485="","⚠ Enter amount",IF(B485="","⚠ Enter date",IF(AND(Setup!$C$8&lt;&gt;"",B485&gt;Setup!$C$8),"⚠ Date after period",IF(AND(O485&lt;&gt;"",COUNTIF($O$8:$O$507,O485)&gt;1),"⚠ Cheque no. used twice","✔"))))))</f>
        <v/>
      </c>
      <c r="M485" s="9" t="str">
        <f aca="false">IF(N(F485)&gt;0,"IN",IF(N(G485)&gt;0,"OUT",""))</f>
        <v/>
      </c>
      <c r="N485" s="9" t="str">
        <f aca="false">IF(M485="","",M485&amp;"|"&amp;TEXT(ROUND(N(F485)+N(G485),2),"0.00"))</f>
        <v/>
      </c>
      <c r="O485" s="9" t="str">
        <f aca="false">IF(OR(N485="",TRIM(E485&amp;"")=""),"",N485&amp;"|"&amp;UPPER(TRIM(E485&amp;"")))</f>
        <v/>
      </c>
      <c r="P485" s="9" t="n">
        <f aca="false">IF(O485="",0,IFERROR(MATCH(O485,'Bank Statement'!$O$8:$O$507,0),0))</f>
        <v>0</v>
      </c>
      <c r="Q485" s="9" t="str">
        <f aca="false">IF(OR(N485="",P485&gt;0),"",N485&amp;"#"&amp;COUNTIFS($N$8:N485,N485,$P$8:P485,0))</f>
        <v/>
      </c>
      <c r="R485" s="9" t="n">
        <f aca="false">IF(Q485="",0,IFERROR(MATCH(Q485,'Bank Statement'!$Q$8:$Q$507,0),0))</f>
        <v>0</v>
      </c>
      <c r="S485" s="9" t="n">
        <f aca="false">IF(P485&gt;0,P485,R485)</f>
        <v>0</v>
      </c>
      <c r="T485" s="9" t="str">
        <f aca="false">IF(OR(S485=0,B485=""),"",INDEX('Bank Statement'!$B$8:$B$507,S485)-B485)</f>
        <v/>
      </c>
      <c r="U485" s="9" t="n">
        <f aca="false">IF(S485=0,0,IF(P485&gt;0,S485,IF(AND(ISNUMBER(T485),ABS(N(T485))&lt;=Setup!$C$11),S485,0)))</f>
        <v>0</v>
      </c>
      <c r="V485" s="9" t="str">
        <f aca="false">IF(AND(N485&lt;&gt;"",U485=0),IF(M485="OUT",1,2)*100000+ROW(),"")</f>
        <v/>
      </c>
      <c r="W485" s="9" t="n">
        <f aca="false">N(F485)+N(G485)</f>
        <v>0</v>
      </c>
    </row>
    <row r="486" customFormat="false" ht="15" hidden="false" customHeight="false" outlineLevel="0" collapsed="false">
      <c r="A486" s="37" t="str">
        <f aca="false">IF(M486="","",ROW()-7)</f>
        <v/>
      </c>
      <c r="B486" s="70"/>
      <c r="C486" s="71"/>
      <c r="D486" s="72"/>
      <c r="E486" s="71"/>
      <c r="F486" s="73"/>
      <c r="G486" s="73"/>
      <c r="H486" s="42" t="str">
        <f aca="false">IF(M486="","",IF(U486&gt;0,"✔ Matched",IF(M486="OUT","Not yet presented","Not yet credited")))</f>
        <v/>
      </c>
      <c r="I486" s="43" t="str">
        <f aca="false">IF(N(U486)&gt;0,U486,"")</f>
        <v/>
      </c>
      <c r="J486" s="44" t="str">
        <f aca="false">IF(N(U486)&gt;0,T486,"")</f>
        <v/>
      </c>
      <c r="K486" s="45" t="str">
        <f aca="false">IF(AND(M486="",B486="",D486=""),"",IF(AND(N(F486)&gt;0,N(G486)&gt;0),"⚠ Fill deposit OR payment",IF(M486="","⚠ Enter amount",IF(B486="","⚠ Enter date",IF(AND(Setup!$C$8&lt;&gt;"",B486&gt;Setup!$C$8),"⚠ Date after period",IF(AND(O486&lt;&gt;"",COUNTIF($O$8:$O$507,O486)&gt;1),"⚠ Cheque no. used twice","✔"))))))</f>
        <v/>
      </c>
      <c r="M486" s="9" t="str">
        <f aca="false">IF(N(F486)&gt;0,"IN",IF(N(G486)&gt;0,"OUT",""))</f>
        <v/>
      </c>
      <c r="N486" s="9" t="str">
        <f aca="false">IF(M486="","",M486&amp;"|"&amp;TEXT(ROUND(N(F486)+N(G486),2),"0.00"))</f>
        <v/>
      </c>
      <c r="O486" s="9" t="str">
        <f aca="false">IF(OR(N486="",TRIM(E486&amp;"")=""),"",N486&amp;"|"&amp;UPPER(TRIM(E486&amp;"")))</f>
        <v/>
      </c>
      <c r="P486" s="9" t="n">
        <f aca="false">IF(O486="",0,IFERROR(MATCH(O486,'Bank Statement'!$O$8:$O$507,0),0))</f>
        <v>0</v>
      </c>
      <c r="Q486" s="9" t="str">
        <f aca="false">IF(OR(N486="",P486&gt;0),"",N486&amp;"#"&amp;COUNTIFS($N$8:N486,N486,$P$8:P486,0))</f>
        <v/>
      </c>
      <c r="R486" s="9" t="n">
        <f aca="false">IF(Q486="",0,IFERROR(MATCH(Q486,'Bank Statement'!$Q$8:$Q$507,0),0))</f>
        <v>0</v>
      </c>
      <c r="S486" s="9" t="n">
        <f aca="false">IF(P486&gt;0,P486,R486)</f>
        <v>0</v>
      </c>
      <c r="T486" s="9" t="str">
        <f aca="false">IF(OR(S486=0,B486=""),"",INDEX('Bank Statement'!$B$8:$B$507,S486)-B486)</f>
        <v/>
      </c>
      <c r="U486" s="9" t="n">
        <f aca="false">IF(S486=0,0,IF(P486&gt;0,S486,IF(AND(ISNUMBER(T486),ABS(N(T486))&lt;=Setup!$C$11),S486,0)))</f>
        <v>0</v>
      </c>
      <c r="V486" s="9" t="str">
        <f aca="false">IF(AND(N486&lt;&gt;"",U486=0),IF(M486="OUT",1,2)*100000+ROW(),"")</f>
        <v/>
      </c>
      <c r="W486" s="9" t="n">
        <f aca="false">N(F486)+N(G486)</f>
        <v>0</v>
      </c>
    </row>
    <row r="487" customFormat="false" ht="15" hidden="false" customHeight="false" outlineLevel="0" collapsed="false">
      <c r="A487" s="37" t="str">
        <f aca="false">IF(M487="","",ROW()-7)</f>
        <v/>
      </c>
      <c r="B487" s="70"/>
      <c r="C487" s="71"/>
      <c r="D487" s="72"/>
      <c r="E487" s="71"/>
      <c r="F487" s="73"/>
      <c r="G487" s="73"/>
      <c r="H487" s="42" t="str">
        <f aca="false">IF(M487="","",IF(U487&gt;0,"✔ Matched",IF(M487="OUT","Not yet presented","Not yet credited")))</f>
        <v/>
      </c>
      <c r="I487" s="43" t="str">
        <f aca="false">IF(N(U487)&gt;0,U487,"")</f>
        <v/>
      </c>
      <c r="J487" s="44" t="str">
        <f aca="false">IF(N(U487)&gt;0,T487,"")</f>
        <v/>
      </c>
      <c r="K487" s="45" t="str">
        <f aca="false">IF(AND(M487="",B487="",D487=""),"",IF(AND(N(F487)&gt;0,N(G487)&gt;0),"⚠ Fill deposit OR payment",IF(M487="","⚠ Enter amount",IF(B487="","⚠ Enter date",IF(AND(Setup!$C$8&lt;&gt;"",B487&gt;Setup!$C$8),"⚠ Date after period",IF(AND(O487&lt;&gt;"",COUNTIF($O$8:$O$507,O487)&gt;1),"⚠ Cheque no. used twice","✔"))))))</f>
        <v/>
      </c>
      <c r="M487" s="9" t="str">
        <f aca="false">IF(N(F487)&gt;0,"IN",IF(N(G487)&gt;0,"OUT",""))</f>
        <v/>
      </c>
      <c r="N487" s="9" t="str">
        <f aca="false">IF(M487="","",M487&amp;"|"&amp;TEXT(ROUND(N(F487)+N(G487),2),"0.00"))</f>
        <v/>
      </c>
      <c r="O487" s="9" t="str">
        <f aca="false">IF(OR(N487="",TRIM(E487&amp;"")=""),"",N487&amp;"|"&amp;UPPER(TRIM(E487&amp;"")))</f>
        <v/>
      </c>
      <c r="P487" s="9" t="n">
        <f aca="false">IF(O487="",0,IFERROR(MATCH(O487,'Bank Statement'!$O$8:$O$507,0),0))</f>
        <v>0</v>
      </c>
      <c r="Q487" s="9" t="str">
        <f aca="false">IF(OR(N487="",P487&gt;0),"",N487&amp;"#"&amp;COUNTIFS($N$8:N487,N487,$P$8:P487,0))</f>
        <v/>
      </c>
      <c r="R487" s="9" t="n">
        <f aca="false">IF(Q487="",0,IFERROR(MATCH(Q487,'Bank Statement'!$Q$8:$Q$507,0),0))</f>
        <v>0</v>
      </c>
      <c r="S487" s="9" t="n">
        <f aca="false">IF(P487&gt;0,P487,R487)</f>
        <v>0</v>
      </c>
      <c r="T487" s="9" t="str">
        <f aca="false">IF(OR(S487=0,B487=""),"",INDEX('Bank Statement'!$B$8:$B$507,S487)-B487)</f>
        <v/>
      </c>
      <c r="U487" s="9" t="n">
        <f aca="false">IF(S487=0,0,IF(P487&gt;0,S487,IF(AND(ISNUMBER(T487),ABS(N(T487))&lt;=Setup!$C$11),S487,0)))</f>
        <v>0</v>
      </c>
      <c r="V487" s="9" t="str">
        <f aca="false">IF(AND(N487&lt;&gt;"",U487=0),IF(M487="OUT",1,2)*100000+ROW(),"")</f>
        <v/>
      </c>
      <c r="W487" s="9" t="n">
        <f aca="false">N(F487)+N(G487)</f>
        <v>0</v>
      </c>
    </row>
    <row r="488" customFormat="false" ht="15" hidden="false" customHeight="false" outlineLevel="0" collapsed="false">
      <c r="A488" s="37" t="str">
        <f aca="false">IF(M488="","",ROW()-7)</f>
        <v/>
      </c>
      <c r="B488" s="70"/>
      <c r="C488" s="71"/>
      <c r="D488" s="72"/>
      <c r="E488" s="71"/>
      <c r="F488" s="73"/>
      <c r="G488" s="73"/>
      <c r="H488" s="42" t="str">
        <f aca="false">IF(M488="","",IF(U488&gt;0,"✔ Matched",IF(M488="OUT","Not yet presented","Not yet credited")))</f>
        <v/>
      </c>
      <c r="I488" s="43" t="str">
        <f aca="false">IF(N(U488)&gt;0,U488,"")</f>
        <v/>
      </c>
      <c r="J488" s="44" t="str">
        <f aca="false">IF(N(U488)&gt;0,T488,"")</f>
        <v/>
      </c>
      <c r="K488" s="45" t="str">
        <f aca="false">IF(AND(M488="",B488="",D488=""),"",IF(AND(N(F488)&gt;0,N(G488)&gt;0),"⚠ Fill deposit OR payment",IF(M488="","⚠ Enter amount",IF(B488="","⚠ Enter date",IF(AND(Setup!$C$8&lt;&gt;"",B488&gt;Setup!$C$8),"⚠ Date after period",IF(AND(O488&lt;&gt;"",COUNTIF($O$8:$O$507,O488)&gt;1),"⚠ Cheque no. used twice","✔"))))))</f>
        <v/>
      </c>
      <c r="M488" s="9" t="str">
        <f aca="false">IF(N(F488)&gt;0,"IN",IF(N(G488)&gt;0,"OUT",""))</f>
        <v/>
      </c>
      <c r="N488" s="9" t="str">
        <f aca="false">IF(M488="","",M488&amp;"|"&amp;TEXT(ROUND(N(F488)+N(G488),2),"0.00"))</f>
        <v/>
      </c>
      <c r="O488" s="9" t="str">
        <f aca="false">IF(OR(N488="",TRIM(E488&amp;"")=""),"",N488&amp;"|"&amp;UPPER(TRIM(E488&amp;"")))</f>
        <v/>
      </c>
      <c r="P488" s="9" t="n">
        <f aca="false">IF(O488="",0,IFERROR(MATCH(O488,'Bank Statement'!$O$8:$O$507,0),0))</f>
        <v>0</v>
      </c>
      <c r="Q488" s="9" t="str">
        <f aca="false">IF(OR(N488="",P488&gt;0),"",N488&amp;"#"&amp;COUNTIFS($N$8:N488,N488,$P$8:P488,0))</f>
        <v/>
      </c>
      <c r="R488" s="9" t="n">
        <f aca="false">IF(Q488="",0,IFERROR(MATCH(Q488,'Bank Statement'!$Q$8:$Q$507,0),0))</f>
        <v>0</v>
      </c>
      <c r="S488" s="9" t="n">
        <f aca="false">IF(P488&gt;0,P488,R488)</f>
        <v>0</v>
      </c>
      <c r="T488" s="9" t="str">
        <f aca="false">IF(OR(S488=0,B488=""),"",INDEX('Bank Statement'!$B$8:$B$507,S488)-B488)</f>
        <v/>
      </c>
      <c r="U488" s="9" t="n">
        <f aca="false">IF(S488=0,0,IF(P488&gt;0,S488,IF(AND(ISNUMBER(T488),ABS(N(T488))&lt;=Setup!$C$11),S488,0)))</f>
        <v>0</v>
      </c>
      <c r="V488" s="9" t="str">
        <f aca="false">IF(AND(N488&lt;&gt;"",U488=0),IF(M488="OUT",1,2)*100000+ROW(),"")</f>
        <v/>
      </c>
      <c r="W488" s="9" t="n">
        <f aca="false">N(F488)+N(G488)</f>
        <v>0</v>
      </c>
    </row>
    <row r="489" customFormat="false" ht="15" hidden="false" customHeight="false" outlineLevel="0" collapsed="false">
      <c r="A489" s="37" t="str">
        <f aca="false">IF(M489="","",ROW()-7)</f>
        <v/>
      </c>
      <c r="B489" s="70"/>
      <c r="C489" s="71"/>
      <c r="D489" s="72"/>
      <c r="E489" s="71"/>
      <c r="F489" s="73"/>
      <c r="G489" s="73"/>
      <c r="H489" s="42" t="str">
        <f aca="false">IF(M489="","",IF(U489&gt;0,"✔ Matched",IF(M489="OUT","Not yet presented","Not yet credited")))</f>
        <v/>
      </c>
      <c r="I489" s="43" t="str">
        <f aca="false">IF(N(U489)&gt;0,U489,"")</f>
        <v/>
      </c>
      <c r="J489" s="44" t="str">
        <f aca="false">IF(N(U489)&gt;0,T489,"")</f>
        <v/>
      </c>
      <c r="K489" s="45" t="str">
        <f aca="false">IF(AND(M489="",B489="",D489=""),"",IF(AND(N(F489)&gt;0,N(G489)&gt;0),"⚠ Fill deposit OR payment",IF(M489="","⚠ Enter amount",IF(B489="","⚠ Enter date",IF(AND(Setup!$C$8&lt;&gt;"",B489&gt;Setup!$C$8),"⚠ Date after period",IF(AND(O489&lt;&gt;"",COUNTIF($O$8:$O$507,O489)&gt;1),"⚠ Cheque no. used twice","✔"))))))</f>
        <v/>
      </c>
      <c r="M489" s="9" t="str">
        <f aca="false">IF(N(F489)&gt;0,"IN",IF(N(G489)&gt;0,"OUT",""))</f>
        <v/>
      </c>
      <c r="N489" s="9" t="str">
        <f aca="false">IF(M489="","",M489&amp;"|"&amp;TEXT(ROUND(N(F489)+N(G489),2),"0.00"))</f>
        <v/>
      </c>
      <c r="O489" s="9" t="str">
        <f aca="false">IF(OR(N489="",TRIM(E489&amp;"")=""),"",N489&amp;"|"&amp;UPPER(TRIM(E489&amp;"")))</f>
        <v/>
      </c>
      <c r="P489" s="9" t="n">
        <f aca="false">IF(O489="",0,IFERROR(MATCH(O489,'Bank Statement'!$O$8:$O$507,0),0))</f>
        <v>0</v>
      </c>
      <c r="Q489" s="9" t="str">
        <f aca="false">IF(OR(N489="",P489&gt;0),"",N489&amp;"#"&amp;COUNTIFS($N$8:N489,N489,$P$8:P489,0))</f>
        <v/>
      </c>
      <c r="R489" s="9" t="n">
        <f aca="false">IF(Q489="",0,IFERROR(MATCH(Q489,'Bank Statement'!$Q$8:$Q$507,0),0))</f>
        <v>0</v>
      </c>
      <c r="S489" s="9" t="n">
        <f aca="false">IF(P489&gt;0,P489,R489)</f>
        <v>0</v>
      </c>
      <c r="T489" s="9" t="str">
        <f aca="false">IF(OR(S489=0,B489=""),"",INDEX('Bank Statement'!$B$8:$B$507,S489)-B489)</f>
        <v/>
      </c>
      <c r="U489" s="9" t="n">
        <f aca="false">IF(S489=0,0,IF(P489&gt;0,S489,IF(AND(ISNUMBER(T489),ABS(N(T489))&lt;=Setup!$C$11),S489,0)))</f>
        <v>0</v>
      </c>
      <c r="V489" s="9" t="str">
        <f aca="false">IF(AND(N489&lt;&gt;"",U489=0),IF(M489="OUT",1,2)*100000+ROW(),"")</f>
        <v/>
      </c>
      <c r="W489" s="9" t="n">
        <f aca="false">N(F489)+N(G489)</f>
        <v>0</v>
      </c>
    </row>
    <row r="490" customFormat="false" ht="15" hidden="false" customHeight="false" outlineLevel="0" collapsed="false">
      <c r="A490" s="37" t="str">
        <f aca="false">IF(M490="","",ROW()-7)</f>
        <v/>
      </c>
      <c r="B490" s="70"/>
      <c r="C490" s="71"/>
      <c r="D490" s="72"/>
      <c r="E490" s="71"/>
      <c r="F490" s="73"/>
      <c r="G490" s="73"/>
      <c r="H490" s="42" t="str">
        <f aca="false">IF(M490="","",IF(U490&gt;0,"✔ Matched",IF(M490="OUT","Not yet presented","Not yet credited")))</f>
        <v/>
      </c>
      <c r="I490" s="43" t="str">
        <f aca="false">IF(N(U490)&gt;0,U490,"")</f>
        <v/>
      </c>
      <c r="J490" s="44" t="str">
        <f aca="false">IF(N(U490)&gt;0,T490,"")</f>
        <v/>
      </c>
      <c r="K490" s="45" t="str">
        <f aca="false">IF(AND(M490="",B490="",D490=""),"",IF(AND(N(F490)&gt;0,N(G490)&gt;0),"⚠ Fill deposit OR payment",IF(M490="","⚠ Enter amount",IF(B490="","⚠ Enter date",IF(AND(Setup!$C$8&lt;&gt;"",B490&gt;Setup!$C$8),"⚠ Date after period",IF(AND(O490&lt;&gt;"",COUNTIF($O$8:$O$507,O490)&gt;1),"⚠ Cheque no. used twice","✔"))))))</f>
        <v/>
      </c>
      <c r="M490" s="9" t="str">
        <f aca="false">IF(N(F490)&gt;0,"IN",IF(N(G490)&gt;0,"OUT",""))</f>
        <v/>
      </c>
      <c r="N490" s="9" t="str">
        <f aca="false">IF(M490="","",M490&amp;"|"&amp;TEXT(ROUND(N(F490)+N(G490),2),"0.00"))</f>
        <v/>
      </c>
      <c r="O490" s="9" t="str">
        <f aca="false">IF(OR(N490="",TRIM(E490&amp;"")=""),"",N490&amp;"|"&amp;UPPER(TRIM(E490&amp;"")))</f>
        <v/>
      </c>
      <c r="P490" s="9" t="n">
        <f aca="false">IF(O490="",0,IFERROR(MATCH(O490,'Bank Statement'!$O$8:$O$507,0),0))</f>
        <v>0</v>
      </c>
      <c r="Q490" s="9" t="str">
        <f aca="false">IF(OR(N490="",P490&gt;0),"",N490&amp;"#"&amp;COUNTIFS($N$8:N490,N490,$P$8:P490,0))</f>
        <v/>
      </c>
      <c r="R490" s="9" t="n">
        <f aca="false">IF(Q490="",0,IFERROR(MATCH(Q490,'Bank Statement'!$Q$8:$Q$507,0),0))</f>
        <v>0</v>
      </c>
      <c r="S490" s="9" t="n">
        <f aca="false">IF(P490&gt;0,P490,R490)</f>
        <v>0</v>
      </c>
      <c r="T490" s="9" t="str">
        <f aca="false">IF(OR(S490=0,B490=""),"",INDEX('Bank Statement'!$B$8:$B$507,S490)-B490)</f>
        <v/>
      </c>
      <c r="U490" s="9" t="n">
        <f aca="false">IF(S490=0,0,IF(P490&gt;0,S490,IF(AND(ISNUMBER(T490),ABS(N(T490))&lt;=Setup!$C$11),S490,0)))</f>
        <v>0</v>
      </c>
      <c r="V490" s="9" t="str">
        <f aca="false">IF(AND(N490&lt;&gt;"",U490=0),IF(M490="OUT",1,2)*100000+ROW(),"")</f>
        <v/>
      </c>
      <c r="W490" s="9" t="n">
        <f aca="false">N(F490)+N(G490)</f>
        <v>0</v>
      </c>
    </row>
    <row r="491" customFormat="false" ht="15" hidden="false" customHeight="false" outlineLevel="0" collapsed="false">
      <c r="A491" s="37" t="str">
        <f aca="false">IF(M491="","",ROW()-7)</f>
        <v/>
      </c>
      <c r="B491" s="70"/>
      <c r="C491" s="71"/>
      <c r="D491" s="72"/>
      <c r="E491" s="71"/>
      <c r="F491" s="73"/>
      <c r="G491" s="73"/>
      <c r="H491" s="42" t="str">
        <f aca="false">IF(M491="","",IF(U491&gt;0,"✔ Matched",IF(M491="OUT","Not yet presented","Not yet credited")))</f>
        <v/>
      </c>
      <c r="I491" s="43" t="str">
        <f aca="false">IF(N(U491)&gt;0,U491,"")</f>
        <v/>
      </c>
      <c r="J491" s="44" t="str">
        <f aca="false">IF(N(U491)&gt;0,T491,"")</f>
        <v/>
      </c>
      <c r="K491" s="45" t="str">
        <f aca="false">IF(AND(M491="",B491="",D491=""),"",IF(AND(N(F491)&gt;0,N(G491)&gt;0),"⚠ Fill deposit OR payment",IF(M491="","⚠ Enter amount",IF(B491="","⚠ Enter date",IF(AND(Setup!$C$8&lt;&gt;"",B491&gt;Setup!$C$8),"⚠ Date after period",IF(AND(O491&lt;&gt;"",COUNTIF($O$8:$O$507,O491)&gt;1),"⚠ Cheque no. used twice","✔"))))))</f>
        <v/>
      </c>
      <c r="M491" s="9" t="str">
        <f aca="false">IF(N(F491)&gt;0,"IN",IF(N(G491)&gt;0,"OUT",""))</f>
        <v/>
      </c>
      <c r="N491" s="9" t="str">
        <f aca="false">IF(M491="","",M491&amp;"|"&amp;TEXT(ROUND(N(F491)+N(G491),2),"0.00"))</f>
        <v/>
      </c>
      <c r="O491" s="9" t="str">
        <f aca="false">IF(OR(N491="",TRIM(E491&amp;"")=""),"",N491&amp;"|"&amp;UPPER(TRIM(E491&amp;"")))</f>
        <v/>
      </c>
      <c r="P491" s="9" t="n">
        <f aca="false">IF(O491="",0,IFERROR(MATCH(O491,'Bank Statement'!$O$8:$O$507,0),0))</f>
        <v>0</v>
      </c>
      <c r="Q491" s="9" t="str">
        <f aca="false">IF(OR(N491="",P491&gt;0),"",N491&amp;"#"&amp;COUNTIFS($N$8:N491,N491,$P$8:P491,0))</f>
        <v/>
      </c>
      <c r="R491" s="9" t="n">
        <f aca="false">IF(Q491="",0,IFERROR(MATCH(Q491,'Bank Statement'!$Q$8:$Q$507,0),0))</f>
        <v>0</v>
      </c>
      <c r="S491" s="9" t="n">
        <f aca="false">IF(P491&gt;0,P491,R491)</f>
        <v>0</v>
      </c>
      <c r="T491" s="9" t="str">
        <f aca="false">IF(OR(S491=0,B491=""),"",INDEX('Bank Statement'!$B$8:$B$507,S491)-B491)</f>
        <v/>
      </c>
      <c r="U491" s="9" t="n">
        <f aca="false">IF(S491=0,0,IF(P491&gt;0,S491,IF(AND(ISNUMBER(T491),ABS(N(T491))&lt;=Setup!$C$11),S491,0)))</f>
        <v>0</v>
      </c>
      <c r="V491" s="9" t="str">
        <f aca="false">IF(AND(N491&lt;&gt;"",U491=0),IF(M491="OUT",1,2)*100000+ROW(),"")</f>
        <v/>
      </c>
      <c r="W491" s="9" t="n">
        <f aca="false">N(F491)+N(G491)</f>
        <v>0</v>
      </c>
    </row>
    <row r="492" customFormat="false" ht="15" hidden="false" customHeight="false" outlineLevel="0" collapsed="false">
      <c r="A492" s="37" t="str">
        <f aca="false">IF(M492="","",ROW()-7)</f>
        <v/>
      </c>
      <c r="B492" s="70"/>
      <c r="C492" s="71"/>
      <c r="D492" s="72"/>
      <c r="E492" s="71"/>
      <c r="F492" s="73"/>
      <c r="G492" s="73"/>
      <c r="H492" s="42" t="str">
        <f aca="false">IF(M492="","",IF(U492&gt;0,"✔ Matched",IF(M492="OUT","Not yet presented","Not yet credited")))</f>
        <v/>
      </c>
      <c r="I492" s="43" t="str">
        <f aca="false">IF(N(U492)&gt;0,U492,"")</f>
        <v/>
      </c>
      <c r="J492" s="44" t="str">
        <f aca="false">IF(N(U492)&gt;0,T492,"")</f>
        <v/>
      </c>
      <c r="K492" s="45" t="str">
        <f aca="false">IF(AND(M492="",B492="",D492=""),"",IF(AND(N(F492)&gt;0,N(G492)&gt;0),"⚠ Fill deposit OR payment",IF(M492="","⚠ Enter amount",IF(B492="","⚠ Enter date",IF(AND(Setup!$C$8&lt;&gt;"",B492&gt;Setup!$C$8),"⚠ Date after period",IF(AND(O492&lt;&gt;"",COUNTIF($O$8:$O$507,O492)&gt;1),"⚠ Cheque no. used twice","✔"))))))</f>
        <v/>
      </c>
      <c r="M492" s="9" t="str">
        <f aca="false">IF(N(F492)&gt;0,"IN",IF(N(G492)&gt;0,"OUT",""))</f>
        <v/>
      </c>
      <c r="N492" s="9" t="str">
        <f aca="false">IF(M492="","",M492&amp;"|"&amp;TEXT(ROUND(N(F492)+N(G492),2),"0.00"))</f>
        <v/>
      </c>
      <c r="O492" s="9" t="str">
        <f aca="false">IF(OR(N492="",TRIM(E492&amp;"")=""),"",N492&amp;"|"&amp;UPPER(TRIM(E492&amp;"")))</f>
        <v/>
      </c>
      <c r="P492" s="9" t="n">
        <f aca="false">IF(O492="",0,IFERROR(MATCH(O492,'Bank Statement'!$O$8:$O$507,0),0))</f>
        <v>0</v>
      </c>
      <c r="Q492" s="9" t="str">
        <f aca="false">IF(OR(N492="",P492&gt;0),"",N492&amp;"#"&amp;COUNTIFS($N$8:N492,N492,$P$8:P492,0))</f>
        <v/>
      </c>
      <c r="R492" s="9" t="n">
        <f aca="false">IF(Q492="",0,IFERROR(MATCH(Q492,'Bank Statement'!$Q$8:$Q$507,0),0))</f>
        <v>0</v>
      </c>
      <c r="S492" s="9" t="n">
        <f aca="false">IF(P492&gt;0,P492,R492)</f>
        <v>0</v>
      </c>
      <c r="T492" s="9" t="str">
        <f aca="false">IF(OR(S492=0,B492=""),"",INDEX('Bank Statement'!$B$8:$B$507,S492)-B492)</f>
        <v/>
      </c>
      <c r="U492" s="9" t="n">
        <f aca="false">IF(S492=0,0,IF(P492&gt;0,S492,IF(AND(ISNUMBER(T492),ABS(N(T492))&lt;=Setup!$C$11),S492,0)))</f>
        <v>0</v>
      </c>
      <c r="V492" s="9" t="str">
        <f aca="false">IF(AND(N492&lt;&gt;"",U492=0),IF(M492="OUT",1,2)*100000+ROW(),"")</f>
        <v/>
      </c>
      <c r="W492" s="9" t="n">
        <f aca="false">N(F492)+N(G492)</f>
        <v>0</v>
      </c>
    </row>
    <row r="493" customFormat="false" ht="15" hidden="false" customHeight="false" outlineLevel="0" collapsed="false">
      <c r="A493" s="37" t="str">
        <f aca="false">IF(M493="","",ROW()-7)</f>
        <v/>
      </c>
      <c r="B493" s="70"/>
      <c r="C493" s="71"/>
      <c r="D493" s="72"/>
      <c r="E493" s="71"/>
      <c r="F493" s="73"/>
      <c r="G493" s="73"/>
      <c r="H493" s="42" t="str">
        <f aca="false">IF(M493="","",IF(U493&gt;0,"✔ Matched",IF(M493="OUT","Not yet presented","Not yet credited")))</f>
        <v/>
      </c>
      <c r="I493" s="43" t="str">
        <f aca="false">IF(N(U493)&gt;0,U493,"")</f>
        <v/>
      </c>
      <c r="J493" s="44" t="str">
        <f aca="false">IF(N(U493)&gt;0,T493,"")</f>
        <v/>
      </c>
      <c r="K493" s="45" t="str">
        <f aca="false">IF(AND(M493="",B493="",D493=""),"",IF(AND(N(F493)&gt;0,N(G493)&gt;0),"⚠ Fill deposit OR payment",IF(M493="","⚠ Enter amount",IF(B493="","⚠ Enter date",IF(AND(Setup!$C$8&lt;&gt;"",B493&gt;Setup!$C$8),"⚠ Date after period",IF(AND(O493&lt;&gt;"",COUNTIF($O$8:$O$507,O493)&gt;1),"⚠ Cheque no. used twice","✔"))))))</f>
        <v/>
      </c>
      <c r="M493" s="9" t="str">
        <f aca="false">IF(N(F493)&gt;0,"IN",IF(N(G493)&gt;0,"OUT",""))</f>
        <v/>
      </c>
      <c r="N493" s="9" t="str">
        <f aca="false">IF(M493="","",M493&amp;"|"&amp;TEXT(ROUND(N(F493)+N(G493),2),"0.00"))</f>
        <v/>
      </c>
      <c r="O493" s="9" t="str">
        <f aca="false">IF(OR(N493="",TRIM(E493&amp;"")=""),"",N493&amp;"|"&amp;UPPER(TRIM(E493&amp;"")))</f>
        <v/>
      </c>
      <c r="P493" s="9" t="n">
        <f aca="false">IF(O493="",0,IFERROR(MATCH(O493,'Bank Statement'!$O$8:$O$507,0),0))</f>
        <v>0</v>
      </c>
      <c r="Q493" s="9" t="str">
        <f aca="false">IF(OR(N493="",P493&gt;0),"",N493&amp;"#"&amp;COUNTIFS($N$8:N493,N493,$P$8:P493,0))</f>
        <v/>
      </c>
      <c r="R493" s="9" t="n">
        <f aca="false">IF(Q493="",0,IFERROR(MATCH(Q493,'Bank Statement'!$Q$8:$Q$507,0),0))</f>
        <v>0</v>
      </c>
      <c r="S493" s="9" t="n">
        <f aca="false">IF(P493&gt;0,P493,R493)</f>
        <v>0</v>
      </c>
      <c r="T493" s="9" t="str">
        <f aca="false">IF(OR(S493=0,B493=""),"",INDEX('Bank Statement'!$B$8:$B$507,S493)-B493)</f>
        <v/>
      </c>
      <c r="U493" s="9" t="n">
        <f aca="false">IF(S493=0,0,IF(P493&gt;0,S493,IF(AND(ISNUMBER(T493),ABS(N(T493))&lt;=Setup!$C$11),S493,0)))</f>
        <v>0</v>
      </c>
      <c r="V493" s="9" t="str">
        <f aca="false">IF(AND(N493&lt;&gt;"",U493=0),IF(M493="OUT",1,2)*100000+ROW(),"")</f>
        <v/>
      </c>
      <c r="W493" s="9" t="n">
        <f aca="false">N(F493)+N(G493)</f>
        <v>0</v>
      </c>
    </row>
    <row r="494" customFormat="false" ht="15" hidden="false" customHeight="false" outlineLevel="0" collapsed="false">
      <c r="A494" s="37" t="str">
        <f aca="false">IF(M494="","",ROW()-7)</f>
        <v/>
      </c>
      <c r="B494" s="70"/>
      <c r="C494" s="71"/>
      <c r="D494" s="72"/>
      <c r="E494" s="71"/>
      <c r="F494" s="73"/>
      <c r="G494" s="73"/>
      <c r="H494" s="42" t="str">
        <f aca="false">IF(M494="","",IF(U494&gt;0,"✔ Matched",IF(M494="OUT","Not yet presented","Not yet credited")))</f>
        <v/>
      </c>
      <c r="I494" s="43" t="str">
        <f aca="false">IF(N(U494)&gt;0,U494,"")</f>
        <v/>
      </c>
      <c r="J494" s="44" t="str">
        <f aca="false">IF(N(U494)&gt;0,T494,"")</f>
        <v/>
      </c>
      <c r="K494" s="45" t="str">
        <f aca="false">IF(AND(M494="",B494="",D494=""),"",IF(AND(N(F494)&gt;0,N(G494)&gt;0),"⚠ Fill deposit OR payment",IF(M494="","⚠ Enter amount",IF(B494="","⚠ Enter date",IF(AND(Setup!$C$8&lt;&gt;"",B494&gt;Setup!$C$8),"⚠ Date after period",IF(AND(O494&lt;&gt;"",COUNTIF($O$8:$O$507,O494)&gt;1),"⚠ Cheque no. used twice","✔"))))))</f>
        <v/>
      </c>
      <c r="M494" s="9" t="str">
        <f aca="false">IF(N(F494)&gt;0,"IN",IF(N(G494)&gt;0,"OUT",""))</f>
        <v/>
      </c>
      <c r="N494" s="9" t="str">
        <f aca="false">IF(M494="","",M494&amp;"|"&amp;TEXT(ROUND(N(F494)+N(G494),2),"0.00"))</f>
        <v/>
      </c>
      <c r="O494" s="9" t="str">
        <f aca="false">IF(OR(N494="",TRIM(E494&amp;"")=""),"",N494&amp;"|"&amp;UPPER(TRIM(E494&amp;"")))</f>
        <v/>
      </c>
      <c r="P494" s="9" t="n">
        <f aca="false">IF(O494="",0,IFERROR(MATCH(O494,'Bank Statement'!$O$8:$O$507,0),0))</f>
        <v>0</v>
      </c>
      <c r="Q494" s="9" t="str">
        <f aca="false">IF(OR(N494="",P494&gt;0),"",N494&amp;"#"&amp;COUNTIFS($N$8:N494,N494,$P$8:P494,0))</f>
        <v/>
      </c>
      <c r="R494" s="9" t="n">
        <f aca="false">IF(Q494="",0,IFERROR(MATCH(Q494,'Bank Statement'!$Q$8:$Q$507,0),0))</f>
        <v>0</v>
      </c>
      <c r="S494" s="9" t="n">
        <f aca="false">IF(P494&gt;0,P494,R494)</f>
        <v>0</v>
      </c>
      <c r="T494" s="9" t="str">
        <f aca="false">IF(OR(S494=0,B494=""),"",INDEX('Bank Statement'!$B$8:$B$507,S494)-B494)</f>
        <v/>
      </c>
      <c r="U494" s="9" t="n">
        <f aca="false">IF(S494=0,0,IF(P494&gt;0,S494,IF(AND(ISNUMBER(T494),ABS(N(T494))&lt;=Setup!$C$11),S494,0)))</f>
        <v>0</v>
      </c>
      <c r="V494" s="9" t="str">
        <f aca="false">IF(AND(N494&lt;&gt;"",U494=0),IF(M494="OUT",1,2)*100000+ROW(),"")</f>
        <v/>
      </c>
      <c r="W494" s="9" t="n">
        <f aca="false">N(F494)+N(G494)</f>
        <v>0</v>
      </c>
    </row>
    <row r="495" customFormat="false" ht="15" hidden="false" customHeight="false" outlineLevel="0" collapsed="false">
      <c r="A495" s="37" t="str">
        <f aca="false">IF(M495="","",ROW()-7)</f>
        <v/>
      </c>
      <c r="B495" s="70"/>
      <c r="C495" s="71"/>
      <c r="D495" s="72"/>
      <c r="E495" s="71"/>
      <c r="F495" s="73"/>
      <c r="G495" s="73"/>
      <c r="H495" s="42" t="str">
        <f aca="false">IF(M495="","",IF(U495&gt;0,"✔ Matched",IF(M495="OUT","Not yet presented","Not yet credited")))</f>
        <v/>
      </c>
      <c r="I495" s="43" t="str">
        <f aca="false">IF(N(U495)&gt;0,U495,"")</f>
        <v/>
      </c>
      <c r="J495" s="44" t="str">
        <f aca="false">IF(N(U495)&gt;0,T495,"")</f>
        <v/>
      </c>
      <c r="K495" s="45" t="str">
        <f aca="false">IF(AND(M495="",B495="",D495=""),"",IF(AND(N(F495)&gt;0,N(G495)&gt;0),"⚠ Fill deposit OR payment",IF(M495="","⚠ Enter amount",IF(B495="","⚠ Enter date",IF(AND(Setup!$C$8&lt;&gt;"",B495&gt;Setup!$C$8),"⚠ Date after period",IF(AND(O495&lt;&gt;"",COUNTIF($O$8:$O$507,O495)&gt;1),"⚠ Cheque no. used twice","✔"))))))</f>
        <v/>
      </c>
      <c r="M495" s="9" t="str">
        <f aca="false">IF(N(F495)&gt;0,"IN",IF(N(G495)&gt;0,"OUT",""))</f>
        <v/>
      </c>
      <c r="N495" s="9" t="str">
        <f aca="false">IF(M495="","",M495&amp;"|"&amp;TEXT(ROUND(N(F495)+N(G495),2),"0.00"))</f>
        <v/>
      </c>
      <c r="O495" s="9" t="str">
        <f aca="false">IF(OR(N495="",TRIM(E495&amp;"")=""),"",N495&amp;"|"&amp;UPPER(TRIM(E495&amp;"")))</f>
        <v/>
      </c>
      <c r="P495" s="9" t="n">
        <f aca="false">IF(O495="",0,IFERROR(MATCH(O495,'Bank Statement'!$O$8:$O$507,0),0))</f>
        <v>0</v>
      </c>
      <c r="Q495" s="9" t="str">
        <f aca="false">IF(OR(N495="",P495&gt;0),"",N495&amp;"#"&amp;COUNTIFS($N$8:N495,N495,$P$8:P495,0))</f>
        <v/>
      </c>
      <c r="R495" s="9" t="n">
        <f aca="false">IF(Q495="",0,IFERROR(MATCH(Q495,'Bank Statement'!$Q$8:$Q$507,0),0))</f>
        <v>0</v>
      </c>
      <c r="S495" s="9" t="n">
        <f aca="false">IF(P495&gt;0,P495,R495)</f>
        <v>0</v>
      </c>
      <c r="T495" s="9" t="str">
        <f aca="false">IF(OR(S495=0,B495=""),"",INDEX('Bank Statement'!$B$8:$B$507,S495)-B495)</f>
        <v/>
      </c>
      <c r="U495" s="9" t="n">
        <f aca="false">IF(S495=0,0,IF(P495&gt;0,S495,IF(AND(ISNUMBER(T495),ABS(N(T495))&lt;=Setup!$C$11),S495,0)))</f>
        <v>0</v>
      </c>
      <c r="V495" s="9" t="str">
        <f aca="false">IF(AND(N495&lt;&gt;"",U495=0),IF(M495="OUT",1,2)*100000+ROW(),"")</f>
        <v/>
      </c>
      <c r="W495" s="9" t="n">
        <f aca="false">N(F495)+N(G495)</f>
        <v>0</v>
      </c>
    </row>
    <row r="496" customFormat="false" ht="15" hidden="false" customHeight="false" outlineLevel="0" collapsed="false">
      <c r="A496" s="37" t="str">
        <f aca="false">IF(M496="","",ROW()-7)</f>
        <v/>
      </c>
      <c r="B496" s="70"/>
      <c r="C496" s="71"/>
      <c r="D496" s="72"/>
      <c r="E496" s="71"/>
      <c r="F496" s="73"/>
      <c r="G496" s="73"/>
      <c r="H496" s="42" t="str">
        <f aca="false">IF(M496="","",IF(U496&gt;0,"✔ Matched",IF(M496="OUT","Not yet presented","Not yet credited")))</f>
        <v/>
      </c>
      <c r="I496" s="43" t="str">
        <f aca="false">IF(N(U496)&gt;0,U496,"")</f>
        <v/>
      </c>
      <c r="J496" s="44" t="str">
        <f aca="false">IF(N(U496)&gt;0,T496,"")</f>
        <v/>
      </c>
      <c r="K496" s="45" t="str">
        <f aca="false">IF(AND(M496="",B496="",D496=""),"",IF(AND(N(F496)&gt;0,N(G496)&gt;0),"⚠ Fill deposit OR payment",IF(M496="","⚠ Enter amount",IF(B496="","⚠ Enter date",IF(AND(Setup!$C$8&lt;&gt;"",B496&gt;Setup!$C$8),"⚠ Date after period",IF(AND(O496&lt;&gt;"",COUNTIF($O$8:$O$507,O496)&gt;1),"⚠ Cheque no. used twice","✔"))))))</f>
        <v/>
      </c>
      <c r="M496" s="9" t="str">
        <f aca="false">IF(N(F496)&gt;0,"IN",IF(N(G496)&gt;0,"OUT",""))</f>
        <v/>
      </c>
      <c r="N496" s="9" t="str">
        <f aca="false">IF(M496="","",M496&amp;"|"&amp;TEXT(ROUND(N(F496)+N(G496),2),"0.00"))</f>
        <v/>
      </c>
      <c r="O496" s="9" t="str">
        <f aca="false">IF(OR(N496="",TRIM(E496&amp;"")=""),"",N496&amp;"|"&amp;UPPER(TRIM(E496&amp;"")))</f>
        <v/>
      </c>
      <c r="P496" s="9" t="n">
        <f aca="false">IF(O496="",0,IFERROR(MATCH(O496,'Bank Statement'!$O$8:$O$507,0),0))</f>
        <v>0</v>
      </c>
      <c r="Q496" s="9" t="str">
        <f aca="false">IF(OR(N496="",P496&gt;0),"",N496&amp;"#"&amp;COUNTIFS($N$8:N496,N496,$P$8:P496,0))</f>
        <v/>
      </c>
      <c r="R496" s="9" t="n">
        <f aca="false">IF(Q496="",0,IFERROR(MATCH(Q496,'Bank Statement'!$Q$8:$Q$507,0),0))</f>
        <v>0</v>
      </c>
      <c r="S496" s="9" t="n">
        <f aca="false">IF(P496&gt;0,P496,R496)</f>
        <v>0</v>
      </c>
      <c r="T496" s="9" t="str">
        <f aca="false">IF(OR(S496=0,B496=""),"",INDEX('Bank Statement'!$B$8:$B$507,S496)-B496)</f>
        <v/>
      </c>
      <c r="U496" s="9" t="n">
        <f aca="false">IF(S496=0,0,IF(P496&gt;0,S496,IF(AND(ISNUMBER(T496),ABS(N(T496))&lt;=Setup!$C$11),S496,0)))</f>
        <v>0</v>
      </c>
      <c r="V496" s="9" t="str">
        <f aca="false">IF(AND(N496&lt;&gt;"",U496=0),IF(M496="OUT",1,2)*100000+ROW(),"")</f>
        <v/>
      </c>
      <c r="W496" s="9" t="n">
        <f aca="false">N(F496)+N(G496)</f>
        <v>0</v>
      </c>
    </row>
    <row r="497" customFormat="false" ht="15" hidden="false" customHeight="false" outlineLevel="0" collapsed="false">
      <c r="A497" s="37" t="str">
        <f aca="false">IF(M497="","",ROW()-7)</f>
        <v/>
      </c>
      <c r="B497" s="70"/>
      <c r="C497" s="71"/>
      <c r="D497" s="72"/>
      <c r="E497" s="71"/>
      <c r="F497" s="73"/>
      <c r="G497" s="73"/>
      <c r="H497" s="42" t="str">
        <f aca="false">IF(M497="","",IF(U497&gt;0,"✔ Matched",IF(M497="OUT","Not yet presented","Not yet credited")))</f>
        <v/>
      </c>
      <c r="I497" s="43" t="str">
        <f aca="false">IF(N(U497)&gt;0,U497,"")</f>
        <v/>
      </c>
      <c r="J497" s="44" t="str">
        <f aca="false">IF(N(U497)&gt;0,T497,"")</f>
        <v/>
      </c>
      <c r="K497" s="45" t="str">
        <f aca="false">IF(AND(M497="",B497="",D497=""),"",IF(AND(N(F497)&gt;0,N(G497)&gt;0),"⚠ Fill deposit OR payment",IF(M497="","⚠ Enter amount",IF(B497="","⚠ Enter date",IF(AND(Setup!$C$8&lt;&gt;"",B497&gt;Setup!$C$8),"⚠ Date after period",IF(AND(O497&lt;&gt;"",COUNTIF($O$8:$O$507,O497)&gt;1),"⚠ Cheque no. used twice","✔"))))))</f>
        <v/>
      </c>
      <c r="M497" s="9" t="str">
        <f aca="false">IF(N(F497)&gt;0,"IN",IF(N(G497)&gt;0,"OUT",""))</f>
        <v/>
      </c>
      <c r="N497" s="9" t="str">
        <f aca="false">IF(M497="","",M497&amp;"|"&amp;TEXT(ROUND(N(F497)+N(G497),2),"0.00"))</f>
        <v/>
      </c>
      <c r="O497" s="9" t="str">
        <f aca="false">IF(OR(N497="",TRIM(E497&amp;"")=""),"",N497&amp;"|"&amp;UPPER(TRIM(E497&amp;"")))</f>
        <v/>
      </c>
      <c r="P497" s="9" t="n">
        <f aca="false">IF(O497="",0,IFERROR(MATCH(O497,'Bank Statement'!$O$8:$O$507,0),0))</f>
        <v>0</v>
      </c>
      <c r="Q497" s="9" t="str">
        <f aca="false">IF(OR(N497="",P497&gt;0),"",N497&amp;"#"&amp;COUNTIFS($N$8:N497,N497,$P$8:P497,0))</f>
        <v/>
      </c>
      <c r="R497" s="9" t="n">
        <f aca="false">IF(Q497="",0,IFERROR(MATCH(Q497,'Bank Statement'!$Q$8:$Q$507,0),0))</f>
        <v>0</v>
      </c>
      <c r="S497" s="9" t="n">
        <f aca="false">IF(P497&gt;0,P497,R497)</f>
        <v>0</v>
      </c>
      <c r="T497" s="9" t="str">
        <f aca="false">IF(OR(S497=0,B497=""),"",INDEX('Bank Statement'!$B$8:$B$507,S497)-B497)</f>
        <v/>
      </c>
      <c r="U497" s="9" t="n">
        <f aca="false">IF(S497=0,0,IF(P497&gt;0,S497,IF(AND(ISNUMBER(T497),ABS(N(T497))&lt;=Setup!$C$11),S497,0)))</f>
        <v>0</v>
      </c>
      <c r="V497" s="9" t="str">
        <f aca="false">IF(AND(N497&lt;&gt;"",U497=0),IF(M497="OUT",1,2)*100000+ROW(),"")</f>
        <v/>
      </c>
      <c r="W497" s="9" t="n">
        <f aca="false">N(F497)+N(G497)</f>
        <v>0</v>
      </c>
    </row>
    <row r="498" customFormat="false" ht="15" hidden="false" customHeight="false" outlineLevel="0" collapsed="false">
      <c r="A498" s="37" t="str">
        <f aca="false">IF(M498="","",ROW()-7)</f>
        <v/>
      </c>
      <c r="B498" s="70"/>
      <c r="C498" s="71"/>
      <c r="D498" s="72"/>
      <c r="E498" s="71"/>
      <c r="F498" s="73"/>
      <c r="G498" s="73"/>
      <c r="H498" s="42" t="str">
        <f aca="false">IF(M498="","",IF(U498&gt;0,"✔ Matched",IF(M498="OUT","Not yet presented","Not yet credited")))</f>
        <v/>
      </c>
      <c r="I498" s="43" t="str">
        <f aca="false">IF(N(U498)&gt;0,U498,"")</f>
        <v/>
      </c>
      <c r="J498" s="44" t="str">
        <f aca="false">IF(N(U498)&gt;0,T498,"")</f>
        <v/>
      </c>
      <c r="K498" s="45" t="str">
        <f aca="false">IF(AND(M498="",B498="",D498=""),"",IF(AND(N(F498)&gt;0,N(G498)&gt;0),"⚠ Fill deposit OR payment",IF(M498="","⚠ Enter amount",IF(B498="","⚠ Enter date",IF(AND(Setup!$C$8&lt;&gt;"",B498&gt;Setup!$C$8),"⚠ Date after period",IF(AND(O498&lt;&gt;"",COUNTIF($O$8:$O$507,O498)&gt;1),"⚠ Cheque no. used twice","✔"))))))</f>
        <v/>
      </c>
      <c r="M498" s="9" t="str">
        <f aca="false">IF(N(F498)&gt;0,"IN",IF(N(G498)&gt;0,"OUT",""))</f>
        <v/>
      </c>
      <c r="N498" s="9" t="str">
        <f aca="false">IF(M498="","",M498&amp;"|"&amp;TEXT(ROUND(N(F498)+N(G498),2),"0.00"))</f>
        <v/>
      </c>
      <c r="O498" s="9" t="str">
        <f aca="false">IF(OR(N498="",TRIM(E498&amp;"")=""),"",N498&amp;"|"&amp;UPPER(TRIM(E498&amp;"")))</f>
        <v/>
      </c>
      <c r="P498" s="9" t="n">
        <f aca="false">IF(O498="",0,IFERROR(MATCH(O498,'Bank Statement'!$O$8:$O$507,0),0))</f>
        <v>0</v>
      </c>
      <c r="Q498" s="9" t="str">
        <f aca="false">IF(OR(N498="",P498&gt;0),"",N498&amp;"#"&amp;COUNTIFS($N$8:N498,N498,$P$8:P498,0))</f>
        <v/>
      </c>
      <c r="R498" s="9" t="n">
        <f aca="false">IF(Q498="",0,IFERROR(MATCH(Q498,'Bank Statement'!$Q$8:$Q$507,0),0))</f>
        <v>0</v>
      </c>
      <c r="S498" s="9" t="n">
        <f aca="false">IF(P498&gt;0,P498,R498)</f>
        <v>0</v>
      </c>
      <c r="T498" s="9" t="str">
        <f aca="false">IF(OR(S498=0,B498=""),"",INDEX('Bank Statement'!$B$8:$B$507,S498)-B498)</f>
        <v/>
      </c>
      <c r="U498" s="9" t="n">
        <f aca="false">IF(S498=0,0,IF(P498&gt;0,S498,IF(AND(ISNUMBER(T498),ABS(N(T498))&lt;=Setup!$C$11),S498,0)))</f>
        <v>0</v>
      </c>
      <c r="V498" s="9" t="str">
        <f aca="false">IF(AND(N498&lt;&gt;"",U498=0),IF(M498="OUT",1,2)*100000+ROW(),"")</f>
        <v/>
      </c>
      <c r="W498" s="9" t="n">
        <f aca="false">N(F498)+N(G498)</f>
        <v>0</v>
      </c>
    </row>
    <row r="499" customFormat="false" ht="15" hidden="false" customHeight="false" outlineLevel="0" collapsed="false">
      <c r="A499" s="37" t="str">
        <f aca="false">IF(M499="","",ROW()-7)</f>
        <v/>
      </c>
      <c r="B499" s="70"/>
      <c r="C499" s="71"/>
      <c r="D499" s="72"/>
      <c r="E499" s="71"/>
      <c r="F499" s="73"/>
      <c r="G499" s="73"/>
      <c r="H499" s="42" t="str">
        <f aca="false">IF(M499="","",IF(U499&gt;0,"✔ Matched",IF(M499="OUT","Not yet presented","Not yet credited")))</f>
        <v/>
      </c>
      <c r="I499" s="43" t="str">
        <f aca="false">IF(N(U499)&gt;0,U499,"")</f>
        <v/>
      </c>
      <c r="J499" s="44" t="str">
        <f aca="false">IF(N(U499)&gt;0,T499,"")</f>
        <v/>
      </c>
      <c r="K499" s="45" t="str">
        <f aca="false">IF(AND(M499="",B499="",D499=""),"",IF(AND(N(F499)&gt;0,N(G499)&gt;0),"⚠ Fill deposit OR payment",IF(M499="","⚠ Enter amount",IF(B499="","⚠ Enter date",IF(AND(Setup!$C$8&lt;&gt;"",B499&gt;Setup!$C$8),"⚠ Date after period",IF(AND(O499&lt;&gt;"",COUNTIF($O$8:$O$507,O499)&gt;1),"⚠ Cheque no. used twice","✔"))))))</f>
        <v/>
      </c>
      <c r="M499" s="9" t="str">
        <f aca="false">IF(N(F499)&gt;0,"IN",IF(N(G499)&gt;0,"OUT",""))</f>
        <v/>
      </c>
      <c r="N499" s="9" t="str">
        <f aca="false">IF(M499="","",M499&amp;"|"&amp;TEXT(ROUND(N(F499)+N(G499),2),"0.00"))</f>
        <v/>
      </c>
      <c r="O499" s="9" t="str">
        <f aca="false">IF(OR(N499="",TRIM(E499&amp;"")=""),"",N499&amp;"|"&amp;UPPER(TRIM(E499&amp;"")))</f>
        <v/>
      </c>
      <c r="P499" s="9" t="n">
        <f aca="false">IF(O499="",0,IFERROR(MATCH(O499,'Bank Statement'!$O$8:$O$507,0),0))</f>
        <v>0</v>
      </c>
      <c r="Q499" s="9" t="str">
        <f aca="false">IF(OR(N499="",P499&gt;0),"",N499&amp;"#"&amp;COUNTIFS($N$8:N499,N499,$P$8:P499,0))</f>
        <v/>
      </c>
      <c r="R499" s="9" t="n">
        <f aca="false">IF(Q499="",0,IFERROR(MATCH(Q499,'Bank Statement'!$Q$8:$Q$507,0),0))</f>
        <v>0</v>
      </c>
      <c r="S499" s="9" t="n">
        <f aca="false">IF(P499&gt;0,P499,R499)</f>
        <v>0</v>
      </c>
      <c r="T499" s="9" t="str">
        <f aca="false">IF(OR(S499=0,B499=""),"",INDEX('Bank Statement'!$B$8:$B$507,S499)-B499)</f>
        <v/>
      </c>
      <c r="U499" s="9" t="n">
        <f aca="false">IF(S499=0,0,IF(P499&gt;0,S499,IF(AND(ISNUMBER(T499),ABS(N(T499))&lt;=Setup!$C$11),S499,0)))</f>
        <v>0</v>
      </c>
      <c r="V499" s="9" t="str">
        <f aca="false">IF(AND(N499&lt;&gt;"",U499=0),IF(M499="OUT",1,2)*100000+ROW(),"")</f>
        <v/>
      </c>
      <c r="W499" s="9" t="n">
        <f aca="false">N(F499)+N(G499)</f>
        <v>0</v>
      </c>
    </row>
    <row r="500" customFormat="false" ht="15" hidden="false" customHeight="false" outlineLevel="0" collapsed="false">
      <c r="A500" s="37" t="str">
        <f aca="false">IF(M500="","",ROW()-7)</f>
        <v/>
      </c>
      <c r="B500" s="70"/>
      <c r="C500" s="71"/>
      <c r="D500" s="72"/>
      <c r="E500" s="71"/>
      <c r="F500" s="73"/>
      <c r="G500" s="73"/>
      <c r="H500" s="42" t="str">
        <f aca="false">IF(M500="","",IF(U500&gt;0,"✔ Matched",IF(M500="OUT","Not yet presented","Not yet credited")))</f>
        <v/>
      </c>
      <c r="I500" s="43" t="str">
        <f aca="false">IF(N(U500)&gt;0,U500,"")</f>
        <v/>
      </c>
      <c r="J500" s="44" t="str">
        <f aca="false">IF(N(U500)&gt;0,T500,"")</f>
        <v/>
      </c>
      <c r="K500" s="45" t="str">
        <f aca="false">IF(AND(M500="",B500="",D500=""),"",IF(AND(N(F500)&gt;0,N(G500)&gt;0),"⚠ Fill deposit OR payment",IF(M500="","⚠ Enter amount",IF(B500="","⚠ Enter date",IF(AND(Setup!$C$8&lt;&gt;"",B500&gt;Setup!$C$8),"⚠ Date after period",IF(AND(O500&lt;&gt;"",COUNTIF($O$8:$O$507,O500)&gt;1),"⚠ Cheque no. used twice","✔"))))))</f>
        <v/>
      </c>
      <c r="M500" s="9" t="str">
        <f aca="false">IF(N(F500)&gt;0,"IN",IF(N(G500)&gt;0,"OUT",""))</f>
        <v/>
      </c>
      <c r="N500" s="9" t="str">
        <f aca="false">IF(M500="","",M500&amp;"|"&amp;TEXT(ROUND(N(F500)+N(G500),2),"0.00"))</f>
        <v/>
      </c>
      <c r="O500" s="9" t="str">
        <f aca="false">IF(OR(N500="",TRIM(E500&amp;"")=""),"",N500&amp;"|"&amp;UPPER(TRIM(E500&amp;"")))</f>
        <v/>
      </c>
      <c r="P500" s="9" t="n">
        <f aca="false">IF(O500="",0,IFERROR(MATCH(O500,'Bank Statement'!$O$8:$O$507,0),0))</f>
        <v>0</v>
      </c>
      <c r="Q500" s="9" t="str">
        <f aca="false">IF(OR(N500="",P500&gt;0),"",N500&amp;"#"&amp;COUNTIFS($N$8:N500,N500,$P$8:P500,0))</f>
        <v/>
      </c>
      <c r="R500" s="9" t="n">
        <f aca="false">IF(Q500="",0,IFERROR(MATCH(Q500,'Bank Statement'!$Q$8:$Q$507,0),0))</f>
        <v>0</v>
      </c>
      <c r="S500" s="9" t="n">
        <f aca="false">IF(P500&gt;0,P500,R500)</f>
        <v>0</v>
      </c>
      <c r="T500" s="9" t="str">
        <f aca="false">IF(OR(S500=0,B500=""),"",INDEX('Bank Statement'!$B$8:$B$507,S500)-B500)</f>
        <v/>
      </c>
      <c r="U500" s="9" t="n">
        <f aca="false">IF(S500=0,0,IF(P500&gt;0,S500,IF(AND(ISNUMBER(T500),ABS(N(T500))&lt;=Setup!$C$11),S500,0)))</f>
        <v>0</v>
      </c>
      <c r="V500" s="9" t="str">
        <f aca="false">IF(AND(N500&lt;&gt;"",U500=0),IF(M500="OUT",1,2)*100000+ROW(),"")</f>
        <v/>
      </c>
      <c r="W500" s="9" t="n">
        <f aca="false">N(F500)+N(G500)</f>
        <v>0</v>
      </c>
    </row>
    <row r="501" customFormat="false" ht="15" hidden="false" customHeight="false" outlineLevel="0" collapsed="false">
      <c r="A501" s="37" t="str">
        <f aca="false">IF(M501="","",ROW()-7)</f>
        <v/>
      </c>
      <c r="B501" s="70"/>
      <c r="C501" s="71"/>
      <c r="D501" s="72"/>
      <c r="E501" s="71"/>
      <c r="F501" s="73"/>
      <c r="G501" s="73"/>
      <c r="H501" s="42" t="str">
        <f aca="false">IF(M501="","",IF(U501&gt;0,"✔ Matched",IF(M501="OUT","Not yet presented","Not yet credited")))</f>
        <v/>
      </c>
      <c r="I501" s="43" t="str">
        <f aca="false">IF(N(U501)&gt;0,U501,"")</f>
        <v/>
      </c>
      <c r="J501" s="44" t="str">
        <f aca="false">IF(N(U501)&gt;0,T501,"")</f>
        <v/>
      </c>
      <c r="K501" s="45" t="str">
        <f aca="false">IF(AND(M501="",B501="",D501=""),"",IF(AND(N(F501)&gt;0,N(G501)&gt;0),"⚠ Fill deposit OR payment",IF(M501="","⚠ Enter amount",IF(B501="","⚠ Enter date",IF(AND(Setup!$C$8&lt;&gt;"",B501&gt;Setup!$C$8),"⚠ Date after period",IF(AND(O501&lt;&gt;"",COUNTIF($O$8:$O$507,O501)&gt;1),"⚠ Cheque no. used twice","✔"))))))</f>
        <v/>
      </c>
      <c r="M501" s="9" t="str">
        <f aca="false">IF(N(F501)&gt;0,"IN",IF(N(G501)&gt;0,"OUT",""))</f>
        <v/>
      </c>
      <c r="N501" s="9" t="str">
        <f aca="false">IF(M501="","",M501&amp;"|"&amp;TEXT(ROUND(N(F501)+N(G501),2),"0.00"))</f>
        <v/>
      </c>
      <c r="O501" s="9" t="str">
        <f aca="false">IF(OR(N501="",TRIM(E501&amp;"")=""),"",N501&amp;"|"&amp;UPPER(TRIM(E501&amp;"")))</f>
        <v/>
      </c>
      <c r="P501" s="9" t="n">
        <f aca="false">IF(O501="",0,IFERROR(MATCH(O501,'Bank Statement'!$O$8:$O$507,0),0))</f>
        <v>0</v>
      </c>
      <c r="Q501" s="9" t="str">
        <f aca="false">IF(OR(N501="",P501&gt;0),"",N501&amp;"#"&amp;COUNTIFS($N$8:N501,N501,$P$8:P501,0))</f>
        <v/>
      </c>
      <c r="R501" s="9" t="n">
        <f aca="false">IF(Q501="",0,IFERROR(MATCH(Q501,'Bank Statement'!$Q$8:$Q$507,0),0))</f>
        <v>0</v>
      </c>
      <c r="S501" s="9" t="n">
        <f aca="false">IF(P501&gt;0,P501,R501)</f>
        <v>0</v>
      </c>
      <c r="T501" s="9" t="str">
        <f aca="false">IF(OR(S501=0,B501=""),"",INDEX('Bank Statement'!$B$8:$B$507,S501)-B501)</f>
        <v/>
      </c>
      <c r="U501" s="9" t="n">
        <f aca="false">IF(S501=0,0,IF(P501&gt;0,S501,IF(AND(ISNUMBER(T501),ABS(N(T501))&lt;=Setup!$C$11),S501,0)))</f>
        <v>0</v>
      </c>
      <c r="V501" s="9" t="str">
        <f aca="false">IF(AND(N501&lt;&gt;"",U501=0),IF(M501="OUT",1,2)*100000+ROW(),"")</f>
        <v/>
      </c>
      <c r="W501" s="9" t="n">
        <f aca="false">N(F501)+N(G501)</f>
        <v>0</v>
      </c>
    </row>
    <row r="502" customFormat="false" ht="15" hidden="false" customHeight="false" outlineLevel="0" collapsed="false">
      <c r="A502" s="37" t="str">
        <f aca="false">IF(M502="","",ROW()-7)</f>
        <v/>
      </c>
      <c r="B502" s="70"/>
      <c r="C502" s="71"/>
      <c r="D502" s="72"/>
      <c r="E502" s="71"/>
      <c r="F502" s="73"/>
      <c r="G502" s="73"/>
      <c r="H502" s="42" t="str">
        <f aca="false">IF(M502="","",IF(U502&gt;0,"✔ Matched",IF(M502="OUT","Not yet presented","Not yet credited")))</f>
        <v/>
      </c>
      <c r="I502" s="43" t="str">
        <f aca="false">IF(N(U502)&gt;0,U502,"")</f>
        <v/>
      </c>
      <c r="J502" s="44" t="str">
        <f aca="false">IF(N(U502)&gt;0,T502,"")</f>
        <v/>
      </c>
      <c r="K502" s="45" t="str">
        <f aca="false">IF(AND(M502="",B502="",D502=""),"",IF(AND(N(F502)&gt;0,N(G502)&gt;0),"⚠ Fill deposit OR payment",IF(M502="","⚠ Enter amount",IF(B502="","⚠ Enter date",IF(AND(Setup!$C$8&lt;&gt;"",B502&gt;Setup!$C$8),"⚠ Date after period",IF(AND(O502&lt;&gt;"",COUNTIF($O$8:$O$507,O502)&gt;1),"⚠ Cheque no. used twice","✔"))))))</f>
        <v/>
      </c>
      <c r="M502" s="9" t="str">
        <f aca="false">IF(N(F502)&gt;0,"IN",IF(N(G502)&gt;0,"OUT",""))</f>
        <v/>
      </c>
      <c r="N502" s="9" t="str">
        <f aca="false">IF(M502="","",M502&amp;"|"&amp;TEXT(ROUND(N(F502)+N(G502),2),"0.00"))</f>
        <v/>
      </c>
      <c r="O502" s="9" t="str">
        <f aca="false">IF(OR(N502="",TRIM(E502&amp;"")=""),"",N502&amp;"|"&amp;UPPER(TRIM(E502&amp;"")))</f>
        <v/>
      </c>
      <c r="P502" s="9" t="n">
        <f aca="false">IF(O502="",0,IFERROR(MATCH(O502,'Bank Statement'!$O$8:$O$507,0),0))</f>
        <v>0</v>
      </c>
      <c r="Q502" s="9" t="str">
        <f aca="false">IF(OR(N502="",P502&gt;0),"",N502&amp;"#"&amp;COUNTIFS($N$8:N502,N502,$P$8:P502,0))</f>
        <v/>
      </c>
      <c r="R502" s="9" t="n">
        <f aca="false">IF(Q502="",0,IFERROR(MATCH(Q502,'Bank Statement'!$Q$8:$Q$507,0),0))</f>
        <v>0</v>
      </c>
      <c r="S502" s="9" t="n">
        <f aca="false">IF(P502&gt;0,P502,R502)</f>
        <v>0</v>
      </c>
      <c r="T502" s="9" t="str">
        <f aca="false">IF(OR(S502=0,B502=""),"",INDEX('Bank Statement'!$B$8:$B$507,S502)-B502)</f>
        <v/>
      </c>
      <c r="U502" s="9" t="n">
        <f aca="false">IF(S502=0,0,IF(P502&gt;0,S502,IF(AND(ISNUMBER(T502),ABS(N(T502))&lt;=Setup!$C$11),S502,0)))</f>
        <v>0</v>
      </c>
      <c r="V502" s="9" t="str">
        <f aca="false">IF(AND(N502&lt;&gt;"",U502=0),IF(M502="OUT",1,2)*100000+ROW(),"")</f>
        <v/>
      </c>
      <c r="W502" s="9" t="n">
        <f aca="false">N(F502)+N(G502)</f>
        <v>0</v>
      </c>
    </row>
    <row r="503" customFormat="false" ht="15" hidden="false" customHeight="false" outlineLevel="0" collapsed="false">
      <c r="A503" s="37" t="str">
        <f aca="false">IF(M503="","",ROW()-7)</f>
        <v/>
      </c>
      <c r="B503" s="70"/>
      <c r="C503" s="71"/>
      <c r="D503" s="72"/>
      <c r="E503" s="71"/>
      <c r="F503" s="73"/>
      <c r="G503" s="73"/>
      <c r="H503" s="42" t="str">
        <f aca="false">IF(M503="","",IF(U503&gt;0,"✔ Matched",IF(M503="OUT","Not yet presented","Not yet credited")))</f>
        <v/>
      </c>
      <c r="I503" s="43" t="str">
        <f aca="false">IF(N(U503)&gt;0,U503,"")</f>
        <v/>
      </c>
      <c r="J503" s="44" t="str">
        <f aca="false">IF(N(U503)&gt;0,T503,"")</f>
        <v/>
      </c>
      <c r="K503" s="45" t="str">
        <f aca="false">IF(AND(M503="",B503="",D503=""),"",IF(AND(N(F503)&gt;0,N(G503)&gt;0),"⚠ Fill deposit OR payment",IF(M503="","⚠ Enter amount",IF(B503="","⚠ Enter date",IF(AND(Setup!$C$8&lt;&gt;"",B503&gt;Setup!$C$8),"⚠ Date after period",IF(AND(O503&lt;&gt;"",COUNTIF($O$8:$O$507,O503)&gt;1),"⚠ Cheque no. used twice","✔"))))))</f>
        <v/>
      </c>
      <c r="M503" s="9" t="str">
        <f aca="false">IF(N(F503)&gt;0,"IN",IF(N(G503)&gt;0,"OUT",""))</f>
        <v/>
      </c>
      <c r="N503" s="9" t="str">
        <f aca="false">IF(M503="","",M503&amp;"|"&amp;TEXT(ROUND(N(F503)+N(G503),2),"0.00"))</f>
        <v/>
      </c>
      <c r="O503" s="9" t="str">
        <f aca="false">IF(OR(N503="",TRIM(E503&amp;"")=""),"",N503&amp;"|"&amp;UPPER(TRIM(E503&amp;"")))</f>
        <v/>
      </c>
      <c r="P503" s="9" t="n">
        <f aca="false">IF(O503="",0,IFERROR(MATCH(O503,'Bank Statement'!$O$8:$O$507,0),0))</f>
        <v>0</v>
      </c>
      <c r="Q503" s="9" t="str">
        <f aca="false">IF(OR(N503="",P503&gt;0),"",N503&amp;"#"&amp;COUNTIFS($N$8:N503,N503,$P$8:P503,0))</f>
        <v/>
      </c>
      <c r="R503" s="9" t="n">
        <f aca="false">IF(Q503="",0,IFERROR(MATCH(Q503,'Bank Statement'!$Q$8:$Q$507,0),0))</f>
        <v>0</v>
      </c>
      <c r="S503" s="9" t="n">
        <f aca="false">IF(P503&gt;0,P503,R503)</f>
        <v>0</v>
      </c>
      <c r="T503" s="9" t="str">
        <f aca="false">IF(OR(S503=0,B503=""),"",INDEX('Bank Statement'!$B$8:$B$507,S503)-B503)</f>
        <v/>
      </c>
      <c r="U503" s="9" t="n">
        <f aca="false">IF(S503=0,0,IF(P503&gt;0,S503,IF(AND(ISNUMBER(T503),ABS(N(T503))&lt;=Setup!$C$11),S503,0)))</f>
        <v>0</v>
      </c>
      <c r="V503" s="9" t="str">
        <f aca="false">IF(AND(N503&lt;&gt;"",U503=0),IF(M503="OUT",1,2)*100000+ROW(),"")</f>
        <v/>
      </c>
      <c r="W503" s="9" t="n">
        <f aca="false">N(F503)+N(G503)</f>
        <v>0</v>
      </c>
    </row>
    <row r="504" customFormat="false" ht="15" hidden="false" customHeight="false" outlineLevel="0" collapsed="false">
      <c r="A504" s="37" t="str">
        <f aca="false">IF(M504="","",ROW()-7)</f>
        <v/>
      </c>
      <c r="B504" s="70"/>
      <c r="C504" s="71"/>
      <c r="D504" s="72"/>
      <c r="E504" s="71"/>
      <c r="F504" s="73"/>
      <c r="G504" s="73"/>
      <c r="H504" s="42" t="str">
        <f aca="false">IF(M504="","",IF(U504&gt;0,"✔ Matched",IF(M504="OUT","Not yet presented","Not yet credited")))</f>
        <v/>
      </c>
      <c r="I504" s="43" t="str">
        <f aca="false">IF(N(U504)&gt;0,U504,"")</f>
        <v/>
      </c>
      <c r="J504" s="44" t="str">
        <f aca="false">IF(N(U504)&gt;0,T504,"")</f>
        <v/>
      </c>
      <c r="K504" s="45" t="str">
        <f aca="false">IF(AND(M504="",B504="",D504=""),"",IF(AND(N(F504)&gt;0,N(G504)&gt;0),"⚠ Fill deposit OR payment",IF(M504="","⚠ Enter amount",IF(B504="","⚠ Enter date",IF(AND(Setup!$C$8&lt;&gt;"",B504&gt;Setup!$C$8),"⚠ Date after period",IF(AND(O504&lt;&gt;"",COUNTIF($O$8:$O$507,O504)&gt;1),"⚠ Cheque no. used twice","✔"))))))</f>
        <v/>
      </c>
      <c r="M504" s="9" t="str">
        <f aca="false">IF(N(F504)&gt;0,"IN",IF(N(G504)&gt;0,"OUT",""))</f>
        <v/>
      </c>
      <c r="N504" s="9" t="str">
        <f aca="false">IF(M504="","",M504&amp;"|"&amp;TEXT(ROUND(N(F504)+N(G504),2),"0.00"))</f>
        <v/>
      </c>
      <c r="O504" s="9" t="str">
        <f aca="false">IF(OR(N504="",TRIM(E504&amp;"")=""),"",N504&amp;"|"&amp;UPPER(TRIM(E504&amp;"")))</f>
        <v/>
      </c>
      <c r="P504" s="9" t="n">
        <f aca="false">IF(O504="",0,IFERROR(MATCH(O504,'Bank Statement'!$O$8:$O$507,0),0))</f>
        <v>0</v>
      </c>
      <c r="Q504" s="9" t="str">
        <f aca="false">IF(OR(N504="",P504&gt;0),"",N504&amp;"#"&amp;COUNTIFS($N$8:N504,N504,$P$8:P504,0))</f>
        <v/>
      </c>
      <c r="R504" s="9" t="n">
        <f aca="false">IF(Q504="",0,IFERROR(MATCH(Q504,'Bank Statement'!$Q$8:$Q$507,0),0))</f>
        <v>0</v>
      </c>
      <c r="S504" s="9" t="n">
        <f aca="false">IF(P504&gt;0,P504,R504)</f>
        <v>0</v>
      </c>
      <c r="T504" s="9" t="str">
        <f aca="false">IF(OR(S504=0,B504=""),"",INDEX('Bank Statement'!$B$8:$B$507,S504)-B504)</f>
        <v/>
      </c>
      <c r="U504" s="9" t="n">
        <f aca="false">IF(S504=0,0,IF(P504&gt;0,S504,IF(AND(ISNUMBER(T504),ABS(N(T504))&lt;=Setup!$C$11),S504,0)))</f>
        <v>0</v>
      </c>
      <c r="V504" s="9" t="str">
        <f aca="false">IF(AND(N504&lt;&gt;"",U504=0),IF(M504="OUT",1,2)*100000+ROW(),"")</f>
        <v/>
      </c>
      <c r="W504" s="9" t="n">
        <f aca="false">N(F504)+N(G504)</f>
        <v>0</v>
      </c>
    </row>
    <row r="505" customFormat="false" ht="15" hidden="false" customHeight="false" outlineLevel="0" collapsed="false">
      <c r="A505" s="37" t="str">
        <f aca="false">IF(M505="","",ROW()-7)</f>
        <v/>
      </c>
      <c r="B505" s="70"/>
      <c r="C505" s="71"/>
      <c r="D505" s="72"/>
      <c r="E505" s="71"/>
      <c r="F505" s="73"/>
      <c r="G505" s="73"/>
      <c r="H505" s="42" t="str">
        <f aca="false">IF(M505="","",IF(U505&gt;0,"✔ Matched",IF(M505="OUT","Not yet presented","Not yet credited")))</f>
        <v/>
      </c>
      <c r="I505" s="43" t="str">
        <f aca="false">IF(N(U505)&gt;0,U505,"")</f>
        <v/>
      </c>
      <c r="J505" s="44" t="str">
        <f aca="false">IF(N(U505)&gt;0,T505,"")</f>
        <v/>
      </c>
      <c r="K505" s="45" t="str">
        <f aca="false">IF(AND(M505="",B505="",D505=""),"",IF(AND(N(F505)&gt;0,N(G505)&gt;0),"⚠ Fill deposit OR payment",IF(M505="","⚠ Enter amount",IF(B505="","⚠ Enter date",IF(AND(Setup!$C$8&lt;&gt;"",B505&gt;Setup!$C$8),"⚠ Date after period",IF(AND(O505&lt;&gt;"",COUNTIF($O$8:$O$507,O505)&gt;1),"⚠ Cheque no. used twice","✔"))))))</f>
        <v/>
      </c>
      <c r="M505" s="9" t="str">
        <f aca="false">IF(N(F505)&gt;0,"IN",IF(N(G505)&gt;0,"OUT",""))</f>
        <v/>
      </c>
      <c r="N505" s="9" t="str">
        <f aca="false">IF(M505="","",M505&amp;"|"&amp;TEXT(ROUND(N(F505)+N(G505),2),"0.00"))</f>
        <v/>
      </c>
      <c r="O505" s="9" t="str">
        <f aca="false">IF(OR(N505="",TRIM(E505&amp;"")=""),"",N505&amp;"|"&amp;UPPER(TRIM(E505&amp;"")))</f>
        <v/>
      </c>
      <c r="P505" s="9" t="n">
        <f aca="false">IF(O505="",0,IFERROR(MATCH(O505,'Bank Statement'!$O$8:$O$507,0),0))</f>
        <v>0</v>
      </c>
      <c r="Q505" s="9" t="str">
        <f aca="false">IF(OR(N505="",P505&gt;0),"",N505&amp;"#"&amp;COUNTIFS($N$8:N505,N505,$P$8:P505,0))</f>
        <v/>
      </c>
      <c r="R505" s="9" t="n">
        <f aca="false">IF(Q505="",0,IFERROR(MATCH(Q505,'Bank Statement'!$Q$8:$Q$507,0),0))</f>
        <v>0</v>
      </c>
      <c r="S505" s="9" t="n">
        <f aca="false">IF(P505&gt;0,P505,R505)</f>
        <v>0</v>
      </c>
      <c r="T505" s="9" t="str">
        <f aca="false">IF(OR(S505=0,B505=""),"",INDEX('Bank Statement'!$B$8:$B$507,S505)-B505)</f>
        <v/>
      </c>
      <c r="U505" s="9" t="n">
        <f aca="false">IF(S505=0,0,IF(P505&gt;0,S505,IF(AND(ISNUMBER(T505),ABS(N(T505))&lt;=Setup!$C$11),S505,0)))</f>
        <v>0</v>
      </c>
      <c r="V505" s="9" t="str">
        <f aca="false">IF(AND(N505&lt;&gt;"",U505=0),IF(M505="OUT",1,2)*100000+ROW(),"")</f>
        <v/>
      </c>
      <c r="W505" s="9" t="n">
        <f aca="false">N(F505)+N(G505)</f>
        <v>0</v>
      </c>
    </row>
    <row r="506" customFormat="false" ht="15" hidden="false" customHeight="false" outlineLevel="0" collapsed="false">
      <c r="A506" s="37" t="str">
        <f aca="false">IF(M506="","",ROW()-7)</f>
        <v/>
      </c>
      <c r="B506" s="70"/>
      <c r="C506" s="71"/>
      <c r="D506" s="72"/>
      <c r="E506" s="71"/>
      <c r="F506" s="73"/>
      <c r="G506" s="73"/>
      <c r="H506" s="42" t="str">
        <f aca="false">IF(M506="","",IF(U506&gt;0,"✔ Matched",IF(M506="OUT","Not yet presented","Not yet credited")))</f>
        <v/>
      </c>
      <c r="I506" s="43" t="str">
        <f aca="false">IF(N(U506)&gt;0,U506,"")</f>
        <v/>
      </c>
      <c r="J506" s="44" t="str">
        <f aca="false">IF(N(U506)&gt;0,T506,"")</f>
        <v/>
      </c>
      <c r="K506" s="45" t="str">
        <f aca="false">IF(AND(M506="",B506="",D506=""),"",IF(AND(N(F506)&gt;0,N(G506)&gt;0),"⚠ Fill deposit OR payment",IF(M506="","⚠ Enter amount",IF(B506="","⚠ Enter date",IF(AND(Setup!$C$8&lt;&gt;"",B506&gt;Setup!$C$8),"⚠ Date after period",IF(AND(O506&lt;&gt;"",COUNTIF($O$8:$O$507,O506)&gt;1),"⚠ Cheque no. used twice","✔"))))))</f>
        <v/>
      </c>
      <c r="M506" s="9" t="str">
        <f aca="false">IF(N(F506)&gt;0,"IN",IF(N(G506)&gt;0,"OUT",""))</f>
        <v/>
      </c>
      <c r="N506" s="9" t="str">
        <f aca="false">IF(M506="","",M506&amp;"|"&amp;TEXT(ROUND(N(F506)+N(G506),2),"0.00"))</f>
        <v/>
      </c>
      <c r="O506" s="9" t="str">
        <f aca="false">IF(OR(N506="",TRIM(E506&amp;"")=""),"",N506&amp;"|"&amp;UPPER(TRIM(E506&amp;"")))</f>
        <v/>
      </c>
      <c r="P506" s="9" t="n">
        <f aca="false">IF(O506="",0,IFERROR(MATCH(O506,'Bank Statement'!$O$8:$O$507,0),0))</f>
        <v>0</v>
      </c>
      <c r="Q506" s="9" t="str">
        <f aca="false">IF(OR(N506="",P506&gt;0),"",N506&amp;"#"&amp;COUNTIFS($N$8:N506,N506,$P$8:P506,0))</f>
        <v/>
      </c>
      <c r="R506" s="9" t="n">
        <f aca="false">IF(Q506="",0,IFERROR(MATCH(Q506,'Bank Statement'!$Q$8:$Q$507,0),0))</f>
        <v>0</v>
      </c>
      <c r="S506" s="9" t="n">
        <f aca="false">IF(P506&gt;0,P506,R506)</f>
        <v>0</v>
      </c>
      <c r="T506" s="9" t="str">
        <f aca="false">IF(OR(S506=0,B506=""),"",INDEX('Bank Statement'!$B$8:$B$507,S506)-B506)</f>
        <v/>
      </c>
      <c r="U506" s="9" t="n">
        <f aca="false">IF(S506=0,0,IF(P506&gt;0,S506,IF(AND(ISNUMBER(T506),ABS(N(T506))&lt;=Setup!$C$11),S506,0)))</f>
        <v>0</v>
      </c>
      <c r="V506" s="9" t="str">
        <f aca="false">IF(AND(N506&lt;&gt;"",U506=0),IF(M506="OUT",1,2)*100000+ROW(),"")</f>
        <v/>
      </c>
      <c r="W506" s="9" t="n">
        <f aca="false">N(F506)+N(G506)</f>
        <v>0</v>
      </c>
    </row>
    <row r="507" customFormat="false" ht="15" hidden="false" customHeight="false" outlineLevel="0" collapsed="false">
      <c r="A507" s="37" t="str">
        <f aca="false">IF(M507="","",ROW()-7)</f>
        <v/>
      </c>
      <c r="B507" s="70"/>
      <c r="C507" s="71"/>
      <c r="D507" s="72"/>
      <c r="E507" s="71"/>
      <c r="F507" s="73"/>
      <c r="G507" s="73"/>
      <c r="H507" s="42" t="str">
        <f aca="false">IF(M507="","",IF(U507&gt;0,"✔ Matched",IF(M507="OUT","Not yet presented","Not yet credited")))</f>
        <v/>
      </c>
      <c r="I507" s="43" t="str">
        <f aca="false">IF(N(U507)&gt;0,U507,"")</f>
        <v/>
      </c>
      <c r="J507" s="44" t="str">
        <f aca="false">IF(N(U507)&gt;0,T507,"")</f>
        <v/>
      </c>
      <c r="K507" s="45" t="str">
        <f aca="false">IF(AND(M507="",B507="",D507=""),"",IF(AND(N(F507)&gt;0,N(G507)&gt;0),"⚠ Fill deposit OR payment",IF(M507="","⚠ Enter amount",IF(B507="","⚠ Enter date",IF(AND(Setup!$C$8&lt;&gt;"",B507&gt;Setup!$C$8),"⚠ Date after period",IF(AND(O507&lt;&gt;"",COUNTIF($O$8:$O$507,O507)&gt;1),"⚠ Cheque no. used twice","✔"))))))</f>
        <v/>
      </c>
      <c r="M507" s="9" t="str">
        <f aca="false">IF(N(F507)&gt;0,"IN",IF(N(G507)&gt;0,"OUT",""))</f>
        <v/>
      </c>
      <c r="N507" s="9" t="str">
        <f aca="false">IF(M507="","",M507&amp;"|"&amp;TEXT(ROUND(N(F507)+N(G507),2),"0.00"))</f>
        <v/>
      </c>
      <c r="O507" s="9" t="str">
        <f aca="false">IF(OR(N507="",TRIM(E507&amp;"")=""),"",N507&amp;"|"&amp;UPPER(TRIM(E507&amp;"")))</f>
        <v/>
      </c>
      <c r="P507" s="9" t="n">
        <f aca="false">IF(O507="",0,IFERROR(MATCH(O507,'Bank Statement'!$O$8:$O$507,0),0))</f>
        <v>0</v>
      </c>
      <c r="Q507" s="9" t="str">
        <f aca="false">IF(OR(N507="",P507&gt;0),"",N507&amp;"#"&amp;COUNTIFS($N$8:N507,N507,$P$8:P507,0))</f>
        <v/>
      </c>
      <c r="R507" s="9" t="n">
        <f aca="false">IF(Q507="",0,IFERROR(MATCH(Q507,'Bank Statement'!$Q$8:$Q$507,0),0))</f>
        <v>0</v>
      </c>
      <c r="S507" s="9" t="n">
        <f aca="false">IF(P507&gt;0,P507,R507)</f>
        <v>0</v>
      </c>
      <c r="T507" s="9" t="str">
        <f aca="false">IF(OR(S507=0,B507=""),"",INDEX('Bank Statement'!$B$8:$B$507,S507)-B507)</f>
        <v/>
      </c>
      <c r="U507" s="9" t="n">
        <f aca="false">IF(S507=0,0,IF(P507&gt;0,S507,IF(AND(ISNUMBER(T507),ABS(N(T507))&lt;=Setup!$C$11),S507,0)))</f>
        <v>0</v>
      </c>
      <c r="V507" s="9" t="str">
        <f aca="false">IF(AND(N507&lt;&gt;"",U507=0),IF(M507="OUT",1,2)*100000+ROW(),"")</f>
        <v/>
      </c>
      <c r="W507" s="9" t="n">
        <f aca="false">N(F507)+N(G507)</f>
        <v>0</v>
      </c>
    </row>
  </sheetData>
  <sheetProtection sheet="1" objects="1" scenarios="1" formatColumns="0" formatRows="0" algorithmName="SHA-512" hashValue="NirH5KXR+3PpMGHn/n1fp73OwmH06o9bR6WoAy+ibKSFxebtJ20AeF3eJ3br+9yj7+F+qwuwoyUkMI/1WCw0DQ==" saltValue="mddLF25XTytITr6gau6hWQ==" spinCount="100000"/>
  <mergeCells count="2">
    <mergeCell ref="A2:K2"/>
    <mergeCell ref="A3:K3"/>
  </mergeCells>
  <conditionalFormatting sqref="K8:K507">
    <cfRule type="expression" priority="2" aboveAverage="0" equalAverage="0" bottom="0" percent="0" rank="0" text="" dxfId="2">
      <formula>LEFT($K8,1)="⚠"</formula>
    </cfRule>
    <cfRule type="expression" priority="3" aboveAverage="0" equalAverage="0" bottom="0" percent="0" rank="0" text="" dxfId="3">
      <formula>$K8="✔"</formula>
    </cfRule>
  </conditionalFormatting>
  <conditionalFormatting sqref="H8:H507">
    <cfRule type="expression" priority="4" aboveAverage="0" equalAverage="0" bottom="0" percent="0" rank="0" text="" dxfId="3">
      <formula>$H8="✔ Matched"</formula>
    </cfRule>
    <cfRule type="expression" priority="5" aboveAverage="0" equalAverage="0" bottom="0" percent="0" rank="0" text="" dxfId="4">
      <formula>LEFT($H8,3)="Not"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W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"/>
    <col collapsed="false" customWidth="true" hidden="false" outlineLevel="0" max="3" min="3" style="0" width="32"/>
    <col collapsed="false" customWidth="true" hidden="false" outlineLevel="0" max="4" min="4" style="0" width="19"/>
    <col collapsed="false" customWidth="true" hidden="false" outlineLevel="0" max="6" min="5" style="0" width="14"/>
    <col collapsed="false" customWidth="true" hidden="false" outlineLevel="0" max="7" min="7" style="0" width="15"/>
    <col collapsed="false" customWidth="true" hidden="false" outlineLevel="0" max="8" min="8" style="0" width="23"/>
    <col collapsed="false" customWidth="true" hidden="false" outlineLevel="0" max="9" min="9" style="0" width="9"/>
    <col collapsed="false" customWidth="true" hidden="false" outlineLevel="0" max="10" min="10" style="0" width="14"/>
    <col collapsed="false" customWidth="true" hidden="true" outlineLevel="0" max="18" min="13" style="0" width="13"/>
    <col collapsed="false" customWidth="true" hidden="true" outlineLevel="0" max="23" min="22" style="0" width="13"/>
  </cols>
  <sheetData>
    <row r="1" customFormat="false" ht="15" hidden="false" customHeight="false" outlineLevel="0" collapsed="false">
      <c r="A1" s="17" t="s">
        <v>24</v>
      </c>
    </row>
    <row r="2" customFormat="false" ht="30" hidden="false" customHeight="true" outlineLevel="0" collapsed="false">
      <c r="A2" s="34" t="s">
        <v>109</v>
      </c>
      <c r="B2" s="34"/>
      <c r="C2" s="34"/>
      <c r="D2" s="34"/>
      <c r="E2" s="34"/>
      <c r="F2" s="34"/>
      <c r="G2" s="34"/>
      <c r="H2" s="34"/>
      <c r="I2" s="34"/>
      <c r="J2" s="34"/>
    </row>
    <row r="3" customFormat="false" ht="30" hidden="false" customHeight="true" outlineLevel="0" collapsed="false">
      <c r="A3" s="33" t="s">
        <v>110</v>
      </c>
      <c r="B3" s="33"/>
      <c r="C3" s="33"/>
      <c r="D3" s="33"/>
      <c r="E3" s="33"/>
      <c r="F3" s="33"/>
      <c r="G3" s="33"/>
      <c r="H3" s="33"/>
      <c r="I3" s="33"/>
      <c r="J3" s="33"/>
    </row>
    <row r="7" customFormat="false" ht="36" hidden="false" customHeight="true" outlineLevel="0" collapsed="false">
      <c r="A7" s="35" t="s">
        <v>62</v>
      </c>
      <c r="B7" s="36" t="s">
        <v>63</v>
      </c>
      <c r="C7" s="36" t="s">
        <v>111</v>
      </c>
      <c r="D7" s="36" t="s">
        <v>112</v>
      </c>
      <c r="E7" s="36" t="s">
        <v>113</v>
      </c>
      <c r="F7" s="36" t="s">
        <v>67</v>
      </c>
      <c r="G7" s="36" t="s">
        <v>114</v>
      </c>
      <c r="H7" s="35" t="s">
        <v>69</v>
      </c>
      <c r="I7" s="35" t="s">
        <v>115</v>
      </c>
      <c r="J7" s="35" t="s">
        <v>72</v>
      </c>
    </row>
    <row r="8" customFormat="false" ht="15" hidden="false" customHeight="false" outlineLevel="0" collapsed="false">
      <c r="A8" s="37" t="n">
        <f aca="false">IF(M8="","",ROW()-7)</f>
        <v>1</v>
      </c>
      <c r="B8" s="70" t="n">
        <v>46267</v>
      </c>
      <c r="C8" s="72" t="s">
        <v>116</v>
      </c>
      <c r="D8" s="71"/>
      <c r="E8" s="73"/>
      <c r="F8" s="73" t="n">
        <v>40000</v>
      </c>
      <c r="G8" s="73" t="n">
        <v>165000</v>
      </c>
      <c r="H8" s="42" t="str">
        <f aca="false">IF(M8="","",IF(R8&gt;0,"✔ Matched",IF(M8="IN","Not in cash book (credit)","Not in cash book (debit)")))</f>
        <v>✔ Matched</v>
      </c>
      <c r="I8" s="43" t="n">
        <f aca="false">IF(N(R8)&gt;0,R8,"")</f>
        <v>1</v>
      </c>
      <c r="J8" s="45" t="str">
        <f aca="false">IF(AND(M8="",B8="",C8=""),"",IF(AND(N(E8)&gt;0,N(F8)&gt;0),"⚠ Fill withdrawal OR deposit",IF(M8="","⚠ Enter amount",IF(B8="","⚠ Enter date",IF(NOT(TRUE()),"⚠ Balance does not follow previous row","✔")))))</f>
        <v>✔</v>
      </c>
      <c r="M8" s="9" t="str">
        <f aca="false">IF(N(F8)&gt;0,"IN",IF(N(E8)&gt;0,"OUT",""))</f>
        <v>IN</v>
      </c>
      <c r="N8" s="9" t="str">
        <f aca="false">IF(M8="","",M8&amp;"|"&amp;TEXT(ROUND(N(E8)+N(F8),2),"0.00"))</f>
        <v>IN|40000.00</v>
      </c>
      <c r="O8" s="9" t="str">
        <f aca="false">IF(OR(N8="",TRIM(D8&amp;"")=""),"",N8&amp;"|"&amp;UPPER(TRIM(D8&amp;"")))</f>
        <v/>
      </c>
      <c r="P8" s="9" t="n">
        <f aca="false">IF(O8="",0,IF(COUNTIF('Cash Book'!$O$8:$O$507,O8)&gt;0,1,0))</f>
        <v>0</v>
      </c>
      <c r="Q8" s="9" t="str">
        <f aca="false">IF(OR(N8="",P8=1),"",N8&amp;"#"&amp;COUNTIFS($N$8:N8,N8,$P$8:P8,0))</f>
        <v>IN|40000.00#1</v>
      </c>
      <c r="R8" s="9" t="n">
        <f aca="false">IF(N8="",0,IFERROR(MATCH(ROW()-7,'Cash Book'!$U$8:$U$507,0),0))</f>
        <v>1</v>
      </c>
      <c r="V8" s="9" t="str">
        <f aca="false">IF(AND(N8&lt;&gt;"",R8=0),IF(M8="IN",3,4)*100000+ROW(),"")</f>
        <v/>
      </c>
      <c r="W8" s="9" t="n">
        <f aca="false">N(E8)+N(F8)</f>
        <v>40000</v>
      </c>
    </row>
    <row r="9" customFormat="false" ht="15" hidden="false" customHeight="false" outlineLevel="0" collapsed="false">
      <c r="A9" s="37" t="n">
        <f aca="false">IF(M9="","",ROW()-7)</f>
        <v>2</v>
      </c>
      <c r="B9" s="70" t="n">
        <v>46271</v>
      </c>
      <c r="C9" s="72" t="s">
        <v>117</v>
      </c>
      <c r="D9" s="71" t="s">
        <v>77</v>
      </c>
      <c r="E9" s="73" t="n">
        <v>20000</v>
      </c>
      <c r="F9" s="73"/>
      <c r="G9" s="73" t="n">
        <v>145000</v>
      </c>
      <c r="H9" s="42" t="str">
        <f aca="false">IF(M9="","",IF(R9&gt;0,"✔ Matched",IF(M9="IN","Not in cash book (credit)","Not in cash book (debit)")))</f>
        <v>✔ Matched</v>
      </c>
      <c r="I9" s="43" t="n">
        <f aca="false">IF(N(R9)&gt;0,R9,"")</f>
        <v>2</v>
      </c>
      <c r="J9" s="45" t="str">
        <f aca="false">IF(AND(M9="",B9="",C9=""),"",IF(AND(N(E9)&gt;0,N(F9)&gt;0),"⚠ Fill withdrawal OR deposit",IF(M9="","⚠ Enter amount",IF(B9="","⚠ Enter date",IF(NOT(OR(NOT(ISNUMBER(G9)),NOT(ISNUMBER(G8)),ABS(N(G9)-(N(G8)+N(F9)-N(E9)))&lt;=0.5)),"⚠ Balance does not follow previous row","✔")))))</f>
        <v>✔</v>
      </c>
      <c r="M9" s="9" t="str">
        <f aca="false">IF(N(F9)&gt;0,"IN",IF(N(E9)&gt;0,"OUT",""))</f>
        <v>OUT</v>
      </c>
      <c r="N9" s="9" t="str">
        <f aca="false">IF(M9="","",M9&amp;"|"&amp;TEXT(ROUND(N(E9)+N(F9),2),"0.00"))</f>
        <v>OUT|20000.00</v>
      </c>
      <c r="O9" s="9" t="str">
        <f aca="false">IF(OR(N9="",TRIM(D9&amp;"")=""),"",N9&amp;"|"&amp;UPPER(TRIM(D9&amp;"")))</f>
        <v>OUT|20000.00|000781</v>
      </c>
      <c r="P9" s="9" t="n">
        <f aca="false">IF(O9="",0,IF(COUNTIF('Cash Book'!$O$8:$O$507,O9)&gt;0,1,0))</f>
        <v>1</v>
      </c>
      <c r="Q9" s="9" t="str">
        <f aca="false">IF(OR(N9="",P9=1),"",N9&amp;"#"&amp;COUNTIFS($N$8:N9,N9,$P$8:P9,0))</f>
        <v/>
      </c>
      <c r="R9" s="9" t="n">
        <f aca="false">IF(N9="",0,IFERROR(MATCH(ROW()-7,'Cash Book'!$U$8:$U$507,0),0))</f>
        <v>2</v>
      </c>
      <c r="V9" s="9" t="str">
        <f aca="false">IF(AND(N9&lt;&gt;"",R9=0),IF(M9="IN",3,4)*100000+ROW(),"")</f>
        <v/>
      </c>
      <c r="W9" s="9" t="n">
        <f aca="false">N(E9)+N(F9)</f>
        <v>20000</v>
      </c>
    </row>
    <row r="10" customFormat="false" ht="15" hidden="false" customHeight="false" outlineLevel="0" collapsed="false">
      <c r="A10" s="37" t="n">
        <f aca="false">IF(M10="","",ROW()-7)</f>
        <v>3</v>
      </c>
      <c r="B10" s="70" t="n">
        <v>46272</v>
      </c>
      <c r="C10" s="72" t="s">
        <v>118</v>
      </c>
      <c r="D10" s="71" t="s">
        <v>80</v>
      </c>
      <c r="E10" s="73"/>
      <c r="F10" s="73" t="n">
        <v>18500</v>
      </c>
      <c r="G10" s="73" t="n">
        <v>163500</v>
      </c>
      <c r="H10" s="42" t="str">
        <f aca="false">IF(M10="","",IF(R10&gt;0,"✔ Matched",IF(M10="IN","Not in cash book (credit)","Not in cash book (debit)")))</f>
        <v>✔ Matched</v>
      </c>
      <c r="I10" s="43" t="n">
        <f aca="false">IF(N(R10)&gt;0,R10,"")</f>
        <v>3</v>
      </c>
      <c r="J10" s="45" t="str">
        <f aca="false">IF(AND(M10="",B10="",C10=""),"",IF(AND(N(E10)&gt;0,N(F10)&gt;0),"⚠ Fill withdrawal OR deposit",IF(M10="","⚠ Enter amount",IF(B10="","⚠ Enter date",IF(NOT(OR(NOT(ISNUMBER(G10)),NOT(ISNUMBER(G9)),ABS(N(G10)-(N(G9)+N(F10)-N(E10)))&lt;=0.5)),"⚠ Balance does not follow previous row","✔")))))</f>
        <v>✔</v>
      </c>
      <c r="M10" s="9" t="str">
        <f aca="false">IF(N(F10)&gt;0,"IN",IF(N(E10)&gt;0,"OUT",""))</f>
        <v>IN</v>
      </c>
      <c r="N10" s="9" t="str">
        <f aca="false">IF(M10="","",M10&amp;"|"&amp;TEXT(ROUND(N(E10)+N(F10),2),"0.00"))</f>
        <v>IN|18500.00</v>
      </c>
      <c r="O10" s="9" t="str">
        <f aca="false">IF(OR(N10="",TRIM(D10&amp;"")=""),"",N10&amp;"|"&amp;UPPER(TRIM(D10&amp;"")))</f>
        <v>IN|18500.00|456123</v>
      </c>
      <c r="P10" s="9" t="n">
        <f aca="false">IF(O10="",0,IF(COUNTIF('Cash Book'!$O$8:$O$507,O10)&gt;0,1,0))</f>
        <v>1</v>
      </c>
      <c r="Q10" s="9" t="str">
        <f aca="false">IF(OR(N10="",P10=1),"",N10&amp;"#"&amp;COUNTIFS($N$8:N10,N10,$P$8:P10,0))</f>
        <v/>
      </c>
      <c r="R10" s="9" t="n">
        <f aca="false">IF(N10="",0,IFERROR(MATCH(ROW()-7,'Cash Book'!$U$8:$U$507,0),0))</f>
        <v>3</v>
      </c>
      <c r="V10" s="9" t="str">
        <f aca="false">IF(AND(N10&lt;&gt;"",R10=0),IF(M10="IN",3,4)*100000+ROW(),"")</f>
        <v/>
      </c>
      <c r="W10" s="9" t="n">
        <f aca="false">N(E10)+N(F10)</f>
        <v>18500</v>
      </c>
    </row>
    <row r="11" customFormat="false" ht="15" hidden="false" customHeight="false" outlineLevel="0" collapsed="false">
      <c r="A11" s="37" t="n">
        <f aca="false">IF(M11="","",ROW()-7)</f>
        <v>4</v>
      </c>
      <c r="B11" s="70" t="n">
        <v>46272</v>
      </c>
      <c r="C11" s="72" t="s">
        <v>119</v>
      </c>
      <c r="D11" s="71"/>
      <c r="E11" s="73" t="n">
        <v>15000</v>
      </c>
      <c r="F11" s="73"/>
      <c r="G11" s="73" t="n">
        <v>148500</v>
      </c>
      <c r="H11" s="42" t="str">
        <f aca="false">IF(M11="","",IF(R11&gt;0,"✔ Matched",IF(M11="IN","Not in cash book (credit)","Not in cash book (debit)")))</f>
        <v>✔ Matched</v>
      </c>
      <c r="I11" s="43" t="n">
        <f aca="false">IF(N(R11)&gt;0,R11,"")</f>
        <v>4</v>
      </c>
      <c r="J11" s="45" t="str">
        <f aca="false">IF(AND(M11="",B11="",C11=""),"",IF(AND(N(E11)&gt;0,N(F11)&gt;0),"⚠ Fill withdrawal OR deposit",IF(M11="","⚠ Enter amount",IF(B11="","⚠ Enter date",IF(NOT(OR(NOT(ISNUMBER(G11)),NOT(ISNUMBER(G10)),ABS(N(G11)-(N(G10)+N(F11)-N(E11)))&lt;=0.5)),"⚠ Balance does not follow previous row","✔")))))</f>
        <v>✔</v>
      </c>
      <c r="M11" s="9" t="str">
        <f aca="false">IF(N(F11)&gt;0,"IN",IF(N(E11)&gt;0,"OUT",""))</f>
        <v>OUT</v>
      </c>
      <c r="N11" s="9" t="str">
        <f aca="false">IF(M11="","",M11&amp;"|"&amp;TEXT(ROUND(N(E11)+N(F11),2),"0.00"))</f>
        <v>OUT|15000.00</v>
      </c>
      <c r="O11" s="9" t="str">
        <f aca="false">IF(OR(N11="",TRIM(D11&amp;"")=""),"",N11&amp;"|"&amp;UPPER(TRIM(D11&amp;"")))</f>
        <v/>
      </c>
      <c r="P11" s="9" t="n">
        <f aca="false">IF(O11="",0,IF(COUNTIF('Cash Book'!$O$8:$O$507,O11)&gt;0,1,0))</f>
        <v>0</v>
      </c>
      <c r="Q11" s="9" t="str">
        <f aca="false">IF(OR(N11="",P11=1),"",N11&amp;"#"&amp;COUNTIFS($N$8:N11,N11,$P$8:P11,0))</f>
        <v>OUT|15000.00#1</v>
      </c>
      <c r="R11" s="9" t="n">
        <f aca="false">IF(N11="",0,IFERROR(MATCH(ROW()-7,'Cash Book'!$U$8:$U$507,0),0))</f>
        <v>4</v>
      </c>
      <c r="V11" s="9" t="str">
        <f aca="false">IF(AND(N11&lt;&gt;"",R11=0),IF(M11="IN",3,4)*100000+ROW(),"")</f>
        <v/>
      </c>
      <c r="W11" s="9" t="n">
        <f aca="false">N(E11)+N(F11)</f>
        <v>15000</v>
      </c>
    </row>
    <row r="12" customFormat="false" ht="15" hidden="false" customHeight="false" outlineLevel="0" collapsed="false">
      <c r="A12" s="37" t="n">
        <f aca="false">IF(M12="","",ROW()-7)</f>
        <v>5</v>
      </c>
      <c r="B12" s="70" t="n">
        <v>46273</v>
      </c>
      <c r="C12" s="72" t="s">
        <v>120</v>
      </c>
      <c r="D12" s="71"/>
      <c r="E12" s="73"/>
      <c r="F12" s="73" t="n">
        <v>9440</v>
      </c>
      <c r="G12" s="73" t="n">
        <v>157940</v>
      </c>
      <c r="H12" s="42" t="str">
        <f aca="false">IF(M12="","",IF(R12&gt;0,"✔ Matched",IF(M12="IN","Not in cash book (credit)","Not in cash book (debit)")))</f>
        <v>Not in cash book (credit)</v>
      </c>
      <c r="I12" s="43" t="str">
        <f aca="false">IF(N(R12)&gt;0,R12,"")</f>
        <v/>
      </c>
      <c r="J12" s="45" t="str">
        <f aca="false">IF(AND(M12="",B12="",C12=""),"",IF(AND(N(E12)&gt;0,N(F12)&gt;0),"⚠ Fill withdrawal OR deposit",IF(M12="","⚠ Enter amount",IF(B12="","⚠ Enter date",IF(NOT(OR(NOT(ISNUMBER(G12)),NOT(ISNUMBER(G11)),ABS(N(G12)-(N(G11)+N(F12)-N(E12)))&lt;=0.5)),"⚠ Balance does not follow previous row","✔")))))</f>
        <v>✔</v>
      </c>
      <c r="M12" s="9" t="str">
        <f aca="false">IF(N(F12)&gt;0,"IN",IF(N(E12)&gt;0,"OUT",""))</f>
        <v>IN</v>
      </c>
      <c r="N12" s="9" t="str">
        <f aca="false">IF(M12="","",M12&amp;"|"&amp;TEXT(ROUND(N(E12)+N(F12),2),"0.00"))</f>
        <v>IN|9440.00</v>
      </c>
      <c r="O12" s="9" t="str">
        <f aca="false">IF(OR(N12="",TRIM(D12&amp;"")=""),"",N12&amp;"|"&amp;UPPER(TRIM(D12&amp;"")))</f>
        <v/>
      </c>
      <c r="P12" s="9" t="n">
        <f aca="false">IF(O12="",0,IF(COUNTIF('Cash Book'!$O$8:$O$507,O12)&gt;0,1,0))</f>
        <v>0</v>
      </c>
      <c r="Q12" s="9" t="str">
        <f aca="false">IF(OR(N12="",P12=1),"",N12&amp;"#"&amp;COUNTIFS($N$8:N12,N12,$P$8:P12,0))</f>
        <v>IN|9440.00#1</v>
      </c>
      <c r="R12" s="9" t="n">
        <f aca="false">IF(N12="",0,IFERROR(MATCH(ROW()-7,'Cash Book'!$U$8:$U$507,0),0))</f>
        <v>0</v>
      </c>
      <c r="V12" s="9" t="n">
        <f aca="false">IF(AND(N12&lt;&gt;"",R12=0),IF(M12="IN",3,4)*100000+ROW(),"")</f>
        <v>300012</v>
      </c>
      <c r="W12" s="9" t="n">
        <f aca="false">N(E12)+N(F12)</f>
        <v>9440</v>
      </c>
    </row>
    <row r="13" customFormat="false" ht="15" hidden="false" customHeight="false" outlineLevel="0" collapsed="false">
      <c r="A13" s="37" t="n">
        <f aca="false">IF(M13="","",ROW()-7)</f>
        <v>6</v>
      </c>
      <c r="B13" s="70" t="n">
        <v>46275</v>
      </c>
      <c r="C13" s="72" t="s">
        <v>121</v>
      </c>
      <c r="D13" s="71" t="s">
        <v>85</v>
      </c>
      <c r="E13" s="73" t="n">
        <v>44516</v>
      </c>
      <c r="F13" s="73"/>
      <c r="G13" s="73" t="n">
        <v>113424</v>
      </c>
      <c r="H13" s="42" t="str">
        <f aca="false">IF(M13="","",IF(R13&gt;0,"✔ Matched",IF(M13="IN","Not in cash book (credit)","Not in cash book (debit)")))</f>
        <v>✔ Matched</v>
      </c>
      <c r="I13" s="43" t="n">
        <f aca="false">IF(N(R13)&gt;0,R13,"")</f>
        <v>5</v>
      </c>
      <c r="J13" s="45" t="str">
        <f aca="false">IF(AND(M13="",B13="",C13=""),"",IF(AND(N(E13)&gt;0,N(F13)&gt;0),"⚠ Fill withdrawal OR deposit",IF(M13="","⚠ Enter amount",IF(B13="","⚠ Enter date",IF(NOT(OR(NOT(ISNUMBER(G13)),NOT(ISNUMBER(G12)),ABS(N(G13)-(N(G12)+N(F13)-N(E13)))&lt;=0.5)),"⚠ Balance does not follow previous row","✔")))))</f>
        <v>✔</v>
      </c>
      <c r="M13" s="9" t="str">
        <f aca="false">IF(N(F13)&gt;0,"IN",IF(N(E13)&gt;0,"OUT",""))</f>
        <v>OUT</v>
      </c>
      <c r="N13" s="9" t="str">
        <f aca="false">IF(M13="","",M13&amp;"|"&amp;TEXT(ROUND(N(E13)+N(F13),2),"0.00"))</f>
        <v>OUT|44516.00</v>
      </c>
      <c r="O13" s="9" t="str">
        <f aca="false">IF(OR(N13="",TRIM(D13&amp;"")=""),"",N13&amp;"|"&amp;UPPER(TRIM(D13&amp;"")))</f>
        <v>OUT|44516.00|SBINR52026091012</v>
      </c>
      <c r="P13" s="9" t="n">
        <f aca="false">IF(O13="",0,IF(COUNTIF('Cash Book'!$O$8:$O$507,O13)&gt;0,1,0))</f>
        <v>1</v>
      </c>
      <c r="Q13" s="9" t="str">
        <f aca="false">IF(OR(N13="",P13=1),"",N13&amp;"#"&amp;COUNTIFS($N$8:N13,N13,$P$8:P13,0))</f>
        <v/>
      </c>
      <c r="R13" s="9" t="n">
        <f aca="false">IF(N13="",0,IFERROR(MATCH(ROW()-7,'Cash Book'!$U$8:$U$507,0),0))</f>
        <v>5</v>
      </c>
      <c r="V13" s="9" t="str">
        <f aca="false">IF(AND(N13&lt;&gt;"",R13=0),IF(M13="IN",3,4)*100000+ROW(),"")</f>
        <v/>
      </c>
      <c r="W13" s="9" t="n">
        <f aca="false">N(E13)+N(F13)</f>
        <v>44516</v>
      </c>
    </row>
    <row r="14" customFormat="false" ht="15" hidden="false" customHeight="false" outlineLevel="0" collapsed="false">
      <c r="A14" s="37" t="n">
        <f aca="false">IF(M14="","",ROW()-7)</f>
        <v>7</v>
      </c>
      <c r="B14" s="70" t="n">
        <v>46275</v>
      </c>
      <c r="C14" s="72" t="s">
        <v>122</v>
      </c>
      <c r="D14" s="71"/>
      <c r="E14" s="73" t="n">
        <v>11250</v>
      </c>
      <c r="F14" s="73"/>
      <c r="G14" s="73" t="n">
        <v>102174</v>
      </c>
      <c r="H14" s="42" t="str">
        <f aca="false">IF(M14="","",IF(R14&gt;0,"✔ Matched",IF(M14="IN","Not in cash book (credit)","Not in cash book (debit)")))</f>
        <v>Not in cash book (debit)</v>
      </c>
      <c r="I14" s="43" t="str">
        <f aca="false">IF(N(R14)&gt;0,R14,"")</f>
        <v/>
      </c>
      <c r="J14" s="45" t="str">
        <f aca="false">IF(AND(M14="",B14="",C14=""),"",IF(AND(N(E14)&gt;0,N(F14)&gt;0),"⚠ Fill withdrawal OR deposit",IF(M14="","⚠ Enter amount",IF(B14="","⚠ Enter date",IF(NOT(OR(NOT(ISNUMBER(G14)),NOT(ISNUMBER(G13)),ABS(N(G14)-(N(G13)+N(F14)-N(E14)))&lt;=0.5)),"⚠ Balance does not follow previous row","✔")))))</f>
        <v>✔</v>
      </c>
      <c r="M14" s="9" t="str">
        <f aca="false">IF(N(F14)&gt;0,"IN",IF(N(E14)&gt;0,"OUT",""))</f>
        <v>OUT</v>
      </c>
      <c r="N14" s="9" t="str">
        <f aca="false">IF(M14="","",M14&amp;"|"&amp;TEXT(ROUND(N(E14)+N(F14),2),"0.00"))</f>
        <v>OUT|11250.00</v>
      </c>
      <c r="O14" s="9" t="str">
        <f aca="false">IF(OR(N14="",TRIM(D14&amp;"")=""),"",N14&amp;"|"&amp;UPPER(TRIM(D14&amp;"")))</f>
        <v/>
      </c>
      <c r="P14" s="9" t="n">
        <f aca="false">IF(O14="",0,IF(COUNTIF('Cash Book'!$O$8:$O$507,O14)&gt;0,1,0))</f>
        <v>0</v>
      </c>
      <c r="Q14" s="9" t="str">
        <f aca="false">IF(OR(N14="",P14=1),"",N14&amp;"#"&amp;COUNTIFS($N$8:N14,N14,$P$8:P14,0))</f>
        <v>OUT|11250.00#1</v>
      </c>
      <c r="R14" s="9" t="n">
        <f aca="false">IF(N14="",0,IFERROR(MATCH(ROW()-7,'Cash Book'!$U$8:$U$507,0),0))</f>
        <v>0</v>
      </c>
      <c r="V14" s="9" t="n">
        <f aca="false">IF(AND(N14&lt;&gt;"",R14=0),IF(M14="IN",3,4)*100000+ROW(),"")</f>
        <v>400014</v>
      </c>
      <c r="W14" s="9" t="n">
        <f aca="false">N(E14)+N(F14)</f>
        <v>11250</v>
      </c>
    </row>
    <row r="15" customFormat="false" ht="15" hidden="false" customHeight="false" outlineLevel="0" collapsed="false">
      <c r="A15" s="37" t="n">
        <f aca="false">IF(M15="","",ROW()-7)</f>
        <v>8</v>
      </c>
      <c r="B15" s="70" t="n">
        <v>46277</v>
      </c>
      <c r="C15" s="72" t="s">
        <v>116</v>
      </c>
      <c r="D15" s="71"/>
      <c r="E15" s="73"/>
      <c r="F15" s="73" t="n">
        <v>35000</v>
      </c>
      <c r="G15" s="73" t="n">
        <v>137174</v>
      </c>
      <c r="H15" s="42" t="str">
        <f aca="false">IF(M15="","",IF(R15&gt;0,"✔ Matched",IF(M15="IN","Not in cash book (credit)","Not in cash book (debit)")))</f>
        <v>✔ Matched</v>
      </c>
      <c r="I15" s="43" t="n">
        <f aca="false">IF(N(R15)&gt;0,R15,"")</f>
        <v>6</v>
      </c>
      <c r="J15" s="45" t="str">
        <f aca="false">IF(AND(M15="",B15="",C15=""),"",IF(AND(N(E15)&gt;0,N(F15)&gt;0),"⚠ Fill withdrawal OR deposit",IF(M15="","⚠ Enter amount",IF(B15="","⚠ Enter date",IF(NOT(OR(NOT(ISNUMBER(G15)),NOT(ISNUMBER(G14)),ABS(N(G15)-(N(G14)+N(F15)-N(E15)))&lt;=0.5)),"⚠ Balance does not follow previous row","✔")))))</f>
        <v>✔</v>
      </c>
      <c r="M15" s="9" t="str">
        <f aca="false">IF(N(F15)&gt;0,"IN",IF(N(E15)&gt;0,"OUT",""))</f>
        <v>IN</v>
      </c>
      <c r="N15" s="9" t="str">
        <f aca="false">IF(M15="","",M15&amp;"|"&amp;TEXT(ROUND(N(E15)+N(F15),2),"0.00"))</f>
        <v>IN|35000.00</v>
      </c>
      <c r="O15" s="9" t="str">
        <f aca="false">IF(OR(N15="",TRIM(D15&amp;"")=""),"",N15&amp;"|"&amp;UPPER(TRIM(D15&amp;"")))</f>
        <v/>
      </c>
      <c r="P15" s="9" t="n">
        <f aca="false">IF(O15="",0,IF(COUNTIF('Cash Book'!$O$8:$O$507,O15)&gt;0,1,0))</f>
        <v>0</v>
      </c>
      <c r="Q15" s="9" t="str">
        <f aca="false">IF(OR(N15="",P15=1),"",N15&amp;"#"&amp;COUNTIFS($N$8:N15,N15,$P$8:P15,0))</f>
        <v>IN|35000.00#1</v>
      </c>
      <c r="R15" s="9" t="n">
        <f aca="false">IF(N15="",0,IFERROR(MATCH(ROW()-7,'Cash Book'!$U$8:$U$507,0),0))</f>
        <v>6</v>
      </c>
      <c r="V15" s="9" t="str">
        <f aca="false">IF(AND(N15&lt;&gt;"",R15=0),IF(M15="IN",3,4)*100000+ROW(),"")</f>
        <v/>
      </c>
      <c r="W15" s="9" t="n">
        <f aca="false">N(E15)+N(F15)</f>
        <v>35000</v>
      </c>
    </row>
    <row r="16" customFormat="false" ht="15" hidden="false" customHeight="false" outlineLevel="0" collapsed="false">
      <c r="A16" s="37" t="n">
        <f aca="false">IF(M16="","",ROW()-7)</f>
        <v>9</v>
      </c>
      <c r="B16" s="70" t="n">
        <v>46280</v>
      </c>
      <c r="C16" s="72" t="s">
        <v>123</v>
      </c>
      <c r="D16" s="71"/>
      <c r="E16" s="73" t="n">
        <v>5900</v>
      </c>
      <c r="F16" s="73"/>
      <c r="G16" s="73" t="n">
        <v>131274</v>
      </c>
      <c r="H16" s="42" t="str">
        <f aca="false">IF(M16="","",IF(R16&gt;0,"✔ Matched",IF(M16="IN","Not in cash book (credit)","Not in cash book (debit)")))</f>
        <v>✔ Matched</v>
      </c>
      <c r="I16" s="43" t="n">
        <f aca="false">IF(N(R16)&gt;0,R16,"")</f>
        <v>7</v>
      </c>
      <c r="J16" s="45" t="str">
        <f aca="false">IF(AND(M16="",B16="",C16=""),"",IF(AND(N(E16)&gt;0,N(F16)&gt;0),"⚠ Fill withdrawal OR deposit",IF(M16="","⚠ Enter amount",IF(B16="","⚠ Enter date",IF(NOT(OR(NOT(ISNUMBER(G16)),NOT(ISNUMBER(G15)),ABS(N(G16)-(N(G15)+N(F16)-N(E16)))&lt;=0.5)),"⚠ Balance does not follow previous row","✔")))))</f>
        <v>✔</v>
      </c>
      <c r="M16" s="9" t="str">
        <f aca="false">IF(N(F16)&gt;0,"IN",IF(N(E16)&gt;0,"OUT",""))</f>
        <v>OUT</v>
      </c>
      <c r="N16" s="9" t="str">
        <f aca="false">IF(M16="","",M16&amp;"|"&amp;TEXT(ROUND(N(E16)+N(F16),2),"0.00"))</f>
        <v>OUT|5900.00</v>
      </c>
      <c r="O16" s="9" t="str">
        <f aca="false">IF(OR(N16="",TRIM(D16&amp;"")=""),"",N16&amp;"|"&amp;UPPER(TRIM(D16&amp;"")))</f>
        <v/>
      </c>
      <c r="P16" s="9" t="n">
        <f aca="false">IF(O16="",0,IF(COUNTIF('Cash Book'!$O$8:$O$507,O16)&gt;0,1,0))</f>
        <v>0</v>
      </c>
      <c r="Q16" s="9" t="str">
        <f aca="false">IF(OR(N16="",P16=1),"",N16&amp;"#"&amp;COUNTIFS($N$8:N16,N16,$P$8:P16,0))</f>
        <v>OUT|5900.00#1</v>
      </c>
      <c r="R16" s="9" t="n">
        <f aca="false">IF(N16="",0,IFERROR(MATCH(ROW()-7,'Cash Book'!$U$8:$U$507,0),0))</f>
        <v>7</v>
      </c>
      <c r="V16" s="9" t="str">
        <f aca="false">IF(AND(N16&lt;&gt;"",R16=0),IF(M16="IN",3,4)*100000+ROW(),"")</f>
        <v/>
      </c>
      <c r="W16" s="9" t="n">
        <f aca="false">N(E16)+N(F16)</f>
        <v>5900</v>
      </c>
    </row>
    <row r="17" customFormat="false" ht="15" hidden="false" customHeight="false" outlineLevel="0" collapsed="false">
      <c r="A17" s="37" t="n">
        <f aca="false">IF(M17="","",ROW()-7)</f>
        <v>10</v>
      </c>
      <c r="B17" s="70" t="n">
        <v>46281</v>
      </c>
      <c r="C17" s="72" t="s">
        <v>124</v>
      </c>
      <c r="D17" s="71"/>
      <c r="E17" s="73" t="n">
        <v>5900</v>
      </c>
      <c r="F17" s="73"/>
      <c r="G17" s="73" t="n">
        <v>125374</v>
      </c>
      <c r="H17" s="42" t="str">
        <f aca="false">IF(M17="","",IF(R17&gt;0,"✔ Matched",IF(M17="IN","Not in cash book (credit)","Not in cash book (debit)")))</f>
        <v>✔ Matched</v>
      </c>
      <c r="I17" s="43" t="n">
        <f aca="false">IF(N(R17)&gt;0,R17,"")</f>
        <v>8</v>
      </c>
      <c r="J17" s="45" t="str">
        <f aca="false">IF(AND(M17="",B17="",C17=""),"",IF(AND(N(E17)&gt;0,N(F17)&gt;0),"⚠ Fill withdrawal OR deposit",IF(M17="","⚠ Enter amount",IF(B17="","⚠ Enter date",IF(NOT(OR(NOT(ISNUMBER(G17)),NOT(ISNUMBER(G16)),ABS(N(G17)-(N(G16)+N(F17)-N(E17)))&lt;=0.5)),"⚠ Balance does not follow previous row","✔")))))</f>
        <v>✔</v>
      </c>
      <c r="M17" s="9" t="str">
        <f aca="false">IF(N(F17)&gt;0,"IN",IF(N(E17)&gt;0,"OUT",""))</f>
        <v>OUT</v>
      </c>
      <c r="N17" s="9" t="str">
        <f aca="false">IF(M17="","",M17&amp;"|"&amp;TEXT(ROUND(N(E17)+N(F17),2),"0.00"))</f>
        <v>OUT|5900.00</v>
      </c>
      <c r="O17" s="9" t="str">
        <f aca="false">IF(OR(N17="",TRIM(D17&amp;"")=""),"",N17&amp;"|"&amp;UPPER(TRIM(D17&amp;"")))</f>
        <v/>
      </c>
      <c r="P17" s="9" t="n">
        <f aca="false">IF(O17="",0,IF(COUNTIF('Cash Book'!$O$8:$O$507,O17)&gt;0,1,0))</f>
        <v>0</v>
      </c>
      <c r="Q17" s="9" t="str">
        <f aca="false">IF(OR(N17="",P17=1),"",N17&amp;"#"&amp;COUNTIFS($N$8:N17,N17,$P$8:P17,0))</f>
        <v>OUT|5900.00#2</v>
      </c>
      <c r="R17" s="9" t="n">
        <f aca="false">IF(N17="",0,IFERROR(MATCH(ROW()-7,'Cash Book'!$U$8:$U$507,0),0))</f>
        <v>8</v>
      </c>
      <c r="V17" s="9" t="str">
        <f aca="false">IF(AND(N17&lt;&gt;"",R17=0),IF(M17="IN",3,4)*100000+ROW(),"")</f>
        <v/>
      </c>
      <c r="W17" s="9" t="n">
        <f aca="false">N(E17)+N(F17)</f>
        <v>5900</v>
      </c>
    </row>
    <row r="18" customFormat="false" ht="15" hidden="false" customHeight="false" outlineLevel="0" collapsed="false">
      <c r="A18" s="37" t="n">
        <f aca="false">IF(M18="","",ROW()-7)</f>
        <v>11</v>
      </c>
      <c r="B18" s="70" t="n">
        <v>46283</v>
      </c>
      <c r="C18" s="72" t="s">
        <v>125</v>
      </c>
      <c r="D18" s="71"/>
      <c r="E18" s="73"/>
      <c r="F18" s="73" t="n">
        <v>22400</v>
      </c>
      <c r="G18" s="73" t="n">
        <v>147774</v>
      </c>
      <c r="H18" s="42" t="str">
        <f aca="false">IF(M18="","",IF(R18&gt;0,"✔ Matched",IF(M18="IN","Not in cash book (credit)","Not in cash book (debit)")))</f>
        <v>✔ Matched</v>
      </c>
      <c r="I18" s="43" t="n">
        <f aca="false">IF(N(R18)&gt;0,R18,"")</f>
        <v>9</v>
      </c>
      <c r="J18" s="45" t="str">
        <f aca="false">IF(AND(M18="",B18="",C18=""),"",IF(AND(N(E18)&gt;0,N(F18)&gt;0),"⚠ Fill withdrawal OR deposit",IF(M18="","⚠ Enter amount",IF(B18="","⚠ Enter date",IF(NOT(OR(NOT(ISNUMBER(G18)),NOT(ISNUMBER(G17)),ABS(N(G18)-(N(G17)+N(F18)-N(E18)))&lt;=0.5)),"⚠ Balance does not follow previous row","✔")))))</f>
        <v>✔</v>
      </c>
      <c r="M18" s="9" t="str">
        <f aca="false">IF(N(F18)&gt;0,"IN",IF(N(E18)&gt;0,"OUT",""))</f>
        <v>IN</v>
      </c>
      <c r="N18" s="9" t="str">
        <f aca="false">IF(M18="","",M18&amp;"|"&amp;TEXT(ROUND(N(E18)+N(F18),2),"0.00"))</f>
        <v>IN|22400.00</v>
      </c>
      <c r="O18" s="9" t="str">
        <f aca="false">IF(OR(N18="",TRIM(D18&amp;"")=""),"",N18&amp;"|"&amp;UPPER(TRIM(D18&amp;"")))</f>
        <v/>
      </c>
      <c r="P18" s="9" t="n">
        <f aca="false">IF(O18="",0,IF(COUNTIF('Cash Book'!$O$8:$O$507,O18)&gt;0,1,0))</f>
        <v>0</v>
      </c>
      <c r="Q18" s="9" t="str">
        <f aca="false">IF(OR(N18="",P18=1),"",N18&amp;"#"&amp;COUNTIFS($N$8:N18,N18,$P$8:P18,0))</f>
        <v>IN|22400.00#1</v>
      </c>
      <c r="R18" s="9" t="n">
        <f aca="false">IF(N18="",0,IFERROR(MATCH(ROW()-7,'Cash Book'!$U$8:$U$507,0),0))</f>
        <v>9</v>
      </c>
      <c r="V18" s="9" t="str">
        <f aca="false">IF(AND(N18&lt;&gt;"",R18=0),IF(M18="IN",3,4)*100000+ROW(),"")</f>
        <v/>
      </c>
      <c r="W18" s="9" t="n">
        <f aca="false">N(E18)+N(F18)</f>
        <v>22400</v>
      </c>
    </row>
    <row r="19" customFormat="false" ht="15" hidden="false" customHeight="false" outlineLevel="0" collapsed="false">
      <c r="A19" s="37" t="n">
        <f aca="false">IF(M19="","",ROW()-7)</f>
        <v>12</v>
      </c>
      <c r="B19" s="70" t="n">
        <v>46287</v>
      </c>
      <c r="C19" s="72" t="s">
        <v>126</v>
      </c>
      <c r="D19" s="71" t="s">
        <v>95</v>
      </c>
      <c r="E19" s="73" t="n">
        <v>32000</v>
      </c>
      <c r="F19" s="73"/>
      <c r="G19" s="73" t="n">
        <v>115774</v>
      </c>
      <c r="H19" s="42" t="str">
        <f aca="false">IF(M19="","",IF(R19&gt;0,"✔ Matched",IF(M19="IN","Not in cash book (credit)","Not in cash book (debit)")))</f>
        <v>✔ Matched</v>
      </c>
      <c r="I19" s="43" t="n">
        <f aca="false">IF(N(R19)&gt;0,R19,"")</f>
        <v>10</v>
      </c>
      <c r="J19" s="45" t="str">
        <f aca="false">IF(AND(M19="",B19="",C19=""),"",IF(AND(N(E19)&gt;0,N(F19)&gt;0),"⚠ Fill withdrawal OR deposit",IF(M19="","⚠ Enter amount",IF(B19="","⚠ Enter date",IF(NOT(OR(NOT(ISNUMBER(G19)),NOT(ISNUMBER(G18)),ABS(N(G19)-(N(G18)+N(F19)-N(E19)))&lt;=0.5)),"⚠ Balance does not follow previous row","✔")))))</f>
        <v>✔</v>
      </c>
      <c r="M19" s="9" t="str">
        <f aca="false">IF(N(F19)&gt;0,"IN",IF(N(E19)&gt;0,"OUT",""))</f>
        <v>OUT</v>
      </c>
      <c r="N19" s="9" t="str">
        <f aca="false">IF(M19="","",M19&amp;"|"&amp;TEXT(ROUND(N(E19)+N(F19),2),"0.00"))</f>
        <v>OUT|32000.00</v>
      </c>
      <c r="O19" s="9" t="str">
        <f aca="false">IF(OR(N19="",TRIM(D19&amp;"")=""),"",N19&amp;"|"&amp;UPPER(TRIM(D19&amp;"")))</f>
        <v>OUT|32000.00|000782</v>
      </c>
      <c r="P19" s="9" t="n">
        <f aca="false">IF(O19="",0,IF(COUNTIF('Cash Book'!$O$8:$O$507,O19)&gt;0,1,0))</f>
        <v>1</v>
      </c>
      <c r="Q19" s="9" t="str">
        <f aca="false">IF(OR(N19="",P19=1),"",N19&amp;"#"&amp;COUNTIFS($N$8:N19,N19,$P$8:P19,0))</f>
        <v/>
      </c>
      <c r="R19" s="9" t="n">
        <f aca="false">IF(N19="",0,IFERROR(MATCH(ROW()-7,'Cash Book'!$U$8:$U$507,0),0))</f>
        <v>10</v>
      </c>
      <c r="V19" s="9" t="str">
        <f aca="false">IF(AND(N19&lt;&gt;"",R19=0),IF(M19="IN",3,4)*100000+ROW(),"")</f>
        <v/>
      </c>
      <c r="W19" s="9" t="n">
        <f aca="false">N(E19)+N(F19)</f>
        <v>32000</v>
      </c>
    </row>
    <row r="20" customFormat="false" ht="15" hidden="false" customHeight="false" outlineLevel="0" collapsed="false">
      <c r="A20" s="37" t="n">
        <f aca="false">IF(M20="","",ROW()-7)</f>
        <v>13</v>
      </c>
      <c r="B20" s="70" t="n">
        <v>46287</v>
      </c>
      <c r="C20" s="72" t="s">
        <v>116</v>
      </c>
      <c r="D20" s="71"/>
      <c r="E20" s="73"/>
      <c r="F20" s="73" t="n">
        <v>28000</v>
      </c>
      <c r="G20" s="73" t="n">
        <v>143774</v>
      </c>
      <c r="H20" s="42" t="str">
        <f aca="false">IF(M20="","",IF(R20&gt;0,"✔ Matched",IF(M20="IN","Not in cash book (credit)","Not in cash book (debit)")))</f>
        <v>✔ Matched</v>
      </c>
      <c r="I20" s="43" t="n">
        <f aca="false">IF(N(R20)&gt;0,R20,"")</f>
        <v>11</v>
      </c>
      <c r="J20" s="45" t="str">
        <f aca="false">IF(AND(M20="",B20="",C20=""),"",IF(AND(N(E20)&gt;0,N(F20)&gt;0),"⚠ Fill withdrawal OR deposit",IF(M20="","⚠ Enter amount",IF(B20="","⚠ Enter date",IF(NOT(OR(NOT(ISNUMBER(G20)),NOT(ISNUMBER(G19)),ABS(N(G20)-(N(G19)+N(F20)-N(E20)))&lt;=0.5)),"⚠ Balance does not follow previous row","✔")))))</f>
        <v>✔</v>
      </c>
      <c r="M20" s="9" t="str">
        <f aca="false">IF(N(F20)&gt;0,"IN",IF(N(E20)&gt;0,"OUT",""))</f>
        <v>IN</v>
      </c>
      <c r="N20" s="9" t="str">
        <f aca="false">IF(M20="","",M20&amp;"|"&amp;TEXT(ROUND(N(E20)+N(F20),2),"0.00"))</f>
        <v>IN|28000.00</v>
      </c>
      <c r="O20" s="9" t="str">
        <f aca="false">IF(OR(N20="",TRIM(D20&amp;"")=""),"",N20&amp;"|"&amp;UPPER(TRIM(D20&amp;"")))</f>
        <v/>
      </c>
      <c r="P20" s="9" t="n">
        <f aca="false">IF(O20="",0,IF(COUNTIF('Cash Book'!$O$8:$O$507,O20)&gt;0,1,0))</f>
        <v>0</v>
      </c>
      <c r="Q20" s="9" t="str">
        <f aca="false">IF(OR(N20="",P20=1),"",N20&amp;"#"&amp;COUNTIFS($N$8:N20,N20,$P$8:P20,0))</f>
        <v>IN|28000.00#1</v>
      </c>
      <c r="R20" s="9" t="n">
        <f aca="false">IF(N20="",0,IFERROR(MATCH(ROW()-7,'Cash Book'!$U$8:$U$507,0),0))</f>
        <v>11</v>
      </c>
      <c r="V20" s="9" t="str">
        <f aca="false">IF(AND(N20&lt;&gt;"",R20=0),IF(M20="IN",3,4)*100000+ROW(),"")</f>
        <v/>
      </c>
      <c r="W20" s="9" t="n">
        <f aca="false">N(E20)+N(F20)</f>
        <v>28000</v>
      </c>
    </row>
    <row r="21" customFormat="false" ht="15" hidden="false" customHeight="false" outlineLevel="0" collapsed="false">
      <c r="A21" s="37" t="n">
        <f aca="false">IF(M21="","",ROW()-7)</f>
        <v>14</v>
      </c>
      <c r="B21" s="70" t="n">
        <v>46289</v>
      </c>
      <c r="C21" s="72" t="s">
        <v>127</v>
      </c>
      <c r="D21" s="71"/>
      <c r="E21" s="73" t="n">
        <v>12650</v>
      </c>
      <c r="F21" s="73"/>
      <c r="G21" s="73" t="n">
        <v>131124</v>
      </c>
      <c r="H21" s="42" t="str">
        <f aca="false">IF(M21="","",IF(R21&gt;0,"✔ Matched",IF(M21="IN","Not in cash book (credit)","Not in cash book (debit)")))</f>
        <v>✔ Matched</v>
      </c>
      <c r="I21" s="43" t="n">
        <f aca="false">IF(N(R21)&gt;0,R21,"")</f>
        <v>12</v>
      </c>
      <c r="J21" s="45" t="str">
        <f aca="false">IF(AND(M21="",B21="",C21=""),"",IF(AND(N(E21)&gt;0,N(F21)&gt;0),"⚠ Fill withdrawal OR deposit",IF(M21="","⚠ Enter amount",IF(B21="","⚠ Enter date",IF(NOT(OR(NOT(ISNUMBER(G21)),NOT(ISNUMBER(G20)),ABS(N(G21)-(N(G20)+N(F21)-N(E21)))&lt;=0.5)),"⚠ Balance does not follow previous row","✔")))))</f>
        <v>✔</v>
      </c>
      <c r="M21" s="9" t="str">
        <f aca="false">IF(N(F21)&gt;0,"IN",IF(N(E21)&gt;0,"OUT",""))</f>
        <v>OUT</v>
      </c>
      <c r="N21" s="9" t="str">
        <f aca="false">IF(M21="","",M21&amp;"|"&amp;TEXT(ROUND(N(E21)+N(F21),2),"0.00"))</f>
        <v>OUT|12650.00</v>
      </c>
      <c r="O21" s="9" t="str">
        <f aca="false">IF(OR(N21="",TRIM(D21&amp;"")=""),"",N21&amp;"|"&amp;UPPER(TRIM(D21&amp;"")))</f>
        <v/>
      </c>
      <c r="P21" s="9" t="n">
        <f aca="false">IF(O21="",0,IF(COUNTIF('Cash Book'!$O$8:$O$507,O21)&gt;0,1,0))</f>
        <v>0</v>
      </c>
      <c r="Q21" s="9" t="str">
        <f aca="false">IF(OR(N21="",P21=1),"",N21&amp;"#"&amp;COUNTIFS($N$8:N21,N21,$P$8:P21,0))</f>
        <v>OUT|12650.00#1</v>
      </c>
      <c r="R21" s="9" t="n">
        <f aca="false">IF(N21="",0,IFERROR(MATCH(ROW()-7,'Cash Book'!$U$8:$U$507,0),0))</f>
        <v>12</v>
      </c>
      <c r="V21" s="9" t="str">
        <f aca="false">IF(AND(N21&lt;&gt;"",R21=0),IF(M21="IN",3,4)*100000+ROW(),"")</f>
        <v/>
      </c>
      <c r="W21" s="9" t="n">
        <f aca="false">N(E21)+N(F21)</f>
        <v>12650</v>
      </c>
    </row>
    <row r="22" customFormat="false" ht="15" hidden="false" customHeight="false" outlineLevel="0" collapsed="false">
      <c r="A22" s="37" t="n">
        <f aca="false">IF(M22="","",ROW()-7)</f>
        <v>15</v>
      </c>
      <c r="B22" s="70" t="n">
        <v>46295</v>
      </c>
      <c r="C22" s="72" t="s">
        <v>116</v>
      </c>
      <c r="D22" s="71"/>
      <c r="E22" s="73"/>
      <c r="F22" s="73" t="n">
        <v>12000</v>
      </c>
      <c r="G22" s="73" t="n">
        <v>143124</v>
      </c>
      <c r="H22" s="42" t="str">
        <f aca="false">IF(M22="","",IF(R22&gt;0,"✔ Matched",IF(M22="IN","Not in cash book (credit)","Not in cash book (debit)")))</f>
        <v>✔ Matched</v>
      </c>
      <c r="I22" s="43" t="n">
        <f aca="false">IF(N(R22)&gt;0,R22,"")</f>
        <v>16</v>
      </c>
      <c r="J22" s="45" t="str">
        <f aca="false">IF(AND(M22="",B22="",C22=""),"",IF(AND(N(E22)&gt;0,N(F22)&gt;0),"⚠ Fill withdrawal OR deposit",IF(M22="","⚠ Enter amount",IF(B22="","⚠ Enter date",IF(NOT(OR(NOT(ISNUMBER(G22)),NOT(ISNUMBER(G21)),ABS(N(G22)-(N(G21)+N(F22)-N(E22)))&lt;=0.5)),"⚠ Balance does not follow previous row","✔")))))</f>
        <v>✔</v>
      </c>
      <c r="M22" s="9" t="str">
        <f aca="false">IF(N(F22)&gt;0,"IN",IF(N(E22)&gt;0,"OUT",""))</f>
        <v>IN</v>
      </c>
      <c r="N22" s="9" t="str">
        <f aca="false">IF(M22="","",M22&amp;"|"&amp;TEXT(ROUND(N(E22)+N(F22),2),"0.00"))</f>
        <v>IN|12000.00</v>
      </c>
      <c r="O22" s="9" t="str">
        <f aca="false">IF(OR(N22="",TRIM(D22&amp;"")=""),"",N22&amp;"|"&amp;UPPER(TRIM(D22&amp;"")))</f>
        <v/>
      </c>
      <c r="P22" s="9" t="n">
        <f aca="false">IF(O22="",0,IF(COUNTIF('Cash Book'!$O$8:$O$507,O22)&gt;0,1,0))</f>
        <v>0</v>
      </c>
      <c r="Q22" s="9" t="str">
        <f aca="false">IF(OR(N22="",P22=1),"",N22&amp;"#"&amp;COUNTIFS($N$8:N22,N22,$P$8:P22,0))</f>
        <v>IN|12000.00#1</v>
      </c>
      <c r="R22" s="9" t="n">
        <f aca="false">IF(N22="",0,IFERROR(MATCH(ROW()-7,'Cash Book'!$U$8:$U$507,0),0))</f>
        <v>16</v>
      </c>
      <c r="V22" s="9" t="str">
        <f aca="false">IF(AND(N22&lt;&gt;"",R22=0),IF(M22="IN",3,4)*100000+ROW(),"")</f>
        <v/>
      </c>
      <c r="W22" s="9" t="n">
        <f aca="false">N(E22)+N(F22)</f>
        <v>12000</v>
      </c>
    </row>
    <row r="23" customFormat="false" ht="15" hidden="false" customHeight="false" outlineLevel="0" collapsed="false">
      <c r="A23" s="37" t="n">
        <f aca="false">IF(M23="","",ROW()-7)</f>
        <v>16</v>
      </c>
      <c r="B23" s="70" t="n">
        <v>46295</v>
      </c>
      <c r="C23" s="72" t="s">
        <v>128</v>
      </c>
      <c r="D23" s="71"/>
      <c r="E23" s="73" t="n">
        <v>17.7</v>
      </c>
      <c r="F23" s="73"/>
      <c r="G23" s="73" t="n">
        <v>143106.3</v>
      </c>
      <c r="H23" s="42" t="str">
        <f aca="false">IF(M23="","",IF(R23&gt;0,"✔ Matched",IF(M23="IN","Not in cash book (credit)","Not in cash book (debit)")))</f>
        <v>Not in cash book (debit)</v>
      </c>
      <c r="I23" s="43" t="str">
        <f aca="false">IF(N(R23)&gt;0,R23,"")</f>
        <v/>
      </c>
      <c r="J23" s="45" t="str">
        <f aca="false">IF(AND(M23="",B23="",C23=""),"",IF(AND(N(E23)&gt;0,N(F23)&gt;0),"⚠ Fill withdrawal OR deposit",IF(M23="","⚠ Enter amount",IF(B23="","⚠ Enter date",IF(NOT(OR(NOT(ISNUMBER(G23)),NOT(ISNUMBER(G22)),ABS(N(G23)-(N(G22)+N(F23)-N(E23)))&lt;=0.5)),"⚠ Balance does not follow previous row","✔")))))</f>
        <v>✔</v>
      </c>
      <c r="M23" s="9" t="str">
        <f aca="false">IF(N(F23)&gt;0,"IN",IF(N(E23)&gt;0,"OUT",""))</f>
        <v>OUT</v>
      </c>
      <c r="N23" s="9" t="str">
        <f aca="false">IF(M23="","",M23&amp;"|"&amp;TEXT(ROUND(N(E23)+N(F23),2),"0.00"))</f>
        <v>OUT|17.70</v>
      </c>
      <c r="O23" s="9" t="str">
        <f aca="false">IF(OR(N23="",TRIM(D23&amp;"")=""),"",N23&amp;"|"&amp;UPPER(TRIM(D23&amp;"")))</f>
        <v/>
      </c>
      <c r="P23" s="9" t="n">
        <f aca="false">IF(O23="",0,IF(COUNTIF('Cash Book'!$O$8:$O$507,O23)&gt;0,1,0))</f>
        <v>0</v>
      </c>
      <c r="Q23" s="9" t="str">
        <f aca="false">IF(OR(N23="",P23=1),"",N23&amp;"#"&amp;COUNTIFS($N$8:N23,N23,$P$8:P23,0))</f>
        <v>OUT|17.70#1</v>
      </c>
      <c r="R23" s="9" t="n">
        <f aca="false">IF(N23="",0,IFERROR(MATCH(ROW()-7,'Cash Book'!$U$8:$U$507,0),0))</f>
        <v>0</v>
      </c>
      <c r="V23" s="9" t="n">
        <f aca="false">IF(AND(N23&lt;&gt;"",R23=0),IF(M23="IN",3,4)*100000+ROW(),"")</f>
        <v>400023</v>
      </c>
      <c r="W23" s="9" t="n">
        <f aca="false">N(E23)+N(F23)</f>
        <v>17.7</v>
      </c>
    </row>
    <row r="24" customFormat="false" ht="15" hidden="false" customHeight="false" outlineLevel="0" collapsed="false">
      <c r="A24" s="37" t="n">
        <f aca="false">IF(M24="","",ROW()-7)</f>
        <v>17</v>
      </c>
      <c r="B24" s="70" t="n">
        <v>46295</v>
      </c>
      <c r="C24" s="72" t="s">
        <v>129</v>
      </c>
      <c r="D24" s="71"/>
      <c r="E24" s="73" t="n">
        <v>236</v>
      </c>
      <c r="F24" s="73"/>
      <c r="G24" s="73" t="n">
        <v>142870.3</v>
      </c>
      <c r="H24" s="42" t="str">
        <f aca="false">IF(M24="","",IF(R24&gt;0,"✔ Matched",IF(M24="IN","Not in cash book (credit)","Not in cash book (debit)")))</f>
        <v>Not in cash book (debit)</v>
      </c>
      <c r="I24" s="43" t="str">
        <f aca="false">IF(N(R24)&gt;0,R24,"")</f>
        <v/>
      </c>
      <c r="J24" s="45" t="str">
        <f aca="false">IF(AND(M24="",B24="",C24=""),"",IF(AND(N(E24)&gt;0,N(F24)&gt;0),"⚠ Fill withdrawal OR deposit",IF(M24="","⚠ Enter amount",IF(B24="","⚠ Enter date",IF(NOT(OR(NOT(ISNUMBER(G24)),NOT(ISNUMBER(G23)),ABS(N(G24)-(N(G23)+N(F24)-N(E24)))&lt;=0.5)),"⚠ Balance does not follow previous row","✔")))))</f>
        <v>✔</v>
      </c>
      <c r="M24" s="9" t="str">
        <f aca="false">IF(N(F24)&gt;0,"IN",IF(N(E24)&gt;0,"OUT",""))</f>
        <v>OUT</v>
      </c>
      <c r="N24" s="9" t="str">
        <f aca="false">IF(M24="","",M24&amp;"|"&amp;TEXT(ROUND(N(E24)+N(F24),2),"0.00"))</f>
        <v>OUT|236.00</v>
      </c>
      <c r="O24" s="9" t="str">
        <f aca="false">IF(OR(N24="",TRIM(D24&amp;"")=""),"",N24&amp;"|"&amp;UPPER(TRIM(D24&amp;"")))</f>
        <v/>
      </c>
      <c r="P24" s="9" t="n">
        <f aca="false">IF(O24="",0,IF(COUNTIF('Cash Book'!$O$8:$O$507,O24)&gt;0,1,0))</f>
        <v>0</v>
      </c>
      <c r="Q24" s="9" t="str">
        <f aca="false">IF(OR(N24="",P24=1),"",N24&amp;"#"&amp;COUNTIFS($N$8:N24,N24,$P$8:P24,0))</f>
        <v>OUT|236.00#1</v>
      </c>
      <c r="R24" s="9" t="n">
        <f aca="false">IF(N24="",0,IFERROR(MATCH(ROW()-7,'Cash Book'!$U$8:$U$507,0),0))</f>
        <v>0</v>
      </c>
      <c r="V24" s="9" t="n">
        <f aca="false">IF(AND(N24&lt;&gt;"",R24=0),IF(M24="IN",3,4)*100000+ROW(),"")</f>
        <v>400024</v>
      </c>
      <c r="W24" s="9" t="n">
        <f aca="false">N(E24)+N(F24)</f>
        <v>236</v>
      </c>
    </row>
    <row r="25" customFormat="false" ht="15" hidden="false" customHeight="false" outlineLevel="0" collapsed="false">
      <c r="A25" s="37" t="n">
        <f aca="false">IF(M25="","",ROW()-7)</f>
        <v>18</v>
      </c>
      <c r="B25" s="70" t="n">
        <v>46295</v>
      </c>
      <c r="C25" s="72" t="s">
        <v>130</v>
      </c>
      <c r="D25" s="71"/>
      <c r="E25" s="73"/>
      <c r="F25" s="73" t="n">
        <v>412</v>
      </c>
      <c r="G25" s="73" t="n">
        <v>143282.3</v>
      </c>
      <c r="H25" s="42" t="str">
        <f aca="false">IF(M25="","",IF(R25&gt;0,"✔ Matched",IF(M25="IN","Not in cash book (credit)","Not in cash book (debit)")))</f>
        <v>Not in cash book (credit)</v>
      </c>
      <c r="I25" s="43" t="str">
        <f aca="false">IF(N(R25)&gt;0,R25,"")</f>
        <v/>
      </c>
      <c r="J25" s="45" t="str">
        <f aca="false">IF(AND(M25="",B25="",C25=""),"",IF(AND(N(E25)&gt;0,N(F25)&gt;0),"⚠ Fill withdrawal OR deposit",IF(M25="","⚠ Enter amount",IF(B25="","⚠ Enter date",IF(NOT(OR(NOT(ISNUMBER(G25)),NOT(ISNUMBER(G24)),ABS(N(G25)-(N(G24)+N(F25)-N(E25)))&lt;=0.5)),"⚠ Balance does not follow previous row","✔")))))</f>
        <v>✔</v>
      </c>
      <c r="M25" s="9" t="str">
        <f aca="false">IF(N(F25)&gt;0,"IN",IF(N(E25)&gt;0,"OUT",""))</f>
        <v>IN</v>
      </c>
      <c r="N25" s="9" t="str">
        <f aca="false">IF(M25="","",M25&amp;"|"&amp;TEXT(ROUND(N(E25)+N(F25),2),"0.00"))</f>
        <v>IN|412.00</v>
      </c>
      <c r="O25" s="9" t="str">
        <f aca="false">IF(OR(N25="",TRIM(D25&amp;"")=""),"",N25&amp;"|"&amp;UPPER(TRIM(D25&amp;"")))</f>
        <v/>
      </c>
      <c r="P25" s="9" t="n">
        <f aca="false">IF(O25="",0,IF(COUNTIF('Cash Book'!$O$8:$O$507,O25)&gt;0,1,0))</f>
        <v>0</v>
      </c>
      <c r="Q25" s="9" t="str">
        <f aca="false">IF(OR(N25="",P25=1),"",N25&amp;"#"&amp;COUNTIFS($N$8:N25,N25,$P$8:P25,0))</f>
        <v>IN|412.00#1</v>
      </c>
      <c r="R25" s="9" t="n">
        <f aca="false">IF(N25="",0,IFERROR(MATCH(ROW()-7,'Cash Book'!$U$8:$U$507,0),0))</f>
        <v>0</v>
      </c>
      <c r="V25" s="9" t="n">
        <f aca="false">IF(AND(N25&lt;&gt;"",R25=0),IF(M25="IN",3,4)*100000+ROW(),"")</f>
        <v>300025</v>
      </c>
      <c r="W25" s="9" t="n">
        <f aca="false">N(E25)+N(F25)</f>
        <v>412</v>
      </c>
    </row>
    <row r="26" customFormat="false" ht="15" hidden="false" customHeight="false" outlineLevel="0" collapsed="false">
      <c r="A26" s="37" t="str">
        <f aca="false">IF(M26="","",ROW()-7)</f>
        <v/>
      </c>
      <c r="B26" s="70"/>
      <c r="C26" s="72"/>
      <c r="D26" s="71"/>
      <c r="E26" s="73"/>
      <c r="F26" s="73"/>
      <c r="G26" s="73"/>
      <c r="H26" s="42" t="str">
        <f aca="false">IF(M26="","",IF(R26&gt;0,"✔ Matched",IF(M26="IN","Not in cash book (credit)","Not in cash book (debit)")))</f>
        <v/>
      </c>
      <c r="I26" s="43" t="str">
        <f aca="false">IF(N(R26)&gt;0,R26,"")</f>
        <v/>
      </c>
      <c r="J26" s="45" t="str">
        <f aca="false">IF(AND(M26="",B26="",C26=""),"",IF(AND(N(E26)&gt;0,N(F26)&gt;0),"⚠ Fill withdrawal OR deposit",IF(M26="","⚠ Enter amount",IF(B26="","⚠ Enter date",IF(NOT(OR(NOT(ISNUMBER(G26)),NOT(ISNUMBER(G25)),ABS(N(G26)-(N(G25)+N(F26)-N(E26)))&lt;=0.5)),"⚠ Balance does not follow previous row","✔")))))</f>
        <v/>
      </c>
      <c r="M26" s="9" t="str">
        <f aca="false">IF(N(F26)&gt;0,"IN",IF(N(E26)&gt;0,"OUT",""))</f>
        <v/>
      </c>
      <c r="N26" s="9" t="str">
        <f aca="false">IF(M26="","",M26&amp;"|"&amp;TEXT(ROUND(N(E26)+N(F26),2),"0.00"))</f>
        <v/>
      </c>
      <c r="O26" s="9" t="str">
        <f aca="false">IF(OR(N26="",TRIM(D26&amp;"")=""),"",N26&amp;"|"&amp;UPPER(TRIM(D26&amp;"")))</f>
        <v/>
      </c>
      <c r="P26" s="9" t="n">
        <f aca="false">IF(O26="",0,IF(COUNTIF('Cash Book'!$O$8:$O$507,O26)&gt;0,1,0))</f>
        <v>0</v>
      </c>
      <c r="Q26" s="9" t="str">
        <f aca="false">IF(OR(N26="",P26=1),"",N26&amp;"#"&amp;COUNTIFS($N$8:N26,N26,$P$8:P26,0))</f>
        <v/>
      </c>
      <c r="R26" s="9" t="n">
        <f aca="false">IF(N26="",0,IFERROR(MATCH(ROW()-7,'Cash Book'!$U$8:$U$507,0),0))</f>
        <v>0</v>
      </c>
      <c r="V26" s="9" t="str">
        <f aca="false">IF(AND(N26&lt;&gt;"",R26=0),IF(M26="IN",3,4)*100000+ROW(),"")</f>
        <v/>
      </c>
      <c r="W26" s="9" t="n">
        <f aca="false">N(E26)+N(F26)</f>
        <v>0</v>
      </c>
    </row>
    <row r="27" customFormat="false" ht="15" hidden="false" customHeight="false" outlineLevel="0" collapsed="false">
      <c r="A27" s="37" t="str">
        <f aca="false">IF(M27="","",ROW()-7)</f>
        <v/>
      </c>
      <c r="B27" s="70"/>
      <c r="C27" s="72"/>
      <c r="D27" s="71"/>
      <c r="E27" s="73"/>
      <c r="F27" s="73"/>
      <c r="G27" s="73"/>
      <c r="H27" s="42" t="str">
        <f aca="false">IF(M27="","",IF(R27&gt;0,"✔ Matched",IF(M27="IN","Not in cash book (credit)","Not in cash book (debit)")))</f>
        <v/>
      </c>
      <c r="I27" s="43" t="str">
        <f aca="false">IF(N(R27)&gt;0,R27,"")</f>
        <v/>
      </c>
      <c r="J27" s="45" t="str">
        <f aca="false">IF(AND(M27="",B27="",C27=""),"",IF(AND(N(E27)&gt;0,N(F27)&gt;0),"⚠ Fill withdrawal OR deposit",IF(M27="","⚠ Enter amount",IF(B27="","⚠ Enter date",IF(NOT(OR(NOT(ISNUMBER(G27)),NOT(ISNUMBER(G26)),ABS(N(G27)-(N(G26)+N(F27)-N(E27)))&lt;=0.5)),"⚠ Balance does not follow previous row","✔")))))</f>
        <v/>
      </c>
      <c r="M27" s="9" t="str">
        <f aca="false">IF(N(F27)&gt;0,"IN",IF(N(E27)&gt;0,"OUT",""))</f>
        <v/>
      </c>
      <c r="N27" s="9" t="str">
        <f aca="false">IF(M27="","",M27&amp;"|"&amp;TEXT(ROUND(N(E27)+N(F27),2),"0.00"))</f>
        <v/>
      </c>
      <c r="O27" s="9" t="str">
        <f aca="false">IF(OR(N27="",TRIM(D27&amp;"")=""),"",N27&amp;"|"&amp;UPPER(TRIM(D27&amp;"")))</f>
        <v/>
      </c>
      <c r="P27" s="9" t="n">
        <f aca="false">IF(O27="",0,IF(COUNTIF('Cash Book'!$O$8:$O$507,O27)&gt;0,1,0))</f>
        <v>0</v>
      </c>
      <c r="Q27" s="9" t="str">
        <f aca="false">IF(OR(N27="",P27=1),"",N27&amp;"#"&amp;COUNTIFS($N$8:N27,N27,$P$8:P27,0))</f>
        <v/>
      </c>
      <c r="R27" s="9" t="n">
        <f aca="false">IF(N27="",0,IFERROR(MATCH(ROW()-7,'Cash Book'!$U$8:$U$507,0),0))</f>
        <v>0</v>
      </c>
      <c r="V27" s="9" t="str">
        <f aca="false">IF(AND(N27&lt;&gt;"",R27=0),IF(M27="IN",3,4)*100000+ROW(),"")</f>
        <v/>
      </c>
      <c r="W27" s="9" t="n">
        <f aca="false">N(E27)+N(F27)</f>
        <v>0</v>
      </c>
    </row>
    <row r="28" customFormat="false" ht="15" hidden="false" customHeight="false" outlineLevel="0" collapsed="false">
      <c r="A28" s="37" t="str">
        <f aca="false">IF(M28="","",ROW()-7)</f>
        <v/>
      </c>
      <c r="B28" s="70"/>
      <c r="C28" s="72"/>
      <c r="D28" s="71"/>
      <c r="E28" s="73"/>
      <c r="F28" s="73"/>
      <c r="G28" s="73"/>
      <c r="H28" s="42" t="str">
        <f aca="false">IF(M28="","",IF(R28&gt;0,"✔ Matched",IF(M28="IN","Not in cash book (credit)","Not in cash book (debit)")))</f>
        <v/>
      </c>
      <c r="I28" s="43" t="str">
        <f aca="false">IF(N(R28)&gt;0,R28,"")</f>
        <v/>
      </c>
      <c r="J28" s="45" t="str">
        <f aca="false">IF(AND(M28="",B28="",C28=""),"",IF(AND(N(E28)&gt;0,N(F28)&gt;0),"⚠ Fill withdrawal OR deposit",IF(M28="","⚠ Enter amount",IF(B28="","⚠ Enter date",IF(NOT(OR(NOT(ISNUMBER(G28)),NOT(ISNUMBER(G27)),ABS(N(G28)-(N(G27)+N(F28)-N(E28)))&lt;=0.5)),"⚠ Balance does not follow previous row","✔")))))</f>
        <v/>
      </c>
      <c r="M28" s="9" t="str">
        <f aca="false">IF(N(F28)&gt;0,"IN",IF(N(E28)&gt;0,"OUT",""))</f>
        <v/>
      </c>
      <c r="N28" s="9" t="str">
        <f aca="false">IF(M28="","",M28&amp;"|"&amp;TEXT(ROUND(N(E28)+N(F28),2),"0.00"))</f>
        <v/>
      </c>
      <c r="O28" s="9" t="str">
        <f aca="false">IF(OR(N28="",TRIM(D28&amp;"")=""),"",N28&amp;"|"&amp;UPPER(TRIM(D28&amp;"")))</f>
        <v/>
      </c>
      <c r="P28" s="9" t="n">
        <f aca="false">IF(O28="",0,IF(COUNTIF('Cash Book'!$O$8:$O$507,O28)&gt;0,1,0))</f>
        <v>0</v>
      </c>
      <c r="Q28" s="9" t="str">
        <f aca="false">IF(OR(N28="",P28=1),"",N28&amp;"#"&amp;COUNTIFS($N$8:N28,N28,$P$8:P28,0))</f>
        <v/>
      </c>
      <c r="R28" s="9" t="n">
        <f aca="false">IF(N28="",0,IFERROR(MATCH(ROW()-7,'Cash Book'!$U$8:$U$507,0),0))</f>
        <v>0</v>
      </c>
      <c r="V28" s="9" t="str">
        <f aca="false">IF(AND(N28&lt;&gt;"",R28=0),IF(M28="IN",3,4)*100000+ROW(),"")</f>
        <v/>
      </c>
      <c r="W28" s="9" t="n">
        <f aca="false">N(E28)+N(F28)</f>
        <v>0</v>
      </c>
    </row>
    <row r="29" customFormat="false" ht="15" hidden="false" customHeight="false" outlineLevel="0" collapsed="false">
      <c r="A29" s="37" t="str">
        <f aca="false">IF(M29="","",ROW()-7)</f>
        <v/>
      </c>
      <c r="B29" s="70"/>
      <c r="C29" s="72"/>
      <c r="D29" s="71"/>
      <c r="E29" s="73"/>
      <c r="F29" s="73"/>
      <c r="G29" s="73"/>
      <c r="H29" s="42" t="str">
        <f aca="false">IF(M29="","",IF(R29&gt;0,"✔ Matched",IF(M29="IN","Not in cash book (credit)","Not in cash book (debit)")))</f>
        <v/>
      </c>
      <c r="I29" s="43" t="str">
        <f aca="false">IF(N(R29)&gt;0,R29,"")</f>
        <v/>
      </c>
      <c r="J29" s="45" t="str">
        <f aca="false">IF(AND(M29="",B29="",C29=""),"",IF(AND(N(E29)&gt;0,N(F29)&gt;0),"⚠ Fill withdrawal OR deposit",IF(M29="","⚠ Enter amount",IF(B29="","⚠ Enter date",IF(NOT(OR(NOT(ISNUMBER(G29)),NOT(ISNUMBER(G28)),ABS(N(G29)-(N(G28)+N(F29)-N(E29)))&lt;=0.5)),"⚠ Balance does not follow previous row","✔")))))</f>
        <v/>
      </c>
      <c r="M29" s="9" t="str">
        <f aca="false">IF(N(F29)&gt;0,"IN",IF(N(E29)&gt;0,"OUT",""))</f>
        <v/>
      </c>
      <c r="N29" s="9" t="str">
        <f aca="false">IF(M29="","",M29&amp;"|"&amp;TEXT(ROUND(N(E29)+N(F29),2),"0.00"))</f>
        <v/>
      </c>
      <c r="O29" s="9" t="str">
        <f aca="false">IF(OR(N29="",TRIM(D29&amp;"")=""),"",N29&amp;"|"&amp;UPPER(TRIM(D29&amp;"")))</f>
        <v/>
      </c>
      <c r="P29" s="9" t="n">
        <f aca="false">IF(O29="",0,IF(COUNTIF('Cash Book'!$O$8:$O$507,O29)&gt;0,1,0))</f>
        <v>0</v>
      </c>
      <c r="Q29" s="9" t="str">
        <f aca="false">IF(OR(N29="",P29=1),"",N29&amp;"#"&amp;COUNTIFS($N$8:N29,N29,$P$8:P29,0))</f>
        <v/>
      </c>
      <c r="R29" s="9" t="n">
        <f aca="false">IF(N29="",0,IFERROR(MATCH(ROW()-7,'Cash Book'!$U$8:$U$507,0),0))</f>
        <v>0</v>
      </c>
      <c r="V29" s="9" t="str">
        <f aca="false">IF(AND(N29&lt;&gt;"",R29=0),IF(M29="IN",3,4)*100000+ROW(),"")</f>
        <v/>
      </c>
      <c r="W29" s="9" t="n">
        <f aca="false">N(E29)+N(F29)</f>
        <v>0</v>
      </c>
    </row>
    <row r="30" customFormat="false" ht="15" hidden="false" customHeight="false" outlineLevel="0" collapsed="false">
      <c r="A30" s="37" t="str">
        <f aca="false">IF(M30="","",ROW()-7)</f>
        <v/>
      </c>
      <c r="B30" s="70"/>
      <c r="C30" s="72"/>
      <c r="D30" s="71"/>
      <c r="E30" s="73"/>
      <c r="F30" s="73"/>
      <c r="G30" s="73"/>
      <c r="H30" s="42" t="str">
        <f aca="false">IF(M30="","",IF(R30&gt;0,"✔ Matched",IF(M30="IN","Not in cash book (credit)","Not in cash book (debit)")))</f>
        <v/>
      </c>
      <c r="I30" s="43" t="str">
        <f aca="false">IF(N(R30)&gt;0,R30,"")</f>
        <v/>
      </c>
      <c r="J30" s="45" t="str">
        <f aca="false">IF(AND(M30="",B30="",C30=""),"",IF(AND(N(E30)&gt;0,N(F30)&gt;0),"⚠ Fill withdrawal OR deposit",IF(M30="","⚠ Enter amount",IF(B30="","⚠ Enter date",IF(NOT(OR(NOT(ISNUMBER(G30)),NOT(ISNUMBER(G29)),ABS(N(G30)-(N(G29)+N(F30)-N(E30)))&lt;=0.5)),"⚠ Balance does not follow previous row","✔")))))</f>
        <v/>
      </c>
      <c r="M30" s="9" t="str">
        <f aca="false">IF(N(F30)&gt;0,"IN",IF(N(E30)&gt;0,"OUT",""))</f>
        <v/>
      </c>
      <c r="N30" s="9" t="str">
        <f aca="false">IF(M30="","",M30&amp;"|"&amp;TEXT(ROUND(N(E30)+N(F30),2),"0.00"))</f>
        <v/>
      </c>
      <c r="O30" s="9" t="str">
        <f aca="false">IF(OR(N30="",TRIM(D30&amp;"")=""),"",N30&amp;"|"&amp;UPPER(TRIM(D30&amp;"")))</f>
        <v/>
      </c>
      <c r="P30" s="9" t="n">
        <f aca="false">IF(O30="",0,IF(COUNTIF('Cash Book'!$O$8:$O$507,O30)&gt;0,1,0))</f>
        <v>0</v>
      </c>
      <c r="Q30" s="9" t="str">
        <f aca="false">IF(OR(N30="",P30=1),"",N30&amp;"#"&amp;COUNTIFS($N$8:N30,N30,$P$8:P30,0))</f>
        <v/>
      </c>
      <c r="R30" s="9" t="n">
        <f aca="false">IF(N30="",0,IFERROR(MATCH(ROW()-7,'Cash Book'!$U$8:$U$507,0),0))</f>
        <v>0</v>
      </c>
      <c r="V30" s="9" t="str">
        <f aca="false">IF(AND(N30&lt;&gt;"",R30=0),IF(M30="IN",3,4)*100000+ROW(),"")</f>
        <v/>
      </c>
      <c r="W30" s="9" t="n">
        <f aca="false">N(E30)+N(F30)</f>
        <v>0</v>
      </c>
    </row>
    <row r="31" customFormat="false" ht="15" hidden="false" customHeight="false" outlineLevel="0" collapsed="false">
      <c r="A31" s="37" t="str">
        <f aca="false">IF(M31="","",ROW()-7)</f>
        <v/>
      </c>
      <c r="B31" s="70"/>
      <c r="C31" s="72"/>
      <c r="D31" s="71"/>
      <c r="E31" s="73"/>
      <c r="F31" s="73"/>
      <c r="G31" s="73"/>
      <c r="H31" s="42" t="str">
        <f aca="false">IF(M31="","",IF(R31&gt;0,"✔ Matched",IF(M31="IN","Not in cash book (credit)","Not in cash book (debit)")))</f>
        <v/>
      </c>
      <c r="I31" s="43" t="str">
        <f aca="false">IF(N(R31)&gt;0,R31,"")</f>
        <v/>
      </c>
      <c r="J31" s="45" t="str">
        <f aca="false">IF(AND(M31="",B31="",C31=""),"",IF(AND(N(E31)&gt;0,N(F31)&gt;0),"⚠ Fill withdrawal OR deposit",IF(M31="","⚠ Enter amount",IF(B31="","⚠ Enter date",IF(NOT(OR(NOT(ISNUMBER(G31)),NOT(ISNUMBER(G30)),ABS(N(G31)-(N(G30)+N(F31)-N(E31)))&lt;=0.5)),"⚠ Balance does not follow previous row","✔")))))</f>
        <v/>
      </c>
      <c r="M31" s="9" t="str">
        <f aca="false">IF(N(F31)&gt;0,"IN",IF(N(E31)&gt;0,"OUT",""))</f>
        <v/>
      </c>
      <c r="N31" s="9" t="str">
        <f aca="false">IF(M31="","",M31&amp;"|"&amp;TEXT(ROUND(N(E31)+N(F31),2),"0.00"))</f>
        <v/>
      </c>
      <c r="O31" s="9" t="str">
        <f aca="false">IF(OR(N31="",TRIM(D31&amp;"")=""),"",N31&amp;"|"&amp;UPPER(TRIM(D31&amp;"")))</f>
        <v/>
      </c>
      <c r="P31" s="9" t="n">
        <f aca="false">IF(O31="",0,IF(COUNTIF('Cash Book'!$O$8:$O$507,O31)&gt;0,1,0))</f>
        <v>0</v>
      </c>
      <c r="Q31" s="9" t="str">
        <f aca="false">IF(OR(N31="",P31=1),"",N31&amp;"#"&amp;COUNTIFS($N$8:N31,N31,$P$8:P31,0))</f>
        <v/>
      </c>
      <c r="R31" s="9" t="n">
        <f aca="false">IF(N31="",0,IFERROR(MATCH(ROW()-7,'Cash Book'!$U$8:$U$507,0),0))</f>
        <v>0</v>
      </c>
      <c r="V31" s="9" t="str">
        <f aca="false">IF(AND(N31&lt;&gt;"",R31=0),IF(M31="IN",3,4)*100000+ROW(),"")</f>
        <v/>
      </c>
      <c r="W31" s="9" t="n">
        <f aca="false">N(E31)+N(F31)</f>
        <v>0</v>
      </c>
    </row>
    <row r="32" customFormat="false" ht="15" hidden="false" customHeight="false" outlineLevel="0" collapsed="false">
      <c r="A32" s="37" t="str">
        <f aca="false">IF(M32="","",ROW()-7)</f>
        <v/>
      </c>
      <c r="B32" s="70"/>
      <c r="C32" s="72"/>
      <c r="D32" s="71"/>
      <c r="E32" s="73"/>
      <c r="F32" s="73"/>
      <c r="G32" s="73"/>
      <c r="H32" s="42" t="str">
        <f aca="false">IF(M32="","",IF(R32&gt;0,"✔ Matched",IF(M32="IN","Not in cash book (credit)","Not in cash book (debit)")))</f>
        <v/>
      </c>
      <c r="I32" s="43" t="str">
        <f aca="false">IF(N(R32)&gt;0,R32,"")</f>
        <v/>
      </c>
      <c r="J32" s="45" t="str">
        <f aca="false">IF(AND(M32="",B32="",C32=""),"",IF(AND(N(E32)&gt;0,N(F32)&gt;0),"⚠ Fill withdrawal OR deposit",IF(M32="","⚠ Enter amount",IF(B32="","⚠ Enter date",IF(NOT(OR(NOT(ISNUMBER(G32)),NOT(ISNUMBER(G31)),ABS(N(G32)-(N(G31)+N(F32)-N(E32)))&lt;=0.5)),"⚠ Balance does not follow previous row","✔")))))</f>
        <v/>
      </c>
      <c r="M32" s="9" t="str">
        <f aca="false">IF(N(F32)&gt;0,"IN",IF(N(E32)&gt;0,"OUT",""))</f>
        <v/>
      </c>
      <c r="N32" s="9" t="str">
        <f aca="false">IF(M32="","",M32&amp;"|"&amp;TEXT(ROUND(N(E32)+N(F32),2),"0.00"))</f>
        <v/>
      </c>
      <c r="O32" s="9" t="str">
        <f aca="false">IF(OR(N32="",TRIM(D32&amp;"")=""),"",N32&amp;"|"&amp;UPPER(TRIM(D32&amp;"")))</f>
        <v/>
      </c>
      <c r="P32" s="9" t="n">
        <f aca="false">IF(O32="",0,IF(COUNTIF('Cash Book'!$O$8:$O$507,O32)&gt;0,1,0))</f>
        <v>0</v>
      </c>
      <c r="Q32" s="9" t="str">
        <f aca="false">IF(OR(N32="",P32=1),"",N32&amp;"#"&amp;COUNTIFS($N$8:N32,N32,$P$8:P32,0))</f>
        <v/>
      </c>
      <c r="R32" s="9" t="n">
        <f aca="false">IF(N32="",0,IFERROR(MATCH(ROW()-7,'Cash Book'!$U$8:$U$507,0),0))</f>
        <v>0</v>
      </c>
      <c r="V32" s="9" t="str">
        <f aca="false">IF(AND(N32&lt;&gt;"",R32=0),IF(M32="IN",3,4)*100000+ROW(),"")</f>
        <v/>
      </c>
      <c r="W32" s="9" t="n">
        <f aca="false">N(E32)+N(F32)</f>
        <v>0</v>
      </c>
    </row>
    <row r="33" customFormat="false" ht="15" hidden="false" customHeight="false" outlineLevel="0" collapsed="false">
      <c r="A33" s="37" t="str">
        <f aca="false">IF(M33="","",ROW()-7)</f>
        <v/>
      </c>
      <c r="B33" s="70"/>
      <c r="C33" s="72"/>
      <c r="D33" s="71"/>
      <c r="E33" s="73"/>
      <c r="F33" s="73"/>
      <c r="G33" s="73"/>
      <c r="H33" s="42" t="str">
        <f aca="false">IF(M33="","",IF(R33&gt;0,"✔ Matched",IF(M33="IN","Not in cash book (credit)","Not in cash book (debit)")))</f>
        <v/>
      </c>
      <c r="I33" s="43" t="str">
        <f aca="false">IF(N(R33)&gt;0,R33,"")</f>
        <v/>
      </c>
      <c r="J33" s="45" t="str">
        <f aca="false">IF(AND(M33="",B33="",C33=""),"",IF(AND(N(E33)&gt;0,N(F33)&gt;0),"⚠ Fill withdrawal OR deposit",IF(M33="","⚠ Enter amount",IF(B33="","⚠ Enter date",IF(NOT(OR(NOT(ISNUMBER(G33)),NOT(ISNUMBER(G32)),ABS(N(G33)-(N(G32)+N(F33)-N(E33)))&lt;=0.5)),"⚠ Balance does not follow previous row","✔")))))</f>
        <v/>
      </c>
      <c r="M33" s="9" t="str">
        <f aca="false">IF(N(F33)&gt;0,"IN",IF(N(E33)&gt;0,"OUT",""))</f>
        <v/>
      </c>
      <c r="N33" s="9" t="str">
        <f aca="false">IF(M33="","",M33&amp;"|"&amp;TEXT(ROUND(N(E33)+N(F33),2),"0.00"))</f>
        <v/>
      </c>
      <c r="O33" s="9" t="str">
        <f aca="false">IF(OR(N33="",TRIM(D33&amp;"")=""),"",N33&amp;"|"&amp;UPPER(TRIM(D33&amp;"")))</f>
        <v/>
      </c>
      <c r="P33" s="9" t="n">
        <f aca="false">IF(O33="",0,IF(COUNTIF('Cash Book'!$O$8:$O$507,O33)&gt;0,1,0))</f>
        <v>0</v>
      </c>
      <c r="Q33" s="9" t="str">
        <f aca="false">IF(OR(N33="",P33=1),"",N33&amp;"#"&amp;COUNTIFS($N$8:N33,N33,$P$8:P33,0))</f>
        <v/>
      </c>
      <c r="R33" s="9" t="n">
        <f aca="false">IF(N33="",0,IFERROR(MATCH(ROW()-7,'Cash Book'!$U$8:$U$507,0),0))</f>
        <v>0</v>
      </c>
      <c r="V33" s="9" t="str">
        <f aca="false">IF(AND(N33&lt;&gt;"",R33=0),IF(M33="IN",3,4)*100000+ROW(),"")</f>
        <v/>
      </c>
      <c r="W33" s="9" t="n">
        <f aca="false">N(E33)+N(F33)</f>
        <v>0</v>
      </c>
    </row>
    <row r="34" customFormat="false" ht="15" hidden="false" customHeight="false" outlineLevel="0" collapsed="false">
      <c r="A34" s="37" t="str">
        <f aca="false">IF(M34="","",ROW()-7)</f>
        <v/>
      </c>
      <c r="B34" s="70"/>
      <c r="C34" s="72"/>
      <c r="D34" s="71"/>
      <c r="E34" s="73"/>
      <c r="F34" s="73"/>
      <c r="G34" s="73"/>
      <c r="H34" s="42" t="str">
        <f aca="false">IF(M34="","",IF(R34&gt;0,"✔ Matched",IF(M34="IN","Not in cash book (credit)","Not in cash book (debit)")))</f>
        <v/>
      </c>
      <c r="I34" s="43" t="str">
        <f aca="false">IF(N(R34)&gt;0,R34,"")</f>
        <v/>
      </c>
      <c r="J34" s="45" t="str">
        <f aca="false">IF(AND(M34="",B34="",C34=""),"",IF(AND(N(E34)&gt;0,N(F34)&gt;0),"⚠ Fill withdrawal OR deposit",IF(M34="","⚠ Enter amount",IF(B34="","⚠ Enter date",IF(NOT(OR(NOT(ISNUMBER(G34)),NOT(ISNUMBER(G33)),ABS(N(G34)-(N(G33)+N(F34)-N(E34)))&lt;=0.5)),"⚠ Balance does not follow previous row","✔")))))</f>
        <v/>
      </c>
      <c r="M34" s="9" t="str">
        <f aca="false">IF(N(F34)&gt;0,"IN",IF(N(E34)&gt;0,"OUT",""))</f>
        <v/>
      </c>
      <c r="N34" s="9" t="str">
        <f aca="false">IF(M34="","",M34&amp;"|"&amp;TEXT(ROUND(N(E34)+N(F34),2),"0.00"))</f>
        <v/>
      </c>
      <c r="O34" s="9" t="str">
        <f aca="false">IF(OR(N34="",TRIM(D34&amp;"")=""),"",N34&amp;"|"&amp;UPPER(TRIM(D34&amp;"")))</f>
        <v/>
      </c>
      <c r="P34" s="9" t="n">
        <f aca="false">IF(O34="",0,IF(COUNTIF('Cash Book'!$O$8:$O$507,O34)&gt;0,1,0))</f>
        <v>0</v>
      </c>
      <c r="Q34" s="9" t="str">
        <f aca="false">IF(OR(N34="",P34=1),"",N34&amp;"#"&amp;COUNTIFS($N$8:N34,N34,$P$8:P34,0))</f>
        <v/>
      </c>
      <c r="R34" s="9" t="n">
        <f aca="false">IF(N34="",0,IFERROR(MATCH(ROW()-7,'Cash Book'!$U$8:$U$507,0),0))</f>
        <v>0</v>
      </c>
      <c r="V34" s="9" t="str">
        <f aca="false">IF(AND(N34&lt;&gt;"",R34=0),IF(M34="IN",3,4)*100000+ROW(),"")</f>
        <v/>
      </c>
      <c r="W34" s="9" t="n">
        <f aca="false">N(E34)+N(F34)</f>
        <v>0</v>
      </c>
    </row>
    <row r="35" customFormat="false" ht="15" hidden="false" customHeight="false" outlineLevel="0" collapsed="false">
      <c r="A35" s="37" t="str">
        <f aca="false">IF(M35="","",ROW()-7)</f>
        <v/>
      </c>
      <c r="B35" s="70"/>
      <c r="C35" s="72"/>
      <c r="D35" s="71"/>
      <c r="E35" s="73"/>
      <c r="F35" s="73"/>
      <c r="G35" s="73"/>
      <c r="H35" s="42" t="str">
        <f aca="false">IF(M35="","",IF(R35&gt;0,"✔ Matched",IF(M35="IN","Not in cash book (credit)","Not in cash book (debit)")))</f>
        <v/>
      </c>
      <c r="I35" s="43" t="str">
        <f aca="false">IF(N(R35)&gt;0,R35,"")</f>
        <v/>
      </c>
      <c r="J35" s="45" t="str">
        <f aca="false">IF(AND(M35="",B35="",C35=""),"",IF(AND(N(E35)&gt;0,N(F35)&gt;0),"⚠ Fill withdrawal OR deposit",IF(M35="","⚠ Enter amount",IF(B35="","⚠ Enter date",IF(NOT(OR(NOT(ISNUMBER(G35)),NOT(ISNUMBER(G34)),ABS(N(G35)-(N(G34)+N(F35)-N(E35)))&lt;=0.5)),"⚠ Balance does not follow previous row","✔")))))</f>
        <v/>
      </c>
      <c r="M35" s="9" t="str">
        <f aca="false">IF(N(F35)&gt;0,"IN",IF(N(E35)&gt;0,"OUT",""))</f>
        <v/>
      </c>
      <c r="N35" s="9" t="str">
        <f aca="false">IF(M35="","",M35&amp;"|"&amp;TEXT(ROUND(N(E35)+N(F35),2),"0.00"))</f>
        <v/>
      </c>
      <c r="O35" s="9" t="str">
        <f aca="false">IF(OR(N35="",TRIM(D35&amp;"")=""),"",N35&amp;"|"&amp;UPPER(TRIM(D35&amp;"")))</f>
        <v/>
      </c>
      <c r="P35" s="9" t="n">
        <f aca="false">IF(O35="",0,IF(COUNTIF('Cash Book'!$O$8:$O$507,O35)&gt;0,1,0))</f>
        <v>0</v>
      </c>
      <c r="Q35" s="9" t="str">
        <f aca="false">IF(OR(N35="",P35=1),"",N35&amp;"#"&amp;COUNTIFS($N$8:N35,N35,$P$8:P35,0))</f>
        <v/>
      </c>
      <c r="R35" s="9" t="n">
        <f aca="false">IF(N35="",0,IFERROR(MATCH(ROW()-7,'Cash Book'!$U$8:$U$507,0),0))</f>
        <v>0</v>
      </c>
      <c r="V35" s="9" t="str">
        <f aca="false">IF(AND(N35&lt;&gt;"",R35=0),IF(M35="IN",3,4)*100000+ROW(),"")</f>
        <v/>
      </c>
      <c r="W35" s="9" t="n">
        <f aca="false">N(E35)+N(F35)</f>
        <v>0</v>
      </c>
    </row>
    <row r="36" customFormat="false" ht="15" hidden="false" customHeight="false" outlineLevel="0" collapsed="false">
      <c r="A36" s="37" t="str">
        <f aca="false">IF(M36="","",ROW()-7)</f>
        <v/>
      </c>
      <c r="B36" s="70"/>
      <c r="C36" s="72"/>
      <c r="D36" s="71"/>
      <c r="E36" s="73"/>
      <c r="F36" s="73"/>
      <c r="G36" s="73"/>
      <c r="H36" s="42" t="str">
        <f aca="false">IF(M36="","",IF(R36&gt;0,"✔ Matched",IF(M36="IN","Not in cash book (credit)","Not in cash book (debit)")))</f>
        <v/>
      </c>
      <c r="I36" s="43" t="str">
        <f aca="false">IF(N(R36)&gt;0,R36,"")</f>
        <v/>
      </c>
      <c r="J36" s="45" t="str">
        <f aca="false">IF(AND(M36="",B36="",C36=""),"",IF(AND(N(E36)&gt;0,N(F36)&gt;0),"⚠ Fill withdrawal OR deposit",IF(M36="","⚠ Enter amount",IF(B36="","⚠ Enter date",IF(NOT(OR(NOT(ISNUMBER(G36)),NOT(ISNUMBER(G35)),ABS(N(G36)-(N(G35)+N(F36)-N(E36)))&lt;=0.5)),"⚠ Balance does not follow previous row","✔")))))</f>
        <v/>
      </c>
      <c r="M36" s="9" t="str">
        <f aca="false">IF(N(F36)&gt;0,"IN",IF(N(E36)&gt;0,"OUT",""))</f>
        <v/>
      </c>
      <c r="N36" s="9" t="str">
        <f aca="false">IF(M36="","",M36&amp;"|"&amp;TEXT(ROUND(N(E36)+N(F36),2),"0.00"))</f>
        <v/>
      </c>
      <c r="O36" s="9" t="str">
        <f aca="false">IF(OR(N36="",TRIM(D36&amp;"")=""),"",N36&amp;"|"&amp;UPPER(TRIM(D36&amp;"")))</f>
        <v/>
      </c>
      <c r="P36" s="9" t="n">
        <f aca="false">IF(O36="",0,IF(COUNTIF('Cash Book'!$O$8:$O$507,O36)&gt;0,1,0))</f>
        <v>0</v>
      </c>
      <c r="Q36" s="9" t="str">
        <f aca="false">IF(OR(N36="",P36=1),"",N36&amp;"#"&amp;COUNTIFS($N$8:N36,N36,$P$8:P36,0))</f>
        <v/>
      </c>
      <c r="R36" s="9" t="n">
        <f aca="false">IF(N36="",0,IFERROR(MATCH(ROW()-7,'Cash Book'!$U$8:$U$507,0),0))</f>
        <v>0</v>
      </c>
      <c r="V36" s="9" t="str">
        <f aca="false">IF(AND(N36&lt;&gt;"",R36=0),IF(M36="IN",3,4)*100000+ROW(),"")</f>
        <v/>
      </c>
      <c r="W36" s="9" t="n">
        <f aca="false">N(E36)+N(F36)</f>
        <v>0</v>
      </c>
    </row>
    <row r="37" customFormat="false" ht="15" hidden="false" customHeight="false" outlineLevel="0" collapsed="false">
      <c r="A37" s="37" t="str">
        <f aca="false">IF(M37="","",ROW()-7)</f>
        <v/>
      </c>
      <c r="B37" s="70"/>
      <c r="C37" s="72"/>
      <c r="D37" s="71"/>
      <c r="E37" s="73"/>
      <c r="F37" s="73"/>
      <c r="G37" s="73"/>
      <c r="H37" s="42" t="str">
        <f aca="false">IF(M37="","",IF(R37&gt;0,"✔ Matched",IF(M37="IN","Not in cash book (credit)","Not in cash book (debit)")))</f>
        <v/>
      </c>
      <c r="I37" s="43" t="str">
        <f aca="false">IF(N(R37)&gt;0,R37,"")</f>
        <v/>
      </c>
      <c r="J37" s="45" t="str">
        <f aca="false">IF(AND(M37="",B37="",C37=""),"",IF(AND(N(E37)&gt;0,N(F37)&gt;0),"⚠ Fill withdrawal OR deposit",IF(M37="","⚠ Enter amount",IF(B37="","⚠ Enter date",IF(NOT(OR(NOT(ISNUMBER(G37)),NOT(ISNUMBER(G36)),ABS(N(G37)-(N(G36)+N(F37)-N(E37)))&lt;=0.5)),"⚠ Balance does not follow previous row","✔")))))</f>
        <v/>
      </c>
      <c r="M37" s="9" t="str">
        <f aca="false">IF(N(F37)&gt;0,"IN",IF(N(E37)&gt;0,"OUT",""))</f>
        <v/>
      </c>
      <c r="N37" s="9" t="str">
        <f aca="false">IF(M37="","",M37&amp;"|"&amp;TEXT(ROUND(N(E37)+N(F37),2),"0.00"))</f>
        <v/>
      </c>
      <c r="O37" s="9" t="str">
        <f aca="false">IF(OR(N37="",TRIM(D37&amp;"")=""),"",N37&amp;"|"&amp;UPPER(TRIM(D37&amp;"")))</f>
        <v/>
      </c>
      <c r="P37" s="9" t="n">
        <f aca="false">IF(O37="",0,IF(COUNTIF('Cash Book'!$O$8:$O$507,O37)&gt;0,1,0))</f>
        <v>0</v>
      </c>
      <c r="Q37" s="9" t="str">
        <f aca="false">IF(OR(N37="",P37=1),"",N37&amp;"#"&amp;COUNTIFS($N$8:N37,N37,$P$8:P37,0))</f>
        <v/>
      </c>
      <c r="R37" s="9" t="n">
        <f aca="false">IF(N37="",0,IFERROR(MATCH(ROW()-7,'Cash Book'!$U$8:$U$507,0),0))</f>
        <v>0</v>
      </c>
      <c r="V37" s="9" t="str">
        <f aca="false">IF(AND(N37&lt;&gt;"",R37=0),IF(M37="IN",3,4)*100000+ROW(),"")</f>
        <v/>
      </c>
      <c r="W37" s="9" t="n">
        <f aca="false">N(E37)+N(F37)</f>
        <v>0</v>
      </c>
    </row>
    <row r="38" customFormat="false" ht="15" hidden="false" customHeight="false" outlineLevel="0" collapsed="false">
      <c r="A38" s="37" t="str">
        <f aca="false">IF(M38="","",ROW()-7)</f>
        <v/>
      </c>
      <c r="B38" s="70"/>
      <c r="C38" s="72"/>
      <c r="D38" s="71"/>
      <c r="E38" s="73"/>
      <c r="F38" s="73"/>
      <c r="G38" s="73"/>
      <c r="H38" s="42" t="str">
        <f aca="false">IF(M38="","",IF(R38&gt;0,"✔ Matched",IF(M38="IN","Not in cash book (credit)","Not in cash book (debit)")))</f>
        <v/>
      </c>
      <c r="I38" s="43" t="str">
        <f aca="false">IF(N(R38)&gt;0,R38,"")</f>
        <v/>
      </c>
      <c r="J38" s="45" t="str">
        <f aca="false">IF(AND(M38="",B38="",C38=""),"",IF(AND(N(E38)&gt;0,N(F38)&gt;0),"⚠ Fill withdrawal OR deposit",IF(M38="","⚠ Enter amount",IF(B38="","⚠ Enter date",IF(NOT(OR(NOT(ISNUMBER(G38)),NOT(ISNUMBER(G37)),ABS(N(G38)-(N(G37)+N(F38)-N(E38)))&lt;=0.5)),"⚠ Balance does not follow previous row","✔")))))</f>
        <v/>
      </c>
      <c r="M38" s="9" t="str">
        <f aca="false">IF(N(F38)&gt;0,"IN",IF(N(E38)&gt;0,"OUT",""))</f>
        <v/>
      </c>
      <c r="N38" s="9" t="str">
        <f aca="false">IF(M38="","",M38&amp;"|"&amp;TEXT(ROUND(N(E38)+N(F38),2),"0.00"))</f>
        <v/>
      </c>
      <c r="O38" s="9" t="str">
        <f aca="false">IF(OR(N38="",TRIM(D38&amp;"")=""),"",N38&amp;"|"&amp;UPPER(TRIM(D38&amp;"")))</f>
        <v/>
      </c>
      <c r="P38" s="9" t="n">
        <f aca="false">IF(O38="",0,IF(COUNTIF('Cash Book'!$O$8:$O$507,O38)&gt;0,1,0))</f>
        <v>0</v>
      </c>
      <c r="Q38" s="9" t="str">
        <f aca="false">IF(OR(N38="",P38=1),"",N38&amp;"#"&amp;COUNTIFS($N$8:N38,N38,$P$8:P38,0))</f>
        <v/>
      </c>
      <c r="R38" s="9" t="n">
        <f aca="false">IF(N38="",0,IFERROR(MATCH(ROW()-7,'Cash Book'!$U$8:$U$507,0),0))</f>
        <v>0</v>
      </c>
      <c r="V38" s="9" t="str">
        <f aca="false">IF(AND(N38&lt;&gt;"",R38=0),IF(M38="IN",3,4)*100000+ROW(),"")</f>
        <v/>
      </c>
      <c r="W38" s="9" t="n">
        <f aca="false">N(E38)+N(F38)</f>
        <v>0</v>
      </c>
    </row>
    <row r="39" customFormat="false" ht="15" hidden="false" customHeight="false" outlineLevel="0" collapsed="false">
      <c r="A39" s="37" t="str">
        <f aca="false">IF(M39="","",ROW()-7)</f>
        <v/>
      </c>
      <c r="B39" s="70"/>
      <c r="C39" s="72"/>
      <c r="D39" s="71"/>
      <c r="E39" s="73"/>
      <c r="F39" s="73"/>
      <c r="G39" s="73"/>
      <c r="H39" s="42" t="str">
        <f aca="false">IF(M39="","",IF(R39&gt;0,"✔ Matched",IF(M39="IN","Not in cash book (credit)","Not in cash book (debit)")))</f>
        <v/>
      </c>
      <c r="I39" s="43" t="str">
        <f aca="false">IF(N(R39)&gt;0,R39,"")</f>
        <v/>
      </c>
      <c r="J39" s="45" t="str">
        <f aca="false">IF(AND(M39="",B39="",C39=""),"",IF(AND(N(E39)&gt;0,N(F39)&gt;0),"⚠ Fill withdrawal OR deposit",IF(M39="","⚠ Enter amount",IF(B39="","⚠ Enter date",IF(NOT(OR(NOT(ISNUMBER(G39)),NOT(ISNUMBER(G38)),ABS(N(G39)-(N(G38)+N(F39)-N(E39)))&lt;=0.5)),"⚠ Balance does not follow previous row","✔")))))</f>
        <v/>
      </c>
      <c r="M39" s="9" t="str">
        <f aca="false">IF(N(F39)&gt;0,"IN",IF(N(E39)&gt;0,"OUT",""))</f>
        <v/>
      </c>
      <c r="N39" s="9" t="str">
        <f aca="false">IF(M39="","",M39&amp;"|"&amp;TEXT(ROUND(N(E39)+N(F39),2),"0.00"))</f>
        <v/>
      </c>
      <c r="O39" s="9" t="str">
        <f aca="false">IF(OR(N39="",TRIM(D39&amp;"")=""),"",N39&amp;"|"&amp;UPPER(TRIM(D39&amp;"")))</f>
        <v/>
      </c>
      <c r="P39" s="9" t="n">
        <f aca="false">IF(O39="",0,IF(COUNTIF('Cash Book'!$O$8:$O$507,O39)&gt;0,1,0))</f>
        <v>0</v>
      </c>
      <c r="Q39" s="9" t="str">
        <f aca="false">IF(OR(N39="",P39=1),"",N39&amp;"#"&amp;COUNTIFS($N$8:N39,N39,$P$8:P39,0))</f>
        <v/>
      </c>
      <c r="R39" s="9" t="n">
        <f aca="false">IF(N39="",0,IFERROR(MATCH(ROW()-7,'Cash Book'!$U$8:$U$507,0),0))</f>
        <v>0</v>
      </c>
      <c r="V39" s="9" t="str">
        <f aca="false">IF(AND(N39&lt;&gt;"",R39=0),IF(M39="IN",3,4)*100000+ROW(),"")</f>
        <v/>
      </c>
      <c r="W39" s="9" t="n">
        <f aca="false">N(E39)+N(F39)</f>
        <v>0</v>
      </c>
    </row>
    <row r="40" customFormat="false" ht="15" hidden="false" customHeight="false" outlineLevel="0" collapsed="false">
      <c r="A40" s="37" t="str">
        <f aca="false">IF(M40="","",ROW()-7)</f>
        <v/>
      </c>
      <c r="B40" s="70"/>
      <c r="C40" s="72"/>
      <c r="D40" s="71"/>
      <c r="E40" s="73"/>
      <c r="F40" s="73"/>
      <c r="G40" s="73"/>
      <c r="H40" s="42" t="str">
        <f aca="false">IF(M40="","",IF(R40&gt;0,"✔ Matched",IF(M40="IN","Not in cash book (credit)","Not in cash book (debit)")))</f>
        <v/>
      </c>
      <c r="I40" s="43" t="str">
        <f aca="false">IF(N(R40)&gt;0,R40,"")</f>
        <v/>
      </c>
      <c r="J40" s="45" t="str">
        <f aca="false">IF(AND(M40="",B40="",C40=""),"",IF(AND(N(E40)&gt;0,N(F40)&gt;0),"⚠ Fill withdrawal OR deposit",IF(M40="","⚠ Enter amount",IF(B40="","⚠ Enter date",IF(NOT(OR(NOT(ISNUMBER(G40)),NOT(ISNUMBER(G39)),ABS(N(G40)-(N(G39)+N(F40)-N(E40)))&lt;=0.5)),"⚠ Balance does not follow previous row","✔")))))</f>
        <v/>
      </c>
      <c r="M40" s="9" t="str">
        <f aca="false">IF(N(F40)&gt;0,"IN",IF(N(E40)&gt;0,"OUT",""))</f>
        <v/>
      </c>
      <c r="N40" s="9" t="str">
        <f aca="false">IF(M40="","",M40&amp;"|"&amp;TEXT(ROUND(N(E40)+N(F40),2),"0.00"))</f>
        <v/>
      </c>
      <c r="O40" s="9" t="str">
        <f aca="false">IF(OR(N40="",TRIM(D40&amp;"")=""),"",N40&amp;"|"&amp;UPPER(TRIM(D40&amp;"")))</f>
        <v/>
      </c>
      <c r="P40" s="9" t="n">
        <f aca="false">IF(O40="",0,IF(COUNTIF('Cash Book'!$O$8:$O$507,O40)&gt;0,1,0))</f>
        <v>0</v>
      </c>
      <c r="Q40" s="9" t="str">
        <f aca="false">IF(OR(N40="",P40=1),"",N40&amp;"#"&amp;COUNTIFS($N$8:N40,N40,$P$8:P40,0))</f>
        <v/>
      </c>
      <c r="R40" s="9" t="n">
        <f aca="false">IF(N40="",0,IFERROR(MATCH(ROW()-7,'Cash Book'!$U$8:$U$507,0),0))</f>
        <v>0</v>
      </c>
      <c r="V40" s="9" t="str">
        <f aca="false">IF(AND(N40&lt;&gt;"",R40=0),IF(M40="IN",3,4)*100000+ROW(),"")</f>
        <v/>
      </c>
      <c r="W40" s="9" t="n">
        <f aca="false">N(E40)+N(F40)</f>
        <v>0</v>
      </c>
    </row>
    <row r="41" customFormat="false" ht="15" hidden="false" customHeight="false" outlineLevel="0" collapsed="false">
      <c r="A41" s="37" t="str">
        <f aca="false">IF(M41="","",ROW()-7)</f>
        <v/>
      </c>
      <c r="B41" s="70"/>
      <c r="C41" s="72"/>
      <c r="D41" s="71"/>
      <c r="E41" s="73"/>
      <c r="F41" s="73"/>
      <c r="G41" s="73"/>
      <c r="H41" s="42" t="str">
        <f aca="false">IF(M41="","",IF(R41&gt;0,"✔ Matched",IF(M41="IN","Not in cash book (credit)","Not in cash book (debit)")))</f>
        <v/>
      </c>
      <c r="I41" s="43" t="str">
        <f aca="false">IF(N(R41)&gt;0,R41,"")</f>
        <v/>
      </c>
      <c r="J41" s="45" t="str">
        <f aca="false">IF(AND(M41="",B41="",C41=""),"",IF(AND(N(E41)&gt;0,N(F41)&gt;0),"⚠ Fill withdrawal OR deposit",IF(M41="","⚠ Enter amount",IF(B41="","⚠ Enter date",IF(NOT(OR(NOT(ISNUMBER(G41)),NOT(ISNUMBER(G40)),ABS(N(G41)-(N(G40)+N(F41)-N(E41)))&lt;=0.5)),"⚠ Balance does not follow previous row","✔")))))</f>
        <v/>
      </c>
      <c r="M41" s="9" t="str">
        <f aca="false">IF(N(F41)&gt;0,"IN",IF(N(E41)&gt;0,"OUT",""))</f>
        <v/>
      </c>
      <c r="N41" s="9" t="str">
        <f aca="false">IF(M41="","",M41&amp;"|"&amp;TEXT(ROUND(N(E41)+N(F41),2),"0.00"))</f>
        <v/>
      </c>
      <c r="O41" s="9" t="str">
        <f aca="false">IF(OR(N41="",TRIM(D41&amp;"")=""),"",N41&amp;"|"&amp;UPPER(TRIM(D41&amp;"")))</f>
        <v/>
      </c>
      <c r="P41" s="9" t="n">
        <f aca="false">IF(O41="",0,IF(COUNTIF('Cash Book'!$O$8:$O$507,O41)&gt;0,1,0))</f>
        <v>0</v>
      </c>
      <c r="Q41" s="9" t="str">
        <f aca="false">IF(OR(N41="",P41=1),"",N41&amp;"#"&amp;COUNTIFS($N$8:N41,N41,$P$8:P41,0))</f>
        <v/>
      </c>
      <c r="R41" s="9" t="n">
        <f aca="false">IF(N41="",0,IFERROR(MATCH(ROW()-7,'Cash Book'!$U$8:$U$507,0),0))</f>
        <v>0</v>
      </c>
      <c r="V41" s="9" t="str">
        <f aca="false">IF(AND(N41&lt;&gt;"",R41=0),IF(M41="IN",3,4)*100000+ROW(),"")</f>
        <v/>
      </c>
      <c r="W41" s="9" t="n">
        <f aca="false">N(E41)+N(F41)</f>
        <v>0</v>
      </c>
    </row>
    <row r="42" customFormat="false" ht="15" hidden="false" customHeight="false" outlineLevel="0" collapsed="false">
      <c r="A42" s="37" t="str">
        <f aca="false">IF(M42="","",ROW()-7)</f>
        <v/>
      </c>
      <c r="B42" s="70"/>
      <c r="C42" s="72"/>
      <c r="D42" s="71"/>
      <c r="E42" s="73"/>
      <c r="F42" s="73"/>
      <c r="G42" s="73"/>
      <c r="H42" s="42" t="str">
        <f aca="false">IF(M42="","",IF(R42&gt;0,"✔ Matched",IF(M42="IN","Not in cash book (credit)","Not in cash book (debit)")))</f>
        <v/>
      </c>
      <c r="I42" s="43" t="str">
        <f aca="false">IF(N(R42)&gt;0,R42,"")</f>
        <v/>
      </c>
      <c r="J42" s="45" t="str">
        <f aca="false">IF(AND(M42="",B42="",C42=""),"",IF(AND(N(E42)&gt;0,N(F42)&gt;0),"⚠ Fill withdrawal OR deposit",IF(M42="","⚠ Enter amount",IF(B42="","⚠ Enter date",IF(NOT(OR(NOT(ISNUMBER(G42)),NOT(ISNUMBER(G41)),ABS(N(G42)-(N(G41)+N(F42)-N(E42)))&lt;=0.5)),"⚠ Balance does not follow previous row","✔")))))</f>
        <v/>
      </c>
      <c r="M42" s="9" t="str">
        <f aca="false">IF(N(F42)&gt;0,"IN",IF(N(E42)&gt;0,"OUT",""))</f>
        <v/>
      </c>
      <c r="N42" s="9" t="str">
        <f aca="false">IF(M42="","",M42&amp;"|"&amp;TEXT(ROUND(N(E42)+N(F42),2),"0.00"))</f>
        <v/>
      </c>
      <c r="O42" s="9" t="str">
        <f aca="false">IF(OR(N42="",TRIM(D42&amp;"")=""),"",N42&amp;"|"&amp;UPPER(TRIM(D42&amp;"")))</f>
        <v/>
      </c>
      <c r="P42" s="9" t="n">
        <f aca="false">IF(O42="",0,IF(COUNTIF('Cash Book'!$O$8:$O$507,O42)&gt;0,1,0))</f>
        <v>0</v>
      </c>
      <c r="Q42" s="9" t="str">
        <f aca="false">IF(OR(N42="",P42=1),"",N42&amp;"#"&amp;COUNTIFS($N$8:N42,N42,$P$8:P42,0))</f>
        <v/>
      </c>
      <c r="R42" s="9" t="n">
        <f aca="false">IF(N42="",0,IFERROR(MATCH(ROW()-7,'Cash Book'!$U$8:$U$507,0),0))</f>
        <v>0</v>
      </c>
      <c r="V42" s="9" t="str">
        <f aca="false">IF(AND(N42&lt;&gt;"",R42=0),IF(M42="IN",3,4)*100000+ROW(),"")</f>
        <v/>
      </c>
      <c r="W42" s="9" t="n">
        <f aca="false">N(E42)+N(F42)</f>
        <v>0</v>
      </c>
    </row>
    <row r="43" customFormat="false" ht="15" hidden="false" customHeight="false" outlineLevel="0" collapsed="false">
      <c r="A43" s="37" t="str">
        <f aca="false">IF(M43="","",ROW()-7)</f>
        <v/>
      </c>
      <c r="B43" s="70"/>
      <c r="C43" s="72"/>
      <c r="D43" s="71"/>
      <c r="E43" s="73"/>
      <c r="F43" s="73"/>
      <c r="G43" s="73"/>
      <c r="H43" s="42" t="str">
        <f aca="false">IF(M43="","",IF(R43&gt;0,"✔ Matched",IF(M43="IN","Not in cash book (credit)","Not in cash book (debit)")))</f>
        <v/>
      </c>
      <c r="I43" s="43" t="str">
        <f aca="false">IF(N(R43)&gt;0,R43,"")</f>
        <v/>
      </c>
      <c r="J43" s="45" t="str">
        <f aca="false">IF(AND(M43="",B43="",C43=""),"",IF(AND(N(E43)&gt;0,N(F43)&gt;0),"⚠ Fill withdrawal OR deposit",IF(M43="","⚠ Enter amount",IF(B43="","⚠ Enter date",IF(NOT(OR(NOT(ISNUMBER(G43)),NOT(ISNUMBER(G42)),ABS(N(G43)-(N(G42)+N(F43)-N(E43)))&lt;=0.5)),"⚠ Balance does not follow previous row","✔")))))</f>
        <v/>
      </c>
      <c r="M43" s="9" t="str">
        <f aca="false">IF(N(F43)&gt;0,"IN",IF(N(E43)&gt;0,"OUT",""))</f>
        <v/>
      </c>
      <c r="N43" s="9" t="str">
        <f aca="false">IF(M43="","",M43&amp;"|"&amp;TEXT(ROUND(N(E43)+N(F43),2),"0.00"))</f>
        <v/>
      </c>
      <c r="O43" s="9" t="str">
        <f aca="false">IF(OR(N43="",TRIM(D43&amp;"")=""),"",N43&amp;"|"&amp;UPPER(TRIM(D43&amp;"")))</f>
        <v/>
      </c>
      <c r="P43" s="9" t="n">
        <f aca="false">IF(O43="",0,IF(COUNTIF('Cash Book'!$O$8:$O$507,O43)&gt;0,1,0))</f>
        <v>0</v>
      </c>
      <c r="Q43" s="9" t="str">
        <f aca="false">IF(OR(N43="",P43=1),"",N43&amp;"#"&amp;COUNTIFS($N$8:N43,N43,$P$8:P43,0))</f>
        <v/>
      </c>
      <c r="R43" s="9" t="n">
        <f aca="false">IF(N43="",0,IFERROR(MATCH(ROW()-7,'Cash Book'!$U$8:$U$507,0),0))</f>
        <v>0</v>
      </c>
      <c r="V43" s="9" t="str">
        <f aca="false">IF(AND(N43&lt;&gt;"",R43=0),IF(M43="IN",3,4)*100000+ROW(),"")</f>
        <v/>
      </c>
      <c r="W43" s="9" t="n">
        <f aca="false">N(E43)+N(F43)</f>
        <v>0</v>
      </c>
    </row>
    <row r="44" customFormat="false" ht="15" hidden="false" customHeight="false" outlineLevel="0" collapsed="false">
      <c r="A44" s="37" t="str">
        <f aca="false">IF(M44="","",ROW()-7)</f>
        <v/>
      </c>
      <c r="B44" s="70"/>
      <c r="C44" s="72"/>
      <c r="D44" s="71"/>
      <c r="E44" s="73"/>
      <c r="F44" s="73"/>
      <c r="G44" s="73"/>
      <c r="H44" s="42" t="str">
        <f aca="false">IF(M44="","",IF(R44&gt;0,"✔ Matched",IF(M44="IN","Not in cash book (credit)","Not in cash book (debit)")))</f>
        <v/>
      </c>
      <c r="I44" s="43" t="str">
        <f aca="false">IF(N(R44)&gt;0,R44,"")</f>
        <v/>
      </c>
      <c r="J44" s="45" t="str">
        <f aca="false">IF(AND(M44="",B44="",C44=""),"",IF(AND(N(E44)&gt;0,N(F44)&gt;0),"⚠ Fill withdrawal OR deposit",IF(M44="","⚠ Enter amount",IF(B44="","⚠ Enter date",IF(NOT(OR(NOT(ISNUMBER(G44)),NOT(ISNUMBER(G43)),ABS(N(G44)-(N(G43)+N(F44)-N(E44)))&lt;=0.5)),"⚠ Balance does not follow previous row","✔")))))</f>
        <v/>
      </c>
      <c r="M44" s="9" t="str">
        <f aca="false">IF(N(F44)&gt;0,"IN",IF(N(E44)&gt;0,"OUT",""))</f>
        <v/>
      </c>
      <c r="N44" s="9" t="str">
        <f aca="false">IF(M44="","",M44&amp;"|"&amp;TEXT(ROUND(N(E44)+N(F44),2),"0.00"))</f>
        <v/>
      </c>
      <c r="O44" s="9" t="str">
        <f aca="false">IF(OR(N44="",TRIM(D44&amp;"")=""),"",N44&amp;"|"&amp;UPPER(TRIM(D44&amp;"")))</f>
        <v/>
      </c>
      <c r="P44" s="9" t="n">
        <f aca="false">IF(O44="",0,IF(COUNTIF('Cash Book'!$O$8:$O$507,O44)&gt;0,1,0))</f>
        <v>0</v>
      </c>
      <c r="Q44" s="9" t="str">
        <f aca="false">IF(OR(N44="",P44=1),"",N44&amp;"#"&amp;COUNTIFS($N$8:N44,N44,$P$8:P44,0))</f>
        <v/>
      </c>
      <c r="R44" s="9" t="n">
        <f aca="false">IF(N44="",0,IFERROR(MATCH(ROW()-7,'Cash Book'!$U$8:$U$507,0),0))</f>
        <v>0</v>
      </c>
      <c r="V44" s="9" t="str">
        <f aca="false">IF(AND(N44&lt;&gt;"",R44=0),IF(M44="IN",3,4)*100000+ROW(),"")</f>
        <v/>
      </c>
      <c r="W44" s="9" t="n">
        <f aca="false">N(E44)+N(F44)</f>
        <v>0</v>
      </c>
    </row>
    <row r="45" customFormat="false" ht="15" hidden="false" customHeight="false" outlineLevel="0" collapsed="false">
      <c r="A45" s="37" t="str">
        <f aca="false">IF(M45="","",ROW()-7)</f>
        <v/>
      </c>
      <c r="B45" s="70"/>
      <c r="C45" s="72"/>
      <c r="D45" s="71"/>
      <c r="E45" s="73"/>
      <c r="F45" s="73"/>
      <c r="G45" s="73"/>
      <c r="H45" s="42" t="str">
        <f aca="false">IF(M45="","",IF(R45&gt;0,"✔ Matched",IF(M45="IN","Not in cash book (credit)","Not in cash book (debit)")))</f>
        <v/>
      </c>
      <c r="I45" s="43" t="str">
        <f aca="false">IF(N(R45)&gt;0,R45,"")</f>
        <v/>
      </c>
      <c r="J45" s="45" t="str">
        <f aca="false">IF(AND(M45="",B45="",C45=""),"",IF(AND(N(E45)&gt;0,N(F45)&gt;0),"⚠ Fill withdrawal OR deposit",IF(M45="","⚠ Enter amount",IF(B45="","⚠ Enter date",IF(NOT(OR(NOT(ISNUMBER(G45)),NOT(ISNUMBER(G44)),ABS(N(G45)-(N(G44)+N(F45)-N(E45)))&lt;=0.5)),"⚠ Balance does not follow previous row","✔")))))</f>
        <v/>
      </c>
      <c r="M45" s="9" t="str">
        <f aca="false">IF(N(F45)&gt;0,"IN",IF(N(E45)&gt;0,"OUT",""))</f>
        <v/>
      </c>
      <c r="N45" s="9" t="str">
        <f aca="false">IF(M45="","",M45&amp;"|"&amp;TEXT(ROUND(N(E45)+N(F45),2),"0.00"))</f>
        <v/>
      </c>
      <c r="O45" s="9" t="str">
        <f aca="false">IF(OR(N45="",TRIM(D45&amp;"")=""),"",N45&amp;"|"&amp;UPPER(TRIM(D45&amp;"")))</f>
        <v/>
      </c>
      <c r="P45" s="9" t="n">
        <f aca="false">IF(O45="",0,IF(COUNTIF('Cash Book'!$O$8:$O$507,O45)&gt;0,1,0))</f>
        <v>0</v>
      </c>
      <c r="Q45" s="9" t="str">
        <f aca="false">IF(OR(N45="",P45=1),"",N45&amp;"#"&amp;COUNTIFS($N$8:N45,N45,$P$8:P45,0))</f>
        <v/>
      </c>
      <c r="R45" s="9" t="n">
        <f aca="false">IF(N45="",0,IFERROR(MATCH(ROW()-7,'Cash Book'!$U$8:$U$507,0),0))</f>
        <v>0</v>
      </c>
      <c r="V45" s="9" t="str">
        <f aca="false">IF(AND(N45&lt;&gt;"",R45=0),IF(M45="IN",3,4)*100000+ROW(),"")</f>
        <v/>
      </c>
      <c r="W45" s="9" t="n">
        <f aca="false">N(E45)+N(F45)</f>
        <v>0</v>
      </c>
    </row>
    <row r="46" customFormat="false" ht="15" hidden="false" customHeight="false" outlineLevel="0" collapsed="false">
      <c r="A46" s="37" t="str">
        <f aca="false">IF(M46="","",ROW()-7)</f>
        <v/>
      </c>
      <c r="B46" s="70"/>
      <c r="C46" s="72"/>
      <c r="D46" s="71"/>
      <c r="E46" s="73"/>
      <c r="F46" s="73"/>
      <c r="G46" s="73"/>
      <c r="H46" s="42" t="str">
        <f aca="false">IF(M46="","",IF(R46&gt;0,"✔ Matched",IF(M46="IN","Not in cash book (credit)","Not in cash book (debit)")))</f>
        <v/>
      </c>
      <c r="I46" s="43" t="str">
        <f aca="false">IF(N(R46)&gt;0,R46,"")</f>
        <v/>
      </c>
      <c r="J46" s="45" t="str">
        <f aca="false">IF(AND(M46="",B46="",C46=""),"",IF(AND(N(E46)&gt;0,N(F46)&gt;0),"⚠ Fill withdrawal OR deposit",IF(M46="","⚠ Enter amount",IF(B46="","⚠ Enter date",IF(NOT(OR(NOT(ISNUMBER(G46)),NOT(ISNUMBER(G45)),ABS(N(G46)-(N(G45)+N(F46)-N(E46)))&lt;=0.5)),"⚠ Balance does not follow previous row","✔")))))</f>
        <v/>
      </c>
      <c r="M46" s="9" t="str">
        <f aca="false">IF(N(F46)&gt;0,"IN",IF(N(E46)&gt;0,"OUT",""))</f>
        <v/>
      </c>
      <c r="N46" s="9" t="str">
        <f aca="false">IF(M46="","",M46&amp;"|"&amp;TEXT(ROUND(N(E46)+N(F46),2),"0.00"))</f>
        <v/>
      </c>
      <c r="O46" s="9" t="str">
        <f aca="false">IF(OR(N46="",TRIM(D46&amp;"")=""),"",N46&amp;"|"&amp;UPPER(TRIM(D46&amp;"")))</f>
        <v/>
      </c>
      <c r="P46" s="9" t="n">
        <f aca="false">IF(O46="",0,IF(COUNTIF('Cash Book'!$O$8:$O$507,O46)&gt;0,1,0))</f>
        <v>0</v>
      </c>
      <c r="Q46" s="9" t="str">
        <f aca="false">IF(OR(N46="",P46=1),"",N46&amp;"#"&amp;COUNTIFS($N$8:N46,N46,$P$8:P46,0))</f>
        <v/>
      </c>
      <c r="R46" s="9" t="n">
        <f aca="false">IF(N46="",0,IFERROR(MATCH(ROW()-7,'Cash Book'!$U$8:$U$507,0),0))</f>
        <v>0</v>
      </c>
      <c r="V46" s="9" t="str">
        <f aca="false">IF(AND(N46&lt;&gt;"",R46=0),IF(M46="IN",3,4)*100000+ROW(),"")</f>
        <v/>
      </c>
      <c r="W46" s="9" t="n">
        <f aca="false">N(E46)+N(F46)</f>
        <v>0</v>
      </c>
    </row>
    <row r="47" customFormat="false" ht="15" hidden="false" customHeight="false" outlineLevel="0" collapsed="false">
      <c r="A47" s="37" t="str">
        <f aca="false">IF(M47="","",ROW()-7)</f>
        <v/>
      </c>
      <c r="B47" s="70"/>
      <c r="C47" s="72"/>
      <c r="D47" s="71"/>
      <c r="E47" s="73"/>
      <c r="F47" s="73"/>
      <c r="G47" s="73"/>
      <c r="H47" s="42" t="str">
        <f aca="false">IF(M47="","",IF(R47&gt;0,"✔ Matched",IF(M47="IN","Not in cash book (credit)","Not in cash book (debit)")))</f>
        <v/>
      </c>
      <c r="I47" s="43" t="str">
        <f aca="false">IF(N(R47)&gt;0,R47,"")</f>
        <v/>
      </c>
      <c r="J47" s="45" t="str">
        <f aca="false">IF(AND(M47="",B47="",C47=""),"",IF(AND(N(E47)&gt;0,N(F47)&gt;0),"⚠ Fill withdrawal OR deposit",IF(M47="","⚠ Enter amount",IF(B47="","⚠ Enter date",IF(NOT(OR(NOT(ISNUMBER(G47)),NOT(ISNUMBER(G46)),ABS(N(G47)-(N(G46)+N(F47)-N(E47)))&lt;=0.5)),"⚠ Balance does not follow previous row","✔")))))</f>
        <v/>
      </c>
      <c r="M47" s="9" t="str">
        <f aca="false">IF(N(F47)&gt;0,"IN",IF(N(E47)&gt;0,"OUT",""))</f>
        <v/>
      </c>
      <c r="N47" s="9" t="str">
        <f aca="false">IF(M47="","",M47&amp;"|"&amp;TEXT(ROUND(N(E47)+N(F47),2),"0.00"))</f>
        <v/>
      </c>
      <c r="O47" s="9" t="str">
        <f aca="false">IF(OR(N47="",TRIM(D47&amp;"")=""),"",N47&amp;"|"&amp;UPPER(TRIM(D47&amp;"")))</f>
        <v/>
      </c>
      <c r="P47" s="9" t="n">
        <f aca="false">IF(O47="",0,IF(COUNTIF('Cash Book'!$O$8:$O$507,O47)&gt;0,1,0))</f>
        <v>0</v>
      </c>
      <c r="Q47" s="9" t="str">
        <f aca="false">IF(OR(N47="",P47=1),"",N47&amp;"#"&amp;COUNTIFS($N$8:N47,N47,$P$8:P47,0))</f>
        <v/>
      </c>
      <c r="R47" s="9" t="n">
        <f aca="false">IF(N47="",0,IFERROR(MATCH(ROW()-7,'Cash Book'!$U$8:$U$507,0),0))</f>
        <v>0</v>
      </c>
      <c r="V47" s="9" t="str">
        <f aca="false">IF(AND(N47&lt;&gt;"",R47=0),IF(M47="IN",3,4)*100000+ROW(),"")</f>
        <v/>
      </c>
      <c r="W47" s="9" t="n">
        <f aca="false">N(E47)+N(F47)</f>
        <v>0</v>
      </c>
    </row>
    <row r="48" customFormat="false" ht="15" hidden="false" customHeight="false" outlineLevel="0" collapsed="false">
      <c r="A48" s="37" t="str">
        <f aca="false">IF(M48="","",ROW()-7)</f>
        <v/>
      </c>
      <c r="B48" s="70"/>
      <c r="C48" s="72"/>
      <c r="D48" s="71"/>
      <c r="E48" s="73"/>
      <c r="F48" s="73"/>
      <c r="G48" s="73"/>
      <c r="H48" s="42" t="str">
        <f aca="false">IF(M48="","",IF(R48&gt;0,"✔ Matched",IF(M48="IN","Not in cash book (credit)","Not in cash book (debit)")))</f>
        <v/>
      </c>
      <c r="I48" s="43" t="str">
        <f aca="false">IF(N(R48)&gt;0,R48,"")</f>
        <v/>
      </c>
      <c r="J48" s="45" t="str">
        <f aca="false">IF(AND(M48="",B48="",C48=""),"",IF(AND(N(E48)&gt;0,N(F48)&gt;0),"⚠ Fill withdrawal OR deposit",IF(M48="","⚠ Enter amount",IF(B48="","⚠ Enter date",IF(NOT(OR(NOT(ISNUMBER(G48)),NOT(ISNUMBER(G47)),ABS(N(G48)-(N(G47)+N(F48)-N(E48)))&lt;=0.5)),"⚠ Balance does not follow previous row","✔")))))</f>
        <v/>
      </c>
      <c r="M48" s="9" t="str">
        <f aca="false">IF(N(F48)&gt;0,"IN",IF(N(E48)&gt;0,"OUT",""))</f>
        <v/>
      </c>
      <c r="N48" s="9" t="str">
        <f aca="false">IF(M48="","",M48&amp;"|"&amp;TEXT(ROUND(N(E48)+N(F48),2),"0.00"))</f>
        <v/>
      </c>
      <c r="O48" s="9" t="str">
        <f aca="false">IF(OR(N48="",TRIM(D48&amp;"")=""),"",N48&amp;"|"&amp;UPPER(TRIM(D48&amp;"")))</f>
        <v/>
      </c>
      <c r="P48" s="9" t="n">
        <f aca="false">IF(O48="",0,IF(COUNTIF('Cash Book'!$O$8:$O$507,O48)&gt;0,1,0))</f>
        <v>0</v>
      </c>
      <c r="Q48" s="9" t="str">
        <f aca="false">IF(OR(N48="",P48=1),"",N48&amp;"#"&amp;COUNTIFS($N$8:N48,N48,$P$8:P48,0))</f>
        <v/>
      </c>
      <c r="R48" s="9" t="n">
        <f aca="false">IF(N48="",0,IFERROR(MATCH(ROW()-7,'Cash Book'!$U$8:$U$507,0),0))</f>
        <v>0</v>
      </c>
      <c r="V48" s="9" t="str">
        <f aca="false">IF(AND(N48&lt;&gt;"",R48=0),IF(M48="IN",3,4)*100000+ROW(),"")</f>
        <v/>
      </c>
      <c r="W48" s="9" t="n">
        <f aca="false">N(E48)+N(F48)</f>
        <v>0</v>
      </c>
    </row>
    <row r="49" customFormat="false" ht="15" hidden="false" customHeight="false" outlineLevel="0" collapsed="false">
      <c r="A49" s="37" t="str">
        <f aca="false">IF(M49="","",ROW()-7)</f>
        <v/>
      </c>
      <c r="B49" s="70"/>
      <c r="C49" s="72"/>
      <c r="D49" s="71"/>
      <c r="E49" s="73"/>
      <c r="F49" s="73"/>
      <c r="G49" s="73"/>
      <c r="H49" s="42" t="str">
        <f aca="false">IF(M49="","",IF(R49&gt;0,"✔ Matched",IF(M49="IN","Not in cash book (credit)","Not in cash book (debit)")))</f>
        <v/>
      </c>
      <c r="I49" s="43" t="str">
        <f aca="false">IF(N(R49)&gt;0,R49,"")</f>
        <v/>
      </c>
      <c r="J49" s="45" t="str">
        <f aca="false">IF(AND(M49="",B49="",C49=""),"",IF(AND(N(E49)&gt;0,N(F49)&gt;0),"⚠ Fill withdrawal OR deposit",IF(M49="","⚠ Enter amount",IF(B49="","⚠ Enter date",IF(NOT(OR(NOT(ISNUMBER(G49)),NOT(ISNUMBER(G48)),ABS(N(G49)-(N(G48)+N(F49)-N(E49)))&lt;=0.5)),"⚠ Balance does not follow previous row","✔")))))</f>
        <v/>
      </c>
      <c r="M49" s="9" t="str">
        <f aca="false">IF(N(F49)&gt;0,"IN",IF(N(E49)&gt;0,"OUT",""))</f>
        <v/>
      </c>
      <c r="N49" s="9" t="str">
        <f aca="false">IF(M49="","",M49&amp;"|"&amp;TEXT(ROUND(N(E49)+N(F49),2),"0.00"))</f>
        <v/>
      </c>
      <c r="O49" s="9" t="str">
        <f aca="false">IF(OR(N49="",TRIM(D49&amp;"")=""),"",N49&amp;"|"&amp;UPPER(TRIM(D49&amp;"")))</f>
        <v/>
      </c>
      <c r="P49" s="9" t="n">
        <f aca="false">IF(O49="",0,IF(COUNTIF('Cash Book'!$O$8:$O$507,O49)&gt;0,1,0))</f>
        <v>0</v>
      </c>
      <c r="Q49" s="9" t="str">
        <f aca="false">IF(OR(N49="",P49=1),"",N49&amp;"#"&amp;COUNTIFS($N$8:N49,N49,$P$8:P49,0))</f>
        <v/>
      </c>
      <c r="R49" s="9" t="n">
        <f aca="false">IF(N49="",0,IFERROR(MATCH(ROW()-7,'Cash Book'!$U$8:$U$507,0),0))</f>
        <v>0</v>
      </c>
      <c r="V49" s="9" t="str">
        <f aca="false">IF(AND(N49&lt;&gt;"",R49=0),IF(M49="IN",3,4)*100000+ROW(),"")</f>
        <v/>
      </c>
      <c r="W49" s="9" t="n">
        <f aca="false">N(E49)+N(F49)</f>
        <v>0</v>
      </c>
    </row>
    <row r="50" customFormat="false" ht="15" hidden="false" customHeight="false" outlineLevel="0" collapsed="false">
      <c r="A50" s="37" t="str">
        <f aca="false">IF(M50="","",ROW()-7)</f>
        <v/>
      </c>
      <c r="B50" s="70"/>
      <c r="C50" s="72"/>
      <c r="D50" s="71"/>
      <c r="E50" s="73"/>
      <c r="F50" s="73"/>
      <c r="G50" s="73"/>
      <c r="H50" s="42" t="str">
        <f aca="false">IF(M50="","",IF(R50&gt;0,"✔ Matched",IF(M50="IN","Not in cash book (credit)","Not in cash book (debit)")))</f>
        <v/>
      </c>
      <c r="I50" s="43" t="str">
        <f aca="false">IF(N(R50)&gt;0,R50,"")</f>
        <v/>
      </c>
      <c r="J50" s="45" t="str">
        <f aca="false">IF(AND(M50="",B50="",C50=""),"",IF(AND(N(E50)&gt;0,N(F50)&gt;0),"⚠ Fill withdrawal OR deposit",IF(M50="","⚠ Enter amount",IF(B50="","⚠ Enter date",IF(NOT(OR(NOT(ISNUMBER(G50)),NOT(ISNUMBER(G49)),ABS(N(G50)-(N(G49)+N(F50)-N(E50)))&lt;=0.5)),"⚠ Balance does not follow previous row","✔")))))</f>
        <v/>
      </c>
      <c r="M50" s="9" t="str">
        <f aca="false">IF(N(F50)&gt;0,"IN",IF(N(E50)&gt;0,"OUT",""))</f>
        <v/>
      </c>
      <c r="N50" s="9" t="str">
        <f aca="false">IF(M50="","",M50&amp;"|"&amp;TEXT(ROUND(N(E50)+N(F50),2),"0.00"))</f>
        <v/>
      </c>
      <c r="O50" s="9" t="str">
        <f aca="false">IF(OR(N50="",TRIM(D50&amp;"")=""),"",N50&amp;"|"&amp;UPPER(TRIM(D50&amp;"")))</f>
        <v/>
      </c>
      <c r="P50" s="9" t="n">
        <f aca="false">IF(O50="",0,IF(COUNTIF('Cash Book'!$O$8:$O$507,O50)&gt;0,1,0))</f>
        <v>0</v>
      </c>
      <c r="Q50" s="9" t="str">
        <f aca="false">IF(OR(N50="",P50=1),"",N50&amp;"#"&amp;COUNTIFS($N$8:N50,N50,$P$8:P50,0))</f>
        <v/>
      </c>
      <c r="R50" s="9" t="n">
        <f aca="false">IF(N50="",0,IFERROR(MATCH(ROW()-7,'Cash Book'!$U$8:$U$507,0),0))</f>
        <v>0</v>
      </c>
      <c r="V50" s="9" t="str">
        <f aca="false">IF(AND(N50&lt;&gt;"",R50=0),IF(M50="IN",3,4)*100000+ROW(),"")</f>
        <v/>
      </c>
      <c r="W50" s="9" t="n">
        <f aca="false">N(E50)+N(F50)</f>
        <v>0</v>
      </c>
    </row>
    <row r="51" customFormat="false" ht="15" hidden="false" customHeight="false" outlineLevel="0" collapsed="false">
      <c r="A51" s="37" t="str">
        <f aca="false">IF(M51="","",ROW()-7)</f>
        <v/>
      </c>
      <c r="B51" s="70"/>
      <c r="C51" s="72"/>
      <c r="D51" s="71"/>
      <c r="E51" s="73"/>
      <c r="F51" s="73"/>
      <c r="G51" s="73"/>
      <c r="H51" s="42" t="str">
        <f aca="false">IF(M51="","",IF(R51&gt;0,"✔ Matched",IF(M51="IN","Not in cash book (credit)","Not in cash book (debit)")))</f>
        <v/>
      </c>
      <c r="I51" s="43" t="str">
        <f aca="false">IF(N(R51)&gt;0,R51,"")</f>
        <v/>
      </c>
      <c r="J51" s="45" t="str">
        <f aca="false">IF(AND(M51="",B51="",C51=""),"",IF(AND(N(E51)&gt;0,N(F51)&gt;0),"⚠ Fill withdrawal OR deposit",IF(M51="","⚠ Enter amount",IF(B51="","⚠ Enter date",IF(NOT(OR(NOT(ISNUMBER(G51)),NOT(ISNUMBER(G50)),ABS(N(G51)-(N(G50)+N(F51)-N(E51)))&lt;=0.5)),"⚠ Balance does not follow previous row","✔")))))</f>
        <v/>
      </c>
      <c r="M51" s="9" t="str">
        <f aca="false">IF(N(F51)&gt;0,"IN",IF(N(E51)&gt;0,"OUT",""))</f>
        <v/>
      </c>
      <c r="N51" s="9" t="str">
        <f aca="false">IF(M51="","",M51&amp;"|"&amp;TEXT(ROUND(N(E51)+N(F51),2),"0.00"))</f>
        <v/>
      </c>
      <c r="O51" s="9" t="str">
        <f aca="false">IF(OR(N51="",TRIM(D51&amp;"")=""),"",N51&amp;"|"&amp;UPPER(TRIM(D51&amp;"")))</f>
        <v/>
      </c>
      <c r="P51" s="9" t="n">
        <f aca="false">IF(O51="",0,IF(COUNTIF('Cash Book'!$O$8:$O$507,O51)&gt;0,1,0))</f>
        <v>0</v>
      </c>
      <c r="Q51" s="9" t="str">
        <f aca="false">IF(OR(N51="",P51=1),"",N51&amp;"#"&amp;COUNTIFS($N$8:N51,N51,$P$8:P51,0))</f>
        <v/>
      </c>
      <c r="R51" s="9" t="n">
        <f aca="false">IF(N51="",0,IFERROR(MATCH(ROW()-7,'Cash Book'!$U$8:$U$507,0),0))</f>
        <v>0</v>
      </c>
      <c r="V51" s="9" t="str">
        <f aca="false">IF(AND(N51&lt;&gt;"",R51=0),IF(M51="IN",3,4)*100000+ROW(),"")</f>
        <v/>
      </c>
      <c r="W51" s="9" t="n">
        <f aca="false">N(E51)+N(F51)</f>
        <v>0</v>
      </c>
    </row>
    <row r="52" customFormat="false" ht="15" hidden="false" customHeight="false" outlineLevel="0" collapsed="false">
      <c r="A52" s="37" t="str">
        <f aca="false">IF(M52="","",ROW()-7)</f>
        <v/>
      </c>
      <c r="B52" s="70"/>
      <c r="C52" s="72"/>
      <c r="D52" s="71"/>
      <c r="E52" s="73"/>
      <c r="F52" s="73"/>
      <c r="G52" s="73"/>
      <c r="H52" s="42" t="str">
        <f aca="false">IF(M52="","",IF(R52&gt;0,"✔ Matched",IF(M52="IN","Not in cash book (credit)","Not in cash book (debit)")))</f>
        <v/>
      </c>
      <c r="I52" s="43" t="str">
        <f aca="false">IF(N(R52)&gt;0,R52,"")</f>
        <v/>
      </c>
      <c r="J52" s="45" t="str">
        <f aca="false">IF(AND(M52="",B52="",C52=""),"",IF(AND(N(E52)&gt;0,N(F52)&gt;0),"⚠ Fill withdrawal OR deposit",IF(M52="","⚠ Enter amount",IF(B52="","⚠ Enter date",IF(NOT(OR(NOT(ISNUMBER(G52)),NOT(ISNUMBER(G51)),ABS(N(G52)-(N(G51)+N(F52)-N(E52)))&lt;=0.5)),"⚠ Balance does not follow previous row","✔")))))</f>
        <v/>
      </c>
      <c r="M52" s="9" t="str">
        <f aca="false">IF(N(F52)&gt;0,"IN",IF(N(E52)&gt;0,"OUT",""))</f>
        <v/>
      </c>
      <c r="N52" s="9" t="str">
        <f aca="false">IF(M52="","",M52&amp;"|"&amp;TEXT(ROUND(N(E52)+N(F52),2),"0.00"))</f>
        <v/>
      </c>
      <c r="O52" s="9" t="str">
        <f aca="false">IF(OR(N52="",TRIM(D52&amp;"")=""),"",N52&amp;"|"&amp;UPPER(TRIM(D52&amp;"")))</f>
        <v/>
      </c>
      <c r="P52" s="9" t="n">
        <f aca="false">IF(O52="",0,IF(COUNTIF('Cash Book'!$O$8:$O$507,O52)&gt;0,1,0))</f>
        <v>0</v>
      </c>
      <c r="Q52" s="9" t="str">
        <f aca="false">IF(OR(N52="",P52=1),"",N52&amp;"#"&amp;COUNTIFS($N$8:N52,N52,$P$8:P52,0))</f>
        <v/>
      </c>
      <c r="R52" s="9" t="n">
        <f aca="false">IF(N52="",0,IFERROR(MATCH(ROW()-7,'Cash Book'!$U$8:$U$507,0),0))</f>
        <v>0</v>
      </c>
      <c r="V52" s="9" t="str">
        <f aca="false">IF(AND(N52&lt;&gt;"",R52=0),IF(M52="IN",3,4)*100000+ROW(),"")</f>
        <v/>
      </c>
      <c r="W52" s="9" t="n">
        <f aca="false">N(E52)+N(F52)</f>
        <v>0</v>
      </c>
    </row>
    <row r="53" customFormat="false" ht="15" hidden="false" customHeight="false" outlineLevel="0" collapsed="false">
      <c r="A53" s="37" t="str">
        <f aca="false">IF(M53="","",ROW()-7)</f>
        <v/>
      </c>
      <c r="B53" s="70"/>
      <c r="C53" s="72"/>
      <c r="D53" s="71"/>
      <c r="E53" s="73"/>
      <c r="F53" s="73"/>
      <c r="G53" s="73"/>
      <c r="H53" s="42" t="str">
        <f aca="false">IF(M53="","",IF(R53&gt;0,"✔ Matched",IF(M53="IN","Not in cash book (credit)","Not in cash book (debit)")))</f>
        <v/>
      </c>
      <c r="I53" s="43" t="str">
        <f aca="false">IF(N(R53)&gt;0,R53,"")</f>
        <v/>
      </c>
      <c r="J53" s="45" t="str">
        <f aca="false">IF(AND(M53="",B53="",C53=""),"",IF(AND(N(E53)&gt;0,N(F53)&gt;0),"⚠ Fill withdrawal OR deposit",IF(M53="","⚠ Enter amount",IF(B53="","⚠ Enter date",IF(NOT(OR(NOT(ISNUMBER(G53)),NOT(ISNUMBER(G52)),ABS(N(G53)-(N(G52)+N(F53)-N(E53)))&lt;=0.5)),"⚠ Balance does not follow previous row","✔")))))</f>
        <v/>
      </c>
      <c r="M53" s="9" t="str">
        <f aca="false">IF(N(F53)&gt;0,"IN",IF(N(E53)&gt;0,"OUT",""))</f>
        <v/>
      </c>
      <c r="N53" s="9" t="str">
        <f aca="false">IF(M53="","",M53&amp;"|"&amp;TEXT(ROUND(N(E53)+N(F53),2),"0.00"))</f>
        <v/>
      </c>
      <c r="O53" s="9" t="str">
        <f aca="false">IF(OR(N53="",TRIM(D53&amp;"")=""),"",N53&amp;"|"&amp;UPPER(TRIM(D53&amp;"")))</f>
        <v/>
      </c>
      <c r="P53" s="9" t="n">
        <f aca="false">IF(O53="",0,IF(COUNTIF('Cash Book'!$O$8:$O$507,O53)&gt;0,1,0))</f>
        <v>0</v>
      </c>
      <c r="Q53" s="9" t="str">
        <f aca="false">IF(OR(N53="",P53=1),"",N53&amp;"#"&amp;COUNTIFS($N$8:N53,N53,$P$8:P53,0))</f>
        <v/>
      </c>
      <c r="R53" s="9" t="n">
        <f aca="false">IF(N53="",0,IFERROR(MATCH(ROW()-7,'Cash Book'!$U$8:$U$507,0),0))</f>
        <v>0</v>
      </c>
      <c r="V53" s="9" t="str">
        <f aca="false">IF(AND(N53&lt;&gt;"",R53=0),IF(M53="IN",3,4)*100000+ROW(),"")</f>
        <v/>
      </c>
      <c r="W53" s="9" t="n">
        <f aca="false">N(E53)+N(F53)</f>
        <v>0</v>
      </c>
    </row>
    <row r="54" customFormat="false" ht="15" hidden="false" customHeight="false" outlineLevel="0" collapsed="false">
      <c r="A54" s="37" t="str">
        <f aca="false">IF(M54="","",ROW()-7)</f>
        <v/>
      </c>
      <c r="B54" s="70"/>
      <c r="C54" s="72"/>
      <c r="D54" s="71"/>
      <c r="E54" s="73"/>
      <c r="F54" s="73"/>
      <c r="G54" s="73"/>
      <c r="H54" s="42" t="str">
        <f aca="false">IF(M54="","",IF(R54&gt;0,"✔ Matched",IF(M54="IN","Not in cash book (credit)","Not in cash book (debit)")))</f>
        <v/>
      </c>
      <c r="I54" s="43" t="str">
        <f aca="false">IF(N(R54)&gt;0,R54,"")</f>
        <v/>
      </c>
      <c r="J54" s="45" t="str">
        <f aca="false">IF(AND(M54="",B54="",C54=""),"",IF(AND(N(E54)&gt;0,N(F54)&gt;0),"⚠ Fill withdrawal OR deposit",IF(M54="","⚠ Enter amount",IF(B54="","⚠ Enter date",IF(NOT(OR(NOT(ISNUMBER(G54)),NOT(ISNUMBER(G53)),ABS(N(G54)-(N(G53)+N(F54)-N(E54)))&lt;=0.5)),"⚠ Balance does not follow previous row","✔")))))</f>
        <v/>
      </c>
      <c r="M54" s="9" t="str">
        <f aca="false">IF(N(F54)&gt;0,"IN",IF(N(E54)&gt;0,"OUT",""))</f>
        <v/>
      </c>
      <c r="N54" s="9" t="str">
        <f aca="false">IF(M54="","",M54&amp;"|"&amp;TEXT(ROUND(N(E54)+N(F54),2),"0.00"))</f>
        <v/>
      </c>
      <c r="O54" s="9" t="str">
        <f aca="false">IF(OR(N54="",TRIM(D54&amp;"")=""),"",N54&amp;"|"&amp;UPPER(TRIM(D54&amp;"")))</f>
        <v/>
      </c>
      <c r="P54" s="9" t="n">
        <f aca="false">IF(O54="",0,IF(COUNTIF('Cash Book'!$O$8:$O$507,O54)&gt;0,1,0))</f>
        <v>0</v>
      </c>
      <c r="Q54" s="9" t="str">
        <f aca="false">IF(OR(N54="",P54=1),"",N54&amp;"#"&amp;COUNTIFS($N$8:N54,N54,$P$8:P54,0))</f>
        <v/>
      </c>
      <c r="R54" s="9" t="n">
        <f aca="false">IF(N54="",0,IFERROR(MATCH(ROW()-7,'Cash Book'!$U$8:$U$507,0),0))</f>
        <v>0</v>
      </c>
      <c r="V54" s="9" t="str">
        <f aca="false">IF(AND(N54&lt;&gt;"",R54=0),IF(M54="IN",3,4)*100000+ROW(),"")</f>
        <v/>
      </c>
      <c r="W54" s="9" t="n">
        <f aca="false">N(E54)+N(F54)</f>
        <v>0</v>
      </c>
    </row>
    <row r="55" customFormat="false" ht="15" hidden="false" customHeight="false" outlineLevel="0" collapsed="false">
      <c r="A55" s="37" t="str">
        <f aca="false">IF(M55="","",ROW()-7)</f>
        <v/>
      </c>
      <c r="B55" s="70"/>
      <c r="C55" s="72"/>
      <c r="D55" s="71"/>
      <c r="E55" s="73"/>
      <c r="F55" s="73"/>
      <c r="G55" s="73"/>
      <c r="H55" s="42" t="str">
        <f aca="false">IF(M55="","",IF(R55&gt;0,"✔ Matched",IF(M55="IN","Not in cash book (credit)","Not in cash book (debit)")))</f>
        <v/>
      </c>
      <c r="I55" s="43" t="str">
        <f aca="false">IF(N(R55)&gt;0,R55,"")</f>
        <v/>
      </c>
      <c r="J55" s="45" t="str">
        <f aca="false">IF(AND(M55="",B55="",C55=""),"",IF(AND(N(E55)&gt;0,N(F55)&gt;0),"⚠ Fill withdrawal OR deposit",IF(M55="","⚠ Enter amount",IF(B55="","⚠ Enter date",IF(NOT(OR(NOT(ISNUMBER(G55)),NOT(ISNUMBER(G54)),ABS(N(G55)-(N(G54)+N(F55)-N(E55)))&lt;=0.5)),"⚠ Balance does not follow previous row","✔")))))</f>
        <v/>
      </c>
      <c r="M55" s="9" t="str">
        <f aca="false">IF(N(F55)&gt;0,"IN",IF(N(E55)&gt;0,"OUT",""))</f>
        <v/>
      </c>
      <c r="N55" s="9" t="str">
        <f aca="false">IF(M55="","",M55&amp;"|"&amp;TEXT(ROUND(N(E55)+N(F55),2),"0.00"))</f>
        <v/>
      </c>
      <c r="O55" s="9" t="str">
        <f aca="false">IF(OR(N55="",TRIM(D55&amp;"")=""),"",N55&amp;"|"&amp;UPPER(TRIM(D55&amp;"")))</f>
        <v/>
      </c>
      <c r="P55" s="9" t="n">
        <f aca="false">IF(O55="",0,IF(COUNTIF('Cash Book'!$O$8:$O$507,O55)&gt;0,1,0))</f>
        <v>0</v>
      </c>
      <c r="Q55" s="9" t="str">
        <f aca="false">IF(OR(N55="",P55=1),"",N55&amp;"#"&amp;COUNTIFS($N$8:N55,N55,$P$8:P55,0))</f>
        <v/>
      </c>
      <c r="R55" s="9" t="n">
        <f aca="false">IF(N55="",0,IFERROR(MATCH(ROW()-7,'Cash Book'!$U$8:$U$507,0),0))</f>
        <v>0</v>
      </c>
      <c r="V55" s="9" t="str">
        <f aca="false">IF(AND(N55&lt;&gt;"",R55=0),IF(M55="IN",3,4)*100000+ROW(),"")</f>
        <v/>
      </c>
      <c r="W55" s="9" t="n">
        <f aca="false">N(E55)+N(F55)</f>
        <v>0</v>
      </c>
    </row>
    <row r="56" customFormat="false" ht="15" hidden="false" customHeight="false" outlineLevel="0" collapsed="false">
      <c r="A56" s="37" t="str">
        <f aca="false">IF(M56="","",ROW()-7)</f>
        <v/>
      </c>
      <c r="B56" s="70"/>
      <c r="C56" s="72"/>
      <c r="D56" s="71"/>
      <c r="E56" s="73"/>
      <c r="F56" s="73"/>
      <c r="G56" s="73"/>
      <c r="H56" s="42" t="str">
        <f aca="false">IF(M56="","",IF(R56&gt;0,"✔ Matched",IF(M56="IN","Not in cash book (credit)","Not in cash book (debit)")))</f>
        <v/>
      </c>
      <c r="I56" s="43" t="str">
        <f aca="false">IF(N(R56)&gt;0,R56,"")</f>
        <v/>
      </c>
      <c r="J56" s="45" t="str">
        <f aca="false">IF(AND(M56="",B56="",C56=""),"",IF(AND(N(E56)&gt;0,N(F56)&gt;0),"⚠ Fill withdrawal OR deposit",IF(M56="","⚠ Enter amount",IF(B56="","⚠ Enter date",IF(NOT(OR(NOT(ISNUMBER(G56)),NOT(ISNUMBER(G55)),ABS(N(G56)-(N(G55)+N(F56)-N(E56)))&lt;=0.5)),"⚠ Balance does not follow previous row","✔")))))</f>
        <v/>
      </c>
      <c r="M56" s="9" t="str">
        <f aca="false">IF(N(F56)&gt;0,"IN",IF(N(E56)&gt;0,"OUT",""))</f>
        <v/>
      </c>
      <c r="N56" s="9" t="str">
        <f aca="false">IF(M56="","",M56&amp;"|"&amp;TEXT(ROUND(N(E56)+N(F56),2),"0.00"))</f>
        <v/>
      </c>
      <c r="O56" s="9" t="str">
        <f aca="false">IF(OR(N56="",TRIM(D56&amp;"")=""),"",N56&amp;"|"&amp;UPPER(TRIM(D56&amp;"")))</f>
        <v/>
      </c>
      <c r="P56" s="9" t="n">
        <f aca="false">IF(O56="",0,IF(COUNTIF('Cash Book'!$O$8:$O$507,O56)&gt;0,1,0))</f>
        <v>0</v>
      </c>
      <c r="Q56" s="9" t="str">
        <f aca="false">IF(OR(N56="",P56=1),"",N56&amp;"#"&amp;COUNTIFS($N$8:N56,N56,$P$8:P56,0))</f>
        <v/>
      </c>
      <c r="R56" s="9" t="n">
        <f aca="false">IF(N56="",0,IFERROR(MATCH(ROW()-7,'Cash Book'!$U$8:$U$507,0),0))</f>
        <v>0</v>
      </c>
      <c r="V56" s="9" t="str">
        <f aca="false">IF(AND(N56&lt;&gt;"",R56=0),IF(M56="IN",3,4)*100000+ROW(),"")</f>
        <v/>
      </c>
      <c r="W56" s="9" t="n">
        <f aca="false">N(E56)+N(F56)</f>
        <v>0</v>
      </c>
    </row>
    <row r="57" customFormat="false" ht="15" hidden="false" customHeight="false" outlineLevel="0" collapsed="false">
      <c r="A57" s="37" t="str">
        <f aca="false">IF(M57="","",ROW()-7)</f>
        <v/>
      </c>
      <c r="B57" s="70"/>
      <c r="C57" s="72"/>
      <c r="D57" s="71"/>
      <c r="E57" s="73"/>
      <c r="F57" s="73"/>
      <c r="G57" s="73"/>
      <c r="H57" s="42" t="str">
        <f aca="false">IF(M57="","",IF(R57&gt;0,"✔ Matched",IF(M57="IN","Not in cash book (credit)","Not in cash book (debit)")))</f>
        <v/>
      </c>
      <c r="I57" s="43" t="str">
        <f aca="false">IF(N(R57)&gt;0,R57,"")</f>
        <v/>
      </c>
      <c r="J57" s="45" t="str">
        <f aca="false">IF(AND(M57="",B57="",C57=""),"",IF(AND(N(E57)&gt;0,N(F57)&gt;0),"⚠ Fill withdrawal OR deposit",IF(M57="","⚠ Enter amount",IF(B57="","⚠ Enter date",IF(NOT(OR(NOT(ISNUMBER(G57)),NOT(ISNUMBER(G56)),ABS(N(G57)-(N(G56)+N(F57)-N(E57)))&lt;=0.5)),"⚠ Balance does not follow previous row","✔")))))</f>
        <v/>
      </c>
      <c r="M57" s="9" t="str">
        <f aca="false">IF(N(F57)&gt;0,"IN",IF(N(E57)&gt;0,"OUT",""))</f>
        <v/>
      </c>
      <c r="N57" s="9" t="str">
        <f aca="false">IF(M57="","",M57&amp;"|"&amp;TEXT(ROUND(N(E57)+N(F57),2),"0.00"))</f>
        <v/>
      </c>
      <c r="O57" s="9" t="str">
        <f aca="false">IF(OR(N57="",TRIM(D57&amp;"")=""),"",N57&amp;"|"&amp;UPPER(TRIM(D57&amp;"")))</f>
        <v/>
      </c>
      <c r="P57" s="9" t="n">
        <f aca="false">IF(O57="",0,IF(COUNTIF('Cash Book'!$O$8:$O$507,O57)&gt;0,1,0))</f>
        <v>0</v>
      </c>
      <c r="Q57" s="9" t="str">
        <f aca="false">IF(OR(N57="",P57=1),"",N57&amp;"#"&amp;COUNTIFS($N$8:N57,N57,$P$8:P57,0))</f>
        <v/>
      </c>
      <c r="R57" s="9" t="n">
        <f aca="false">IF(N57="",0,IFERROR(MATCH(ROW()-7,'Cash Book'!$U$8:$U$507,0),0))</f>
        <v>0</v>
      </c>
      <c r="V57" s="9" t="str">
        <f aca="false">IF(AND(N57&lt;&gt;"",R57=0),IF(M57="IN",3,4)*100000+ROW(),"")</f>
        <v/>
      </c>
      <c r="W57" s="9" t="n">
        <f aca="false">N(E57)+N(F57)</f>
        <v>0</v>
      </c>
    </row>
    <row r="58" customFormat="false" ht="15" hidden="false" customHeight="false" outlineLevel="0" collapsed="false">
      <c r="A58" s="37" t="str">
        <f aca="false">IF(M58="","",ROW()-7)</f>
        <v/>
      </c>
      <c r="B58" s="70"/>
      <c r="C58" s="72"/>
      <c r="D58" s="71"/>
      <c r="E58" s="73"/>
      <c r="F58" s="73"/>
      <c r="G58" s="73"/>
      <c r="H58" s="42" t="str">
        <f aca="false">IF(M58="","",IF(R58&gt;0,"✔ Matched",IF(M58="IN","Not in cash book (credit)","Not in cash book (debit)")))</f>
        <v/>
      </c>
      <c r="I58" s="43" t="str">
        <f aca="false">IF(N(R58)&gt;0,R58,"")</f>
        <v/>
      </c>
      <c r="J58" s="45" t="str">
        <f aca="false">IF(AND(M58="",B58="",C58=""),"",IF(AND(N(E58)&gt;0,N(F58)&gt;0),"⚠ Fill withdrawal OR deposit",IF(M58="","⚠ Enter amount",IF(B58="","⚠ Enter date",IF(NOT(OR(NOT(ISNUMBER(G58)),NOT(ISNUMBER(G57)),ABS(N(G58)-(N(G57)+N(F58)-N(E58)))&lt;=0.5)),"⚠ Balance does not follow previous row","✔")))))</f>
        <v/>
      </c>
      <c r="M58" s="9" t="str">
        <f aca="false">IF(N(F58)&gt;0,"IN",IF(N(E58)&gt;0,"OUT",""))</f>
        <v/>
      </c>
      <c r="N58" s="9" t="str">
        <f aca="false">IF(M58="","",M58&amp;"|"&amp;TEXT(ROUND(N(E58)+N(F58),2),"0.00"))</f>
        <v/>
      </c>
      <c r="O58" s="9" t="str">
        <f aca="false">IF(OR(N58="",TRIM(D58&amp;"")=""),"",N58&amp;"|"&amp;UPPER(TRIM(D58&amp;"")))</f>
        <v/>
      </c>
      <c r="P58" s="9" t="n">
        <f aca="false">IF(O58="",0,IF(COUNTIF('Cash Book'!$O$8:$O$507,O58)&gt;0,1,0))</f>
        <v>0</v>
      </c>
      <c r="Q58" s="9" t="str">
        <f aca="false">IF(OR(N58="",P58=1),"",N58&amp;"#"&amp;COUNTIFS($N$8:N58,N58,$P$8:P58,0))</f>
        <v/>
      </c>
      <c r="R58" s="9" t="n">
        <f aca="false">IF(N58="",0,IFERROR(MATCH(ROW()-7,'Cash Book'!$U$8:$U$507,0),0))</f>
        <v>0</v>
      </c>
      <c r="V58" s="9" t="str">
        <f aca="false">IF(AND(N58&lt;&gt;"",R58=0),IF(M58="IN",3,4)*100000+ROW(),"")</f>
        <v/>
      </c>
      <c r="W58" s="9" t="n">
        <f aca="false">N(E58)+N(F58)</f>
        <v>0</v>
      </c>
    </row>
    <row r="59" customFormat="false" ht="15" hidden="false" customHeight="false" outlineLevel="0" collapsed="false">
      <c r="A59" s="37" t="str">
        <f aca="false">IF(M59="","",ROW()-7)</f>
        <v/>
      </c>
      <c r="B59" s="70"/>
      <c r="C59" s="72"/>
      <c r="D59" s="71"/>
      <c r="E59" s="73"/>
      <c r="F59" s="73"/>
      <c r="G59" s="73"/>
      <c r="H59" s="42" t="str">
        <f aca="false">IF(M59="","",IF(R59&gt;0,"✔ Matched",IF(M59="IN","Not in cash book (credit)","Not in cash book (debit)")))</f>
        <v/>
      </c>
      <c r="I59" s="43" t="str">
        <f aca="false">IF(N(R59)&gt;0,R59,"")</f>
        <v/>
      </c>
      <c r="J59" s="45" t="str">
        <f aca="false">IF(AND(M59="",B59="",C59=""),"",IF(AND(N(E59)&gt;0,N(F59)&gt;0),"⚠ Fill withdrawal OR deposit",IF(M59="","⚠ Enter amount",IF(B59="","⚠ Enter date",IF(NOT(OR(NOT(ISNUMBER(G59)),NOT(ISNUMBER(G58)),ABS(N(G59)-(N(G58)+N(F59)-N(E59)))&lt;=0.5)),"⚠ Balance does not follow previous row","✔")))))</f>
        <v/>
      </c>
      <c r="M59" s="9" t="str">
        <f aca="false">IF(N(F59)&gt;0,"IN",IF(N(E59)&gt;0,"OUT",""))</f>
        <v/>
      </c>
      <c r="N59" s="9" t="str">
        <f aca="false">IF(M59="","",M59&amp;"|"&amp;TEXT(ROUND(N(E59)+N(F59),2),"0.00"))</f>
        <v/>
      </c>
      <c r="O59" s="9" t="str">
        <f aca="false">IF(OR(N59="",TRIM(D59&amp;"")=""),"",N59&amp;"|"&amp;UPPER(TRIM(D59&amp;"")))</f>
        <v/>
      </c>
      <c r="P59" s="9" t="n">
        <f aca="false">IF(O59="",0,IF(COUNTIF('Cash Book'!$O$8:$O$507,O59)&gt;0,1,0))</f>
        <v>0</v>
      </c>
      <c r="Q59" s="9" t="str">
        <f aca="false">IF(OR(N59="",P59=1),"",N59&amp;"#"&amp;COUNTIFS($N$8:N59,N59,$P$8:P59,0))</f>
        <v/>
      </c>
      <c r="R59" s="9" t="n">
        <f aca="false">IF(N59="",0,IFERROR(MATCH(ROW()-7,'Cash Book'!$U$8:$U$507,0),0))</f>
        <v>0</v>
      </c>
      <c r="V59" s="9" t="str">
        <f aca="false">IF(AND(N59&lt;&gt;"",R59=0),IF(M59="IN",3,4)*100000+ROW(),"")</f>
        <v/>
      </c>
      <c r="W59" s="9" t="n">
        <f aca="false">N(E59)+N(F59)</f>
        <v>0</v>
      </c>
    </row>
    <row r="60" customFormat="false" ht="15" hidden="false" customHeight="false" outlineLevel="0" collapsed="false">
      <c r="A60" s="37" t="str">
        <f aca="false">IF(M60="","",ROW()-7)</f>
        <v/>
      </c>
      <c r="B60" s="70"/>
      <c r="C60" s="72"/>
      <c r="D60" s="71"/>
      <c r="E60" s="73"/>
      <c r="F60" s="73"/>
      <c r="G60" s="73"/>
      <c r="H60" s="42" t="str">
        <f aca="false">IF(M60="","",IF(R60&gt;0,"✔ Matched",IF(M60="IN","Not in cash book (credit)","Not in cash book (debit)")))</f>
        <v/>
      </c>
      <c r="I60" s="43" t="str">
        <f aca="false">IF(N(R60)&gt;0,R60,"")</f>
        <v/>
      </c>
      <c r="J60" s="45" t="str">
        <f aca="false">IF(AND(M60="",B60="",C60=""),"",IF(AND(N(E60)&gt;0,N(F60)&gt;0),"⚠ Fill withdrawal OR deposit",IF(M60="","⚠ Enter amount",IF(B60="","⚠ Enter date",IF(NOT(OR(NOT(ISNUMBER(G60)),NOT(ISNUMBER(G59)),ABS(N(G60)-(N(G59)+N(F60)-N(E60)))&lt;=0.5)),"⚠ Balance does not follow previous row","✔")))))</f>
        <v/>
      </c>
      <c r="M60" s="9" t="str">
        <f aca="false">IF(N(F60)&gt;0,"IN",IF(N(E60)&gt;0,"OUT",""))</f>
        <v/>
      </c>
      <c r="N60" s="9" t="str">
        <f aca="false">IF(M60="","",M60&amp;"|"&amp;TEXT(ROUND(N(E60)+N(F60),2),"0.00"))</f>
        <v/>
      </c>
      <c r="O60" s="9" t="str">
        <f aca="false">IF(OR(N60="",TRIM(D60&amp;"")=""),"",N60&amp;"|"&amp;UPPER(TRIM(D60&amp;"")))</f>
        <v/>
      </c>
      <c r="P60" s="9" t="n">
        <f aca="false">IF(O60="",0,IF(COUNTIF('Cash Book'!$O$8:$O$507,O60)&gt;0,1,0))</f>
        <v>0</v>
      </c>
      <c r="Q60" s="9" t="str">
        <f aca="false">IF(OR(N60="",P60=1),"",N60&amp;"#"&amp;COUNTIFS($N$8:N60,N60,$P$8:P60,0))</f>
        <v/>
      </c>
      <c r="R60" s="9" t="n">
        <f aca="false">IF(N60="",0,IFERROR(MATCH(ROW()-7,'Cash Book'!$U$8:$U$507,0),0))</f>
        <v>0</v>
      </c>
      <c r="V60" s="9" t="str">
        <f aca="false">IF(AND(N60&lt;&gt;"",R60=0),IF(M60="IN",3,4)*100000+ROW(),"")</f>
        <v/>
      </c>
      <c r="W60" s="9" t="n">
        <f aca="false">N(E60)+N(F60)</f>
        <v>0</v>
      </c>
    </row>
    <row r="61" customFormat="false" ht="15" hidden="false" customHeight="false" outlineLevel="0" collapsed="false">
      <c r="A61" s="37" t="str">
        <f aca="false">IF(M61="","",ROW()-7)</f>
        <v/>
      </c>
      <c r="B61" s="70"/>
      <c r="C61" s="72"/>
      <c r="D61" s="71"/>
      <c r="E61" s="73"/>
      <c r="F61" s="73"/>
      <c r="G61" s="73"/>
      <c r="H61" s="42" t="str">
        <f aca="false">IF(M61="","",IF(R61&gt;0,"✔ Matched",IF(M61="IN","Not in cash book (credit)","Not in cash book (debit)")))</f>
        <v/>
      </c>
      <c r="I61" s="43" t="str">
        <f aca="false">IF(N(R61)&gt;0,R61,"")</f>
        <v/>
      </c>
      <c r="J61" s="45" t="str">
        <f aca="false">IF(AND(M61="",B61="",C61=""),"",IF(AND(N(E61)&gt;0,N(F61)&gt;0),"⚠ Fill withdrawal OR deposit",IF(M61="","⚠ Enter amount",IF(B61="","⚠ Enter date",IF(NOT(OR(NOT(ISNUMBER(G61)),NOT(ISNUMBER(G60)),ABS(N(G61)-(N(G60)+N(F61)-N(E61)))&lt;=0.5)),"⚠ Balance does not follow previous row","✔")))))</f>
        <v/>
      </c>
      <c r="M61" s="9" t="str">
        <f aca="false">IF(N(F61)&gt;0,"IN",IF(N(E61)&gt;0,"OUT",""))</f>
        <v/>
      </c>
      <c r="N61" s="9" t="str">
        <f aca="false">IF(M61="","",M61&amp;"|"&amp;TEXT(ROUND(N(E61)+N(F61),2),"0.00"))</f>
        <v/>
      </c>
      <c r="O61" s="9" t="str">
        <f aca="false">IF(OR(N61="",TRIM(D61&amp;"")=""),"",N61&amp;"|"&amp;UPPER(TRIM(D61&amp;"")))</f>
        <v/>
      </c>
      <c r="P61" s="9" t="n">
        <f aca="false">IF(O61="",0,IF(COUNTIF('Cash Book'!$O$8:$O$507,O61)&gt;0,1,0))</f>
        <v>0</v>
      </c>
      <c r="Q61" s="9" t="str">
        <f aca="false">IF(OR(N61="",P61=1),"",N61&amp;"#"&amp;COUNTIFS($N$8:N61,N61,$P$8:P61,0))</f>
        <v/>
      </c>
      <c r="R61" s="9" t="n">
        <f aca="false">IF(N61="",0,IFERROR(MATCH(ROW()-7,'Cash Book'!$U$8:$U$507,0),0))</f>
        <v>0</v>
      </c>
      <c r="V61" s="9" t="str">
        <f aca="false">IF(AND(N61&lt;&gt;"",R61=0),IF(M61="IN",3,4)*100000+ROW(),"")</f>
        <v/>
      </c>
      <c r="W61" s="9" t="n">
        <f aca="false">N(E61)+N(F61)</f>
        <v>0</v>
      </c>
    </row>
    <row r="62" customFormat="false" ht="15" hidden="false" customHeight="false" outlineLevel="0" collapsed="false">
      <c r="A62" s="37" t="str">
        <f aca="false">IF(M62="","",ROW()-7)</f>
        <v/>
      </c>
      <c r="B62" s="70"/>
      <c r="C62" s="72"/>
      <c r="D62" s="71"/>
      <c r="E62" s="73"/>
      <c r="F62" s="73"/>
      <c r="G62" s="73"/>
      <c r="H62" s="42" t="str">
        <f aca="false">IF(M62="","",IF(R62&gt;0,"✔ Matched",IF(M62="IN","Not in cash book (credit)","Not in cash book (debit)")))</f>
        <v/>
      </c>
      <c r="I62" s="43" t="str">
        <f aca="false">IF(N(R62)&gt;0,R62,"")</f>
        <v/>
      </c>
      <c r="J62" s="45" t="str">
        <f aca="false">IF(AND(M62="",B62="",C62=""),"",IF(AND(N(E62)&gt;0,N(F62)&gt;0),"⚠ Fill withdrawal OR deposit",IF(M62="","⚠ Enter amount",IF(B62="","⚠ Enter date",IF(NOT(OR(NOT(ISNUMBER(G62)),NOT(ISNUMBER(G61)),ABS(N(G62)-(N(G61)+N(F62)-N(E62)))&lt;=0.5)),"⚠ Balance does not follow previous row","✔")))))</f>
        <v/>
      </c>
      <c r="M62" s="9" t="str">
        <f aca="false">IF(N(F62)&gt;0,"IN",IF(N(E62)&gt;0,"OUT",""))</f>
        <v/>
      </c>
      <c r="N62" s="9" t="str">
        <f aca="false">IF(M62="","",M62&amp;"|"&amp;TEXT(ROUND(N(E62)+N(F62),2),"0.00"))</f>
        <v/>
      </c>
      <c r="O62" s="9" t="str">
        <f aca="false">IF(OR(N62="",TRIM(D62&amp;"")=""),"",N62&amp;"|"&amp;UPPER(TRIM(D62&amp;"")))</f>
        <v/>
      </c>
      <c r="P62" s="9" t="n">
        <f aca="false">IF(O62="",0,IF(COUNTIF('Cash Book'!$O$8:$O$507,O62)&gt;0,1,0))</f>
        <v>0</v>
      </c>
      <c r="Q62" s="9" t="str">
        <f aca="false">IF(OR(N62="",P62=1),"",N62&amp;"#"&amp;COUNTIFS($N$8:N62,N62,$P$8:P62,0))</f>
        <v/>
      </c>
      <c r="R62" s="9" t="n">
        <f aca="false">IF(N62="",0,IFERROR(MATCH(ROW()-7,'Cash Book'!$U$8:$U$507,0),0))</f>
        <v>0</v>
      </c>
      <c r="V62" s="9" t="str">
        <f aca="false">IF(AND(N62&lt;&gt;"",R62=0),IF(M62="IN",3,4)*100000+ROW(),"")</f>
        <v/>
      </c>
      <c r="W62" s="9" t="n">
        <f aca="false">N(E62)+N(F62)</f>
        <v>0</v>
      </c>
    </row>
    <row r="63" customFormat="false" ht="15" hidden="false" customHeight="false" outlineLevel="0" collapsed="false">
      <c r="A63" s="37" t="str">
        <f aca="false">IF(M63="","",ROW()-7)</f>
        <v/>
      </c>
      <c r="B63" s="70"/>
      <c r="C63" s="72"/>
      <c r="D63" s="71"/>
      <c r="E63" s="73"/>
      <c r="F63" s="73"/>
      <c r="G63" s="73"/>
      <c r="H63" s="42" t="str">
        <f aca="false">IF(M63="","",IF(R63&gt;0,"✔ Matched",IF(M63="IN","Not in cash book (credit)","Not in cash book (debit)")))</f>
        <v/>
      </c>
      <c r="I63" s="43" t="str">
        <f aca="false">IF(N(R63)&gt;0,R63,"")</f>
        <v/>
      </c>
      <c r="J63" s="45" t="str">
        <f aca="false">IF(AND(M63="",B63="",C63=""),"",IF(AND(N(E63)&gt;0,N(F63)&gt;0),"⚠ Fill withdrawal OR deposit",IF(M63="","⚠ Enter amount",IF(B63="","⚠ Enter date",IF(NOT(OR(NOT(ISNUMBER(G63)),NOT(ISNUMBER(G62)),ABS(N(G63)-(N(G62)+N(F63)-N(E63)))&lt;=0.5)),"⚠ Balance does not follow previous row","✔")))))</f>
        <v/>
      </c>
      <c r="M63" s="9" t="str">
        <f aca="false">IF(N(F63)&gt;0,"IN",IF(N(E63)&gt;0,"OUT",""))</f>
        <v/>
      </c>
      <c r="N63" s="9" t="str">
        <f aca="false">IF(M63="","",M63&amp;"|"&amp;TEXT(ROUND(N(E63)+N(F63),2),"0.00"))</f>
        <v/>
      </c>
      <c r="O63" s="9" t="str">
        <f aca="false">IF(OR(N63="",TRIM(D63&amp;"")=""),"",N63&amp;"|"&amp;UPPER(TRIM(D63&amp;"")))</f>
        <v/>
      </c>
      <c r="P63" s="9" t="n">
        <f aca="false">IF(O63="",0,IF(COUNTIF('Cash Book'!$O$8:$O$507,O63)&gt;0,1,0))</f>
        <v>0</v>
      </c>
      <c r="Q63" s="9" t="str">
        <f aca="false">IF(OR(N63="",P63=1),"",N63&amp;"#"&amp;COUNTIFS($N$8:N63,N63,$P$8:P63,0))</f>
        <v/>
      </c>
      <c r="R63" s="9" t="n">
        <f aca="false">IF(N63="",0,IFERROR(MATCH(ROW()-7,'Cash Book'!$U$8:$U$507,0),0))</f>
        <v>0</v>
      </c>
      <c r="V63" s="9" t="str">
        <f aca="false">IF(AND(N63&lt;&gt;"",R63=0),IF(M63="IN",3,4)*100000+ROW(),"")</f>
        <v/>
      </c>
      <c r="W63" s="9" t="n">
        <f aca="false">N(E63)+N(F63)</f>
        <v>0</v>
      </c>
    </row>
    <row r="64" customFormat="false" ht="15" hidden="false" customHeight="false" outlineLevel="0" collapsed="false">
      <c r="A64" s="37" t="str">
        <f aca="false">IF(M64="","",ROW()-7)</f>
        <v/>
      </c>
      <c r="B64" s="70"/>
      <c r="C64" s="72"/>
      <c r="D64" s="71"/>
      <c r="E64" s="73"/>
      <c r="F64" s="73"/>
      <c r="G64" s="73"/>
      <c r="H64" s="42" t="str">
        <f aca="false">IF(M64="","",IF(R64&gt;0,"✔ Matched",IF(M64="IN","Not in cash book (credit)","Not in cash book (debit)")))</f>
        <v/>
      </c>
      <c r="I64" s="43" t="str">
        <f aca="false">IF(N(R64)&gt;0,R64,"")</f>
        <v/>
      </c>
      <c r="J64" s="45" t="str">
        <f aca="false">IF(AND(M64="",B64="",C64=""),"",IF(AND(N(E64)&gt;0,N(F64)&gt;0),"⚠ Fill withdrawal OR deposit",IF(M64="","⚠ Enter amount",IF(B64="","⚠ Enter date",IF(NOT(OR(NOT(ISNUMBER(G64)),NOT(ISNUMBER(G63)),ABS(N(G64)-(N(G63)+N(F64)-N(E64)))&lt;=0.5)),"⚠ Balance does not follow previous row","✔")))))</f>
        <v/>
      </c>
      <c r="M64" s="9" t="str">
        <f aca="false">IF(N(F64)&gt;0,"IN",IF(N(E64)&gt;0,"OUT",""))</f>
        <v/>
      </c>
      <c r="N64" s="9" t="str">
        <f aca="false">IF(M64="","",M64&amp;"|"&amp;TEXT(ROUND(N(E64)+N(F64),2),"0.00"))</f>
        <v/>
      </c>
      <c r="O64" s="9" t="str">
        <f aca="false">IF(OR(N64="",TRIM(D64&amp;"")=""),"",N64&amp;"|"&amp;UPPER(TRIM(D64&amp;"")))</f>
        <v/>
      </c>
      <c r="P64" s="9" t="n">
        <f aca="false">IF(O64="",0,IF(COUNTIF('Cash Book'!$O$8:$O$507,O64)&gt;0,1,0))</f>
        <v>0</v>
      </c>
      <c r="Q64" s="9" t="str">
        <f aca="false">IF(OR(N64="",P64=1),"",N64&amp;"#"&amp;COUNTIFS($N$8:N64,N64,$P$8:P64,0))</f>
        <v/>
      </c>
      <c r="R64" s="9" t="n">
        <f aca="false">IF(N64="",0,IFERROR(MATCH(ROW()-7,'Cash Book'!$U$8:$U$507,0),0))</f>
        <v>0</v>
      </c>
      <c r="V64" s="9" t="str">
        <f aca="false">IF(AND(N64&lt;&gt;"",R64=0),IF(M64="IN",3,4)*100000+ROW(),"")</f>
        <v/>
      </c>
      <c r="W64" s="9" t="n">
        <f aca="false">N(E64)+N(F64)</f>
        <v>0</v>
      </c>
    </row>
    <row r="65" customFormat="false" ht="15" hidden="false" customHeight="false" outlineLevel="0" collapsed="false">
      <c r="A65" s="37" t="str">
        <f aca="false">IF(M65="","",ROW()-7)</f>
        <v/>
      </c>
      <c r="B65" s="70"/>
      <c r="C65" s="72"/>
      <c r="D65" s="71"/>
      <c r="E65" s="73"/>
      <c r="F65" s="73"/>
      <c r="G65" s="73"/>
      <c r="H65" s="42" t="str">
        <f aca="false">IF(M65="","",IF(R65&gt;0,"✔ Matched",IF(M65="IN","Not in cash book (credit)","Not in cash book (debit)")))</f>
        <v/>
      </c>
      <c r="I65" s="43" t="str">
        <f aca="false">IF(N(R65)&gt;0,R65,"")</f>
        <v/>
      </c>
      <c r="J65" s="45" t="str">
        <f aca="false">IF(AND(M65="",B65="",C65=""),"",IF(AND(N(E65)&gt;0,N(F65)&gt;0),"⚠ Fill withdrawal OR deposit",IF(M65="","⚠ Enter amount",IF(B65="","⚠ Enter date",IF(NOT(OR(NOT(ISNUMBER(G65)),NOT(ISNUMBER(G64)),ABS(N(G65)-(N(G64)+N(F65)-N(E65)))&lt;=0.5)),"⚠ Balance does not follow previous row","✔")))))</f>
        <v/>
      </c>
      <c r="M65" s="9" t="str">
        <f aca="false">IF(N(F65)&gt;0,"IN",IF(N(E65)&gt;0,"OUT",""))</f>
        <v/>
      </c>
      <c r="N65" s="9" t="str">
        <f aca="false">IF(M65="","",M65&amp;"|"&amp;TEXT(ROUND(N(E65)+N(F65),2),"0.00"))</f>
        <v/>
      </c>
      <c r="O65" s="9" t="str">
        <f aca="false">IF(OR(N65="",TRIM(D65&amp;"")=""),"",N65&amp;"|"&amp;UPPER(TRIM(D65&amp;"")))</f>
        <v/>
      </c>
      <c r="P65" s="9" t="n">
        <f aca="false">IF(O65="",0,IF(COUNTIF('Cash Book'!$O$8:$O$507,O65)&gt;0,1,0))</f>
        <v>0</v>
      </c>
      <c r="Q65" s="9" t="str">
        <f aca="false">IF(OR(N65="",P65=1),"",N65&amp;"#"&amp;COUNTIFS($N$8:N65,N65,$P$8:P65,0))</f>
        <v/>
      </c>
      <c r="R65" s="9" t="n">
        <f aca="false">IF(N65="",0,IFERROR(MATCH(ROW()-7,'Cash Book'!$U$8:$U$507,0),0))</f>
        <v>0</v>
      </c>
      <c r="V65" s="9" t="str">
        <f aca="false">IF(AND(N65&lt;&gt;"",R65=0),IF(M65="IN",3,4)*100000+ROW(),"")</f>
        <v/>
      </c>
      <c r="W65" s="9" t="n">
        <f aca="false">N(E65)+N(F65)</f>
        <v>0</v>
      </c>
    </row>
    <row r="66" customFormat="false" ht="15" hidden="false" customHeight="false" outlineLevel="0" collapsed="false">
      <c r="A66" s="37" t="str">
        <f aca="false">IF(M66="","",ROW()-7)</f>
        <v/>
      </c>
      <c r="B66" s="70"/>
      <c r="C66" s="72"/>
      <c r="D66" s="71"/>
      <c r="E66" s="73"/>
      <c r="F66" s="73"/>
      <c r="G66" s="73"/>
      <c r="H66" s="42" t="str">
        <f aca="false">IF(M66="","",IF(R66&gt;0,"✔ Matched",IF(M66="IN","Not in cash book (credit)","Not in cash book (debit)")))</f>
        <v/>
      </c>
      <c r="I66" s="43" t="str">
        <f aca="false">IF(N(R66)&gt;0,R66,"")</f>
        <v/>
      </c>
      <c r="J66" s="45" t="str">
        <f aca="false">IF(AND(M66="",B66="",C66=""),"",IF(AND(N(E66)&gt;0,N(F66)&gt;0),"⚠ Fill withdrawal OR deposit",IF(M66="","⚠ Enter amount",IF(B66="","⚠ Enter date",IF(NOT(OR(NOT(ISNUMBER(G66)),NOT(ISNUMBER(G65)),ABS(N(G66)-(N(G65)+N(F66)-N(E66)))&lt;=0.5)),"⚠ Balance does not follow previous row","✔")))))</f>
        <v/>
      </c>
      <c r="M66" s="9" t="str">
        <f aca="false">IF(N(F66)&gt;0,"IN",IF(N(E66)&gt;0,"OUT",""))</f>
        <v/>
      </c>
      <c r="N66" s="9" t="str">
        <f aca="false">IF(M66="","",M66&amp;"|"&amp;TEXT(ROUND(N(E66)+N(F66),2),"0.00"))</f>
        <v/>
      </c>
      <c r="O66" s="9" t="str">
        <f aca="false">IF(OR(N66="",TRIM(D66&amp;"")=""),"",N66&amp;"|"&amp;UPPER(TRIM(D66&amp;"")))</f>
        <v/>
      </c>
      <c r="P66" s="9" t="n">
        <f aca="false">IF(O66="",0,IF(COUNTIF('Cash Book'!$O$8:$O$507,O66)&gt;0,1,0))</f>
        <v>0</v>
      </c>
      <c r="Q66" s="9" t="str">
        <f aca="false">IF(OR(N66="",P66=1),"",N66&amp;"#"&amp;COUNTIFS($N$8:N66,N66,$P$8:P66,0))</f>
        <v/>
      </c>
      <c r="R66" s="9" t="n">
        <f aca="false">IF(N66="",0,IFERROR(MATCH(ROW()-7,'Cash Book'!$U$8:$U$507,0),0))</f>
        <v>0</v>
      </c>
      <c r="V66" s="9" t="str">
        <f aca="false">IF(AND(N66&lt;&gt;"",R66=0),IF(M66="IN",3,4)*100000+ROW(),"")</f>
        <v/>
      </c>
      <c r="W66" s="9" t="n">
        <f aca="false">N(E66)+N(F66)</f>
        <v>0</v>
      </c>
    </row>
    <row r="67" customFormat="false" ht="15" hidden="false" customHeight="false" outlineLevel="0" collapsed="false">
      <c r="A67" s="37" t="str">
        <f aca="false">IF(M67="","",ROW()-7)</f>
        <v/>
      </c>
      <c r="B67" s="70"/>
      <c r="C67" s="72"/>
      <c r="D67" s="71"/>
      <c r="E67" s="73"/>
      <c r="F67" s="73"/>
      <c r="G67" s="73"/>
      <c r="H67" s="42" t="str">
        <f aca="false">IF(M67="","",IF(R67&gt;0,"✔ Matched",IF(M67="IN","Not in cash book (credit)","Not in cash book (debit)")))</f>
        <v/>
      </c>
      <c r="I67" s="43" t="str">
        <f aca="false">IF(N(R67)&gt;0,R67,"")</f>
        <v/>
      </c>
      <c r="J67" s="45" t="str">
        <f aca="false">IF(AND(M67="",B67="",C67=""),"",IF(AND(N(E67)&gt;0,N(F67)&gt;0),"⚠ Fill withdrawal OR deposit",IF(M67="","⚠ Enter amount",IF(B67="","⚠ Enter date",IF(NOT(OR(NOT(ISNUMBER(G67)),NOT(ISNUMBER(G66)),ABS(N(G67)-(N(G66)+N(F67)-N(E67)))&lt;=0.5)),"⚠ Balance does not follow previous row","✔")))))</f>
        <v/>
      </c>
      <c r="M67" s="9" t="str">
        <f aca="false">IF(N(F67)&gt;0,"IN",IF(N(E67)&gt;0,"OUT",""))</f>
        <v/>
      </c>
      <c r="N67" s="9" t="str">
        <f aca="false">IF(M67="","",M67&amp;"|"&amp;TEXT(ROUND(N(E67)+N(F67),2),"0.00"))</f>
        <v/>
      </c>
      <c r="O67" s="9" t="str">
        <f aca="false">IF(OR(N67="",TRIM(D67&amp;"")=""),"",N67&amp;"|"&amp;UPPER(TRIM(D67&amp;"")))</f>
        <v/>
      </c>
      <c r="P67" s="9" t="n">
        <f aca="false">IF(O67="",0,IF(COUNTIF('Cash Book'!$O$8:$O$507,O67)&gt;0,1,0))</f>
        <v>0</v>
      </c>
      <c r="Q67" s="9" t="str">
        <f aca="false">IF(OR(N67="",P67=1),"",N67&amp;"#"&amp;COUNTIFS($N$8:N67,N67,$P$8:P67,0))</f>
        <v/>
      </c>
      <c r="R67" s="9" t="n">
        <f aca="false">IF(N67="",0,IFERROR(MATCH(ROW()-7,'Cash Book'!$U$8:$U$507,0),0))</f>
        <v>0</v>
      </c>
      <c r="V67" s="9" t="str">
        <f aca="false">IF(AND(N67&lt;&gt;"",R67=0),IF(M67="IN",3,4)*100000+ROW(),"")</f>
        <v/>
      </c>
      <c r="W67" s="9" t="n">
        <f aca="false">N(E67)+N(F67)</f>
        <v>0</v>
      </c>
    </row>
    <row r="68" customFormat="false" ht="15" hidden="false" customHeight="false" outlineLevel="0" collapsed="false">
      <c r="A68" s="37" t="str">
        <f aca="false">IF(M68="","",ROW()-7)</f>
        <v/>
      </c>
      <c r="B68" s="70"/>
      <c r="C68" s="72"/>
      <c r="D68" s="71"/>
      <c r="E68" s="73"/>
      <c r="F68" s="73"/>
      <c r="G68" s="73"/>
      <c r="H68" s="42" t="str">
        <f aca="false">IF(M68="","",IF(R68&gt;0,"✔ Matched",IF(M68="IN","Not in cash book (credit)","Not in cash book (debit)")))</f>
        <v/>
      </c>
      <c r="I68" s="43" t="str">
        <f aca="false">IF(N(R68)&gt;0,R68,"")</f>
        <v/>
      </c>
      <c r="J68" s="45" t="str">
        <f aca="false">IF(AND(M68="",B68="",C68=""),"",IF(AND(N(E68)&gt;0,N(F68)&gt;0),"⚠ Fill withdrawal OR deposit",IF(M68="","⚠ Enter amount",IF(B68="","⚠ Enter date",IF(NOT(OR(NOT(ISNUMBER(G68)),NOT(ISNUMBER(G67)),ABS(N(G68)-(N(G67)+N(F68)-N(E68)))&lt;=0.5)),"⚠ Balance does not follow previous row","✔")))))</f>
        <v/>
      </c>
      <c r="M68" s="9" t="str">
        <f aca="false">IF(N(F68)&gt;0,"IN",IF(N(E68)&gt;0,"OUT",""))</f>
        <v/>
      </c>
      <c r="N68" s="9" t="str">
        <f aca="false">IF(M68="","",M68&amp;"|"&amp;TEXT(ROUND(N(E68)+N(F68),2),"0.00"))</f>
        <v/>
      </c>
      <c r="O68" s="9" t="str">
        <f aca="false">IF(OR(N68="",TRIM(D68&amp;"")=""),"",N68&amp;"|"&amp;UPPER(TRIM(D68&amp;"")))</f>
        <v/>
      </c>
      <c r="P68" s="9" t="n">
        <f aca="false">IF(O68="",0,IF(COUNTIF('Cash Book'!$O$8:$O$507,O68)&gt;0,1,0))</f>
        <v>0</v>
      </c>
      <c r="Q68" s="9" t="str">
        <f aca="false">IF(OR(N68="",P68=1),"",N68&amp;"#"&amp;COUNTIFS($N$8:N68,N68,$P$8:P68,0))</f>
        <v/>
      </c>
      <c r="R68" s="9" t="n">
        <f aca="false">IF(N68="",0,IFERROR(MATCH(ROW()-7,'Cash Book'!$U$8:$U$507,0),0))</f>
        <v>0</v>
      </c>
      <c r="V68" s="9" t="str">
        <f aca="false">IF(AND(N68&lt;&gt;"",R68=0),IF(M68="IN",3,4)*100000+ROW(),"")</f>
        <v/>
      </c>
      <c r="W68" s="9" t="n">
        <f aca="false">N(E68)+N(F68)</f>
        <v>0</v>
      </c>
    </row>
    <row r="69" customFormat="false" ht="15" hidden="false" customHeight="false" outlineLevel="0" collapsed="false">
      <c r="A69" s="37" t="str">
        <f aca="false">IF(M69="","",ROW()-7)</f>
        <v/>
      </c>
      <c r="B69" s="70"/>
      <c r="C69" s="72"/>
      <c r="D69" s="71"/>
      <c r="E69" s="73"/>
      <c r="F69" s="73"/>
      <c r="G69" s="73"/>
      <c r="H69" s="42" t="str">
        <f aca="false">IF(M69="","",IF(R69&gt;0,"✔ Matched",IF(M69="IN","Not in cash book (credit)","Not in cash book (debit)")))</f>
        <v/>
      </c>
      <c r="I69" s="43" t="str">
        <f aca="false">IF(N(R69)&gt;0,R69,"")</f>
        <v/>
      </c>
      <c r="J69" s="45" t="str">
        <f aca="false">IF(AND(M69="",B69="",C69=""),"",IF(AND(N(E69)&gt;0,N(F69)&gt;0),"⚠ Fill withdrawal OR deposit",IF(M69="","⚠ Enter amount",IF(B69="","⚠ Enter date",IF(NOT(OR(NOT(ISNUMBER(G69)),NOT(ISNUMBER(G68)),ABS(N(G69)-(N(G68)+N(F69)-N(E69)))&lt;=0.5)),"⚠ Balance does not follow previous row","✔")))))</f>
        <v/>
      </c>
      <c r="M69" s="9" t="str">
        <f aca="false">IF(N(F69)&gt;0,"IN",IF(N(E69)&gt;0,"OUT",""))</f>
        <v/>
      </c>
      <c r="N69" s="9" t="str">
        <f aca="false">IF(M69="","",M69&amp;"|"&amp;TEXT(ROUND(N(E69)+N(F69),2),"0.00"))</f>
        <v/>
      </c>
      <c r="O69" s="9" t="str">
        <f aca="false">IF(OR(N69="",TRIM(D69&amp;"")=""),"",N69&amp;"|"&amp;UPPER(TRIM(D69&amp;"")))</f>
        <v/>
      </c>
      <c r="P69" s="9" t="n">
        <f aca="false">IF(O69="",0,IF(COUNTIF('Cash Book'!$O$8:$O$507,O69)&gt;0,1,0))</f>
        <v>0</v>
      </c>
      <c r="Q69" s="9" t="str">
        <f aca="false">IF(OR(N69="",P69=1),"",N69&amp;"#"&amp;COUNTIFS($N$8:N69,N69,$P$8:P69,0))</f>
        <v/>
      </c>
      <c r="R69" s="9" t="n">
        <f aca="false">IF(N69="",0,IFERROR(MATCH(ROW()-7,'Cash Book'!$U$8:$U$507,0),0))</f>
        <v>0</v>
      </c>
      <c r="V69" s="9" t="str">
        <f aca="false">IF(AND(N69&lt;&gt;"",R69=0),IF(M69="IN",3,4)*100000+ROW(),"")</f>
        <v/>
      </c>
      <c r="W69" s="9" t="n">
        <f aca="false">N(E69)+N(F69)</f>
        <v>0</v>
      </c>
    </row>
    <row r="70" customFormat="false" ht="15" hidden="false" customHeight="false" outlineLevel="0" collapsed="false">
      <c r="A70" s="37" t="str">
        <f aca="false">IF(M70="","",ROW()-7)</f>
        <v/>
      </c>
      <c r="B70" s="70"/>
      <c r="C70" s="72"/>
      <c r="D70" s="71"/>
      <c r="E70" s="73"/>
      <c r="F70" s="73"/>
      <c r="G70" s="73"/>
      <c r="H70" s="42" t="str">
        <f aca="false">IF(M70="","",IF(R70&gt;0,"✔ Matched",IF(M70="IN","Not in cash book (credit)","Not in cash book (debit)")))</f>
        <v/>
      </c>
      <c r="I70" s="43" t="str">
        <f aca="false">IF(N(R70)&gt;0,R70,"")</f>
        <v/>
      </c>
      <c r="J70" s="45" t="str">
        <f aca="false">IF(AND(M70="",B70="",C70=""),"",IF(AND(N(E70)&gt;0,N(F70)&gt;0),"⚠ Fill withdrawal OR deposit",IF(M70="","⚠ Enter amount",IF(B70="","⚠ Enter date",IF(NOT(OR(NOT(ISNUMBER(G70)),NOT(ISNUMBER(G69)),ABS(N(G70)-(N(G69)+N(F70)-N(E70)))&lt;=0.5)),"⚠ Balance does not follow previous row","✔")))))</f>
        <v/>
      </c>
      <c r="M70" s="9" t="str">
        <f aca="false">IF(N(F70)&gt;0,"IN",IF(N(E70)&gt;0,"OUT",""))</f>
        <v/>
      </c>
      <c r="N70" s="9" t="str">
        <f aca="false">IF(M70="","",M70&amp;"|"&amp;TEXT(ROUND(N(E70)+N(F70),2),"0.00"))</f>
        <v/>
      </c>
      <c r="O70" s="9" t="str">
        <f aca="false">IF(OR(N70="",TRIM(D70&amp;"")=""),"",N70&amp;"|"&amp;UPPER(TRIM(D70&amp;"")))</f>
        <v/>
      </c>
      <c r="P70" s="9" t="n">
        <f aca="false">IF(O70="",0,IF(COUNTIF('Cash Book'!$O$8:$O$507,O70)&gt;0,1,0))</f>
        <v>0</v>
      </c>
      <c r="Q70" s="9" t="str">
        <f aca="false">IF(OR(N70="",P70=1),"",N70&amp;"#"&amp;COUNTIFS($N$8:N70,N70,$P$8:P70,0))</f>
        <v/>
      </c>
      <c r="R70" s="9" t="n">
        <f aca="false">IF(N70="",0,IFERROR(MATCH(ROW()-7,'Cash Book'!$U$8:$U$507,0),0))</f>
        <v>0</v>
      </c>
      <c r="V70" s="9" t="str">
        <f aca="false">IF(AND(N70&lt;&gt;"",R70=0),IF(M70="IN",3,4)*100000+ROW(),"")</f>
        <v/>
      </c>
      <c r="W70" s="9" t="n">
        <f aca="false">N(E70)+N(F70)</f>
        <v>0</v>
      </c>
    </row>
    <row r="71" customFormat="false" ht="15" hidden="false" customHeight="false" outlineLevel="0" collapsed="false">
      <c r="A71" s="37" t="str">
        <f aca="false">IF(M71="","",ROW()-7)</f>
        <v/>
      </c>
      <c r="B71" s="70"/>
      <c r="C71" s="72"/>
      <c r="D71" s="71"/>
      <c r="E71" s="73"/>
      <c r="F71" s="73"/>
      <c r="G71" s="73"/>
      <c r="H71" s="42" t="str">
        <f aca="false">IF(M71="","",IF(R71&gt;0,"✔ Matched",IF(M71="IN","Not in cash book (credit)","Not in cash book (debit)")))</f>
        <v/>
      </c>
      <c r="I71" s="43" t="str">
        <f aca="false">IF(N(R71)&gt;0,R71,"")</f>
        <v/>
      </c>
      <c r="J71" s="45" t="str">
        <f aca="false">IF(AND(M71="",B71="",C71=""),"",IF(AND(N(E71)&gt;0,N(F71)&gt;0),"⚠ Fill withdrawal OR deposit",IF(M71="","⚠ Enter amount",IF(B71="","⚠ Enter date",IF(NOT(OR(NOT(ISNUMBER(G71)),NOT(ISNUMBER(G70)),ABS(N(G71)-(N(G70)+N(F71)-N(E71)))&lt;=0.5)),"⚠ Balance does not follow previous row","✔")))))</f>
        <v/>
      </c>
      <c r="M71" s="9" t="str">
        <f aca="false">IF(N(F71)&gt;0,"IN",IF(N(E71)&gt;0,"OUT",""))</f>
        <v/>
      </c>
      <c r="N71" s="9" t="str">
        <f aca="false">IF(M71="","",M71&amp;"|"&amp;TEXT(ROUND(N(E71)+N(F71),2),"0.00"))</f>
        <v/>
      </c>
      <c r="O71" s="9" t="str">
        <f aca="false">IF(OR(N71="",TRIM(D71&amp;"")=""),"",N71&amp;"|"&amp;UPPER(TRIM(D71&amp;"")))</f>
        <v/>
      </c>
      <c r="P71" s="9" t="n">
        <f aca="false">IF(O71="",0,IF(COUNTIF('Cash Book'!$O$8:$O$507,O71)&gt;0,1,0))</f>
        <v>0</v>
      </c>
      <c r="Q71" s="9" t="str">
        <f aca="false">IF(OR(N71="",P71=1),"",N71&amp;"#"&amp;COUNTIFS($N$8:N71,N71,$P$8:P71,0))</f>
        <v/>
      </c>
      <c r="R71" s="9" t="n">
        <f aca="false">IF(N71="",0,IFERROR(MATCH(ROW()-7,'Cash Book'!$U$8:$U$507,0),0))</f>
        <v>0</v>
      </c>
      <c r="V71" s="9" t="str">
        <f aca="false">IF(AND(N71&lt;&gt;"",R71=0),IF(M71="IN",3,4)*100000+ROW(),"")</f>
        <v/>
      </c>
      <c r="W71" s="9" t="n">
        <f aca="false">N(E71)+N(F71)</f>
        <v>0</v>
      </c>
    </row>
    <row r="72" customFormat="false" ht="15" hidden="false" customHeight="false" outlineLevel="0" collapsed="false">
      <c r="A72" s="37" t="str">
        <f aca="false">IF(M72="","",ROW()-7)</f>
        <v/>
      </c>
      <c r="B72" s="70"/>
      <c r="C72" s="72"/>
      <c r="D72" s="71"/>
      <c r="E72" s="73"/>
      <c r="F72" s="73"/>
      <c r="G72" s="73"/>
      <c r="H72" s="42" t="str">
        <f aca="false">IF(M72="","",IF(R72&gt;0,"✔ Matched",IF(M72="IN","Not in cash book (credit)","Not in cash book (debit)")))</f>
        <v/>
      </c>
      <c r="I72" s="43" t="str">
        <f aca="false">IF(N(R72)&gt;0,R72,"")</f>
        <v/>
      </c>
      <c r="J72" s="45" t="str">
        <f aca="false">IF(AND(M72="",B72="",C72=""),"",IF(AND(N(E72)&gt;0,N(F72)&gt;0),"⚠ Fill withdrawal OR deposit",IF(M72="","⚠ Enter amount",IF(B72="","⚠ Enter date",IF(NOT(OR(NOT(ISNUMBER(G72)),NOT(ISNUMBER(G71)),ABS(N(G72)-(N(G71)+N(F72)-N(E72)))&lt;=0.5)),"⚠ Balance does not follow previous row","✔")))))</f>
        <v/>
      </c>
      <c r="M72" s="9" t="str">
        <f aca="false">IF(N(F72)&gt;0,"IN",IF(N(E72)&gt;0,"OUT",""))</f>
        <v/>
      </c>
      <c r="N72" s="9" t="str">
        <f aca="false">IF(M72="","",M72&amp;"|"&amp;TEXT(ROUND(N(E72)+N(F72),2),"0.00"))</f>
        <v/>
      </c>
      <c r="O72" s="9" t="str">
        <f aca="false">IF(OR(N72="",TRIM(D72&amp;"")=""),"",N72&amp;"|"&amp;UPPER(TRIM(D72&amp;"")))</f>
        <v/>
      </c>
      <c r="P72" s="9" t="n">
        <f aca="false">IF(O72="",0,IF(COUNTIF('Cash Book'!$O$8:$O$507,O72)&gt;0,1,0))</f>
        <v>0</v>
      </c>
      <c r="Q72" s="9" t="str">
        <f aca="false">IF(OR(N72="",P72=1),"",N72&amp;"#"&amp;COUNTIFS($N$8:N72,N72,$P$8:P72,0))</f>
        <v/>
      </c>
      <c r="R72" s="9" t="n">
        <f aca="false">IF(N72="",0,IFERROR(MATCH(ROW()-7,'Cash Book'!$U$8:$U$507,0),0))</f>
        <v>0</v>
      </c>
      <c r="V72" s="9" t="str">
        <f aca="false">IF(AND(N72&lt;&gt;"",R72=0),IF(M72="IN",3,4)*100000+ROW(),"")</f>
        <v/>
      </c>
      <c r="W72" s="9" t="n">
        <f aca="false">N(E72)+N(F72)</f>
        <v>0</v>
      </c>
    </row>
    <row r="73" customFormat="false" ht="15" hidden="false" customHeight="false" outlineLevel="0" collapsed="false">
      <c r="A73" s="37" t="str">
        <f aca="false">IF(M73="","",ROW()-7)</f>
        <v/>
      </c>
      <c r="B73" s="70"/>
      <c r="C73" s="72"/>
      <c r="D73" s="71"/>
      <c r="E73" s="73"/>
      <c r="F73" s="73"/>
      <c r="G73" s="73"/>
      <c r="H73" s="42" t="str">
        <f aca="false">IF(M73="","",IF(R73&gt;0,"✔ Matched",IF(M73="IN","Not in cash book (credit)","Not in cash book (debit)")))</f>
        <v/>
      </c>
      <c r="I73" s="43" t="str">
        <f aca="false">IF(N(R73)&gt;0,R73,"")</f>
        <v/>
      </c>
      <c r="J73" s="45" t="str">
        <f aca="false">IF(AND(M73="",B73="",C73=""),"",IF(AND(N(E73)&gt;0,N(F73)&gt;0),"⚠ Fill withdrawal OR deposit",IF(M73="","⚠ Enter amount",IF(B73="","⚠ Enter date",IF(NOT(OR(NOT(ISNUMBER(G73)),NOT(ISNUMBER(G72)),ABS(N(G73)-(N(G72)+N(F73)-N(E73)))&lt;=0.5)),"⚠ Balance does not follow previous row","✔")))))</f>
        <v/>
      </c>
      <c r="M73" s="9" t="str">
        <f aca="false">IF(N(F73)&gt;0,"IN",IF(N(E73)&gt;0,"OUT",""))</f>
        <v/>
      </c>
      <c r="N73" s="9" t="str">
        <f aca="false">IF(M73="","",M73&amp;"|"&amp;TEXT(ROUND(N(E73)+N(F73),2),"0.00"))</f>
        <v/>
      </c>
      <c r="O73" s="9" t="str">
        <f aca="false">IF(OR(N73="",TRIM(D73&amp;"")=""),"",N73&amp;"|"&amp;UPPER(TRIM(D73&amp;"")))</f>
        <v/>
      </c>
      <c r="P73" s="9" t="n">
        <f aca="false">IF(O73="",0,IF(COUNTIF('Cash Book'!$O$8:$O$507,O73)&gt;0,1,0))</f>
        <v>0</v>
      </c>
      <c r="Q73" s="9" t="str">
        <f aca="false">IF(OR(N73="",P73=1),"",N73&amp;"#"&amp;COUNTIFS($N$8:N73,N73,$P$8:P73,0))</f>
        <v/>
      </c>
      <c r="R73" s="9" t="n">
        <f aca="false">IF(N73="",0,IFERROR(MATCH(ROW()-7,'Cash Book'!$U$8:$U$507,0),0))</f>
        <v>0</v>
      </c>
      <c r="V73" s="9" t="str">
        <f aca="false">IF(AND(N73&lt;&gt;"",R73=0),IF(M73="IN",3,4)*100000+ROW(),"")</f>
        <v/>
      </c>
      <c r="W73" s="9" t="n">
        <f aca="false">N(E73)+N(F73)</f>
        <v>0</v>
      </c>
    </row>
    <row r="74" customFormat="false" ht="15" hidden="false" customHeight="false" outlineLevel="0" collapsed="false">
      <c r="A74" s="37" t="str">
        <f aca="false">IF(M74="","",ROW()-7)</f>
        <v/>
      </c>
      <c r="B74" s="70"/>
      <c r="C74" s="72"/>
      <c r="D74" s="71"/>
      <c r="E74" s="73"/>
      <c r="F74" s="73"/>
      <c r="G74" s="73"/>
      <c r="H74" s="42" t="str">
        <f aca="false">IF(M74="","",IF(R74&gt;0,"✔ Matched",IF(M74="IN","Not in cash book (credit)","Not in cash book (debit)")))</f>
        <v/>
      </c>
      <c r="I74" s="43" t="str">
        <f aca="false">IF(N(R74)&gt;0,R74,"")</f>
        <v/>
      </c>
      <c r="J74" s="45" t="str">
        <f aca="false">IF(AND(M74="",B74="",C74=""),"",IF(AND(N(E74)&gt;0,N(F74)&gt;0),"⚠ Fill withdrawal OR deposit",IF(M74="","⚠ Enter amount",IF(B74="","⚠ Enter date",IF(NOT(OR(NOT(ISNUMBER(G74)),NOT(ISNUMBER(G73)),ABS(N(G74)-(N(G73)+N(F74)-N(E74)))&lt;=0.5)),"⚠ Balance does not follow previous row","✔")))))</f>
        <v/>
      </c>
      <c r="M74" s="9" t="str">
        <f aca="false">IF(N(F74)&gt;0,"IN",IF(N(E74)&gt;0,"OUT",""))</f>
        <v/>
      </c>
      <c r="N74" s="9" t="str">
        <f aca="false">IF(M74="","",M74&amp;"|"&amp;TEXT(ROUND(N(E74)+N(F74),2),"0.00"))</f>
        <v/>
      </c>
      <c r="O74" s="9" t="str">
        <f aca="false">IF(OR(N74="",TRIM(D74&amp;"")=""),"",N74&amp;"|"&amp;UPPER(TRIM(D74&amp;"")))</f>
        <v/>
      </c>
      <c r="P74" s="9" t="n">
        <f aca="false">IF(O74="",0,IF(COUNTIF('Cash Book'!$O$8:$O$507,O74)&gt;0,1,0))</f>
        <v>0</v>
      </c>
      <c r="Q74" s="9" t="str">
        <f aca="false">IF(OR(N74="",P74=1),"",N74&amp;"#"&amp;COUNTIFS($N$8:N74,N74,$P$8:P74,0))</f>
        <v/>
      </c>
      <c r="R74" s="9" t="n">
        <f aca="false">IF(N74="",0,IFERROR(MATCH(ROW()-7,'Cash Book'!$U$8:$U$507,0),0))</f>
        <v>0</v>
      </c>
      <c r="V74" s="9" t="str">
        <f aca="false">IF(AND(N74&lt;&gt;"",R74=0),IF(M74="IN",3,4)*100000+ROW(),"")</f>
        <v/>
      </c>
      <c r="W74" s="9" t="n">
        <f aca="false">N(E74)+N(F74)</f>
        <v>0</v>
      </c>
    </row>
    <row r="75" customFormat="false" ht="15" hidden="false" customHeight="false" outlineLevel="0" collapsed="false">
      <c r="A75" s="37" t="str">
        <f aca="false">IF(M75="","",ROW()-7)</f>
        <v/>
      </c>
      <c r="B75" s="70"/>
      <c r="C75" s="72"/>
      <c r="D75" s="71"/>
      <c r="E75" s="73"/>
      <c r="F75" s="73"/>
      <c r="G75" s="73"/>
      <c r="H75" s="42" t="str">
        <f aca="false">IF(M75="","",IF(R75&gt;0,"✔ Matched",IF(M75="IN","Not in cash book (credit)","Not in cash book (debit)")))</f>
        <v/>
      </c>
      <c r="I75" s="43" t="str">
        <f aca="false">IF(N(R75)&gt;0,R75,"")</f>
        <v/>
      </c>
      <c r="J75" s="45" t="str">
        <f aca="false">IF(AND(M75="",B75="",C75=""),"",IF(AND(N(E75)&gt;0,N(F75)&gt;0),"⚠ Fill withdrawal OR deposit",IF(M75="","⚠ Enter amount",IF(B75="","⚠ Enter date",IF(NOT(OR(NOT(ISNUMBER(G75)),NOT(ISNUMBER(G74)),ABS(N(G75)-(N(G74)+N(F75)-N(E75)))&lt;=0.5)),"⚠ Balance does not follow previous row","✔")))))</f>
        <v/>
      </c>
      <c r="M75" s="9" t="str">
        <f aca="false">IF(N(F75)&gt;0,"IN",IF(N(E75)&gt;0,"OUT",""))</f>
        <v/>
      </c>
      <c r="N75" s="9" t="str">
        <f aca="false">IF(M75="","",M75&amp;"|"&amp;TEXT(ROUND(N(E75)+N(F75),2),"0.00"))</f>
        <v/>
      </c>
      <c r="O75" s="9" t="str">
        <f aca="false">IF(OR(N75="",TRIM(D75&amp;"")=""),"",N75&amp;"|"&amp;UPPER(TRIM(D75&amp;"")))</f>
        <v/>
      </c>
      <c r="P75" s="9" t="n">
        <f aca="false">IF(O75="",0,IF(COUNTIF('Cash Book'!$O$8:$O$507,O75)&gt;0,1,0))</f>
        <v>0</v>
      </c>
      <c r="Q75" s="9" t="str">
        <f aca="false">IF(OR(N75="",P75=1),"",N75&amp;"#"&amp;COUNTIFS($N$8:N75,N75,$P$8:P75,0))</f>
        <v/>
      </c>
      <c r="R75" s="9" t="n">
        <f aca="false">IF(N75="",0,IFERROR(MATCH(ROW()-7,'Cash Book'!$U$8:$U$507,0),0))</f>
        <v>0</v>
      </c>
      <c r="V75" s="9" t="str">
        <f aca="false">IF(AND(N75&lt;&gt;"",R75=0),IF(M75="IN",3,4)*100000+ROW(),"")</f>
        <v/>
      </c>
      <c r="W75" s="9" t="n">
        <f aca="false">N(E75)+N(F75)</f>
        <v>0</v>
      </c>
    </row>
    <row r="76" customFormat="false" ht="15" hidden="false" customHeight="false" outlineLevel="0" collapsed="false">
      <c r="A76" s="37" t="str">
        <f aca="false">IF(M76="","",ROW()-7)</f>
        <v/>
      </c>
      <c r="B76" s="70"/>
      <c r="C76" s="72"/>
      <c r="D76" s="71"/>
      <c r="E76" s="73"/>
      <c r="F76" s="73"/>
      <c r="G76" s="73"/>
      <c r="H76" s="42" t="str">
        <f aca="false">IF(M76="","",IF(R76&gt;0,"✔ Matched",IF(M76="IN","Not in cash book (credit)","Not in cash book (debit)")))</f>
        <v/>
      </c>
      <c r="I76" s="43" t="str">
        <f aca="false">IF(N(R76)&gt;0,R76,"")</f>
        <v/>
      </c>
      <c r="J76" s="45" t="str">
        <f aca="false">IF(AND(M76="",B76="",C76=""),"",IF(AND(N(E76)&gt;0,N(F76)&gt;0),"⚠ Fill withdrawal OR deposit",IF(M76="","⚠ Enter amount",IF(B76="","⚠ Enter date",IF(NOT(OR(NOT(ISNUMBER(G76)),NOT(ISNUMBER(G75)),ABS(N(G76)-(N(G75)+N(F76)-N(E76)))&lt;=0.5)),"⚠ Balance does not follow previous row","✔")))))</f>
        <v/>
      </c>
      <c r="M76" s="9" t="str">
        <f aca="false">IF(N(F76)&gt;0,"IN",IF(N(E76)&gt;0,"OUT",""))</f>
        <v/>
      </c>
      <c r="N76" s="9" t="str">
        <f aca="false">IF(M76="","",M76&amp;"|"&amp;TEXT(ROUND(N(E76)+N(F76),2),"0.00"))</f>
        <v/>
      </c>
      <c r="O76" s="9" t="str">
        <f aca="false">IF(OR(N76="",TRIM(D76&amp;"")=""),"",N76&amp;"|"&amp;UPPER(TRIM(D76&amp;"")))</f>
        <v/>
      </c>
      <c r="P76" s="9" t="n">
        <f aca="false">IF(O76="",0,IF(COUNTIF('Cash Book'!$O$8:$O$507,O76)&gt;0,1,0))</f>
        <v>0</v>
      </c>
      <c r="Q76" s="9" t="str">
        <f aca="false">IF(OR(N76="",P76=1),"",N76&amp;"#"&amp;COUNTIFS($N$8:N76,N76,$P$8:P76,0))</f>
        <v/>
      </c>
      <c r="R76" s="9" t="n">
        <f aca="false">IF(N76="",0,IFERROR(MATCH(ROW()-7,'Cash Book'!$U$8:$U$507,0),0))</f>
        <v>0</v>
      </c>
      <c r="V76" s="9" t="str">
        <f aca="false">IF(AND(N76&lt;&gt;"",R76=0),IF(M76="IN",3,4)*100000+ROW(),"")</f>
        <v/>
      </c>
      <c r="W76" s="9" t="n">
        <f aca="false">N(E76)+N(F76)</f>
        <v>0</v>
      </c>
    </row>
    <row r="77" customFormat="false" ht="15" hidden="false" customHeight="false" outlineLevel="0" collapsed="false">
      <c r="A77" s="37" t="str">
        <f aca="false">IF(M77="","",ROW()-7)</f>
        <v/>
      </c>
      <c r="B77" s="70"/>
      <c r="C77" s="72"/>
      <c r="D77" s="71"/>
      <c r="E77" s="73"/>
      <c r="F77" s="73"/>
      <c r="G77" s="73"/>
      <c r="H77" s="42" t="str">
        <f aca="false">IF(M77="","",IF(R77&gt;0,"✔ Matched",IF(M77="IN","Not in cash book (credit)","Not in cash book (debit)")))</f>
        <v/>
      </c>
      <c r="I77" s="43" t="str">
        <f aca="false">IF(N(R77)&gt;0,R77,"")</f>
        <v/>
      </c>
      <c r="J77" s="45" t="str">
        <f aca="false">IF(AND(M77="",B77="",C77=""),"",IF(AND(N(E77)&gt;0,N(F77)&gt;0),"⚠ Fill withdrawal OR deposit",IF(M77="","⚠ Enter amount",IF(B77="","⚠ Enter date",IF(NOT(OR(NOT(ISNUMBER(G77)),NOT(ISNUMBER(G76)),ABS(N(G77)-(N(G76)+N(F77)-N(E77)))&lt;=0.5)),"⚠ Balance does not follow previous row","✔")))))</f>
        <v/>
      </c>
      <c r="M77" s="9" t="str">
        <f aca="false">IF(N(F77)&gt;0,"IN",IF(N(E77)&gt;0,"OUT",""))</f>
        <v/>
      </c>
      <c r="N77" s="9" t="str">
        <f aca="false">IF(M77="","",M77&amp;"|"&amp;TEXT(ROUND(N(E77)+N(F77),2),"0.00"))</f>
        <v/>
      </c>
      <c r="O77" s="9" t="str">
        <f aca="false">IF(OR(N77="",TRIM(D77&amp;"")=""),"",N77&amp;"|"&amp;UPPER(TRIM(D77&amp;"")))</f>
        <v/>
      </c>
      <c r="P77" s="9" t="n">
        <f aca="false">IF(O77="",0,IF(COUNTIF('Cash Book'!$O$8:$O$507,O77)&gt;0,1,0))</f>
        <v>0</v>
      </c>
      <c r="Q77" s="9" t="str">
        <f aca="false">IF(OR(N77="",P77=1),"",N77&amp;"#"&amp;COUNTIFS($N$8:N77,N77,$P$8:P77,0))</f>
        <v/>
      </c>
      <c r="R77" s="9" t="n">
        <f aca="false">IF(N77="",0,IFERROR(MATCH(ROW()-7,'Cash Book'!$U$8:$U$507,0),0))</f>
        <v>0</v>
      </c>
      <c r="V77" s="9" t="str">
        <f aca="false">IF(AND(N77&lt;&gt;"",R77=0),IF(M77="IN",3,4)*100000+ROW(),"")</f>
        <v/>
      </c>
      <c r="W77" s="9" t="n">
        <f aca="false">N(E77)+N(F77)</f>
        <v>0</v>
      </c>
    </row>
    <row r="78" customFormat="false" ht="15" hidden="false" customHeight="false" outlineLevel="0" collapsed="false">
      <c r="A78" s="37" t="str">
        <f aca="false">IF(M78="","",ROW()-7)</f>
        <v/>
      </c>
      <c r="B78" s="70"/>
      <c r="C78" s="72"/>
      <c r="D78" s="71"/>
      <c r="E78" s="73"/>
      <c r="F78" s="73"/>
      <c r="G78" s="73"/>
      <c r="H78" s="42" t="str">
        <f aca="false">IF(M78="","",IF(R78&gt;0,"✔ Matched",IF(M78="IN","Not in cash book (credit)","Not in cash book (debit)")))</f>
        <v/>
      </c>
      <c r="I78" s="43" t="str">
        <f aca="false">IF(N(R78)&gt;0,R78,"")</f>
        <v/>
      </c>
      <c r="J78" s="45" t="str">
        <f aca="false">IF(AND(M78="",B78="",C78=""),"",IF(AND(N(E78)&gt;0,N(F78)&gt;0),"⚠ Fill withdrawal OR deposit",IF(M78="","⚠ Enter amount",IF(B78="","⚠ Enter date",IF(NOT(OR(NOT(ISNUMBER(G78)),NOT(ISNUMBER(G77)),ABS(N(G78)-(N(G77)+N(F78)-N(E78)))&lt;=0.5)),"⚠ Balance does not follow previous row","✔")))))</f>
        <v/>
      </c>
      <c r="M78" s="9" t="str">
        <f aca="false">IF(N(F78)&gt;0,"IN",IF(N(E78)&gt;0,"OUT",""))</f>
        <v/>
      </c>
      <c r="N78" s="9" t="str">
        <f aca="false">IF(M78="","",M78&amp;"|"&amp;TEXT(ROUND(N(E78)+N(F78),2),"0.00"))</f>
        <v/>
      </c>
      <c r="O78" s="9" t="str">
        <f aca="false">IF(OR(N78="",TRIM(D78&amp;"")=""),"",N78&amp;"|"&amp;UPPER(TRIM(D78&amp;"")))</f>
        <v/>
      </c>
      <c r="P78" s="9" t="n">
        <f aca="false">IF(O78="",0,IF(COUNTIF('Cash Book'!$O$8:$O$507,O78)&gt;0,1,0))</f>
        <v>0</v>
      </c>
      <c r="Q78" s="9" t="str">
        <f aca="false">IF(OR(N78="",P78=1),"",N78&amp;"#"&amp;COUNTIFS($N$8:N78,N78,$P$8:P78,0))</f>
        <v/>
      </c>
      <c r="R78" s="9" t="n">
        <f aca="false">IF(N78="",0,IFERROR(MATCH(ROW()-7,'Cash Book'!$U$8:$U$507,0),0))</f>
        <v>0</v>
      </c>
      <c r="V78" s="9" t="str">
        <f aca="false">IF(AND(N78&lt;&gt;"",R78=0),IF(M78="IN",3,4)*100000+ROW(),"")</f>
        <v/>
      </c>
      <c r="W78" s="9" t="n">
        <f aca="false">N(E78)+N(F78)</f>
        <v>0</v>
      </c>
    </row>
    <row r="79" customFormat="false" ht="15" hidden="false" customHeight="false" outlineLevel="0" collapsed="false">
      <c r="A79" s="37" t="str">
        <f aca="false">IF(M79="","",ROW()-7)</f>
        <v/>
      </c>
      <c r="B79" s="70"/>
      <c r="C79" s="72"/>
      <c r="D79" s="71"/>
      <c r="E79" s="73"/>
      <c r="F79" s="73"/>
      <c r="G79" s="73"/>
      <c r="H79" s="42" t="str">
        <f aca="false">IF(M79="","",IF(R79&gt;0,"✔ Matched",IF(M79="IN","Not in cash book (credit)","Not in cash book (debit)")))</f>
        <v/>
      </c>
      <c r="I79" s="43" t="str">
        <f aca="false">IF(N(R79)&gt;0,R79,"")</f>
        <v/>
      </c>
      <c r="J79" s="45" t="str">
        <f aca="false">IF(AND(M79="",B79="",C79=""),"",IF(AND(N(E79)&gt;0,N(F79)&gt;0),"⚠ Fill withdrawal OR deposit",IF(M79="","⚠ Enter amount",IF(B79="","⚠ Enter date",IF(NOT(OR(NOT(ISNUMBER(G79)),NOT(ISNUMBER(G78)),ABS(N(G79)-(N(G78)+N(F79)-N(E79)))&lt;=0.5)),"⚠ Balance does not follow previous row","✔")))))</f>
        <v/>
      </c>
      <c r="M79" s="9" t="str">
        <f aca="false">IF(N(F79)&gt;0,"IN",IF(N(E79)&gt;0,"OUT",""))</f>
        <v/>
      </c>
      <c r="N79" s="9" t="str">
        <f aca="false">IF(M79="","",M79&amp;"|"&amp;TEXT(ROUND(N(E79)+N(F79),2),"0.00"))</f>
        <v/>
      </c>
      <c r="O79" s="9" t="str">
        <f aca="false">IF(OR(N79="",TRIM(D79&amp;"")=""),"",N79&amp;"|"&amp;UPPER(TRIM(D79&amp;"")))</f>
        <v/>
      </c>
      <c r="P79" s="9" t="n">
        <f aca="false">IF(O79="",0,IF(COUNTIF('Cash Book'!$O$8:$O$507,O79)&gt;0,1,0))</f>
        <v>0</v>
      </c>
      <c r="Q79" s="9" t="str">
        <f aca="false">IF(OR(N79="",P79=1),"",N79&amp;"#"&amp;COUNTIFS($N$8:N79,N79,$P$8:P79,0))</f>
        <v/>
      </c>
      <c r="R79" s="9" t="n">
        <f aca="false">IF(N79="",0,IFERROR(MATCH(ROW()-7,'Cash Book'!$U$8:$U$507,0),0))</f>
        <v>0</v>
      </c>
      <c r="V79" s="9" t="str">
        <f aca="false">IF(AND(N79&lt;&gt;"",R79=0),IF(M79="IN",3,4)*100000+ROW(),"")</f>
        <v/>
      </c>
      <c r="W79" s="9" t="n">
        <f aca="false">N(E79)+N(F79)</f>
        <v>0</v>
      </c>
    </row>
    <row r="80" customFormat="false" ht="15" hidden="false" customHeight="false" outlineLevel="0" collapsed="false">
      <c r="A80" s="37" t="str">
        <f aca="false">IF(M80="","",ROW()-7)</f>
        <v/>
      </c>
      <c r="B80" s="70"/>
      <c r="C80" s="72"/>
      <c r="D80" s="71"/>
      <c r="E80" s="73"/>
      <c r="F80" s="73"/>
      <c r="G80" s="73"/>
      <c r="H80" s="42" t="str">
        <f aca="false">IF(M80="","",IF(R80&gt;0,"✔ Matched",IF(M80="IN","Not in cash book (credit)","Not in cash book (debit)")))</f>
        <v/>
      </c>
      <c r="I80" s="43" t="str">
        <f aca="false">IF(N(R80)&gt;0,R80,"")</f>
        <v/>
      </c>
      <c r="J80" s="45" t="str">
        <f aca="false">IF(AND(M80="",B80="",C80=""),"",IF(AND(N(E80)&gt;0,N(F80)&gt;0),"⚠ Fill withdrawal OR deposit",IF(M80="","⚠ Enter amount",IF(B80="","⚠ Enter date",IF(NOT(OR(NOT(ISNUMBER(G80)),NOT(ISNUMBER(G79)),ABS(N(G80)-(N(G79)+N(F80)-N(E80)))&lt;=0.5)),"⚠ Balance does not follow previous row","✔")))))</f>
        <v/>
      </c>
      <c r="M80" s="9" t="str">
        <f aca="false">IF(N(F80)&gt;0,"IN",IF(N(E80)&gt;0,"OUT",""))</f>
        <v/>
      </c>
      <c r="N80" s="9" t="str">
        <f aca="false">IF(M80="","",M80&amp;"|"&amp;TEXT(ROUND(N(E80)+N(F80),2),"0.00"))</f>
        <v/>
      </c>
      <c r="O80" s="9" t="str">
        <f aca="false">IF(OR(N80="",TRIM(D80&amp;"")=""),"",N80&amp;"|"&amp;UPPER(TRIM(D80&amp;"")))</f>
        <v/>
      </c>
      <c r="P80" s="9" t="n">
        <f aca="false">IF(O80="",0,IF(COUNTIF('Cash Book'!$O$8:$O$507,O80)&gt;0,1,0))</f>
        <v>0</v>
      </c>
      <c r="Q80" s="9" t="str">
        <f aca="false">IF(OR(N80="",P80=1),"",N80&amp;"#"&amp;COUNTIFS($N$8:N80,N80,$P$8:P80,0))</f>
        <v/>
      </c>
      <c r="R80" s="9" t="n">
        <f aca="false">IF(N80="",0,IFERROR(MATCH(ROW()-7,'Cash Book'!$U$8:$U$507,0),0))</f>
        <v>0</v>
      </c>
      <c r="V80" s="9" t="str">
        <f aca="false">IF(AND(N80&lt;&gt;"",R80=0),IF(M80="IN",3,4)*100000+ROW(),"")</f>
        <v/>
      </c>
      <c r="W80" s="9" t="n">
        <f aca="false">N(E80)+N(F80)</f>
        <v>0</v>
      </c>
    </row>
    <row r="81" customFormat="false" ht="15" hidden="false" customHeight="false" outlineLevel="0" collapsed="false">
      <c r="A81" s="37" t="str">
        <f aca="false">IF(M81="","",ROW()-7)</f>
        <v/>
      </c>
      <c r="B81" s="70"/>
      <c r="C81" s="72"/>
      <c r="D81" s="71"/>
      <c r="E81" s="73"/>
      <c r="F81" s="73"/>
      <c r="G81" s="73"/>
      <c r="H81" s="42" t="str">
        <f aca="false">IF(M81="","",IF(R81&gt;0,"✔ Matched",IF(M81="IN","Not in cash book (credit)","Not in cash book (debit)")))</f>
        <v/>
      </c>
      <c r="I81" s="43" t="str">
        <f aca="false">IF(N(R81)&gt;0,R81,"")</f>
        <v/>
      </c>
      <c r="J81" s="45" t="str">
        <f aca="false">IF(AND(M81="",B81="",C81=""),"",IF(AND(N(E81)&gt;0,N(F81)&gt;0),"⚠ Fill withdrawal OR deposit",IF(M81="","⚠ Enter amount",IF(B81="","⚠ Enter date",IF(NOT(OR(NOT(ISNUMBER(G81)),NOT(ISNUMBER(G80)),ABS(N(G81)-(N(G80)+N(F81)-N(E81)))&lt;=0.5)),"⚠ Balance does not follow previous row","✔")))))</f>
        <v/>
      </c>
      <c r="M81" s="9" t="str">
        <f aca="false">IF(N(F81)&gt;0,"IN",IF(N(E81)&gt;0,"OUT",""))</f>
        <v/>
      </c>
      <c r="N81" s="9" t="str">
        <f aca="false">IF(M81="","",M81&amp;"|"&amp;TEXT(ROUND(N(E81)+N(F81),2),"0.00"))</f>
        <v/>
      </c>
      <c r="O81" s="9" t="str">
        <f aca="false">IF(OR(N81="",TRIM(D81&amp;"")=""),"",N81&amp;"|"&amp;UPPER(TRIM(D81&amp;"")))</f>
        <v/>
      </c>
      <c r="P81" s="9" t="n">
        <f aca="false">IF(O81="",0,IF(COUNTIF('Cash Book'!$O$8:$O$507,O81)&gt;0,1,0))</f>
        <v>0</v>
      </c>
      <c r="Q81" s="9" t="str">
        <f aca="false">IF(OR(N81="",P81=1),"",N81&amp;"#"&amp;COUNTIFS($N$8:N81,N81,$P$8:P81,0))</f>
        <v/>
      </c>
      <c r="R81" s="9" t="n">
        <f aca="false">IF(N81="",0,IFERROR(MATCH(ROW()-7,'Cash Book'!$U$8:$U$507,0),0))</f>
        <v>0</v>
      </c>
      <c r="V81" s="9" t="str">
        <f aca="false">IF(AND(N81&lt;&gt;"",R81=0),IF(M81="IN",3,4)*100000+ROW(),"")</f>
        <v/>
      </c>
      <c r="W81" s="9" t="n">
        <f aca="false">N(E81)+N(F81)</f>
        <v>0</v>
      </c>
    </row>
    <row r="82" customFormat="false" ht="15" hidden="false" customHeight="false" outlineLevel="0" collapsed="false">
      <c r="A82" s="37" t="str">
        <f aca="false">IF(M82="","",ROW()-7)</f>
        <v/>
      </c>
      <c r="B82" s="70"/>
      <c r="C82" s="72"/>
      <c r="D82" s="71"/>
      <c r="E82" s="73"/>
      <c r="F82" s="73"/>
      <c r="G82" s="73"/>
      <c r="H82" s="42" t="str">
        <f aca="false">IF(M82="","",IF(R82&gt;0,"✔ Matched",IF(M82="IN","Not in cash book (credit)","Not in cash book (debit)")))</f>
        <v/>
      </c>
      <c r="I82" s="43" t="str">
        <f aca="false">IF(N(R82)&gt;0,R82,"")</f>
        <v/>
      </c>
      <c r="J82" s="45" t="str">
        <f aca="false">IF(AND(M82="",B82="",C82=""),"",IF(AND(N(E82)&gt;0,N(F82)&gt;0),"⚠ Fill withdrawal OR deposit",IF(M82="","⚠ Enter amount",IF(B82="","⚠ Enter date",IF(NOT(OR(NOT(ISNUMBER(G82)),NOT(ISNUMBER(G81)),ABS(N(G82)-(N(G81)+N(F82)-N(E82)))&lt;=0.5)),"⚠ Balance does not follow previous row","✔")))))</f>
        <v/>
      </c>
      <c r="M82" s="9" t="str">
        <f aca="false">IF(N(F82)&gt;0,"IN",IF(N(E82)&gt;0,"OUT",""))</f>
        <v/>
      </c>
      <c r="N82" s="9" t="str">
        <f aca="false">IF(M82="","",M82&amp;"|"&amp;TEXT(ROUND(N(E82)+N(F82),2),"0.00"))</f>
        <v/>
      </c>
      <c r="O82" s="9" t="str">
        <f aca="false">IF(OR(N82="",TRIM(D82&amp;"")=""),"",N82&amp;"|"&amp;UPPER(TRIM(D82&amp;"")))</f>
        <v/>
      </c>
      <c r="P82" s="9" t="n">
        <f aca="false">IF(O82="",0,IF(COUNTIF('Cash Book'!$O$8:$O$507,O82)&gt;0,1,0))</f>
        <v>0</v>
      </c>
      <c r="Q82" s="9" t="str">
        <f aca="false">IF(OR(N82="",P82=1),"",N82&amp;"#"&amp;COUNTIFS($N$8:N82,N82,$P$8:P82,0))</f>
        <v/>
      </c>
      <c r="R82" s="9" t="n">
        <f aca="false">IF(N82="",0,IFERROR(MATCH(ROW()-7,'Cash Book'!$U$8:$U$507,0),0))</f>
        <v>0</v>
      </c>
      <c r="V82" s="9" t="str">
        <f aca="false">IF(AND(N82&lt;&gt;"",R82=0),IF(M82="IN",3,4)*100000+ROW(),"")</f>
        <v/>
      </c>
      <c r="W82" s="9" t="n">
        <f aca="false">N(E82)+N(F82)</f>
        <v>0</v>
      </c>
    </row>
    <row r="83" customFormat="false" ht="15" hidden="false" customHeight="false" outlineLevel="0" collapsed="false">
      <c r="A83" s="37" t="str">
        <f aca="false">IF(M83="","",ROW()-7)</f>
        <v/>
      </c>
      <c r="B83" s="70"/>
      <c r="C83" s="72"/>
      <c r="D83" s="71"/>
      <c r="E83" s="73"/>
      <c r="F83" s="73"/>
      <c r="G83" s="73"/>
      <c r="H83" s="42" t="str">
        <f aca="false">IF(M83="","",IF(R83&gt;0,"✔ Matched",IF(M83="IN","Not in cash book (credit)","Not in cash book (debit)")))</f>
        <v/>
      </c>
      <c r="I83" s="43" t="str">
        <f aca="false">IF(N(R83)&gt;0,R83,"")</f>
        <v/>
      </c>
      <c r="J83" s="45" t="str">
        <f aca="false">IF(AND(M83="",B83="",C83=""),"",IF(AND(N(E83)&gt;0,N(F83)&gt;0),"⚠ Fill withdrawal OR deposit",IF(M83="","⚠ Enter amount",IF(B83="","⚠ Enter date",IF(NOT(OR(NOT(ISNUMBER(G83)),NOT(ISNUMBER(G82)),ABS(N(G83)-(N(G82)+N(F83)-N(E83)))&lt;=0.5)),"⚠ Balance does not follow previous row","✔")))))</f>
        <v/>
      </c>
      <c r="M83" s="9" t="str">
        <f aca="false">IF(N(F83)&gt;0,"IN",IF(N(E83)&gt;0,"OUT",""))</f>
        <v/>
      </c>
      <c r="N83" s="9" t="str">
        <f aca="false">IF(M83="","",M83&amp;"|"&amp;TEXT(ROUND(N(E83)+N(F83),2),"0.00"))</f>
        <v/>
      </c>
      <c r="O83" s="9" t="str">
        <f aca="false">IF(OR(N83="",TRIM(D83&amp;"")=""),"",N83&amp;"|"&amp;UPPER(TRIM(D83&amp;"")))</f>
        <v/>
      </c>
      <c r="P83" s="9" t="n">
        <f aca="false">IF(O83="",0,IF(COUNTIF('Cash Book'!$O$8:$O$507,O83)&gt;0,1,0))</f>
        <v>0</v>
      </c>
      <c r="Q83" s="9" t="str">
        <f aca="false">IF(OR(N83="",P83=1),"",N83&amp;"#"&amp;COUNTIFS($N$8:N83,N83,$P$8:P83,0))</f>
        <v/>
      </c>
      <c r="R83" s="9" t="n">
        <f aca="false">IF(N83="",0,IFERROR(MATCH(ROW()-7,'Cash Book'!$U$8:$U$507,0),0))</f>
        <v>0</v>
      </c>
      <c r="V83" s="9" t="str">
        <f aca="false">IF(AND(N83&lt;&gt;"",R83=0),IF(M83="IN",3,4)*100000+ROW(),"")</f>
        <v/>
      </c>
      <c r="W83" s="9" t="n">
        <f aca="false">N(E83)+N(F83)</f>
        <v>0</v>
      </c>
    </row>
    <row r="84" customFormat="false" ht="15" hidden="false" customHeight="false" outlineLevel="0" collapsed="false">
      <c r="A84" s="37" t="str">
        <f aca="false">IF(M84="","",ROW()-7)</f>
        <v/>
      </c>
      <c r="B84" s="70"/>
      <c r="C84" s="72"/>
      <c r="D84" s="71"/>
      <c r="E84" s="73"/>
      <c r="F84" s="73"/>
      <c r="G84" s="73"/>
      <c r="H84" s="42" t="str">
        <f aca="false">IF(M84="","",IF(R84&gt;0,"✔ Matched",IF(M84="IN","Not in cash book (credit)","Not in cash book (debit)")))</f>
        <v/>
      </c>
      <c r="I84" s="43" t="str">
        <f aca="false">IF(N(R84)&gt;0,R84,"")</f>
        <v/>
      </c>
      <c r="J84" s="45" t="str">
        <f aca="false">IF(AND(M84="",B84="",C84=""),"",IF(AND(N(E84)&gt;0,N(F84)&gt;0),"⚠ Fill withdrawal OR deposit",IF(M84="","⚠ Enter amount",IF(B84="","⚠ Enter date",IF(NOT(OR(NOT(ISNUMBER(G84)),NOT(ISNUMBER(G83)),ABS(N(G84)-(N(G83)+N(F84)-N(E84)))&lt;=0.5)),"⚠ Balance does not follow previous row","✔")))))</f>
        <v/>
      </c>
      <c r="M84" s="9" t="str">
        <f aca="false">IF(N(F84)&gt;0,"IN",IF(N(E84)&gt;0,"OUT",""))</f>
        <v/>
      </c>
      <c r="N84" s="9" t="str">
        <f aca="false">IF(M84="","",M84&amp;"|"&amp;TEXT(ROUND(N(E84)+N(F84),2),"0.00"))</f>
        <v/>
      </c>
      <c r="O84" s="9" t="str">
        <f aca="false">IF(OR(N84="",TRIM(D84&amp;"")=""),"",N84&amp;"|"&amp;UPPER(TRIM(D84&amp;"")))</f>
        <v/>
      </c>
      <c r="P84" s="9" t="n">
        <f aca="false">IF(O84="",0,IF(COUNTIF('Cash Book'!$O$8:$O$507,O84)&gt;0,1,0))</f>
        <v>0</v>
      </c>
      <c r="Q84" s="9" t="str">
        <f aca="false">IF(OR(N84="",P84=1),"",N84&amp;"#"&amp;COUNTIFS($N$8:N84,N84,$P$8:P84,0))</f>
        <v/>
      </c>
      <c r="R84" s="9" t="n">
        <f aca="false">IF(N84="",0,IFERROR(MATCH(ROW()-7,'Cash Book'!$U$8:$U$507,0),0))</f>
        <v>0</v>
      </c>
      <c r="V84" s="9" t="str">
        <f aca="false">IF(AND(N84&lt;&gt;"",R84=0),IF(M84="IN",3,4)*100000+ROW(),"")</f>
        <v/>
      </c>
      <c r="W84" s="9" t="n">
        <f aca="false">N(E84)+N(F84)</f>
        <v>0</v>
      </c>
    </row>
    <row r="85" customFormat="false" ht="15" hidden="false" customHeight="false" outlineLevel="0" collapsed="false">
      <c r="A85" s="37" t="str">
        <f aca="false">IF(M85="","",ROW()-7)</f>
        <v/>
      </c>
      <c r="B85" s="70"/>
      <c r="C85" s="72"/>
      <c r="D85" s="71"/>
      <c r="E85" s="73"/>
      <c r="F85" s="73"/>
      <c r="G85" s="73"/>
      <c r="H85" s="42" t="str">
        <f aca="false">IF(M85="","",IF(R85&gt;0,"✔ Matched",IF(M85="IN","Not in cash book (credit)","Not in cash book (debit)")))</f>
        <v/>
      </c>
      <c r="I85" s="43" t="str">
        <f aca="false">IF(N(R85)&gt;0,R85,"")</f>
        <v/>
      </c>
      <c r="J85" s="45" t="str">
        <f aca="false">IF(AND(M85="",B85="",C85=""),"",IF(AND(N(E85)&gt;0,N(F85)&gt;0),"⚠ Fill withdrawal OR deposit",IF(M85="","⚠ Enter amount",IF(B85="","⚠ Enter date",IF(NOT(OR(NOT(ISNUMBER(G85)),NOT(ISNUMBER(G84)),ABS(N(G85)-(N(G84)+N(F85)-N(E85)))&lt;=0.5)),"⚠ Balance does not follow previous row","✔")))))</f>
        <v/>
      </c>
      <c r="M85" s="9" t="str">
        <f aca="false">IF(N(F85)&gt;0,"IN",IF(N(E85)&gt;0,"OUT",""))</f>
        <v/>
      </c>
      <c r="N85" s="9" t="str">
        <f aca="false">IF(M85="","",M85&amp;"|"&amp;TEXT(ROUND(N(E85)+N(F85),2),"0.00"))</f>
        <v/>
      </c>
      <c r="O85" s="9" t="str">
        <f aca="false">IF(OR(N85="",TRIM(D85&amp;"")=""),"",N85&amp;"|"&amp;UPPER(TRIM(D85&amp;"")))</f>
        <v/>
      </c>
      <c r="P85" s="9" t="n">
        <f aca="false">IF(O85="",0,IF(COUNTIF('Cash Book'!$O$8:$O$507,O85)&gt;0,1,0))</f>
        <v>0</v>
      </c>
      <c r="Q85" s="9" t="str">
        <f aca="false">IF(OR(N85="",P85=1),"",N85&amp;"#"&amp;COUNTIFS($N$8:N85,N85,$P$8:P85,0))</f>
        <v/>
      </c>
      <c r="R85" s="9" t="n">
        <f aca="false">IF(N85="",0,IFERROR(MATCH(ROW()-7,'Cash Book'!$U$8:$U$507,0),0))</f>
        <v>0</v>
      </c>
      <c r="V85" s="9" t="str">
        <f aca="false">IF(AND(N85&lt;&gt;"",R85=0),IF(M85="IN",3,4)*100000+ROW(),"")</f>
        <v/>
      </c>
      <c r="W85" s="9" t="n">
        <f aca="false">N(E85)+N(F85)</f>
        <v>0</v>
      </c>
    </row>
    <row r="86" customFormat="false" ht="15" hidden="false" customHeight="false" outlineLevel="0" collapsed="false">
      <c r="A86" s="37" t="str">
        <f aca="false">IF(M86="","",ROW()-7)</f>
        <v/>
      </c>
      <c r="B86" s="70"/>
      <c r="C86" s="72"/>
      <c r="D86" s="71"/>
      <c r="E86" s="73"/>
      <c r="F86" s="73"/>
      <c r="G86" s="73"/>
      <c r="H86" s="42" t="str">
        <f aca="false">IF(M86="","",IF(R86&gt;0,"✔ Matched",IF(M86="IN","Not in cash book (credit)","Not in cash book (debit)")))</f>
        <v/>
      </c>
      <c r="I86" s="43" t="str">
        <f aca="false">IF(N(R86)&gt;0,R86,"")</f>
        <v/>
      </c>
      <c r="J86" s="45" t="str">
        <f aca="false">IF(AND(M86="",B86="",C86=""),"",IF(AND(N(E86)&gt;0,N(F86)&gt;0),"⚠ Fill withdrawal OR deposit",IF(M86="","⚠ Enter amount",IF(B86="","⚠ Enter date",IF(NOT(OR(NOT(ISNUMBER(G86)),NOT(ISNUMBER(G85)),ABS(N(G86)-(N(G85)+N(F86)-N(E86)))&lt;=0.5)),"⚠ Balance does not follow previous row","✔")))))</f>
        <v/>
      </c>
      <c r="M86" s="9" t="str">
        <f aca="false">IF(N(F86)&gt;0,"IN",IF(N(E86)&gt;0,"OUT",""))</f>
        <v/>
      </c>
      <c r="N86" s="9" t="str">
        <f aca="false">IF(M86="","",M86&amp;"|"&amp;TEXT(ROUND(N(E86)+N(F86),2),"0.00"))</f>
        <v/>
      </c>
      <c r="O86" s="9" t="str">
        <f aca="false">IF(OR(N86="",TRIM(D86&amp;"")=""),"",N86&amp;"|"&amp;UPPER(TRIM(D86&amp;"")))</f>
        <v/>
      </c>
      <c r="P86" s="9" t="n">
        <f aca="false">IF(O86="",0,IF(COUNTIF('Cash Book'!$O$8:$O$507,O86)&gt;0,1,0))</f>
        <v>0</v>
      </c>
      <c r="Q86" s="9" t="str">
        <f aca="false">IF(OR(N86="",P86=1),"",N86&amp;"#"&amp;COUNTIFS($N$8:N86,N86,$P$8:P86,0))</f>
        <v/>
      </c>
      <c r="R86" s="9" t="n">
        <f aca="false">IF(N86="",0,IFERROR(MATCH(ROW()-7,'Cash Book'!$U$8:$U$507,0),0))</f>
        <v>0</v>
      </c>
      <c r="V86" s="9" t="str">
        <f aca="false">IF(AND(N86&lt;&gt;"",R86=0),IF(M86="IN",3,4)*100000+ROW(),"")</f>
        <v/>
      </c>
      <c r="W86" s="9" t="n">
        <f aca="false">N(E86)+N(F86)</f>
        <v>0</v>
      </c>
    </row>
    <row r="87" customFormat="false" ht="15" hidden="false" customHeight="false" outlineLevel="0" collapsed="false">
      <c r="A87" s="37" t="str">
        <f aca="false">IF(M87="","",ROW()-7)</f>
        <v/>
      </c>
      <c r="B87" s="70"/>
      <c r="C87" s="72"/>
      <c r="D87" s="71"/>
      <c r="E87" s="73"/>
      <c r="F87" s="73"/>
      <c r="G87" s="73"/>
      <c r="H87" s="42" t="str">
        <f aca="false">IF(M87="","",IF(R87&gt;0,"✔ Matched",IF(M87="IN","Not in cash book (credit)","Not in cash book (debit)")))</f>
        <v/>
      </c>
      <c r="I87" s="43" t="str">
        <f aca="false">IF(N(R87)&gt;0,R87,"")</f>
        <v/>
      </c>
      <c r="J87" s="45" t="str">
        <f aca="false">IF(AND(M87="",B87="",C87=""),"",IF(AND(N(E87)&gt;0,N(F87)&gt;0),"⚠ Fill withdrawal OR deposit",IF(M87="","⚠ Enter amount",IF(B87="","⚠ Enter date",IF(NOT(OR(NOT(ISNUMBER(G87)),NOT(ISNUMBER(G86)),ABS(N(G87)-(N(G86)+N(F87)-N(E87)))&lt;=0.5)),"⚠ Balance does not follow previous row","✔")))))</f>
        <v/>
      </c>
      <c r="M87" s="9" t="str">
        <f aca="false">IF(N(F87)&gt;0,"IN",IF(N(E87)&gt;0,"OUT",""))</f>
        <v/>
      </c>
      <c r="N87" s="9" t="str">
        <f aca="false">IF(M87="","",M87&amp;"|"&amp;TEXT(ROUND(N(E87)+N(F87),2),"0.00"))</f>
        <v/>
      </c>
      <c r="O87" s="9" t="str">
        <f aca="false">IF(OR(N87="",TRIM(D87&amp;"")=""),"",N87&amp;"|"&amp;UPPER(TRIM(D87&amp;"")))</f>
        <v/>
      </c>
      <c r="P87" s="9" t="n">
        <f aca="false">IF(O87="",0,IF(COUNTIF('Cash Book'!$O$8:$O$507,O87)&gt;0,1,0))</f>
        <v>0</v>
      </c>
      <c r="Q87" s="9" t="str">
        <f aca="false">IF(OR(N87="",P87=1),"",N87&amp;"#"&amp;COUNTIFS($N$8:N87,N87,$P$8:P87,0))</f>
        <v/>
      </c>
      <c r="R87" s="9" t="n">
        <f aca="false">IF(N87="",0,IFERROR(MATCH(ROW()-7,'Cash Book'!$U$8:$U$507,0),0))</f>
        <v>0</v>
      </c>
      <c r="V87" s="9" t="str">
        <f aca="false">IF(AND(N87&lt;&gt;"",R87=0),IF(M87="IN",3,4)*100000+ROW(),"")</f>
        <v/>
      </c>
      <c r="W87" s="9" t="n">
        <f aca="false">N(E87)+N(F87)</f>
        <v>0</v>
      </c>
    </row>
    <row r="88" customFormat="false" ht="15" hidden="false" customHeight="false" outlineLevel="0" collapsed="false">
      <c r="A88" s="37" t="str">
        <f aca="false">IF(M88="","",ROW()-7)</f>
        <v/>
      </c>
      <c r="B88" s="70"/>
      <c r="C88" s="72"/>
      <c r="D88" s="71"/>
      <c r="E88" s="73"/>
      <c r="F88" s="73"/>
      <c r="G88" s="73"/>
      <c r="H88" s="42" t="str">
        <f aca="false">IF(M88="","",IF(R88&gt;0,"✔ Matched",IF(M88="IN","Not in cash book (credit)","Not in cash book (debit)")))</f>
        <v/>
      </c>
      <c r="I88" s="43" t="str">
        <f aca="false">IF(N(R88)&gt;0,R88,"")</f>
        <v/>
      </c>
      <c r="J88" s="45" t="str">
        <f aca="false">IF(AND(M88="",B88="",C88=""),"",IF(AND(N(E88)&gt;0,N(F88)&gt;0),"⚠ Fill withdrawal OR deposit",IF(M88="","⚠ Enter amount",IF(B88="","⚠ Enter date",IF(NOT(OR(NOT(ISNUMBER(G88)),NOT(ISNUMBER(G87)),ABS(N(G88)-(N(G87)+N(F88)-N(E88)))&lt;=0.5)),"⚠ Balance does not follow previous row","✔")))))</f>
        <v/>
      </c>
      <c r="M88" s="9" t="str">
        <f aca="false">IF(N(F88)&gt;0,"IN",IF(N(E88)&gt;0,"OUT",""))</f>
        <v/>
      </c>
      <c r="N88" s="9" t="str">
        <f aca="false">IF(M88="","",M88&amp;"|"&amp;TEXT(ROUND(N(E88)+N(F88),2),"0.00"))</f>
        <v/>
      </c>
      <c r="O88" s="9" t="str">
        <f aca="false">IF(OR(N88="",TRIM(D88&amp;"")=""),"",N88&amp;"|"&amp;UPPER(TRIM(D88&amp;"")))</f>
        <v/>
      </c>
      <c r="P88" s="9" t="n">
        <f aca="false">IF(O88="",0,IF(COUNTIF('Cash Book'!$O$8:$O$507,O88)&gt;0,1,0))</f>
        <v>0</v>
      </c>
      <c r="Q88" s="9" t="str">
        <f aca="false">IF(OR(N88="",P88=1),"",N88&amp;"#"&amp;COUNTIFS($N$8:N88,N88,$P$8:P88,0))</f>
        <v/>
      </c>
      <c r="R88" s="9" t="n">
        <f aca="false">IF(N88="",0,IFERROR(MATCH(ROW()-7,'Cash Book'!$U$8:$U$507,0),0))</f>
        <v>0</v>
      </c>
      <c r="V88" s="9" t="str">
        <f aca="false">IF(AND(N88&lt;&gt;"",R88=0),IF(M88="IN",3,4)*100000+ROW(),"")</f>
        <v/>
      </c>
      <c r="W88" s="9" t="n">
        <f aca="false">N(E88)+N(F88)</f>
        <v>0</v>
      </c>
    </row>
    <row r="89" customFormat="false" ht="15" hidden="false" customHeight="false" outlineLevel="0" collapsed="false">
      <c r="A89" s="37" t="str">
        <f aca="false">IF(M89="","",ROW()-7)</f>
        <v/>
      </c>
      <c r="B89" s="70"/>
      <c r="C89" s="72"/>
      <c r="D89" s="71"/>
      <c r="E89" s="73"/>
      <c r="F89" s="73"/>
      <c r="G89" s="73"/>
      <c r="H89" s="42" t="str">
        <f aca="false">IF(M89="","",IF(R89&gt;0,"✔ Matched",IF(M89="IN","Not in cash book (credit)","Not in cash book (debit)")))</f>
        <v/>
      </c>
      <c r="I89" s="43" t="str">
        <f aca="false">IF(N(R89)&gt;0,R89,"")</f>
        <v/>
      </c>
      <c r="J89" s="45" t="str">
        <f aca="false">IF(AND(M89="",B89="",C89=""),"",IF(AND(N(E89)&gt;0,N(F89)&gt;0),"⚠ Fill withdrawal OR deposit",IF(M89="","⚠ Enter amount",IF(B89="","⚠ Enter date",IF(NOT(OR(NOT(ISNUMBER(G89)),NOT(ISNUMBER(G88)),ABS(N(G89)-(N(G88)+N(F89)-N(E89)))&lt;=0.5)),"⚠ Balance does not follow previous row","✔")))))</f>
        <v/>
      </c>
      <c r="M89" s="9" t="str">
        <f aca="false">IF(N(F89)&gt;0,"IN",IF(N(E89)&gt;0,"OUT",""))</f>
        <v/>
      </c>
      <c r="N89" s="9" t="str">
        <f aca="false">IF(M89="","",M89&amp;"|"&amp;TEXT(ROUND(N(E89)+N(F89),2),"0.00"))</f>
        <v/>
      </c>
      <c r="O89" s="9" t="str">
        <f aca="false">IF(OR(N89="",TRIM(D89&amp;"")=""),"",N89&amp;"|"&amp;UPPER(TRIM(D89&amp;"")))</f>
        <v/>
      </c>
      <c r="P89" s="9" t="n">
        <f aca="false">IF(O89="",0,IF(COUNTIF('Cash Book'!$O$8:$O$507,O89)&gt;0,1,0))</f>
        <v>0</v>
      </c>
      <c r="Q89" s="9" t="str">
        <f aca="false">IF(OR(N89="",P89=1),"",N89&amp;"#"&amp;COUNTIFS($N$8:N89,N89,$P$8:P89,0))</f>
        <v/>
      </c>
      <c r="R89" s="9" t="n">
        <f aca="false">IF(N89="",0,IFERROR(MATCH(ROW()-7,'Cash Book'!$U$8:$U$507,0),0))</f>
        <v>0</v>
      </c>
      <c r="V89" s="9" t="str">
        <f aca="false">IF(AND(N89&lt;&gt;"",R89=0),IF(M89="IN",3,4)*100000+ROW(),"")</f>
        <v/>
      </c>
      <c r="W89" s="9" t="n">
        <f aca="false">N(E89)+N(F89)</f>
        <v>0</v>
      </c>
    </row>
    <row r="90" customFormat="false" ht="15" hidden="false" customHeight="false" outlineLevel="0" collapsed="false">
      <c r="A90" s="37" t="str">
        <f aca="false">IF(M90="","",ROW()-7)</f>
        <v/>
      </c>
      <c r="B90" s="70"/>
      <c r="C90" s="72"/>
      <c r="D90" s="71"/>
      <c r="E90" s="73"/>
      <c r="F90" s="73"/>
      <c r="G90" s="73"/>
      <c r="H90" s="42" t="str">
        <f aca="false">IF(M90="","",IF(R90&gt;0,"✔ Matched",IF(M90="IN","Not in cash book (credit)","Not in cash book (debit)")))</f>
        <v/>
      </c>
      <c r="I90" s="43" t="str">
        <f aca="false">IF(N(R90)&gt;0,R90,"")</f>
        <v/>
      </c>
      <c r="J90" s="45" t="str">
        <f aca="false">IF(AND(M90="",B90="",C90=""),"",IF(AND(N(E90)&gt;0,N(F90)&gt;0),"⚠ Fill withdrawal OR deposit",IF(M90="","⚠ Enter amount",IF(B90="","⚠ Enter date",IF(NOT(OR(NOT(ISNUMBER(G90)),NOT(ISNUMBER(G89)),ABS(N(G90)-(N(G89)+N(F90)-N(E90)))&lt;=0.5)),"⚠ Balance does not follow previous row","✔")))))</f>
        <v/>
      </c>
      <c r="M90" s="9" t="str">
        <f aca="false">IF(N(F90)&gt;0,"IN",IF(N(E90)&gt;0,"OUT",""))</f>
        <v/>
      </c>
      <c r="N90" s="9" t="str">
        <f aca="false">IF(M90="","",M90&amp;"|"&amp;TEXT(ROUND(N(E90)+N(F90),2),"0.00"))</f>
        <v/>
      </c>
      <c r="O90" s="9" t="str">
        <f aca="false">IF(OR(N90="",TRIM(D90&amp;"")=""),"",N90&amp;"|"&amp;UPPER(TRIM(D90&amp;"")))</f>
        <v/>
      </c>
      <c r="P90" s="9" t="n">
        <f aca="false">IF(O90="",0,IF(COUNTIF('Cash Book'!$O$8:$O$507,O90)&gt;0,1,0))</f>
        <v>0</v>
      </c>
      <c r="Q90" s="9" t="str">
        <f aca="false">IF(OR(N90="",P90=1),"",N90&amp;"#"&amp;COUNTIFS($N$8:N90,N90,$P$8:P90,0))</f>
        <v/>
      </c>
      <c r="R90" s="9" t="n">
        <f aca="false">IF(N90="",0,IFERROR(MATCH(ROW()-7,'Cash Book'!$U$8:$U$507,0),0))</f>
        <v>0</v>
      </c>
      <c r="V90" s="9" t="str">
        <f aca="false">IF(AND(N90&lt;&gt;"",R90=0),IF(M90="IN",3,4)*100000+ROW(),"")</f>
        <v/>
      </c>
      <c r="W90" s="9" t="n">
        <f aca="false">N(E90)+N(F90)</f>
        <v>0</v>
      </c>
    </row>
    <row r="91" customFormat="false" ht="15" hidden="false" customHeight="false" outlineLevel="0" collapsed="false">
      <c r="A91" s="37" t="str">
        <f aca="false">IF(M91="","",ROW()-7)</f>
        <v/>
      </c>
      <c r="B91" s="70"/>
      <c r="C91" s="72"/>
      <c r="D91" s="71"/>
      <c r="E91" s="73"/>
      <c r="F91" s="73"/>
      <c r="G91" s="73"/>
      <c r="H91" s="42" t="str">
        <f aca="false">IF(M91="","",IF(R91&gt;0,"✔ Matched",IF(M91="IN","Not in cash book (credit)","Not in cash book (debit)")))</f>
        <v/>
      </c>
      <c r="I91" s="43" t="str">
        <f aca="false">IF(N(R91)&gt;0,R91,"")</f>
        <v/>
      </c>
      <c r="J91" s="45" t="str">
        <f aca="false">IF(AND(M91="",B91="",C91=""),"",IF(AND(N(E91)&gt;0,N(F91)&gt;0),"⚠ Fill withdrawal OR deposit",IF(M91="","⚠ Enter amount",IF(B91="","⚠ Enter date",IF(NOT(OR(NOT(ISNUMBER(G91)),NOT(ISNUMBER(G90)),ABS(N(G91)-(N(G90)+N(F91)-N(E91)))&lt;=0.5)),"⚠ Balance does not follow previous row","✔")))))</f>
        <v/>
      </c>
      <c r="M91" s="9" t="str">
        <f aca="false">IF(N(F91)&gt;0,"IN",IF(N(E91)&gt;0,"OUT",""))</f>
        <v/>
      </c>
      <c r="N91" s="9" t="str">
        <f aca="false">IF(M91="","",M91&amp;"|"&amp;TEXT(ROUND(N(E91)+N(F91),2),"0.00"))</f>
        <v/>
      </c>
      <c r="O91" s="9" t="str">
        <f aca="false">IF(OR(N91="",TRIM(D91&amp;"")=""),"",N91&amp;"|"&amp;UPPER(TRIM(D91&amp;"")))</f>
        <v/>
      </c>
      <c r="P91" s="9" t="n">
        <f aca="false">IF(O91="",0,IF(COUNTIF('Cash Book'!$O$8:$O$507,O91)&gt;0,1,0))</f>
        <v>0</v>
      </c>
      <c r="Q91" s="9" t="str">
        <f aca="false">IF(OR(N91="",P91=1),"",N91&amp;"#"&amp;COUNTIFS($N$8:N91,N91,$P$8:P91,0))</f>
        <v/>
      </c>
      <c r="R91" s="9" t="n">
        <f aca="false">IF(N91="",0,IFERROR(MATCH(ROW()-7,'Cash Book'!$U$8:$U$507,0),0))</f>
        <v>0</v>
      </c>
      <c r="V91" s="9" t="str">
        <f aca="false">IF(AND(N91&lt;&gt;"",R91=0),IF(M91="IN",3,4)*100000+ROW(),"")</f>
        <v/>
      </c>
      <c r="W91" s="9" t="n">
        <f aca="false">N(E91)+N(F91)</f>
        <v>0</v>
      </c>
    </row>
    <row r="92" customFormat="false" ht="15" hidden="false" customHeight="false" outlineLevel="0" collapsed="false">
      <c r="A92" s="37" t="str">
        <f aca="false">IF(M92="","",ROW()-7)</f>
        <v/>
      </c>
      <c r="B92" s="70"/>
      <c r="C92" s="72"/>
      <c r="D92" s="71"/>
      <c r="E92" s="73"/>
      <c r="F92" s="73"/>
      <c r="G92" s="73"/>
      <c r="H92" s="42" t="str">
        <f aca="false">IF(M92="","",IF(R92&gt;0,"✔ Matched",IF(M92="IN","Not in cash book (credit)","Not in cash book (debit)")))</f>
        <v/>
      </c>
      <c r="I92" s="43" t="str">
        <f aca="false">IF(N(R92)&gt;0,R92,"")</f>
        <v/>
      </c>
      <c r="J92" s="45" t="str">
        <f aca="false">IF(AND(M92="",B92="",C92=""),"",IF(AND(N(E92)&gt;0,N(F92)&gt;0),"⚠ Fill withdrawal OR deposit",IF(M92="","⚠ Enter amount",IF(B92="","⚠ Enter date",IF(NOT(OR(NOT(ISNUMBER(G92)),NOT(ISNUMBER(G91)),ABS(N(G92)-(N(G91)+N(F92)-N(E92)))&lt;=0.5)),"⚠ Balance does not follow previous row","✔")))))</f>
        <v/>
      </c>
      <c r="M92" s="9" t="str">
        <f aca="false">IF(N(F92)&gt;0,"IN",IF(N(E92)&gt;0,"OUT",""))</f>
        <v/>
      </c>
      <c r="N92" s="9" t="str">
        <f aca="false">IF(M92="","",M92&amp;"|"&amp;TEXT(ROUND(N(E92)+N(F92),2),"0.00"))</f>
        <v/>
      </c>
      <c r="O92" s="9" t="str">
        <f aca="false">IF(OR(N92="",TRIM(D92&amp;"")=""),"",N92&amp;"|"&amp;UPPER(TRIM(D92&amp;"")))</f>
        <v/>
      </c>
      <c r="P92" s="9" t="n">
        <f aca="false">IF(O92="",0,IF(COUNTIF('Cash Book'!$O$8:$O$507,O92)&gt;0,1,0))</f>
        <v>0</v>
      </c>
      <c r="Q92" s="9" t="str">
        <f aca="false">IF(OR(N92="",P92=1),"",N92&amp;"#"&amp;COUNTIFS($N$8:N92,N92,$P$8:P92,0))</f>
        <v/>
      </c>
      <c r="R92" s="9" t="n">
        <f aca="false">IF(N92="",0,IFERROR(MATCH(ROW()-7,'Cash Book'!$U$8:$U$507,0),0))</f>
        <v>0</v>
      </c>
      <c r="V92" s="9" t="str">
        <f aca="false">IF(AND(N92&lt;&gt;"",R92=0),IF(M92="IN",3,4)*100000+ROW(),"")</f>
        <v/>
      </c>
      <c r="W92" s="9" t="n">
        <f aca="false">N(E92)+N(F92)</f>
        <v>0</v>
      </c>
    </row>
    <row r="93" customFormat="false" ht="15" hidden="false" customHeight="false" outlineLevel="0" collapsed="false">
      <c r="A93" s="37" t="str">
        <f aca="false">IF(M93="","",ROW()-7)</f>
        <v/>
      </c>
      <c r="B93" s="70"/>
      <c r="C93" s="72"/>
      <c r="D93" s="71"/>
      <c r="E93" s="73"/>
      <c r="F93" s="73"/>
      <c r="G93" s="73"/>
      <c r="H93" s="42" t="str">
        <f aca="false">IF(M93="","",IF(R93&gt;0,"✔ Matched",IF(M93="IN","Not in cash book (credit)","Not in cash book (debit)")))</f>
        <v/>
      </c>
      <c r="I93" s="43" t="str">
        <f aca="false">IF(N(R93)&gt;0,R93,"")</f>
        <v/>
      </c>
      <c r="J93" s="45" t="str">
        <f aca="false">IF(AND(M93="",B93="",C93=""),"",IF(AND(N(E93)&gt;0,N(F93)&gt;0),"⚠ Fill withdrawal OR deposit",IF(M93="","⚠ Enter amount",IF(B93="","⚠ Enter date",IF(NOT(OR(NOT(ISNUMBER(G93)),NOT(ISNUMBER(G92)),ABS(N(G93)-(N(G92)+N(F93)-N(E93)))&lt;=0.5)),"⚠ Balance does not follow previous row","✔")))))</f>
        <v/>
      </c>
      <c r="M93" s="9" t="str">
        <f aca="false">IF(N(F93)&gt;0,"IN",IF(N(E93)&gt;0,"OUT",""))</f>
        <v/>
      </c>
      <c r="N93" s="9" t="str">
        <f aca="false">IF(M93="","",M93&amp;"|"&amp;TEXT(ROUND(N(E93)+N(F93),2),"0.00"))</f>
        <v/>
      </c>
      <c r="O93" s="9" t="str">
        <f aca="false">IF(OR(N93="",TRIM(D93&amp;"")=""),"",N93&amp;"|"&amp;UPPER(TRIM(D93&amp;"")))</f>
        <v/>
      </c>
      <c r="P93" s="9" t="n">
        <f aca="false">IF(O93="",0,IF(COUNTIF('Cash Book'!$O$8:$O$507,O93)&gt;0,1,0))</f>
        <v>0</v>
      </c>
      <c r="Q93" s="9" t="str">
        <f aca="false">IF(OR(N93="",P93=1),"",N93&amp;"#"&amp;COUNTIFS($N$8:N93,N93,$P$8:P93,0))</f>
        <v/>
      </c>
      <c r="R93" s="9" t="n">
        <f aca="false">IF(N93="",0,IFERROR(MATCH(ROW()-7,'Cash Book'!$U$8:$U$507,0),0))</f>
        <v>0</v>
      </c>
      <c r="V93" s="9" t="str">
        <f aca="false">IF(AND(N93&lt;&gt;"",R93=0),IF(M93="IN",3,4)*100000+ROW(),"")</f>
        <v/>
      </c>
      <c r="W93" s="9" t="n">
        <f aca="false">N(E93)+N(F93)</f>
        <v>0</v>
      </c>
    </row>
    <row r="94" customFormat="false" ht="15" hidden="false" customHeight="false" outlineLevel="0" collapsed="false">
      <c r="A94" s="37" t="str">
        <f aca="false">IF(M94="","",ROW()-7)</f>
        <v/>
      </c>
      <c r="B94" s="70"/>
      <c r="C94" s="72"/>
      <c r="D94" s="71"/>
      <c r="E94" s="73"/>
      <c r="F94" s="73"/>
      <c r="G94" s="73"/>
      <c r="H94" s="42" t="str">
        <f aca="false">IF(M94="","",IF(R94&gt;0,"✔ Matched",IF(M94="IN","Not in cash book (credit)","Not in cash book (debit)")))</f>
        <v/>
      </c>
      <c r="I94" s="43" t="str">
        <f aca="false">IF(N(R94)&gt;0,R94,"")</f>
        <v/>
      </c>
      <c r="J94" s="45" t="str">
        <f aca="false">IF(AND(M94="",B94="",C94=""),"",IF(AND(N(E94)&gt;0,N(F94)&gt;0),"⚠ Fill withdrawal OR deposit",IF(M94="","⚠ Enter amount",IF(B94="","⚠ Enter date",IF(NOT(OR(NOT(ISNUMBER(G94)),NOT(ISNUMBER(G93)),ABS(N(G94)-(N(G93)+N(F94)-N(E94)))&lt;=0.5)),"⚠ Balance does not follow previous row","✔")))))</f>
        <v/>
      </c>
      <c r="M94" s="9" t="str">
        <f aca="false">IF(N(F94)&gt;0,"IN",IF(N(E94)&gt;0,"OUT",""))</f>
        <v/>
      </c>
      <c r="N94" s="9" t="str">
        <f aca="false">IF(M94="","",M94&amp;"|"&amp;TEXT(ROUND(N(E94)+N(F94),2),"0.00"))</f>
        <v/>
      </c>
      <c r="O94" s="9" t="str">
        <f aca="false">IF(OR(N94="",TRIM(D94&amp;"")=""),"",N94&amp;"|"&amp;UPPER(TRIM(D94&amp;"")))</f>
        <v/>
      </c>
      <c r="P94" s="9" t="n">
        <f aca="false">IF(O94="",0,IF(COUNTIF('Cash Book'!$O$8:$O$507,O94)&gt;0,1,0))</f>
        <v>0</v>
      </c>
      <c r="Q94" s="9" t="str">
        <f aca="false">IF(OR(N94="",P94=1),"",N94&amp;"#"&amp;COUNTIFS($N$8:N94,N94,$P$8:P94,0))</f>
        <v/>
      </c>
      <c r="R94" s="9" t="n">
        <f aca="false">IF(N94="",0,IFERROR(MATCH(ROW()-7,'Cash Book'!$U$8:$U$507,0),0))</f>
        <v>0</v>
      </c>
      <c r="V94" s="9" t="str">
        <f aca="false">IF(AND(N94&lt;&gt;"",R94=0),IF(M94="IN",3,4)*100000+ROW(),"")</f>
        <v/>
      </c>
      <c r="W94" s="9" t="n">
        <f aca="false">N(E94)+N(F94)</f>
        <v>0</v>
      </c>
    </row>
    <row r="95" customFormat="false" ht="15" hidden="false" customHeight="false" outlineLevel="0" collapsed="false">
      <c r="A95" s="37" t="str">
        <f aca="false">IF(M95="","",ROW()-7)</f>
        <v/>
      </c>
      <c r="B95" s="70"/>
      <c r="C95" s="72"/>
      <c r="D95" s="71"/>
      <c r="E95" s="73"/>
      <c r="F95" s="73"/>
      <c r="G95" s="73"/>
      <c r="H95" s="42" t="str">
        <f aca="false">IF(M95="","",IF(R95&gt;0,"✔ Matched",IF(M95="IN","Not in cash book (credit)","Not in cash book (debit)")))</f>
        <v/>
      </c>
      <c r="I95" s="43" t="str">
        <f aca="false">IF(N(R95)&gt;0,R95,"")</f>
        <v/>
      </c>
      <c r="J95" s="45" t="str">
        <f aca="false">IF(AND(M95="",B95="",C95=""),"",IF(AND(N(E95)&gt;0,N(F95)&gt;0),"⚠ Fill withdrawal OR deposit",IF(M95="","⚠ Enter amount",IF(B95="","⚠ Enter date",IF(NOT(OR(NOT(ISNUMBER(G95)),NOT(ISNUMBER(G94)),ABS(N(G95)-(N(G94)+N(F95)-N(E95)))&lt;=0.5)),"⚠ Balance does not follow previous row","✔")))))</f>
        <v/>
      </c>
      <c r="M95" s="9" t="str">
        <f aca="false">IF(N(F95)&gt;0,"IN",IF(N(E95)&gt;0,"OUT",""))</f>
        <v/>
      </c>
      <c r="N95" s="9" t="str">
        <f aca="false">IF(M95="","",M95&amp;"|"&amp;TEXT(ROUND(N(E95)+N(F95),2),"0.00"))</f>
        <v/>
      </c>
      <c r="O95" s="9" t="str">
        <f aca="false">IF(OR(N95="",TRIM(D95&amp;"")=""),"",N95&amp;"|"&amp;UPPER(TRIM(D95&amp;"")))</f>
        <v/>
      </c>
      <c r="P95" s="9" t="n">
        <f aca="false">IF(O95="",0,IF(COUNTIF('Cash Book'!$O$8:$O$507,O95)&gt;0,1,0))</f>
        <v>0</v>
      </c>
      <c r="Q95" s="9" t="str">
        <f aca="false">IF(OR(N95="",P95=1),"",N95&amp;"#"&amp;COUNTIFS($N$8:N95,N95,$P$8:P95,0))</f>
        <v/>
      </c>
      <c r="R95" s="9" t="n">
        <f aca="false">IF(N95="",0,IFERROR(MATCH(ROW()-7,'Cash Book'!$U$8:$U$507,0),0))</f>
        <v>0</v>
      </c>
      <c r="V95" s="9" t="str">
        <f aca="false">IF(AND(N95&lt;&gt;"",R95=0),IF(M95="IN",3,4)*100000+ROW(),"")</f>
        <v/>
      </c>
      <c r="W95" s="9" t="n">
        <f aca="false">N(E95)+N(F95)</f>
        <v>0</v>
      </c>
    </row>
    <row r="96" customFormat="false" ht="15" hidden="false" customHeight="false" outlineLevel="0" collapsed="false">
      <c r="A96" s="37" t="str">
        <f aca="false">IF(M96="","",ROW()-7)</f>
        <v/>
      </c>
      <c r="B96" s="70"/>
      <c r="C96" s="72"/>
      <c r="D96" s="71"/>
      <c r="E96" s="73"/>
      <c r="F96" s="73"/>
      <c r="G96" s="73"/>
      <c r="H96" s="42" t="str">
        <f aca="false">IF(M96="","",IF(R96&gt;0,"✔ Matched",IF(M96="IN","Not in cash book (credit)","Not in cash book (debit)")))</f>
        <v/>
      </c>
      <c r="I96" s="43" t="str">
        <f aca="false">IF(N(R96)&gt;0,R96,"")</f>
        <v/>
      </c>
      <c r="J96" s="45" t="str">
        <f aca="false">IF(AND(M96="",B96="",C96=""),"",IF(AND(N(E96)&gt;0,N(F96)&gt;0),"⚠ Fill withdrawal OR deposit",IF(M96="","⚠ Enter amount",IF(B96="","⚠ Enter date",IF(NOT(OR(NOT(ISNUMBER(G96)),NOT(ISNUMBER(G95)),ABS(N(G96)-(N(G95)+N(F96)-N(E96)))&lt;=0.5)),"⚠ Balance does not follow previous row","✔")))))</f>
        <v/>
      </c>
      <c r="M96" s="9" t="str">
        <f aca="false">IF(N(F96)&gt;0,"IN",IF(N(E96)&gt;0,"OUT",""))</f>
        <v/>
      </c>
      <c r="N96" s="9" t="str">
        <f aca="false">IF(M96="","",M96&amp;"|"&amp;TEXT(ROUND(N(E96)+N(F96),2),"0.00"))</f>
        <v/>
      </c>
      <c r="O96" s="9" t="str">
        <f aca="false">IF(OR(N96="",TRIM(D96&amp;"")=""),"",N96&amp;"|"&amp;UPPER(TRIM(D96&amp;"")))</f>
        <v/>
      </c>
      <c r="P96" s="9" t="n">
        <f aca="false">IF(O96="",0,IF(COUNTIF('Cash Book'!$O$8:$O$507,O96)&gt;0,1,0))</f>
        <v>0</v>
      </c>
      <c r="Q96" s="9" t="str">
        <f aca="false">IF(OR(N96="",P96=1),"",N96&amp;"#"&amp;COUNTIFS($N$8:N96,N96,$P$8:P96,0))</f>
        <v/>
      </c>
      <c r="R96" s="9" t="n">
        <f aca="false">IF(N96="",0,IFERROR(MATCH(ROW()-7,'Cash Book'!$U$8:$U$507,0),0))</f>
        <v>0</v>
      </c>
      <c r="V96" s="9" t="str">
        <f aca="false">IF(AND(N96&lt;&gt;"",R96=0),IF(M96="IN",3,4)*100000+ROW(),"")</f>
        <v/>
      </c>
      <c r="W96" s="9" t="n">
        <f aca="false">N(E96)+N(F96)</f>
        <v>0</v>
      </c>
    </row>
    <row r="97" customFormat="false" ht="15" hidden="false" customHeight="false" outlineLevel="0" collapsed="false">
      <c r="A97" s="37" t="str">
        <f aca="false">IF(M97="","",ROW()-7)</f>
        <v/>
      </c>
      <c r="B97" s="70"/>
      <c r="C97" s="72"/>
      <c r="D97" s="71"/>
      <c r="E97" s="73"/>
      <c r="F97" s="73"/>
      <c r="G97" s="73"/>
      <c r="H97" s="42" t="str">
        <f aca="false">IF(M97="","",IF(R97&gt;0,"✔ Matched",IF(M97="IN","Not in cash book (credit)","Not in cash book (debit)")))</f>
        <v/>
      </c>
      <c r="I97" s="43" t="str">
        <f aca="false">IF(N(R97)&gt;0,R97,"")</f>
        <v/>
      </c>
      <c r="J97" s="45" t="str">
        <f aca="false">IF(AND(M97="",B97="",C97=""),"",IF(AND(N(E97)&gt;0,N(F97)&gt;0),"⚠ Fill withdrawal OR deposit",IF(M97="","⚠ Enter amount",IF(B97="","⚠ Enter date",IF(NOT(OR(NOT(ISNUMBER(G97)),NOT(ISNUMBER(G96)),ABS(N(G97)-(N(G96)+N(F97)-N(E97)))&lt;=0.5)),"⚠ Balance does not follow previous row","✔")))))</f>
        <v/>
      </c>
      <c r="M97" s="9" t="str">
        <f aca="false">IF(N(F97)&gt;0,"IN",IF(N(E97)&gt;0,"OUT",""))</f>
        <v/>
      </c>
      <c r="N97" s="9" t="str">
        <f aca="false">IF(M97="","",M97&amp;"|"&amp;TEXT(ROUND(N(E97)+N(F97),2),"0.00"))</f>
        <v/>
      </c>
      <c r="O97" s="9" t="str">
        <f aca="false">IF(OR(N97="",TRIM(D97&amp;"")=""),"",N97&amp;"|"&amp;UPPER(TRIM(D97&amp;"")))</f>
        <v/>
      </c>
      <c r="P97" s="9" t="n">
        <f aca="false">IF(O97="",0,IF(COUNTIF('Cash Book'!$O$8:$O$507,O97)&gt;0,1,0))</f>
        <v>0</v>
      </c>
      <c r="Q97" s="9" t="str">
        <f aca="false">IF(OR(N97="",P97=1),"",N97&amp;"#"&amp;COUNTIFS($N$8:N97,N97,$P$8:P97,0))</f>
        <v/>
      </c>
      <c r="R97" s="9" t="n">
        <f aca="false">IF(N97="",0,IFERROR(MATCH(ROW()-7,'Cash Book'!$U$8:$U$507,0),0))</f>
        <v>0</v>
      </c>
      <c r="V97" s="9" t="str">
        <f aca="false">IF(AND(N97&lt;&gt;"",R97=0),IF(M97="IN",3,4)*100000+ROW(),"")</f>
        <v/>
      </c>
      <c r="W97" s="9" t="n">
        <f aca="false">N(E97)+N(F97)</f>
        <v>0</v>
      </c>
    </row>
    <row r="98" customFormat="false" ht="15" hidden="false" customHeight="false" outlineLevel="0" collapsed="false">
      <c r="A98" s="37" t="str">
        <f aca="false">IF(M98="","",ROW()-7)</f>
        <v/>
      </c>
      <c r="B98" s="70"/>
      <c r="C98" s="72"/>
      <c r="D98" s="71"/>
      <c r="E98" s="73"/>
      <c r="F98" s="73"/>
      <c r="G98" s="73"/>
      <c r="H98" s="42" t="str">
        <f aca="false">IF(M98="","",IF(R98&gt;0,"✔ Matched",IF(M98="IN","Not in cash book (credit)","Not in cash book (debit)")))</f>
        <v/>
      </c>
      <c r="I98" s="43" t="str">
        <f aca="false">IF(N(R98)&gt;0,R98,"")</f>
        <v/>
      </c>
      <c r="J98" s="45" t="str">
        <f aca="false">IF(AND(M98="",B98="",C98=""),"",IF(AND(N(E98)&gt;0,N(F98)&gt;0),"⚠ Fill withdrawal OR deposit",IF(M98="","⚠ Enter amount",IF(B98="","⚠ Enter date",IF(NOT(OR(NOT(ISNUMBER(G98)),NOT(ISNUMBER(G97)),ABS(N(G98)-(N(G97)+N(F98)-N(E98)))&lt;=0.5)),"⚠ Balance does not follow previous row","✔")))))</f>
        <v/>
      </c>
      <c r="M98" s="9" t="str">
        <f aca="false">IF(N(F98)&gt;0,"IN",IF(N(E98)&gt;0,"OUT",""))</f>
        <v/>
      </c>
      <c r="N98" s="9" t="str">
        <f aca="false">IF(M98="","",M98&amp;"|"&amp;TEXT(ROUND(N(E98)+N(F98),2),"0.00"))</f>
        <v/>
      </c>
      <c r="O98" s="9" t="str">
        <f aca="false">IF(OR(N98="",TRIM(D98&amp;"")=""),"",N98&amp;"|"&amp;UPPER(TRIM(D98&amp;"")))</f>
        <v/>
      </c>
      <c r="P98" s="9" t="n">
        <f aca="false">IF(O98="",0,IF(COUNTIF('Cash Book'!$O$8:$O$507,O98)&gt;0,1,0))</f>
        <v>0</v>
      </c>
      <c r="Q98" s="9" t="str">
        <f aca="false">IF(OR(N98="",P98=1),"",N98&amp;"#"&amp;COUNTIFS($N$8:N98,N98,$P$8:P98,0))</f>
        <v/>
      </c>
      <c r="R98" s="9" t="n">
        <f aca="false">IF(N98="",0,IFERROR(MATCH(ROW()-7,'Cash Book'!$U$8:$U$507,0),0))</f>
        <v>0</v>
      </c>
      <c r="V98" s="9" t="str">
        <f aca="false">IF(AND(N98&lt;&gt;"",R98=0),IF(M98="IN",3,4)*100000+ROW(),"")</f>
        <v/>
      </c>
      <c r="W98" s="9" t="n">
        <f aca="false">N(E98)+N(F98)</f>
        <v>0</v>
      </c>
    </row>
    <row r="99" customFormat="false" ht="15" hidden="false" customHeight="false" outlineLevel="0" collapsed="false">
      <c r="A99" s="37" t="str">
        <f aca="false">IF(M99="","",ROW()-7)</f>
        <v/>
      </c>
      <c r="B99" s="70"/>
      <c r="C99" s="72"/>
      <c r="D99" s="71"/>
      <c r="E99" s="73"/>
      <c r="F99" s="73"/>
      <c r="G99" s="73"/>
      <c r="H99" s="42" t="str">
        <f aca="false">IF(M99="","",IF(R99&gt;0,"✔ Matched",IF(M99="IN","Not in cash book (credit)","Not in cash book (debit)")))</f>
        <v/>
      </c>
      <c r="I99" s="43" t="str">
        <f aca="false">IF(N(R99)&gt;0,R99,"")</f>
        <v/>
      </c>
      <c r="J99" s="45" t="str">
        <f aca="false">IF(AND(M99="",B99="",C99=""),"",IF(AND(N(E99)&gt;0,N(F99)&gt;0),"⚠ Fill withdrawal OR deposit",IF(M99="","⚠ Enter amount",IF(B99="","⚠ Enter date",IF(NOT(OR(NOT(ISNUMBER(G99)),NOT(ISNUMBER(G98)),ABS(N(G99)-(N(G98)+N(F99)-N(E99)))&lt;=0.5)),"⚠ Balance does not follow previous row","✔")))))</f>
        <v/>
      </c>
      <c r="M99" s="9" t="str">
        <f aca="false">IF(N(F99)&gt;0,"IN",IF(N(E99)&gt;0,"OUT",""))</f>
        <v/>
      </c>
      <c r="N99" s="9" t="str">
        <f aca="false">IF(M99="","",M99&amp;"|"&amp;TEXT(ROUND(N(E99)+N(F99),2),"0.00"))</f>
        <v/>
      </c>
      <c r="O99" s="9" t="str">
        <f aca="false">IF(OR(N99="",TRIM(D99&amp;"")=""),"",N99&amp;"|"&amp;UPPER(TRIM(D99&amp;"")))</f>
        <v/>
      </c>
      <c r="P99" s="9" t="n">
        <f aca="false">IF(O99="",0,IF(COUNTIF('Cash Book'!$O$8:$O$507,O99)&gt;0,1,0))</f>
        <v>0</v>
      </c>
      <c r="Q99" s="9" t="str">
        <f aca="false">IF(OR(N99="",P99=1),"",N99&amp;"#"&amp;COUNTIFS($N$8:N99,N99,$P$8:P99,0))</f>
        <v/>
      </c>
      <c r="R99" s="9" t="n">
        <f aca="false">IF(N99="",0,IFERROR(MATCH(ROW()-7,'Cash Book'!$U$8:$U$507,0),0))</f>
        <v>0</v>
      </c>
      <c r="V99" s="9" t="str">
        <f aca="false">IF(AND(N99&lt;&gt;"",R99=0),IF(M99="IN",3,4)*100000+ROW(),"")</f>
        <v/>
      </c>
      <c r="W99" s="9" t="n">
        <f aca="false">N(E99)+N(F99)</f>
        <v>0</v>
      </c>
    </row>
    <row r="100" customFormat="false" ht="15" hidden="false" customHeight="false" outlineLevel="0" collapsed="false">
      <c r="A100" s="37" t="str">
        <f aca="false">IF(M100="","",ROW()-7)</f>
        <v/>
      </c>
      <c r="B100" s="70"/>
      <c r="C100" s="72"/>
      <c r="D100" s="71"/>
      <c r="E100" s="73"/>
      <c r="F100" s="73"/>
      <c r="G100" s="73"/>
      <c r="H100" s="42" t="str">
        <f aca="false">IF(M100="","",IF(R100&gt;0,"✔ Matched",IF(M100="IN","Not in cash book (credit)","Not in cash book (debit)")))</f>
        <v/>
      </c>
      <c r="I100" s="43" t="str">
        <f aca="false">IF(N(R100)&gt;0,R100,"")</f>
        <v/>
      </c>
      <c r="J100" s="45" t="str">
        <f aca="false">IF(AND(M100="",B100="",C100=""),"",IF(AND(N(E100)&gt;0,N(F100)&gt;0),"⚠ Fill withdrawal OR deposit",IF(M100="","⚠ Enter amount",IF(B100="","⚠ Enter date",IF(NOT(OR(NOT(ISNUMBER(G100)),NOT(ISNUMBER(G99)),ABS(N(G100)-(N(G99)+N(F100)-N(E100)))&lt;=0.5)),"⚠ Balance does not follow previous row","✔")))))</f>
        <v/>
      </c>
      <c r="M100" s="9" t="str">
        <f aca="false">IF(N(F100)&gt;0,"IN",IF(N(E100)&gt;0,"OUT",""))</f>
        <v/>
      </c>
      <c r="N100" s="9" t="str">
        <f aca="false">IF(M100="","",M100&amp;"|"&amp;TEXT(ROUND(N(E100)+N(F100),2),"0.00"))</f>
        <v/>
      </c>
      <c r="O100" s="9" t="str">
        <f aca="false">IF(OR(N100="",TRIM(D100&amp;"")=""),"",N100&amp;"|"&amp;UPPER(TRIM(D100&amp;"")))</f>
        <v/>
      </c>
      <c r="P100" s="9" t="n">
        <f aca="false">IF(O100="",0,IF(COUNTIF('Cash Book'!$O$8:$O$507,O100)&gt;0,1,0))</f>
        <v>0</v>
      </c>
      <c r="Q100" s="9" t="str">
        <f aca="false">IF(OR(N100="",P100=1),"",N100&amp;"#"&amp;COUNTIFS($N$8:N100,N100,$P$8:P100,0))</f>
        <v/>
      </c>
      <c r="R100" s="9" t="n">
        <f aca="false">IF(N100="",0,IFERROR(MATCH(ROW()-7,'Cash Book'!$U$8:$U$507,0),0))</f>
        <v>0</v>
      </c>
      <c r="V100" s="9" t="str">
        <f aca="false">IF(AND(N100&lt;&gt;"",R100=0),IF(M100="IN",3,4)*100000+ROW(),"")</f>
        <v/>
      </c>
      <c r="W100" s="9" t="n">
        <f aca="false">N(E100)+N(F100)</f>
        <v>0</v>
      </c>
    </row>
    <row r="101" customFormat="false" ht="15" hidden="false" customHeight="false" outlineLevel="0" collapsed="false">
      <c r="A101" s="37" t="str">
        <f aca="false">IF(M101="","",ROW()-7)</f>
        <v/>
      </c>
      <c r="B101" s="70"/>
      <c r="C101" s="72"/>
      <c r="D101" s="71"/>
      <c r="E101" s="73"/>
      <c r="F101" s="73"/>
      <c r="G101" s="73"/>
      <c r="H101" s="42" t="str">
        <f aca="false">IF(M101="","",IF(R101&gt;0,"✔ Matched",IF(M101="IN","Not in cash book (credit)","Not in cash book (debit)")))</f>
        <v/>
      </c>
      <c r="I101" s="43" t="str">
        <f aca="false">IF(N(R101)&gt;0,R101,"")</f>
        <v/>
      </c>
      <c r="J101" s="45" t="str">
        <f aca="false">IF(AND(M101="",B101="",C101=""),"",IF(AND(N(E101)&gt;0,N(F101)&gt;0),"⚠ Fill withdrawal OR deposit",IF(M101="","⚠ Enter amount",IF(B101="","⚠ Enter date",IF(NOT(OR(NOT(ISNUMBER(G101)),NOT(ISNUMBER(G100)),ABS(N(G101)-(N(G100)+N(F101)-N(E101)))&lt;=0.5)),"⚠ Balance does not follow previous row","✔")))))</f>
        <v/>
      </c>
      <c r="M101" s="9" t="str">
        <f aca="false">IF(N(F101)&gt;0,"IN",IF(N(E101)&gt;0,"OUT",""))</f>
        <v/>
      </c>
      <c r="N101" s="9" t="str">
        <f aca="false">IF(M101="","",M101&amp;"|"&amp;TEXT(ROUND(N(E101)+N(F101),2),"0.00"))</f>
        <v/>
      </c>
      <c r="O101" s="9" t="str">
        <f aca="false">IF(OR(N101="",TRIM(D101&amp;"")=""),"",N101&amp;"|"&amp;UPPER(TRIM(D101&amp;"")))</f>
        <v/>
      </c>
      <c r="P101" s="9" t="n">
        <f aca="false">IF(O101="",0,IF(COUNTIF('Cash Book'!$O$8:$O$507,O101)&gt;0,1,0))</f>
        <v>0</v>
      </c>
      <c r="Q101" s="9" t="str">
        <f aca="false">IF(OR(N101="",P101=1),"",N101&amp;"#"&amp;COUNTIFS($N$8:N101,N101,$P$8:P101,0))</f>
        <v/>
      </c>
      <c r="R101" s="9" t="n">
        <f aca="false">IF(N101="",0,IFERROR(MATCH(ROW()-7,'Cash Book'!$U$8:$U$507,0),0))</f>
        <v>0</v>
      </c>
      <c r="V101" s="9" t="str">
        <f aca="false">IF(AND(N101&lt;&gt;"",R101=0),IF(M101="IN",3,4)*100000+ROW(),"")</f>
        <v/>
      </c>
      <c r="W101" s="9" t="n">
        <f aca="false">N(E101)+N(F101)</f>
        <v>0</v>
      </c>
    </row>
    <row r="102" customFormat="false" ht="15" hidden="false" customHeight="false" outlineLevel="0" collapsed="false">
      <c r="A102" s="37" t="str">
        <f aca="false">IF(M102="","",ROW()-7)</f>
        <v/>
      </c>
      <c r="B102" s="70"/>
      <c r="C102" s="72"/>
      <c r="D102" s="71"/>
      <c r="E102" s="73"/>
      <c r="F102" s="73"/>
      <c r="G102" s="73"/>
      <c r="H102" s="42" t="str">
        <f aca="false">IF(M102="","",IF(R102&gt;0,"✔ Matched",IF(M102="IN","Not in cash book (credit)","Not in cash book (debit)")))</f>
        <v/>
      </c>
      <c r="I102" s="43" t="str">
        <f aca="false">IF(N(R102)&gt;0,R102,"")</f>
        <v/>
      </c>
      <c r="J102" s="45" t="str">
        <f aca="false">IF(AND(M102="",B102="",C102=""),"",IF(AND(N(E102)&gt;0,N(F102)&gt;0),"⚠ Fill withdrawal OR deposit",IF(M102="","⚠ Enter amount",IF(B102="","⚠ Enter date",IF(NOT(OR(NOT(ISNUMBER(G102)),NOT(ISNUMBER(G101)),ABS(N(G102)-(N(G101)+N(F102)-N(E102)))&lt;=0.5)),"⚠ Balance does not follow previous row","✔")))))</f>
        <v/>
      </c>
      <c r="M102" s="9" t="str">
        <f aca="false">IF(N(F102)&gt;0,"IN",IF(N(E102)&gt;0,"OUT",""))</f>
        <v/>
      </c>
      <c r="N102" s="9" t="str">
        <f aca="false">IF(M102="","",M102&amp;"|"&amp;TEXT(ROUND(N(E102)+N(F102),2),"0.00"))</f>
        <v/>
      </c>
      <c r="O102" s="9" t="str">
        <f aca="false">IF(OR(N102="",TRIM(D102&amp;"")=""),"",N102&amp;"|"&amp;UPPER(TRIM(D102&amp;"")))</f>
        <v/>
      </c>
      <c r="P102" s="9" t="n">
        <f aca="false">IF(O102="",0,IF(COUNTIF('Cash Book'!$O$8:$O$507,O102)&gt;0,1,0))</f>
        <v>0</v>
      </c>
      <c r="Q102" s="9" t="str">
        <f aca="false">IF(OR(N102="",P102=1),"",N102&amp;"#"&amp;COUNTIFS($N$8:N102,N102,$P$8:P102,0))</f>
        <v/>
      </c>
      <c r="R102" s="9" t="n">
        <f aca="false">IF(N102="",0,IFERROR(MATCH(ROW()-7,'Cash Book'!$U$8:$U$507,0),0))</f>
        <v>0</v>
      </c>
      <c r="V102" s="9" t="str">
        <f aca="false">IF(AND(N102&lt;&gt;"",R102=0),IF(M102="IN",3,4)*100000+ROW(),"")</f>
        <v/>
      </c>
      <c r="W102" s="9" t="n">
        <f aca="false">N(E102)+N(F102)</f>
        <v>0</v>
      </c>
    </row>
    <row r="103" customFormat="false" ht="15" hidden="false" customHeight="false" outlineLevel="0" collapsed="false">
      <c r="A103" s="37" t="str">
        <f aca="false">IF(M103="","",ROW()-7)</f>
        <v/>
      </c>
      <c r="B103" s="70"/>
      <c r="C103" s="72"/>
      <c r="D103" s="71"/>
      <c r="E103" s="73"/>
      <c r="F103" s="73"/>
      <c r="G103" s="73"/>
      <c r="H103" s="42" t="str">
        <f aca="false">IF(M103="","",IF(R103&gt;0,"✔ Matched",IF(M103="IN","Not in cash book (credit)","Not in cash book (debit)")))</f>
        <v/>
      </c>
      <c r="I103" s="43" t="str">
        <f aca="false">IF(N(R103)&gt;0,R103,"")</f>
        <v/>
      </c>
      <c r="J103" s="45" t="str">
        <f aca="false">IF(AND(M103="",B103="",C103=""),"",IF(AND(N(E103)&gt;0,N(F103)&gt;0),"⚠ Fill withdrawal OR deposit",IF(M103="","⚠ Enter amount",IF(B103="","⚠ Enter date",IF(NOT(OR(NOT(ISNUMBER(G103)),NOT(ISNUMBER(G102)),ABS(N(G103)-(N(G102)+N(F103)-N(E103)))&lt;=0.5)),"⚠ Balance does not follow previous row","✔")))))</f>
        <v/>
      </c>
      <c r="M103" s="9" t="str">
        <f aca="false">IF(N(F103)&gt;0,"IN",IF(N(E103)&gt;0,"OUT",""))</f>
        <v/>
      </c>
      <c r="N103" s="9" t="str">
        <f aca="false">IF(M103="","",M103&amp;"|"&amp;TEXT(ROUND(N(E103)+N(F103),2),"0.00"))</f>
        <v/>
      </c>
      <c r="O103" s="9" t="str">
        <f aca="false">IF(OR(N103="",TRIM(D103&amp;"")=""),"",N103&amp;"|"&amp;UPPER(TRIM(D103&amp;"")))</f>
        <v/>
      </c>
      <c r="P103" s="9" t="n">
        <f aca="false">IF(O103="",0,IF(COUNTIF('Cash Book'!$O$8:$O$507,O103)&gt;0,1,0))</f>
        <v>0</v>
      </c>
      <c r="Q103" s="9" t="str">
        <f aca="false">IF(OR(N103="",P103=1),"",N103&amp;"#"&amp;COUNTIFS($N$8:N103,N103,$P$8:P103,0))</f>
        <v/>
      </c>
      <c r="R103" s="9" t="n">
        <f aca="false">IF(N103="",0,IFERROR(MATCH(ROW()-7,'Cash Book'!$U$8:$U$507,0),0))</f>
        <v>0</v>
      </c>
      <c r="V103" s="9" t="str">
        <f aca="false">IF(AND(N103&lt;&gt;"",R103=0),IF(M103="IN",3,4)*100000+ROW(),"")</f>
        <v/>
      </c>
      <c r="W103" s="9" t="n">
        <f aca="false">N(E103)+N(F103)</f>
        <v>0</v>
      </c>
    </row>
    <row r="104" customFormat="false" ht="15" hidden="false" customHeight="false" outlineLevel="0" collapsed="false">
      <c r="A104" s="37" t="str">
        <f aca="false">IF(M104="","",ROW()-7)</f>
        <v/>
      </c>
      <c r="B104" s="70"/>
      <c r="C104" s="72"/>
      <c r="D104" s="71"/>
      <c r="E104" s="73"/>
      <c r="F104" s="73"/>
      <c r="G104" s="73"/>
      <c r="H104" s="42" t="str">
        <f aca="false">IF(M104="","",IF(R104&gt;0,"✔ Matched",IF(M104="IN","Not in cash book (credit)","Not in cash book (debit)")))</f>
        <v/>
      </c>
      <c r="I104" s="43" t="str">
        <f aca="false">IF(N(R104)&gt;0,R104,"")</f>
        <v/>
      </c>
      <c r="J104" s="45" t="str">
        <f aca="false">IF(AND(M104="",B104="",C104=""),"",IF(AND(N(E104)&gt;0,N(F104)&gt;0),"⚠ Fill withdrawal OR deposit",IF(M104="","⚠ Enter amount",IF(B104="","⚠ Enter date",IF(NOT(OR(NOT(ISNUMBER(G104)),NOT(ISNUMBER(G103)),ABS(N(G104)-(N(G103)+N(F104)-N(E104)))&lt;=0.5)),"⚠ Balance does not follow previous row","✔")))))</f>
        <v/>
      </c>
      <c r="M104" s="9" t="str">
        <f aca="false">IF(N(F104)&gt;0,"IN",IF(N(E104)&gt;0,"OUT",""))</f>
        <v/>
      </c>
      <c r="N104" s="9" t="str">
        <f aca="false">IF(M104="","",M104&amp;"|"&amp;TEXT(ROUND(N(E104)+N(F104),2),"0.00"))</f>
        <v/>
      </c>
      <c r="O104" s="9" t="str">
        <f aca="false">IF(OR(N104="",TRIM(D104&amp;"")=""),"",N104&amp;"|"&amp;UPPER(TRIM(D104&amp;"")))</f>
        <v/>
      </c>
      <c r="P104" s="9" t="n">
        <f aca="false">IF(O104="",0,IF(COUNTIF('Cash Book'!$O$8:$O$507,O104)&gt;0,1,0))</f>
        <v>0</v>
      </c>
      <c r="Q104" s="9" t="str">
        <f aca="false">IF(OR(N104="",P104=1),"",N104&amp;"#"&amp;COUNTIFS($N$8:N104,N104,$P$8:P104,0))</f>
        <v/>
      </c>
      <c r="R104" s="9" t="n">
        <f aca="false">IF(N104="",0,IFERROR(MATCH(ROW()-7,'Cash Book'!$U$8:$U$507,0),0))</f>
        <v>0</v>
      </c>
      <c r="V104" s="9" t="str">
        <f aca="false">IF(AND(N104&lt;&gt;"",R104=0),IF(M104="IN",3,4)*100000+ROW(),"")</f>
        <v/>
      </c>
      <c r="W104" s="9" t="n">
        <f aca="false">N(E104)+N(F104)</f>
        <v>0</v>
      </c>
    </row>
    <row r="105" customFormat="false" ht="15" hidden="false" customHeight="false" outlineLevel="0" collapsed="false">
      <c r="A105" s="37" t="str">
        <f aca="false">IF(M105="","",ROW()-7)</f>
        <v/>
      </c>
      <c r="B105" s="70"/>
      <c r="C105" s="72"/>
      <c r="D105" s="71"/>
      <c r="E105" s="73"/>
      <c r="F105" s="73"/>
      <c r="G105" s="73"/>
      <c r="H105" s="42" t="str">
        <f aca="false">IF(M105="","",IF(R105&gt;0,"✔ Matched",IF(M105="IN","Not in cash book (credit)","Not in cash book (debit)")))</f>
        <v/>
      </c>
      <c r="I105" s="43" t="str">
        <f aca="false">IF(N(R105)&gt;0,R105,"")</f>
        <v/>
      </c>
      <c r="J105" s="45" t="str">
        <f aca="false">IF(AND(M105="",B105="",C105=""),"",IF(AND(N(E105)&gt;0,N(F105)&gt;0),"⚠ Fill withdrawal OR deposit",IF(M105="","⚠ Enter amount",IF(B105="","⚠ Enter date",IF(NOT(OR(NOT(ISNUMBER(G105)),NOT(ISNUMBER(G104)),ABS(N(G105)-(N(G104)+N(F105)-N(E105)))&lt;=0.5)),"⚠ Balance does not follow previous row","✔")))))</f>
        <v/>
      </c>
      <c r="M105" s="9" t="str">
        <f aca="false">IF(N(F105)&gt;0,"IN",IF(N(E105)&gt;0,"OUT",""))</f>
        <v/>
      </c>
      <c r="N105" s="9" t="str">
        <f aca="false">IF(M105="","",M105&amp;"|"&amp;TEXT(ROUND(N(E105)+N(F105),2),"0.00"))</f>
        <v/>
      </c>
      <c r="O105" s="9" t="str">
        <f aca="false">IF(OR(N105="",TRIM(D105&amp;"")=""),"",N105&amp;"|"&amp;UPPER(TRIM(D105&amp;"")))</f>
        <v/>
      </c>
      <c r="P105" s="9" t="n">
        <f aca="false">IF(O105="",0,IF(COUNTIF('Cash Book'!$O$8:$O$507,O105)&gt;0,1,0))</f>
        <v>0</v>
      </c>
      <c r="Q105" s="9" t="str">
        <f aca="false">IF(OR(N105="",P105=1),"",N105&amp;"#"&amp;COUNTIFS($N$8:N105,N105,$P$8:P105,0))</f>
        <v/>
      </c>
      <c r="R105" s="9" t="n">
        <f aca="false">IF(N105="",0,IFERROR(MATCH(ROW()-7,'Cash Book'!$U$8:$U$507,0),0))</f>
        <v>0</v>
      </c>
      <c r="V105" s="9" t="str">
        <f aca="false">IF(AND(N105&lt;&gt;"",R105=0),IF(M105="IN",3,4)*100000+ROW(),"")</f>
        <v/>
      </c>
      <c r="W105" s="9" t="n">
        <f aca="false">N(E105)+N(F105)</f>
        <v>0</v>
      </c>
    </row>
    <row r="106" customFormat="false" ht="15" hidden="false" customHeight="false" outlineLevel="0" collapsed="false">
      <c r="A106" s="37" t="str">
        <f aca="false">IF(M106="","",ROW()-7)</f>
        <v/>
      </c>
      <c r="B106" s="70"/>
      <c r="C106" s="72"/>
      <c r="D106" s="71"/>
      <c r="E106" s="73"/>
      <c r="F106" s="73"/>
      <c r="G106" s="73"/>
      <c r="H106" s="42" t="str">
        <f aca="false">IF(M106="","",IF(R106&gt;0,"✔ Matched",IF(M106="IN","Not in cash book (credit)","Not in cash book (debit)")))</f>
        <v/>
      </c>
      <c r="I106" s="43" t="str">
        <f aca="false">IF(N(R106)&gt;0,R106,"")</f>
        <v/>
      </c>
      <c r="J106" s="45" t="str">
        <f aca="false">IF(AND(M106="",B106="",C106=""),"",IF(AND(N(E106)&gt;0,N(F106)&gt;0),"⚠ Fill withdrawal OR deposit",IF(M106="","⚠ Enter amount",IF(B106="","⚠ Enter date",IF(NOT(OR(NOT(ISNUMBER(G106)),NOT(ISNUMBER(G105)),ABS(N(G106)-(N(G105)+N(F106)-N(E106)))&lt;=0.5)),"⚠ Balance does not follow previous row","✔")))))</f>
        <v/>
      </c>
      <c r="M106" s="9" t="str">
        <f aca="false">IF(N(F106)&gt;0,"IN",IF(N(E106)&gt;0,"OUT",""))</f>
        <v/>
      </c>
      <c r="N106" s="9" t="str">
        <f aca="false">IF(M106="","",M106&amp;"|"&amp;TEXT(ROUND(N(E106)+N(F106),2),"0.00"))</f>
        <v/>
      </c>
      <c r="O106" s="9" t="str">
        <f aca="false">IF(OR(N106="",TRIM(D106&amp;"")=""),"",N106&amp;"|"&amp;UPPER(TRIM(D106&amp;"")))</f>
        <v/>
      </c>
      <c r="P106" s="9" t="n">
        <f aca="false">IF(O106="",0,IF(COUNTIF('Cash Book'!$O$8:$O$507,O106)&gt;0,1,0))</f>
        <v>0</v>
      </c>
      <c r="Q106" s="9" t="str">
        <f aca="false">IF(OR(N106="",P106=1),"",N106&amp;"#"&amp;COUNTIFS($N$8:N106,N106,$P$8:P106,0))</f>
        <v/>
      </c>
      <c r="R106" s="9" t="n">
        <f aca="false">IF(N106="",0,IFERROR(MATCH(ROW()-7,'Cash Book'!$U$8:$U$507,0),0))</f>
        <v>0</v>
      </c>
      <c r="V106" s="9" t="str">
        <f aca="false">IF(AND(N106&lt;&gt;"",R106=0),IF(M106="IN",3,4)*100000+ROW(),"")</f>
        <v/>
      </c>
      <c r="W106" s="9" t="n">
        <f aca="false">N(E106)+N(F106)</f>
        <v>0</v>
      </c>
    </row>
    <row r="107" customFormat="false" ht="15" hidden="false" customHeight="false" outlineLevel="0" collapsed="false">
      <c r="A107" s="37" t="str">
        <f aca="false">IF(M107="","",ROW()-7)</f>
        <v/>
      </c>
      <c r="B107" s="70"/>
      <c r="C107" s="72"/>
      <c r="D107" s="71"/>
      <c r="E107" s="73"/>
      <c r="F107" s="73"/>
      <c r="G107" s="73"/>
      <c r="H107" s="42" t="str">
        <f aca="false">IF(M107="","",IF(R107&gt;0,"✔ Matched",IF(M107="IN","Not in cash book (credit)","Not in cash book (debit)")))</f>
        <v/>
      </c>
      <c r="I107" s="43" t="str">
        <f aca="false">IF(N(R107)&gt;0,R107,"")</f>
        <v/>
      </c>
      <c r="J107" s="45" t="str">
        <f aca="false">IF(AND(M107="",B107="",C107=""),"",IF(AND(N(E107)&gt;0,N(F107)&gt;0),"⚠ Fill withdrawal OR deposit",IF(M107="","⚠ Enter amount",IF(B107="","⚠ Enter date",IF(NOT(OR(NOT(ISNUMBER(G107)),NOT(ISNUMBER(G106)),ABS(N(G107)-(N(G106)+N(F107)-N(E107)))&lt;=0.5)),"⚠ Balance does not follow previous row","✔")))))</f>
        <v/>
      </c>
      <c r="M107" s="9" t="str">
        <f aca="false">IF(N(F107)&gt;0,"IN",IF(N(E107)&gt;0,"OUT",""))</f>
        <v/>
      </c>
      <c r="N107" s="9" t="str">
        <f aca="false">IF(M107="","",M107&amp;"|"&amp;TEXT(ROUND(N(E107)+N(F107),2),"0.00"))</f>
        <v/>
      </c>
      <c r="O107" s="9" t="str">
        <f aca="false">IF(OR(N107="",TRIM(D107&amp;"")=""),"",N107&amp;"|"&amp;UPPER(TRIM(D107&amp;"")))</f>
        <v/>
      </c>
      <c r="P107" s="9" t="n">
        <f aca="false">IF(O107="",0,IF(COUNTIF('Cash Book'!$O$8:$O$507,O107)&gt;0,1,0))</f>
        <v>0</v>
      </c>
      <c r="Q107" s="9" t="str">
        <f aca="false">IF(OR(N107="",P107=1),"",N107&amp;"#"&amp;COUNTIFS($N$8:N107,N107,$P$8:P107,0))</f>
        <v/>
      </c>
      <c r="R107" s="9" t="n">
        <f aca="false">IF(N107="",0,IFERROR(MATCH(ROW()-7,'Cash Book'!$U$8:$U$507,0),0))</f>
        <v>0</v>
      </c>
      <c r="V107" s="9" t="str">
        <f aca="false">IF(AND(N107&lt;&gt;"",R107=0),IF(M107="IN",3,4)*100000+ROW(),"")</f>
        <v/>
      </c>
      <c r="W107" s="9" t="n">
        <f aca="false">N(E107)+N(F107)</f>
        <v>0</v>
      </c>
    </row>
    <row r="108" customFormat="false" ht="15" hidden="false" customHeight="false" outlineLevel="0" collapsed="false">
      <c r="A108" s="37" t="str">
        <f aca="false">IF(M108="","",ROW()-7)</f>
        <v/>
      </c>
      <c r="B108" s="70"/>
      <c r="C108" s="72"/>
      <c r="D108" s="71"/>
      <c r="E108" s="73"/>
      <c r="F108" s="73"/>
      <c r="G108" s="73"/>
      <c r="H108" s="42" t="str">
        <f aca="false">IF(M108="","",IF(R108&gt;0,"✔ Matched",IF(M108="IN","Not in cash book (credit)","Not in cash book (debit)")))</f>
        <v/>
      </c>
      <c r="I108" s="43" t="str">
        <f aca="false">IF(N(R108)&gt;0,R108,"")</f>
        <v/>
      </c>
      <c r="J108" s="45" t="str">
        <f aca="false">IF(AND(M108="",B108="",C108=""),"",IF(AND(N(E108)&gt;0,N(F108)&gt;0),"⚠ Fill withdrawal OR deposit",IF(M108="","⚠ Enter amount",IF(B108="","⚠ Enter date",IF(NOT(OR(NOT(ISNUMBER(G108)),NOT(ISNUMBER(G107)),ABS(N(G108)-(N(G107)+N(F108)-N(E108)))&lt;=0.5)),"⚠ Balance does not follow previous row","✔")))))</f>
        <v/>
      </c>
      <c r="M108" s="9" t="str">
        <f aca="false">IF(N(F108)&gt;0,"IN",IF(N(E108)&gt;0,"OUT",""))</f>
        <v/>
      </c>
      <c r="N108" s="9" t="str">
        <f aca="false">IF(M108="","",M108&amp;"|"&amp;TEXT(ROUND(N(E108)+N(F108),2),"0.00"))</f>
        <v/>
      </c>
      <c r="O108" s="9" t="str">
        <f aca="false">IF(OR(N108="",TRIM(D108&amp;"")=""),"",N108&amp;"|"&amp;UPPER(TRIM(D108&amp;"")))</f>
        <v/>
      </c>
      <c r="P108" s="9" t="n">
        <f aca="false">IF(O108="",0,IF(COUNTIF('Cash Book'!$O$8:$O$507,O108)&gt;0,1,0))</f>
        <v>0</v>
      </c>
      <c r="Q108" s="9" t="str">
        <f aca="false">IF(OR(N108="",P108=1),"",N108&amp;"#"&amp;COUNTIFS($N$8:N108,N108,$P$8:P108,0))</f>
        <v/>
      </c>
      <c r="R108" s="9" t="n">
        <f aca="false">IF(N108="",0,IFERROR(MATCH(ROW()-7,'Cash Book'!$U$8:$U$507,0),0))</f>
        <v>0</v>
      </c>
      <c r="V108" s="9" t="str">
        <f aca="false">IF(AND(N108&lt;&gt;"",R108=0),IF(M108="IN",3,4)*100000+ROW(),"")</f>
        <v/>
      </c>
      <c r="W108" s="9" t="n">
        <f aca="false">N(E108)+N(F108)</f>
        <v>0</v>
      </c>
    </row>
    <row r="109" customFormat="false" ht="15" hidden="false" customHeight="false" outlineLevel="0" collapsed="false">
      <c r="A109" s="37" t="str">
        <f aca="false">IF(M109="","",ROW()-7)</f>
        <v/>
      </c>
      <c r="B109" s="70"/>
      <c r="C109" s="72"/>
      <c r="D109" s="71"/>
      <c r="E109" s="73"/>
      <c r="F109" s="73"/>
      <c r="G109" s="73"/>
      <c r="H109" s="42" t="str">
        <f aca="false">IF(M109="","",IF(R109&gt;0,"✔ Matched",IF(M109="IN","Not in cash book (credit)","Not in cash book (debit)")))</f>
        <v/>
      </c>
      <c r="I109" s="43" t="str">
        <f aca="false">IF(N(R109)&gt;0,R109,"")</f>
        <v/>
      </c>
      <c r="J109" s="45" t="str">
        <f aca="false">IF(AND(M109="",B109="",C109=""),"",IF(AND(N(E109)&gt;0,N(F109)&gt;0),"⚠ Fill withdrawal OR deposit",IF(M109="","⚠ Enter amount",IF(B109="","⚠ Enter date",IF(NOT(OR(NOT(ISNUMBER(G109)),NOT(ISNUMBER(G108)),ABS(N(G109)-(N(G108)+N(F109)-N(E109)))&lt;=0.5)),"⚠ Balance does not follow previous row","✔")))))</f>
        <v/>
      </c>
      <c r="M109" s="9" t="str">
        <f aca="false">IF(N(F109)&gt;0,"IN",IF(N(E109)&gt;0,"OUT",""))</f>
        <v/>
      </c>
      <c r="N109" s="9" t="str">
        <f aca="false">IF(M109="","",M109&amp;"|"&amp;TEXT(ROUND(N(E109)+N(F109),2),"0.00"))</f>
        <v/>
      </c>
      <c r="O109" s="9" t="str">
        <f aca="false">IF(OR(N109="",TRIM(D109&amp;"")=""),"",N109&amp;"|"&amp;UPPER(TRIM(D109&amp;"")))</f>
        <v/>
      </c>
      <c r="P109" s="9" t="n">
        <f aca="false">IF(O109="",0,IF(COUNTIF('Cash Book'!$O$8:$O$507,O109)&gt;0,1,0))</f>
        <v>0</v>
      </c>
      <c r="Q109" s="9" t="str">
        <f aca="false">IF(OR(N109="",P109=1),"",N109&amp;"#"&amp;COUNTIFS($N$8:N109,N109,$P$8:P109,0))</f>
        <v/>
      </c>
      <c r="R109" s="9" t="n">
        <f aca="false">IF(N109="",0,IFERROR(MATCH(ROW()-7,'Cash Book'!$U$8:$U$507,0),0))</f>
        <v>0</v>
      </c>
      <c r="V109" s="9" t="str">
        <f aca="false">IF(AND(N109&lt;&gt;"",R109=0),IF(M109="IN",3,4)*100000+ROW(),"")</f>
        <v/>
      </c>
      <c r="W109" s="9" t="n">
        <f aca="false">N(E109)+N(F109)</f>
        <v>0</v>
      </c>
    </row>
    <row r="110" customFormat="false" ht="15" hidden="false" customHeight="false" outlineLevel="0" collapsed="false">
      <c r="A110" s="37" t="str">
        <f aca="false">IF(M110="","",ROW()-7)</f>
        <v/>
      </c>
      <c r="B110" s="70"/>
      <c r="C110" s="72"/>
      <c r="D110" s="71"/>
      <c r="E110" s="73"/>
      <c r="F110" s="73"/>
      <c r="G110" s="73"/>
      <c r="H110" s="42" t="str">
        <f aca="false">IF(M110="","",IF(R110&gt;0,"✔ Matched",IF(M110="IN","Not in cash book (credit)","Not in cash book (debit)")))</f>
        <v/>
      </c>
      <c r="I110" s="43" t="str">
        <f aca="false">IF(N(R110)&gt;0,R110,"")</f>
        <v/>
      </c>
      <c r="J110" s="45" t="str">
        <f aca="false">IF(AND(M110="",B110="",C110=""),"",IF(AND(N(E110)&gt;0,N(F110)&gt;0),"⚠ Fill withdrawal OR deposit",IF(M110="","⚠ Enter amount",IF(B110="","⚠ Enter date",IF(NOT(OR(NOT(ISNUMBER(G110)),NOT(ISNUMBER(G109)),ABS(N(G110)-(N(G109)+N(F110)-N(E110)))&lt;=0.5)),"⚠ Balance does not follow previous row","✔")))))</f>
        <v/>
      </c>
      <c r="M110" s="9" t="str">
        <f aca="false">IF(N(F110)&gt;0,"IN",IF(N(E110)&gt;0,"OUT",""))</f>
        <v/>
      </c>
      <c r="N110" s="9" t="str">
        <f aca="false">IF(M110="","",M110&amp;"|"&amp;TEXT(ROUND(N(E110)+N(F110),2),"0.00"))</f>
        <v/>
      </c>
      <c r="O110" s="9" t="str">
        <f aca="false">IF(OR(N110="",TRIM(D110&amp;"")=""),"",N110&amp;"|"&amp;UPPER(TRIM(D110&amp;"")))</f>
        <v/>
      </c>
      <c r="P110" s="9" t="n">
        <f aca="false">IF(O110="",0,IF(COUNTIF('Cash Book'!$O$8:$O$507,O110)&gt;0,1,0))</f>
        <v>0</v>
      </c>
      <c r="Q110" s="9" t="str">
        <f aca="false">IF(OR(N110="",P110=1),"",N110&amp;"#"&amp;COUNTIFS($N$8:N110,N110,$P$8:P110,0))</f>
        <v/>
      </c>
      <c r="R110" s="9" t="n">
        <f aca="false">IF(N110="",0,IFERROR(MATCH(ROW()-7,'Cash Book'!$U$8:$U$507,0),0))</f>
        <v>0</v>
      </c>
      <c r="V110" s="9" t="str">
        <f aca="false">IF(AND(N110&lt;&gt;"",R110=0),IF(M110="IN",3,4)*100000+ROW(),"")</f>
        <v/>
      </c>
      <c r="W110" s="9" t="n">
        <f aca="false">N(E110)+N(F110)</f>
        <v>0</v>
      </c>
    </row>
    <row r="111" customFormat="false" ht="15" hidden="false" customHeight="false" outlineLevel="0" collapsed="false">
      <c r="A111" s="37" t="str">
        <f aca="false">IF(M111="","",ROW()-7)</f>
        <v/>
      </c>
      <c r="B111" s="70"/>
      <c r="C111" s="72"/>
      <c r="D111" s="71"/>
      <c r="E111" s="73"/>
      <c r="F111" s="73"/>
      <c r="G111" s="73"/>
      <c r="H111" s="42" t="str">
        <f aca="false">IF(M111="","",IF(R111&gt;0,"✔ Matched",IF(M111="IN","Not in cash book (credit)","Not in cash book (debit)")))</f>
        <v/>
      </c>
      <c r="I111" s="43" t="str">
        <f aca="false">IF(N(R111)&gt;0,R111,"")</f>
        <v/>
      </c>
      <c r="J111" s="45" t="str">
        <f aca="false">IF(AND(M111="",B111="",C111=""),"",IF(AND(N(E111)&gt;0,N(F111)&gt;0),"⚠ Fill withdrawal OR deposit",IF(M111="","⚠ Enter amount",IF(B111="","⚠ Enter date",IF(NOT(OR(NOT(ISNUMBER(G111)),NOT(ISNUMBER(G110)),ABS(N(G111)-(N(G110)+N(F111)-N(E111)))&lt;=0.5)),"⚠ Balance does not follow previous row","✔")))))</f>
        <v/>
      </c>
      <c r="M111" s="9" t="str">
        <f aca="false">IF(N(F111)&gt;0,"IN",IF(N(E111)&gt;0,"OUT",""))</f>
        <v/>
      </c>
      <c r="N111" s="9" t="str">
        <f aca="false">IF(M111="","",M111&amp;"|"&amp;TEXT(ROUND(N(E111)+N(F111),2),"0.00"))</f>
        <v/>
      </c>
      <c r="O111" s="9" t="str">
        <f aca="false">IF(OR(N111="",TRIM(D111&amp;"")=""),"",N111&amp;"|"&amp;UPPER(TRIM(D111&amp;"")))</f>
        <v/>
      </c>
      <c r="P111" s="9" t="n">
        <f aca="false">IF(O111="",0,IF(COUNTIF('Cash Book'!$O$8:$O$507,O111)&gt;0,1,0))</f>
        <v>0</v>
      </c>
      <c r="Q111" s="9" t="str">
        <f aca="false">IF(OR(N111="",P111=1),"",N111&amp;"#"&amp;COUNTIFS($N$8:N111,N111,$P$8:P111,0))</f>
        <v/>
      </c>
      <c r="R111" s="9" t="n">
        <f aca="false">IF(N111="",0,IFERROR(MATCH(ROW()-7,'Cash Book'!$U$8:$U$507,0),0))</f>
        <v>0</v>
      </c>
      <c r="V111" s="9" t="str">
        <f aca="false">IF(AND(N111&lt;&gt;"",R111=0),IF(M111="IN",3,4)*100000+ROW(),"")</f>
        <v/>
      </c>
      <c r="W111" s="9" t="n">
        <f aca="false">N(E111)+N(F111)</f>
        <v>0</v>
      </c>
    </row>
    <row r="112" customFormat="false" ht="15" hidden="false" customHeight="false" outlineLevel="0" collapsed="false">
      <c r="A112" s="37" t="str">
        <f aca="false">IF(M112="","",ROW()-7)</f>
        <v/>
      </c>
      <c r="B112" s="70"/>
      <c r="C112" s="72"/>
      <c r="D112" s="71"/>
      <c r="E112" s="73"/>
      <c r="F112" s="73"/>
      <c r="G112" s="73"/>
      <c r="H112" s="42" t="str">
        <f aca="false">IF(M112="","",IF(R112&gt;0,"✔ Matched",IF(M112="IN","Not in cash book (credit)","Not in cash book (debit)")))</f>
        <v/>
      </c>
      <c r="I112" s="43" t="str">
        <f aca="false">IF(N(R112)&gt;0,R112,"")</f>
        <v/>
      </c>
      <c r="J112" s="45" t="str">
        <f aca="false">IF(AND(M112="",B112="",C112=""),"",IF(AND(N(E112)&gt;0,N(F112)&gt;0),"⚠ Fill withdrawal OR deposit",IF(M112="","⚠ Enter amount",IF(B112="","⚠ Enter date",IF(NOT(OR(NOT(ISNUMBER(G112)),NOT(ISNUMBER(G111)),ABS(N(G112)-(N(G111)+N(F112)-N(E112)))&lt;=0.5)),"⚠ Balance does not follow previous row","✔")))))</f>
        <v/>
      </c>
      <c r="M112" s="9" t="str">
        <f aca="false">IF(N(F112)&gt;0,"IN",IF(N(E112)&gt;0,"OUT",""))</f>
        <v/>
      </c>
      <c r="N112" s="9" t="str">
        <f aca="false">IF(M112="","",M112&amp;"|"&amp;TEXT(ROUND(N(E112)+N(F112),2),"0.00"))</f>
        <v/>
      </c>
      <c r="O112" s="9" t="str">
        <f aca="false">IF(OR(N112="",TRIM(D112&amp;"")=""),"",N112&amp;"|"&amp;UPPER(TRIM(D112&amp;"")))</f>
        <v/>
      </c>
      <c r="P112" s="9" t="n">
        <f aca="false">IF(O112="",0,IF(COUNTIF('Cash Book'!$O$8:$O$507,O112)&gt;0,1,0))</f>
        <v>0</v>
      </c>
      <c r="Q112" s="9" t="str">
        <f aca="false">IF(OR(N112="",P112=1),"",N112&amp;"#"&amp;COUNTIFS($N$8:N112,N112,$P$8:P112,0))</f>
        <v/>
      </c>
      <c r="R112" s="9" t="n">
        <f aca="false">IF(N112="",0,IFERROR(MATCH(ROW()-7,'Cash Book'!$U$8:$U$507,0),0))</f>
        <v>0</v>
      </c>
      <c r="V112" s="9" t="str">
        <f aca="false">IF(AND(N112&lt;&gt;"",R112=0),IF(M112="IN",3,4)*100000+ROW(),"")</f>
        <v/>
      </c>
      <c r="W112" s="9" t="n">
        <f aca="false">N(E112)+N(F112)</f>
        <v>0</v>
      </c>
    </row>
    <row r="113" customFormat="false" ht="15" hidden="false" customHeight="false" outlineLevel="0" collapsed="false">
      <c r="A113" s="37" t="str">
        <f aca="false">IF(M113="","",ROW()-7)</f>
        <v/>
      </c>
      <c r="B113" s="70"/>
      <c r="C113" s="72"/>
      <c r="D113" s="71"/>
      <c r="E113" s="73"/>
      <c r="F113" s="73"/>
      <c r="G113" s="73"/>
      <c r="H113" s="42" t="str">
        <f aca="false">IF(M113="","",IF(R113&gt;0,"✔ Matched",IF(M113="IN","Not in cash book (credit)","Not in cash book (debit)")))</f>
        <v/>
      </c>
      <c r="I113" s="43" t="str">
        <f aca="false">IF(N(R113)&gt;0,R113,"")</f>
        <v/>
      </c>
      <c r="J113" s="45" t="str">
        <f aca="false">IF(AND(M113="",B113="",C113=""),"",IF(AND(N(E113)&gt;0,N(F113)&gt;0),"⚠ Fill withdrawal OR deposit",IF(M113="","⚠ Enter amount",IF(B113="","⚠ Enter date",IF(NOT(OR(NOT(ISNUMBER(G113)),NOT(ISNUMBER(G112)),ABS(N(G113)-(N(G112)+N(F113)-N(E113)))&lt;=0.5)),"⚠ Balance does not follow previous row","✔")))))</f>
        <v/>
      </c>
      <c r="M113" s="9" t="str">
        <f aca="false">IF(N(F113)&gt;0,"IN",IF(N(E113)&gt;0,"OUT",""))</f>
        <v/>
      </c>
      <c r="N113" s="9" t="str">
        <f aca="false">IF(M113="","",M113&amp;"|"&amp;TEXT(ROUND(N(E113)+N(F113),2),"0.00"))</f>
        <v/>
      </c>
      <c r="O113" s="9" t="str">
        <f aca="false">IF(OR(N113="",TRIM(D113&amp;"")=""),"",N113&amp;"|"&amp;UPPER(TRIM(D113&amp;"")))</f>
        <v/>
      </c>
      <c r="P113" s="9" t="n">
        <f aca="false">IF(O113="",0,IF(COUNTIF('Cash Book'!$O$8:$O$507,O113)&gt;0,1,0))</f>
        <v>0</v>
      </c>
      <c r="Q113" s="9" t="str">
        <f aca="false">IF(OR(N113="",P113=1),"",N113&amp;"#"&amp;COUNTIFS($N$8:N113,N113,$P$8:P113,0))</f>
        <v/>
      </c>
      <c r="R113" s="9" t="n">
        <f aca="false">IF(N113="",0,IFERROR(MATCH(ROW()-7,'Cash Book'!$U$8:$U$507,0),0))</f>
        <v>0</v>
      </c>
      <c r="V113" s="9" t="str">
        <f aca="false">IF(AND(N113&lt;&gt;"",R113=0),IF(M113="IN",3,4)*100000+ROW(),"")</f>
        <v/>
      </c>
      <c r="W113" s="9" t="n">
        <f aca="false">N(E113)+N(F113)</f>
        <v>0</v>
      </c>
    </row>
    <row r="114" customFormat="false" ht="15" hidden="false" customHeight="false" outlineLevel="0" collapsed="false">
      <c r="A114" s="37" t="str">
        <f aca="false">IF(M114="","",ROW()-7)</f>
        <v/>
      </c>
      <c r="B114" s="70"/>
      <c r="C114" s="72"/>
      <c r="D114" s="71"/>
      <c r="E114" s="73"/>
      <c r="F114" s="73"/>
      <c r="G114" s="73"/>
      <c r="H114" s="42" t="str">
        <f aca="false">IF(M114="","",IF(R114&gt;0,"✔ Matched",IF(M114="IN","Not in cash book (credit)","Not in cash book (debit)")))</f>
        <v/>
      </c>
      <c r="I114" s="43" t="str">
        <f aca="false">IF(N(R114)&gt;0,R114,"")</f>
        <v/>
      </c>
      <c r="J114" s="45" t="str">
        <f aca="false">IF(AND(M114="",B114="",C114=""),"",IF(AND(N(E114)&gt;0,N(F114)&gt;0),"⚠ Fill withdrawal OR deposit",IF(M114="","⚠ Enter amount",IF(B114="","⚠ Enter date",IF(NOT(OR(NOT(ISNUMBER(G114)),NOT(ISNUMBER(G113)),ABS(N(G114)-(N(G113)+N(F114)-N(E114)))&lt;=0.5)),"⚠ Balance does not follow previous row","✔")))))</f>
        <v/>
      </c>
      <c r="M114" s="9" t="str">
        <f aca="false">IF(N(F114)&gt;0,"IN",IF(N(E114)&gt;0,"OUT",""))</f>
        <v/>
      </c>
      <c r="N114" s="9" t="str">
        <f aca="false">IF(M114="","",M114&amp;"|"&amp;TEXT(ROUND(N(E114)+N(F114),2),"0.00"))</f>
        <v/>
      </c>
      <c r="O114" s="9" t="str">
        <f aca="false">IF(OR(N114="",TRIM(D114&amp;"")=""),"",N114&amp;"|"&amp;UPPER(TRIM(D114&amp;"")))</f>
        <v/>
      </c>
      <c r="P114" s="9" t="n">
        <f aca="false">IF(O114="",0,IF(COUNTIF('Cash Book'!$O$8:$O$507,O114)&gt;0,1,0))</f>
        <v>0</v>
      </c>
      <c r="Q114" s="9" t="str">
        <f aca="false">IF(OR(N114="",P114=1),"",N114&amp;"#"&amp;COUNTIFS($N$8:N114,N114,$P$8:P114,0))</f>
        <v/>
      </c>
      <c r="R114" s="9" t="n">
        <f aca="false">IF(N114="",0,IFERROR(MATCH(ROW()-7,'Cash Book'!$U$8:$U$507,0),0))</f>
        <v>0</v>
      </c>
      <c r="V114" s="9" t="str">
        <f aca="false">IF(AND(N114&lt;&gt;"",R114=0),IF(M114="IN",3,4)*100000+ROW(),"")</f>
        <v/>
      </c>
      <c r="W114" s="9" t="n">
        <f aca="false">N(E114)+N(F114)</f>
        <v>0</v>
      </c>
    </row>
    <row r="115" customFormat="false" ht="15" hidden="false" customHeight="false" outlineLevel="0" collapsed="false">
      <c r="A115" s="37" t="str">
        <f aca="false">IF(M115="","",ROW()-7)</f>
        <v/>
      </c>
      <c r="B115" s="70"/>
      <c r="C115" s="72"/>
      <c r="D115" s="71"/>
      <c r="E115" s="73"/>
      <c r="F115" s="73"/>
      <c r="G115" s="73"/>
      <c r="H115" s="42" t="str">
        <f aca="false">IF(M115="","",IF(R115&gt;0,"✔ Matched",IF(M115="IN","Not in cash book (credit)","Not in cash book (debit)")))</f>
        <v/>
      </c>
      <c r="I115" s="43" t="str">
        <f aca="false">IF(N(R115)&gt;0,R115,"")</f>
        <v/>
      </c>
      <c r="J115" s="45" t="str">
        <f aca="false">IF(AND(M115="",B115="",C115=""),"",IF(AND(N(E115)&gt;0,N(F115)&gt;0),"⚠ Fill withdrawal OR deposit",IF(M115="","⚠ Enter amount",IF(B115="","⚠ Enter date",IF(NOT(OR(NOT(ISNUMBER(G115)),NOT(ISNUMBER(G114)),ABS(N(G115)-(N(G114)+N(F115)-N(E115)))&lt;=0.5)),"⚠ Balance does not follow previous row","✔")))))</f>
        <v/>
      </c>
      <c r="M115" s="9" t="str">
        <f aca="false">IF(N(F115)&gt;0,"IN",IF(N(E115)&gt;0,"OUT",""))</f>
        <v/>
      </c>
      <c r="N115" s="9" t="str">
        <f aca="false">IF(M115="","",M115&amp;"|"&amp;TEXT(ROUND(N(E115)+N(F115),2),"0.00"))</f>
        <v/>
      </c>
      <c r="O115" s="9" t="str">
        <f aca="false">IF(OR(N115="",TRIM(D115&amp;"")=""),"",N115&amp;"|"&amp;UPPER(TRIM(D115&amp;"")))</f>
        <v/>
      </c>
      <c r="P115" s="9" t="n">
        <f aca="false">IF(O115="",0,IF(COUNTIF('Cash Book'!$O$8:$O$507,O115)&gt;0,1,0))</f>
        <v>0</v>
      </c>
      <c r="Q115" s="9" t="str">
        <f aca="false">IF(OR(N115="",P115=1),"",N115&amp;"#"&amp;COUNTIFS($N$8:N115,N115,$P$8:P115,0))</f>
        <v/>
      </c>
      <c r="R115" s="9" t="n">
        <f aca="false">IF(N115="",0,IFERROR(MATCH(ROW()-7,'Cash Book'!$U$8:$U$507,0),0))</f>
        <v>0</v>
      </c>
      <c r="V115" s="9" t="str">
        <f aca="false">IF(AND(N115&lt;&gt;"",R115=0),IF(M115="IN",3,4)*100000+ROW(),"")</f>
        <v/>
      </c>
      <c r="W115" s="9" t="n">
        <f aca="false">N(E115)+N(F115)</f>
        <v>0</v>
      </c>
    </row>
    <row r="116" customFormat="false" ht="15" hidden="false" customHeight="false" outlineLevel="0" collapsed="false">
      <c r="A116" s="37" t="str">
        <f aca="false">IF(M116="","",ROW()-7)</f>
        <v/>
      </c>
      <c r="B116" s="70"/>
      <c r="C116" s="72"/>
      <c r="D116" s="71"/>
      <c r="E116" s="73"/>
      <c r="F116" s="73"/>
      <c r="G116" s="73"/>
      <c r="H116" s="42" t="str">
        <f aca="false">IF(M116="","",IF(R116&gt;0,"✔ Matched",IF(M116="IN","Not in cash book (credit)","Not in cash book (debit)")))</f>
        <v/>
      </c>
      <c r="I116" s="43" t="str">
        <f aca="false">IF(N(R116)&gt;0,R116,"")</f>
        <v/>
      </c>
      <c r="J116" s="45" t="str">
        <f aca="false">IF(AND(M116="",B116="",C116=""),"",IF(AND(N(E116)&gt;0,N(F116)&gt;0),"⚠ Fill withdrawal OR deposit",IF(M116="","⚠ Enter amount",IF(B116="","⚠ Enter date",IF(NOT(OR(NOT(ISNUMBER(G116)),NOT(ISNUMBER(G115)),ABS(N(G116)-(N(G115)+N(F116)-N(E116)))&lt;=0.5)),"⚠ Balance does not follow previous row","✔")))))</f>
        <v/>
      </c>
      <c r="M116" s="9" t="str">
        <f aca="false">IF(N(F116)&gt;0,"IN",IF(N(E116)&gt;0,"OUT",""))</f>
        <v/>
      </c>
      <c r="N116" s="9" t="str">
        <f aca="false">IF(M116="","",M116&amp;"|"&amp;TEXT(ROUND(N(E116)+N(F116),2),"0.00"))</f>
        <v/>
      </c>
      <c r="O116" s="9" t="str">
        <f aca="false">IF(OR(N116="",TRIM(D116&amp;"")=""),"",N116&amp;"|"&amp;UPPER(TRIM(D116&amp;"")))</f>
        <v/>
      </c>
      <c r="P116" s="9" t="n">
        <f aca="false">IF(O116="",0,IF(COUNTIF('Cash Book'!$O$8:$O$507,O116)&gt;0,1,0))</f>
        <v>0</v>
      </c>
      <c r="Q116" s="9" t="str">
        <f aca="false">IF(OR(N116="",P116=1),"",N116&amp;"#"&amp;COUNTIFS($N$8:N116,N116,$P$8:P116,0))</f>
        <v/>
      </c>
      <c r="R116" s="9" t="n">
        <f aca="false">IF(N116="",0,IFERROR(MATCH(ROW()-7,'Cash Book'!$U$8:$U$507,0),0))</f>
        <v>0</v>
      </c>
      <c r="V116" s="9" t="str">
        <f aca="false">IF(AND(N116&lt;&gt;"",R116=0),IF(M116="IN",3,4)*100000+ROW(),"")</f>
        <v/>
      </c>
      <c r="W116" s="9" t="n">
        <f aca="false">N(E116)+N(F116)</f>
        <v>0</v>
      </c>
    </row>
    <row r="117" customFormat="false" ht="15" hidden="false" customHeight="false" outlineLevel="0" collapsed="false">
      <c r="A117" s="37" t="str">
        <f aca="false">IF(M117="","",ROW()-7)</f>
        <v/>
      </c>
      <c r="B117" s="70"/>
      <c r="C117" s="72"/>
      <c r="D117" s="71"/>
      <c r="E117" s="73"/>
      <c r="F117" s="73"/>
      <c r="G117" s="73"/>
      <c r="H117" s="42" t="str">
        <f aca="false">IF(M117="","",IF(R117&gt;0,"✔ Matched",IF(M117="IN","Not in cash book (credit)","Not in cash book (debit)")))</f>
        <v/>
      </c>
      <c r="I117" s="43" t="str">
        <f aca="false">IF(N(R117)&gt;0,R117,"")</f>
        <v/>
      </c>
      <c r="J117" s="45" t="str">
        <f aca="false">IF(AND(M117="",B117="",C117=""),"",IF(AND(N(E117)&gt;0,N(F117)&gt;0),"⚠ Fill withdrawal OR deposit",IF(M117="","⚠ Enter amount",IF(B117="","⚠ Enter date",IF(NOT(OR(NOT(ISNUMBER(G117)),NOT(ISNUMBER(G116)),ABS(N(G117)-(N(G116)+N(F117)-N(E117)))&lt;=0.5)),"⚠ Balance does not follow previous row","✔")))))</f>
        <v/>
      </c>
      <c r="M117" s="9" t="str">
        <f aca="false">IF(N(F117)&gt;0,"IN",IF(N(E117)&gt;0,"OUT",""))</f>
        <v/>
      </c>
      <c r="N117" s="9" t="str">
        <f aca="false">IF(M117="","",M117&amp;"|"&amp;TEXT(ROUND(N(E117)+N(F117),2),"0.00"))</f>
        <v/>
      </c>
      <c r="O117" s="9" t="str">
        <f aca="false">IF(OR(N117="",TRIM(D117&amp;"")=""),"",N117&amp;"|"&amp;UPPER(TRIM(D117&amp;"")))</f>
        <v/>
      </c>
      <c r="P117" s="9" t="n">
        <f aca="false">IF(O117="",0,IF(COUNTIF('Cash Book'!$O$8:$O$507,O117)&gt;0,1,0))</f>
        <v>0</v>
      </c>
      <c r="Q117" s="9" t="str">
        <f aca="false">IF(OR(N117="",P117=1),"",N117&amp;"#"&amp;COUNTIFS($N$8:N117,N117,$P$8:P117,0))</f>
        <v/>
      </c>
      <c r="R117" s="9" t="n">
        <f aca="false">IF(N117="",0,IFERROR(MATCH(ROW()-7,'Cash Book'!$U$8:$U$507,0),0))</f>
        <v>0</v>
      </c>
      <c r="V117" s="9" t="str">
        <f aca="false">IF(AND(N117&lt;&gt;"",R117=0),IF(M117="IN",3,4)*100000+ROW(),"")</f>
        <v/>
      </c>
      <c r="W117" s="9" t="n">
        <f aca="false">N(E117)+N(F117)</f>
        <v>0</v>
      </c>
    </row>
    <row r="118" customFormat="false" ht="15" hidden="false" customHeight="false" outlineLevel="0" collapsed="false">
      <c r="A118" s="37" t="str">
        <f aca="false">IF(M118="","",ROW()-7)</f>
        <v/>
      </c>
      <c r="B118" s="70"/>
      <c r="C118" s="72"/>
      <c r="D118" s="71"/>
      <c r="E118" s="73"/>
      <c r="F118" s="73"/>
      <c r="G118" s="73"/>
      <c r="H118" s="42" t="str">
        <f aca="false">IF(M118="","",IF(R118&gt;0,"✔ Matched",IF(M118="IN","Not in cash book (credit)","Not in cash book (debit)")))</f>
        <v/>
      </c>
      <c r="I118" s="43" t="str">
        <f aca="false">IF(N(R118)&gt;0,R118,"")</f>
        <v/>
      </c>
      <c r="J118" s="45" t="str">
        <f aca="false">IF(AND(M118="",B118="",C118=""),"",IF(AND(N(E118)&gt;0,N(F118)&gt;0),"⚠ Fill withdrawal OR deposit",IF(M118="","⚠ Enter amount",IF(B118="","⚠ Enter date",IF(NOT(OR(NOT(ISNUMBER(G118)),NOT(ISNUMBER(G117)),ABS(N(G118)-(N(G117)+N(F118)-N(E118)))&lt;=0.5)),"⚠ Balance does not follow previous row","✔")))))</f>
        <v/>
      </c>
      <c r="M118" s="9" t="str">
        <f aca="false">IF(N(F118)&gt;0,"IN",IF(N(E118)&gt;0,"OUT",""))</f>
        <v/>
      </c>
      <c r="N118" s="9" t="str">
        <f aca="false">IF(M118="","",M118&amp;"|"&amp;TEXT(ROUND(N(E118)+N(F118),2),"0.00"))</f>
        <v/>
      </c>
      <c r="O118" s="9" t="str">
        <f aca="false">IF(OR(N118="",TRIM(D118&amp;"")=""),"",N118&amp;"|"&amp;UPPER(TRIM(D118&amp;"")))</f>
        <v/>
      </c>
      <c r="P118" s="9" t="n">
        <f aca="false">IF(O118="",0,IF(COUNTIF('Cash Book'!$O$8:$O$507,O118)&gt;0,1,0))</f>
        <v>0</v>
      </c>
      <c r="Q118" s="9" t="str">
        <f aca="false">IF(OR(N118="",P118=1),"",N118&amp;"#"&amp;COUNTIFS($N$8:N118,N118,$P$8:P118,0))</f>
        <v/>
      </c>
      <c r="R118" s="9" t="n">
        <f aca="false">IF(N118="",0,IFERROR(MATCH(ROW()-7,'Cash Book'!$U$8:$U$507,0),0))</f>
        <v>0</v>
      </c>
      <c r="V118" s="9" t="str">
        <f aca="false">IF(AND(N118&lt;&gt;"",R118=0),IF(M118="IN",3,4)*100000+ROW(),"")</f>
        <v/>
      </c>
      <c r="W118" s="9" t="n">
        <f aca="false">N(E118)+N(F118)</f>
        <v>0</v>
      </c>
    </row>
    <row r="119" customFormat="false" ht="15" hidden="false" customHeight="false" outlineLevel="0" collapsed="false">
      <c r="A119" s="37" t="str">
        <f aca="false">IF(M119="","",ROW()-7)</f>
        <v/>
      </c>
      <c r="B119" s="70"/>
      <c r="C119" s="72"/>
      <c r="D119" s="71"/>
      <c r="E119" s="73"/>
      <c r="F119" s="73"/>
      <c r="G119" s="73"/>
      <c r="H119" s="42" t="str">
        <f aca="false">IF(M119="","",IF(R119&gt;0,"✔ Matched",IF(M119="IN","Not in cash book (credit)","Not in cash book (debit)")))</f>
        <v/>
      </c>
      <c r="I119" s="43" t="str">
        <f aca="false">IF(N(R119)&gt;0,R119,"")</f>
        <v/>
      </c>
      <c r="J119" s="45" t="str">
        <f aca="false">IF(AND(M119="",B119="",C119=""),"",IF(AND(N(E119)&gt;0,N(F119)&gt;0),"⚠ Fill withdrawal OR deposit",IF(M119="","⚠ Enter amount",IF(B119="","⚠ Enter date",IF(NOT(OR(NOT(ISNUMBER(G119)),NOT(ISNUMBER(G118)),ABS(N(G119)-(N(G118)+N(F119)-N(E119)))&lt;=0.5)),"⚠ Balance does not follow previous row","✔")))))</f>
        <v/>
      </c>
      <c r="M119" s="9" t="str">
        <f aca="false">IF(N(F119)&gt;0,"IN",IF(N(E119)&gt;0,"OUT",""))</f>
        <v/>
      </c>
      <c r="N119" s="9" t="str">
        <f aca="false">IF(M119="","",M119&amp;"|"&amp;TEXT(ROUND(N(E119)+N(F119),2),"0.00"))</f>
        <v/>
      </c>
      <c r="O119" s="9" t="str">
        <f aca="false">IF(OR(N119="",TRIM(D119&amp;"")=""),"",N119&amp;"|"&amp;UPPER(TRIM(D119&amp;"")))</f>
        <v/>
      </c>
      <c r="P119" s="9" t="n">
        <f aca="false">IF(O119="",0,IF(COUNTIF('Cash Book'!$O$8:$O$507,O119)&gt;0,1,0))</f>
        <v>0</v>
      </c>
      <c r="Q119" s="9" t="str">
        <f aca="false">IF(OR(N119="",P119=1),"",N119&amp;"#"&amp;COUNTIFS($N$8:N119,N119,$P$8:P119,0))</f>
        <v/>
      </c>
      <c r="R119" s="9" t="n">
        <f aca="false">IF(N119="",0,IFERROR(MATCH(ROW()-7,'Cash Book'!$U$8:$U$507,0),0))</f>
        <v>0</v>
      </c>
      <c r="V119" s="9" t="str">
        <f aca="false">IF(AND(N119&lt;&gt;"",R119=0),IF(M119="IN",3,4)*100000+ROW(),"")</f>
        <v/>
      </c>
      <c r="W119" s="9" t="n">
        <f aca="false">N(E119)+N(F119)</f>
        <v>0</v>
      </c>
    </row>
    <row r="120" customFormat="false" ht="15" hidden="false" customHeight="false" outlineLevel="0" collapsed="false">
      <c r="A120" s="37" t="str">
        <f aca="false">IF(M120="","",ROW()-7)</f>
        <v/>
      </c>
      <c r="B120" s="70"/>
      <c r="C120" s="72"/>
      <c r="D120" s="71"/>
      <c r="E120" s="73"/>
      <c r="F120" s="73"/>
      <c r="G120" s="73"/>
      <c r="H120" s="42" t="str">
        <f aca="false">IF(M120="","",IF(R120&gt;0,"✔ Matched",IF(M120="IN","Not in cash book (credit)","Not in cash book (debit)")))</f>
        <v/>
      </c>
      <c r="I120" s="43" t="str">
        <f aca="false">IF(N(R120)&gt;0,R120,"")</f>
        <v/>
      </c>
      <c r="J120" s="45" t="str">
        <f aca="false">IF(AND(M120="",B120="",C120=""),"",IF(AND(N(E120)&gt;0,N(F120)&gt;0),"⚠ Fill withdrawal OR deposit",IF(M120="","⚠ Enter amount",IF(B120="","⚠ Enter date",IF(NOT(OR(NOT(ISNUMBER(G120)),NOT(ISNUMBER(G119)),ABS(N(G120)-(N(G119)+N(F120)-N(E120)))&lt;=0.5)),"⚠ Balance does not follow previous row","✔")))))</f>
        <v/>
      </c>
      <c r="M120" s="9" t="str">
        <f aca="false">IF(N(F120)&gt;0,"IN",IF(N(E120)&gt;0,"OUT",""))</f>
        <v/>
      </c>
      <c r="N120" s="9" t="str">
        <f aca="false">IF(M120="","",M120&amp;"|"&amp;TEXT(ROUND(N(E120)+N(F120),2),"0.00"))</f>
        <v/>
      </c>
      <c r="O120" s="9" t="str">
        <f aca="false">IF(OR(N120="",TRIM(D120&amp;"")=""),"",N120&amp;"|"&amp;UPPER(TRIM(D120&amp;"")))</f>
        <v/>
      </c>
      <c r="P120" s="9" t="n">
        <f aca="false">IF(O120="",0,IF(COUNTIF('Cash Book'!$O$8:$O$507,O120)&gt;0,1,0))</f>
        <v>0</v>
      </c>
      <c r="Q120" s="9" t="str">
        <f aca="false">IF(OR(N120="",P120=1),"",N120&amp;"#"&amp;COUNTIFS($N$8:N120,N120,$P$8:P120,0))</f>
        <v/>
      </c>
      <c r="R120" s="9" t="n">
        <f aca="false">IF(N120="",0,IFERROR(MATCH(ROW()-7,'Cash Book'!$U$8:$U$507,0),0))</f>
        <v>0</v>
      </c>
      <c r="V120" s="9" t="str">
        <f aca="false">IF(AND(N120&lt;&gt;"",R120=0),IF(M120="IN",3,4)*100000+ROW(),"")</f>
        <v/>
      </c>
      <c r="W120" s="9" t="n">
        <f aca="false">N(E120)+N(F120)</f>
        <v>0</v>
      </c>
    </row>
    <row r="121" customFormat="false" ht="15" hidden="false" customHeight="false" outlineLevel="0" collapsed="false">
      <c r="A121" s="37" t="str">
        <f aca="false">IF(M121="","",ROW()-7)</f>
        <v/>
      </c>
      <c r="B121" s="70"/>
      <c r="C121" s="72"/>
      <c r="D121" s="71"/>
      <c r="E121" s="73"/>
      <c r="F121" s="73"/>
      <c r="G121" s="73"/>
      <c r="H121" s="42" t="str">
        <f aca="false">IF(M121="","",IF(R121&gt;0,"✔ Matched",IF(M121="IN","Not in cash book (credit)","Not in cash book (debit)")))</f>
        <v/>
      </c>
      <c r="I121" s="43" t="str">
        <f aca="false">IF(N(R121)&gt;0,R121,"")</f>
        <v/>
      </c>
      <c r="J121" s="45" t="str">
        <f aca="false">IF(AND(M121="",B121="",C121=""),"",IF(AND(N(E121)&gt;0,N(F121)&gt;0),"⚠ Fill withdrawal OR deposit",IF(M121="","⚠ Enter amount",IF(B121="","⚠ Enter date",IF(NOT(OR(NOT(ISNUMBER(G121)),NOT(ISNUMBER(G120)),ABS(N(G121)-(N(G120)+N(F121)-N(E121)))&lt;=0.5)),"⚠ Balance does not follow previous row","✔")))))</f>
        <v/>
      </c>
      <c r="M121" s="9" t="str">
        <f aca="false">IF(N(F121)&gt;0,"IN",IF(N(E121)&gt;0,"OUT",""))</f>
        <v/>
      </c>
      <c r="N121" s="9" t="str">
        <f aca="false">IF(M121="","",M121&amp;"|"&amp;TEXT(ROUND(N(E121)+N(F121),2),"0.00"))</f>
        <v/>
      </c>
      <c r="O121" s="9" t="str">
        <f aca="false">IF(OR(N121="",TRIM(D121&amp;"")=""),"",N121&amp;"|"&amp;UPPER(TRIM(D121&amp;"")))</f>
        <v/>
      </c>
      <c r="P121" s="9" t="n">
        <f aca="false">IF(O121="",0,IF(COUNTIF('Cash Book'!$O$8:$O$507,O121)&gt;0,1,0))</f>
        <v>0</v>
      </c>
      <c r="Q121" s="9" t="str">
        <f aca="false">IF(OR(N121="",P121=1),"",N121&amp;"#"&amp;COUNTIFS($N$8:N121,N121,$P$8:P121,0))</f>
        <v/>
      </c>
      <c r="R121" s="9" t="n">
        <f aca="false">IF(N121="",0,IFERROR(MATCH(ROW()-7,'Cash Book'!$U$8:$U$507,0),0))</f>
        <v>0</v>
      </c>
      <c r="V121" s="9" t="str">
        <f aca="false">IF(AND(N121&lt;&gt;"",R121=0),IF(M121="IN",3,4)*100000+ROW(),"")</f>
        <v/>
      </c>
      <c r="W121" s="9" t="n">
        <f aca="false">N(E121)+N(F121)</f>
        <v>0</v>
      </c>
    </row>
    <row r="122" customFormat="false" ht="15" hidden="false" customHeight="false" outlineLevel="0" collapsed="false">
      <c r="A122" s="37" t="str">
        <f aca="false">IF(M122="","",ROW()-7)</f>
        <v/>
      </c>
      <c r="B122" s="70"/>
      <c r="C122" s="72"/>
      <c r="D122" s="71"/>
      <c r="E122" s="73"/>
      <c r="F122" s="73"/>
      <c r="G122" s="73"/>
      <c r="H122" s="42" t="str">
        <f aca="false">IF(M122="","",IF(R122&gt;0,"✔ Matched",IF(M122="IN","Not in cash book (credit)","Not in cash book (debit)")))</f>
        <v/>
      </c>
      <c r="I122" s="43" t="str">
        <f aca="false">IF(N(R122)&gt;0,R122,"")</f>
        <v/>
      </c>
      <c r="J122" s="45" t="str">
        <f aca="false">IF(AND(M122="",B122="",C122=""),"",IF(AND(N(E122)&gt;0,N(F122)&gt;0),"⚠ Fill withdrawal OR deposit",IF(M122="","⚠ Enter amount",IF(B122="","⚠ Enter date",IF(NOT(OR(NOT(ISNUMBER(G122)),NOT(ISNUMBER(G121)),ABS(N(G122)-(N(G121)+N(F122)-N(E122)))&lt;=0.5)),"⚠ Balance does not follow previous row","✔")))))</f>
        <v/>
      </c>
      <c r="M122" s="9" t="str">
        <f aca="false">IF(N(F122)&gt;0,"IN",IF(N(E122)&gt;0,"OUT",""))</f>
        <v/>
      </c>
      <c r="N122" s="9" t="str">
        <f aca="false">IF(M122="","",M122&amp;"|"&amp;TEXT(ROUND(N(E122)+N(F122),2),"0.00"))</f>
        <v/>
      </c>
      <c r="O122" s="9" t="str">
        <f aca="false">IF(OR(N122="",TRIM(D122&amp;"")=""),"",N122&amp;"|"&amp;UPPER(TRIM(D122&amp;"")))</f>
        <v/>
      </c>
      <c r="P122" s="9" t="n">
        <f aca="false">IF(O122="",0,IF(COUNTIF('Cash Book'!$O$8:$O$507,O122)&gt;0,1,0))</f>
        <v>0</v>
      </c>
      <c r="Q122" s="9" t="str">
        <f aca="false">IF(OR(N122="",P122=1),"",N122&amp;"#"&amp;COUNTIFS($N$8:N122,N122,$P$8:P122,0))</f>
        <v/>
      </c>
      <c r="R122" s="9" t="n">
        <f aca="false">IF(N122="",0,IFERROR(MATCH(ROW()-7,'Cash Book'!$U$8:$U$507,0),0))</f>
        <v>0</v>
      </c>
      <c r="V122" s="9" t="str">
        <f aca="false">IF(AND(N122&lt;&gt;"",R122=0),IF(M122="IN",3,4)*100000+ROW(),"")</f>
        <v/>
      </c>
      <c r="W122" s="9" t="n">
        <f aca="false">N(E122)+N(F122)</f>
        <v>0</v>
      </c>
    </row>
    <row r="123" customFormat="false" ht="15" hidden="false" customHeight="false" outlineLevel="0" collapsed="false">
      <c r="A123" s="37" t="str">
        <f aca="false">IF(M123="","",ROW()-7)</f>
        <v/>
      </c>
      <c r="B123" s="70"/>
      <c r="C123" s="72"/>
      <c r="D123" s="71"/>
      <c r="E123" s="73"/>
      <c r="F123" s="73"/>
      <c r="G123" s="73"/>
      <c r="H123" s="42" t="str">
        <f aca="false">IF(M123="","",IF(R123&gt;0,"✔ Matched",IF(M123="IN","Not in cash book (credit)","Not in cash book (debit)")))</f>
        <v/>
      </c>
      <c r="I123" s="43" t="str">
        <f aca="false">IF(N(R123)&gt;0,R123,"")</f>
        <v/>
      </c>
      <c r="J123" s="45" t="str">
        <f aca="false">IF(AND(M123="",B123="",C123=""),"",IF(AND(N(E123)&gt;0,N(F123)&gt;0),"⚠ Fill withdrawal OR deposit",IF(M123="","⚠ Enter amount",IF(B123="","⚠ Enter date",IF(NOT(OR(NOT(ISNUMBER(G123)),NOT(ISNUMBER(G122)),ABS(N(G123)-(N(G122)+N(F123)-N(E123)))&lt;=0.5)),"⚠ Balance does not follow previous row","✔")))))</f>
        <v/>
      </c>
      <c r="M123" s="9" t="str">
        <f aca="false">IF(N(F123)&gt;0,"IN",IF(N(E123)&gt;0,"OUT",""))</f>
        <v/>
      </c>
      <c r="N123" s="9" t="str">
        <f aca="false">IF(M123="","",M123&amp;"|"&amp;TEXT(ROUND(N(E123)+N(F123),2),"0.00"))</f>
        <v/>
      </c>
      <c r="O123" s="9" t="str">
        <f aca="false">IF(OR(N123="",TRIM(D123&amp;"")=""),"",N123&amp;"|"&amp;UPPER(TRIM(D123&amp;"")))</f>
        <v/>
      </c>
      <c r="P123" s="9" t="n">
        <f aca="false">IF(O123="",0,IF(COUNTIF('Cash Book'!$O$8:$O$507,O123)&gt;0,1,0))</f>
        <v>0</v>
      </c>
      <c r="Q123" s="9" t="str">
        <f aca="false">IF(OR(N123="",P123=1),"",N123&amp;"#"&amp;COUNTIFS($N$8:N123,N123,$P$8:P123,0))</f>
        <v/>
      </c>
      <c r="R123" s="9" t="n">
        <f aca="false">IF(N123="",0,IFERROR(MATCH(ROW()-7,'Cash Book'!$U$8:$U$507,0),0))</f>
        <v>0</v>
      </c>
      <c r="V123" s="9" t="str">
        <f aca="false">IF(AND(N123&lt;&gt;"",R123=0),IF(M123="IN",3,4)*100000+ROW(),"")</f>
        <v/>
      </c>
      <c r="W123" s="9" t="n">
        <f aca="false">N(E123)+N(F123)</f>
        <v>0</v>
      </c>
    </row>
    <row r="124" customFormat="false" ht="15" hidden="false" customHeight="false" outlineLevel="0" collapsed="false">
      <c r="A124" s="37" t="str">
        <f aca="false">IF(M124="","",ROW()-7)</f>
        <v/>
      </c>
      <c r="B124" s="70"/>
      <c r="C124" s="72"/>
      <c r="D124" s="71"/>
      <c r="E124" s="73"/>
      <c r="F124" s="73"/>
      <c r="G124" s="73"/>
      <c r="H124" s="42" t="str">
        <f aca="false">IF(M124="","",IF(R124&gt;0,"✔ Matched",IF(M124="IN","Not in cash book (credit)","Not in cash book (debit)")))</f>
        <v/>
      </c>
      <c r="I124" s="43" t="str">
        <f aca="false">IF(N(R124)&gt;0,R124,"")</f>
        <v/>
      </c>
      <c r="J124" s="45" t="str">
        <f aca="false">IF(AND(M124="",B124="",C124=""),"",IF(AND(N(E124)&gt;0,N(F124)&gt;0),"⚠ Fill withdrawal OR deposit",IF(M124="","⚠ Enter amount",IF(B124="","⚠ Enter date",IF(NOT(OR(NOT(ISNUMBER(G124)),NOT(ISNUMBER(G123)),ABS(N(G124)-(N(G123)+N(F124)-N(E124)))&lt;=0.5)),"⚠ Balance does not follow previous row","✔")))))</f>
        <v/>
      </c>
      <c r="M124" s="9" t="str">
        <f aca="false">IF(N(F124)&gt;0,"IN",IF(N(E124)&gt;0,"OUT",""))</f>
        <v/>
      </c>
      <c r="N124" s="9" t="str">
        <f aca="false">IF(M124="","",M124&amp;"|"&amp;TEXT(ROUND(N(E124)+N(F124),2),"0.00"))</f>
        <v/>
      </c>
      <c r="O124" s="9" t="str">
        <f aca="false">IF(OR(N124="",TRIM(D124&amp;"")=""),"",N124&amp;"|"&amp;UPPER(TRIM(D124&amp;"")))</f>
        <v/>
      </c>
      <c r="P124" s="9" t="n">
        <f aca="false">IF(O124="",0,IF(COUNTIF('Cash Book'!$O$8:$O$507,O124)&gt;0,1,0))</f>
        <v>0</v>
      </c>
      <c r="Q124" s="9" t="str">
        <f aca="false">IF(OR(N124="",P124=1),"",N124&amp;"#"&amp;COUNTIFS($N$8:N124,N124,$P$8:P124,0))</f>
        <v/>
      </c>
      <c r="R124" s="9" t="n">
        <f aca="false">IF(N124="",0,IFERROR(MATCH(ROW()-7,'Cash Book'!$U$8:$U$507,0),0))</f>
        <v>0</v>
      </c>
      <c r="V124" s="9" t="str">
        <f aca="false">IF(AND(N124&lt;&gt;"",R124=0),IF(M124="IN",3,4)*100000+ROW(),"")</f>
        <v/>
      </c>
      <c r="W124" s="9" t="n">
        <f aca="false">N(E124)+N(F124)</f>
        <v>0</v>
      </c>
    </row>
    <row r="125" customFormat="false" ht="15" hidden="false" customHeight="false" outlineLevel="0" collapsed="false">
      <c r="A125" s="37" t="str">
        <f aca="false">IF(M125="","",ROW()-7)</f>
        <v/>
      </c>
      <c r="B125" s="70"/>
      <c r="C125" s="72"/>
      <c r="D125" s="71"/>
      <c r="E125" s="73"/>
      <c r="F125" s="73"/>
      <c r="G125" s="73"/>
      <c r="H125" s="42" t="str">
        <f aca="false">IF(M125="","",IF(R125&gt;0,"✔ Matched",IF(M125="IN","Not in cash book (credit)","Not in cash book (debit)")))</f>
        <v/>
      </c>
      <c r="I125" s="43" t="str">
        <f aca="false">IF(N(R125)&gt;0,R125,"")</f>
        <v/>
      </c>
      <c r="J125" s="45" t="str">
        <f aca="false">IF(AND(M125="",B125="",C125=""),"",IF(AND(N(E125)&gt;0,N(F125)&gt;0),"⚠ Fill withdrawal OR deposit",IF(M125="","⚠ Enter amount",IF(B125="","⚠ Enter date",IF(NOT(OR(NOT(ISNUMBER(G125)),NOT(ISNUMBER(G124)),ABS(N(G125)-(N(G124)+N(F125)-N(E125)))&lt;=0.5)),"⚠ Balance does not follow previous row","✔")))))</f>
        <v/>
      </c>
      <c r="M125" s="9" t="str">
        <f aca="false">IF(N(F125)&gt;0,"IN",IF(N(E125)&gt;0,"OUT",""))</f>
        <v/>
      </c>
      <c r="N125" s="9" t="str">
        <f aca="false">IF(M125="","",M125&amp;"|"&amp;TEXT(ROUND(N(E125)+N(F125),2),"0.00"))</f>
        <v/>
      </c>
      <c r="O125" s="9" t="str">
        <f aca="false">IF(OR(N125="",TRIM(D125&amp;"")=""),"",N125&amp;"|"&amp;UPPER(TRIM(D125&amp;"")))</f>
        <v/>
      </c>
      <c r="P125" s="9" t="n">
        <f aca="false">IF(O125="",0,IF(COUNTIF('Cash Book'!$O$8:$O$507,O125)&gt;0,1,0))</f>
        <v>0</v>
      </c>
      <c r="Q125" s="9" t="str">
        <f aca="false">IF(OR(N125="",P125=1),"",N125&amp;"#"&amp;COUNTIFS($N$8:N125,N125,$P$8:P125,0))</f>
        <v/>
      </c>
      <c r="R125" s="9" t="n">
        <f aca="false">IF(N125="",0,IFERROR(MATCH(ROW()-7,'Cash Book'!$U$8:$U$507,0),0))</f>
        <v>0</v>
      </c>
      <c r="V125" s="9" t="str">
        <f aca="false">IF(AND(N125&lt;&gt;"",R125=0),IF(M125="IN",3,4)*100000+ROW(),"")</f>
        <v/>
      </c>
      <c r="W125" s="9" t="n">
        <f aca="false">N(E125)+N(F125)</f>
        <v>0</v>
      </c>
    </row>
    <row r="126" customFormat="false" ht="15" hidden="false" customHeight="false" outlineLevel="0" collapsed="false">
      <c r="A126" s="37" t="str">
        <f aca="false">IF(M126="","",ROW()-7)</f>
        <v/>
      </c>
      <c r="B126" s="70"/>
      <c r="C126" s="72"/>
      <c r="D126" s="71"/>
      <c r="E126" s="73"/>
      <c r="F126" s="73"/>
      <c r="G126" s="73"/>
      <c r="H126" s="42" t="str">
        <f aca="false">IF(M126="","",IF(R126&gt;0,"✔ Matched",IF(M126="IN","Not in cash book (credit)","Not in cash book (debit)")))</f>
        <v/>
      </c>
      <c r="I126" s="43" t="str">
        <f aca="false">IF(N(R126)&gt;0,R126,"")</f>
        <v/>
      </c>
      <c r="J126" s="45" t="str">
        <f aca="false">IF(AND(M126="",B126="",C126=""),"",IF(AND(N(E126)&gt;0,N(F126)&gt;0),"⚠ Fill withdrawal OR deposit",IF(M126="","⚠ Enter amount",IF(B126="","⚠ Enter date",IF(NOT(OR(NOT(ISNUMBER(G126)),NOT(ISNUMBER(G125)),ABS(N(G126)-(N(G125)+N(F126)-N(E126)))&lt;=0.5)),"⚠ Balance does not follow previous row","✔")))))</f>
        <v/>
      </c>
      <c r="M126" s="9" t="str">
        <f aca="false">IF(N(F126)&gt;0,"IN",IF(N(E126)&gt;0,"OUT",""))</f>
        <v/>
      </c>
      <c r="N126" s="9" t="str">
        <f aca="false">IF(M126="","",M126&amp;"|"&amp;TEXT(ROUND(N(E126)+N(F126),2),"0.00"))</f>
        <v/>
      </c>
      <c r="O126" s="9" t="str">
        <f aca="false">IF(OR(N126="",TRIM(D126&amp;"")=""),"",N126&amp;"|"&amp;UPPER(TRIM(D126&amp;"")))</f>
        <v/>
      </c>
      <c r="P126" s="9" t="n">
        <f aca="false">IF(O126="",0,IF(COUNTIF('Cash Book'!$O$8:$O$507,O126)&gt;0,1,0))</f>
        <v>0</v>
      </c>
      <c r="Q126" s="9" t="str">
        <f aca="false">IF(OR(N126="",P126=1),"",N126&amp;"#"&amp;COUNTIFS($N$8:N126,N126,$P$8:P126,0))</f>
        <v/>
      </c>
      <c r="R126" s="9" t="n">
        <f aca="false">IF(N126="",0,IFERROR(MATCH(ROW()-7,'Cash Book'!$U$8:$U$507,0),0))</f>
        <v>0</v>
      </c>
      <c r="V126" s="9" t="str">
        <f aca="false">IF(AND(N126&lt;&gt;"",R126=0),IF(M126="IN",3,4)*100000+ROW(),"")</f>
        <v/>
      </c>
      <c r="W126" s="9" t="n">
        <f aca="false">N(E126)+N(F126)</f>
        <v>0</v>
      </c>
    </row>
    <row r="127" customFormat="false" ht="15" hidden="false" customHeight="false" outlineLevel="0" collapsed="false">
      <c r="A127" s="37" t="str">
        <f aca="false">IF(M127="","",ROW()-7)</f>
        <v/>
      </c>
      <c r="B127" s="70"/>
      <c r="C127" s="72"/>
      <c r="D127" s="71"/>
      <c r="E127" s="73"/>
      <c r="F127" s="73"/>
      <c r="G127" s="73"/>
      <c r="H127" s="42" t="str">
        <f aca="false">IF(M127="","",IF(R127&gt;0,"✔ Matched",IF(M127="IN","Not in cash book (credit)","Not in cash book (debit)")))</f>
        <v/>
      </c>
      <c r="I127" s="43" t="str">
        <f aca="false">IF(N(R127)&gt;0,R127,"")</f>
        <v/>
      </c>
      <c r="J127" s="45" t="str">
        <f aca="false">IF(AND(M127="",B127="",C127=""),"",IF(AND(N(E127)&gt;0,N(F127)&gt;0),"⚠ Fill withdrawal OR deposit",IF(M127="","⚠ Enter amount",IF(B127="","⚠ Enter date",IF(NOT(OR(NOT(ISNUMBER(G127)),NOT(ISNUMBER(G126)),ABS(N(G127)-(N(G126)+N(F127)-N(E127)))&lt;=0.5)),"⚠ Balance does not follow previous row","✔")))))</f>
        <v/>
      </c>
      <c r="M127" s="9" t="str">
        <f aca="false">IF(N(F127)&gt;0,"IN",IF(N(E127)&gt;0,"OUT",""))</f>
        <v/>
      </c>
      <c r="N127" s="9" t="str">
        <f aca="false">IF(M127="","",M127&amp;"|"&amp;TEXT(ROUND(N(E127)+N(F127),2),"0.00"))</f>
        <v/>
      </c>
      <c r="O127" s="9" t="str">
        <f aca="false">IF(OR(N127="",TRIM(D127&amp;"")=""),"",N127&amp;"|"&amp;UPPER(TRIM(D127&amp;"")))</f>
        <v/>
      </c>
      <c r="P127" s="9" t="n">
        <f aca="false">IF(O127="",0,IF(COUNTIF('Cash Book'!$O$8:$O$507,O127)&gt;0,1,0))</f>
        <v>0</v>
      </c>
      <c r="Q127" s="9" t="str">
        <f aca="false">IF(OR(N127="",P127=1),"",N127&amp;"#"&amp;COUNTIFS($N$8:N127,N127,$P$8:P127,0))</f>
        <v/>
      </c>
      <c r="R127" s="9" t="n">
        <f aca="false">IF(N127="",0,IFERROR(MATCH(ROW()-7,'Cash Book'!$U$8:$U$507,0),0))</f>
        <v>0</v>
      </c>
      <c r="V127" s="9" t="str">
        <f aca="false">IF(AND(N127&lt;&gt;"",R127=0),IF(M127="IN",3,4)*100000+ROW(),"")</f>
        <v/>
      </c>
      <c r="W127" s="9" t="n">
        <f aca="false">N(E127)+N(F127)</f>
        <v>0</v>
      </c>
    </row>
    <row r="128" customFormat="false" ht="15" hidden="false" customHeight="false" outlineLevel="0" collapsed="false">
      <c r="A128" s="37" t="str">
        <f aca="false">IF(M128="","",ROW()-7)</f>
        <v/>
      </c>
      <c r="B128" s="70"/>
      <c r="C128" s="72"/>
      <c r="D128" s="71"/>
      <c r="E128" s="73"/>
      <c r="F128" s="73"/>
      <c r="G128" s="73"/>
      <c r="H128" s="42" t="str">
        <f aca="false">IF(M128="","",IF(R128&gt;0,"✔ Matched",IF(M128="IN","Not in cash book (credit)","Not in cash book (debit)")))</f>
        <v/>
      </c>
      <c r="I128" s="43" t="str">
        <f aca="false">IF(N(R128)&gt;0,R128,"")</f>
        <v/>
      </c>
      <c r="J128" s="45" t="str">
        <f aca="false">IF(AND(M128="",B128="",C128=""),"",IF(AND(N(E128)&gt;0,N(F128)&gt;0),"⚠ Fill withdrawal OR deposit",IF(M128="","⚠ Enter amount",IF(B128="","⚠ Enter date",IF(NOT(OR(NOT(ISNUMBER(G128)),NOT(ISNUMBER(G127)),ABS(N(G128)-(N(G127)+N(F128)-N(E128)))&lt;=0.5)),"⚠ Balance does not follow previous row","✔")))))</f>
        <v/>
      </c>
      <c r="M128" s="9" t="str">
        <f aca="false">IF(N(F128)&gt;0,"IN",IF(N(E128)&gt;0,"OUT",""))</f>
        <v/>
      </c>
      <c r="N128" s="9" t="str">
        <f aca="false">IF(M128="","",M128&amp;"|"&amp;TEXT(ROUND(N(E128)+N(F128),2),"0.00"))</f>
        <v/>
      </c>
      <c r="O128" s="9" t="str">
        <f aca="false">IF(OR(N128="",TRIM(D128&amp;"")=""),"",N128&amp;"|"&amp;UPPER(TRIM(D128&amp;"")))</f>
        <v/>
      </c>
      <c r="P128" s="9" t="n">
        <f aca="false">IF(O128="",0,IF(COUNTIF('Cash Book'!$O$8:$O$507,O128)&gt;0,1,0))</f>
        <v>0</v>
      </c>
      <c r="Q128" s="9" t="str">
        <f aca="false">IF(OR(N128="",P128=1),"",N128&amp;"#"&amp;COUNTIFS($N$8:N128,N128,$P$8:P128,0))</f>
        <v/>
      </c>
      <c r="R128" s="9" t="n">
        <f aca="false">IF(N128="",0,IFERROR(MATCH(ROW()-7,'Cash Book'!$U$8:$U$507,0),0))</f>
        <v>0</v>
      </c>
      <c r="V128" s="9" t="str">
        <f aca="false">IF(AND(N128&lt;&gt;"",R128=0),IF(M128="IN",3,4)*100000+ROW(),"")</f>
        <v/>
      </c>
      <c r="W128" s="9" t="n">
        <f aca="false">N(E128)+N(F128)</f>
        <v>0</v>
      </c>
    </row>
    <row r="129" customFormat="false" ht="15" hidden="false" customHeight="false" outlineLevel="0" collapsed="false">
      <c r="A129" s="37" t="str">
        <f aca="false">IF(M129="","",ROW()-7)</f>
        <v/>
      </c>
      <c r="B129" s="70"/>
      <c r="C129" s="72"/>
      <c r="D129" s="71"/>
      <c r="E129" s="73"/>
      <c r="F129" s="73"/>
      <c r="G129" s="73"/>
      <c r="H129" s="42" t="str">
        <f aca="false">IF(M129="","",IF(R129&gt;0,"✔ Matched",IF(M129="IN","Not in cash book (credit)","Not in cash book (debit)")))</f>
        <v/>
      </c>
      <c r="I129" s="43" t="str">
        <f aca="false">IF(N(R129)&gt;0,R129,"")</f>
        <v/>
      </c>
      <c r="J129" s="45" t="str">
        <f aca="false">IF(AND(M129="",B129="",C129=""),"",IF(AND(N(E129)&gt;0,N(F129)&gt;0),"⚠ Fill withdrawal OR deposit",IF(M129="","⚠ Enter amount",IF(B129="","⚠ Enter date",IF(NOT(OR(NOT(ISNUMBER(G129)),NOT(ISNUMBER(G128)),ABS(N(G129)-(N(G128)+N(F129)-N(E129)))&lt;=0.5)),"⚠ Balance does not follow previous row","✔")))))</f>
        <v/>
      </c>
      <c r="M129" s="9" t="str">
        <f aca="false">IF(N(F129)&gt;0,"IN",IF(N(E129)&gt;0,"OUT",""))</f>
        <v/>
      </c>
      <c r="N129" s="9" t="str">
        <f aca="false">IF(M129="","",M129&amp;"|"&amp;TEXT(ROUND(N(E129)+N(F129),2),"0.00"))</f>
        <v/>
      </c>
      <c r="O129" s="9" t="str">
        <f aca="false">IF(OR(N129="",TRIM(D129&amp;"")=""),"",N129&amp;"|"&amp;UPPER(TRIM(D129&amp;"")))</f>
        <v/>
      </c>
      <c r="P129" s="9" t="n">
        <f aca="false">IF(O129="",0,IF(COUNTIF('Cash Book'!$O$8:$O$507,O129)&gt;0,1,0))</f>
        <v>0</v>
      </c>
      <c r="Q129" s="9" t="str">
        <f aca="false">IF(OR(N129="",P129=1),"",N129&amp;"#"&amp;COUNTIFS($N$8:N129,N129,$P$8:P129,0))</f>
        <v/>
      </c>
      <c r="R129" s="9" t="n">
        <f aca="false">IF(N129="",0,IFERROR(MATCH(ROW()-7,'Cash Book'!$U$8:$U$507,0),0))</f>
        <v>0</v>
      </c>
      <c r="V129" s="9" t="str">
        <f aca="false">IF(AND(N129&lt;&gt;"",R129=0),IF(M129="IN",3,4)*100000+ROW(),"")</f>
        <v/>
      </c>
      <c r="W129" s="9" t="n">
        <f aca="false">N(E129)+N(F129)</f>
        <v>0</v>
      </c>
    </row>
    <row r="130" customFormat="false" ht="15" hidden="false" customHeight="false" outlineLevel="0" collapsed="false">
      <c r="A130" s="37" t="str">
        <f aca="false">IF(M130="","",ROW()-7)</f>
        <v/>
      </c>
      <c r="B130" s="70"/>
      <c r="C130" s="72"/>
      <c r="D130" s="71"/>
      <c r="E130" s="73"/>
      <c r="F130" s="73"/>
      <c r="G130" s="73"/>
      <c r="H130" s="42" t="str">
        <f aca="false">IF(M130="","",IF(R130&gt;0,"✔ Matched",IF(M130="IN","Not in cash book (credit)","Not in cash book (debit)")))</f>
        <v/>
      </c>
      <c r="I130" s="43" t="str">
        <f aca="false">IF(N(R130)&gt;0,R130,"")</f>
        <v/>
      </c>
      <c r="J130" s="45" t="str">
        <f aca="false">IF(AND(M130="",B130="",C130=""),"",IF(AND(N(E130)&gt;0,N(F130)&gt;0),"⚠ Fill withdrawal OR deposit",IF(M130="","⚠ Enter amount",IF(B130="","⚠ Enter date",IF(NOT(OR(NOT(ISNUMBER(G130)),NOT(ISNUMBER(G129)),ABS(N(G130)-(N(G129)+N(F130)-N(E130)))&lt;=0.5)),"⚠ Balance does not follow previous row","✔")))))</f>
        <v/>
      </c>
      <c r="M130" s="9" t="str">
        <f aca="false">IF(N(F130)&gt;0,"IN",IF(N(E130)&gt;0,"OUT",""))</f>
        <v/>
      </c>
      <c r="N130" s="9" t="str">
        <f aca="false">IF(M130="","",M130&amp;"|"&amp;TEXT(ROUND(N(E130)+N(F130),2),"0.00"))</f>
        <v/>
      </c>
      <c r="O130" s="9" t="str">
        <f aca="false">IF(OR(N130="",TRIM(D130&amp;"")=""),"",N130&amp;"|"&amp;UPPER(TRIM(D130&amp;"")))</f>
        <v/>
      </c>
      <c r="P130" s="9" t="n">
        <f aca="false">IF(O130="",0,IF(COUNTIF('Cash Book'!$O$8:$O$507,O130)&gt;0,1,0))</f>
        <v>0</v>
      </c>
      <c r="Q130" s="9" t="str">
        <f aca="false">IF(OR(N130="",P130=1),"",N130&amp;"#"&amp;COUNTIFS($N$8:N130,N130,$P$8:P130,0))</f>
        <v/>
      </c>
      <c r="R130" s="9" t="n">
        <f aca="false">IF(N130="",0,IFERROR(MATCH(ROW()-7,'Cash Book'!$U$8:$U$507,0),0))</f>
        <v>0</v>
      </c>
      <c r="V130" s="9" t="str">
        <f aca="false">IF(AND(N130&lt;&gt;"",R130=0),IF(M130="IN",3,4)*100000+ROW(),"")</f>
        <v/>
      </c>
      <c r="W130" s="9" t="n">
        <f aca="false">N(E130)+N(F130)</f>
        <v>0</v>
      </c>
    </row>
    <row r="131" customFormat="false" ht="15" hidden="false" customHeight="false" outlineLevel="0" collapsed="false">
      <c r="A131" s="37" t="str">
        <f aca="false">IF(M131="","",ROW()-7)</f>
        <v/>
      </c>
      <c r="B131" s="70"/>
      <c r="C131" s="72"/>
      <c r="D131" s="71"/>
      <c r="E131" s="73"/>
      <c r="F131" s="73"/>
      <c r="G131" s="73"/>
      <c r="H131" s="42" t="str">
        <f aca="false">IF(M131="","",IF(R131&gt;0,"✔ Matched",IF(M131="IN","Not in cash book (credit)","Not in cash book (debit)")))</f>
        <v/>
      </c>
      <c r="I131" s="43" t="str">
        <f aca="false">IF(N(R131)&gt;0,R131,"")</f>
        <v/>
      </c>
      <c r="J131" s="45" t="str">
        <f aca="false">IF(AND(M131="",B131="",C131=""),"",IF(AND(N(E131)&gt;0,N(F131)&gt;0),"⚠ Fill withdrawal OR deposit",IF(M131="","⚠ Enter amount",IF(B131="","⚠ Enter date",IF(NOT(OR(NOT(ISNUMBER(G131)),NOT(ISNUMBER(G130)),ABS(N(G131)-(N(G130)+N(F131)-N(E131)))&lt;=0.5)),"⚠ Balance does not follow previous row","✔")))))</f>
        <v/>
      </c>
      <c r="M131" s="9" t="str">
        <f aca="false">IF(N(F131)&gt;0,"IN",IF(N(E131)&gt;0,"OUT",""))</f>
        <v/>
      </c>
      <c r="N131" s="9" t="str">
        <f aca="false">IF(M131="","",M131&amp;"|"&amp;TEXT(ROUND(N(E131)+N(F131),2),"0.00"))</f>
        <v/>
      </c>
      <c r="O131" s="9" t="str">
        <f aca="false">IF(OR(N131="",TRIM(D131&amp;"")=""),"",N131&amp;"|"&amp;UPPER(TRIM(D131&amp;"")))</f>
        <v/>
      </c>
      <c r="P131" s="9" t="n">
        <f aca="false">IF(O131="",0,IF(COUNTIF('Cash Book'!$O$8:$O$507,O131)&gt;0,1,0))</f>
        <v>0</v>
      </c>
      <c r="Q131" s="9" t="str">
        <f aca="false">IF(OR(N131="",P131=1),"",N131&amp;"#"&amp;COUNTIFS($N$8:N131,N131,$P$8:P131,0))</f>
        <v/>
      </c>
      <c r="R131" s="9" t="n">
        <f aca="false">IF(N131="",0,IFERROR(MATCH(ROW()-7,'Cash Book'!$U$8:$U$507,0),0))</f>
        <v>0</v>
      </c>
      <c r="V131" s="9" t="str">
        <f aca="false">IF(AND(N131&lt;&gt;"",R131=0),IF(M131="IN",3,4)*100000+ROW(),"")</f>
        <v/>
      </c>
      <c r="W131" s="9" t="n">
        <f aca="false">N(E131)+N(F131)</f>
        <v>0</v>
      </c>
    </row>
    <row r="132" customFormat="false" ht="15" hidden="false" customHeight="false" outlineLevel="0" collapsed="false">
      <c r="A132" s="37" t="str">
        <f aca="false">IF(M132="","",ROW()-7)</f>
        <v/>
      </c>
      <c r="B132" s="70"/>
      <c r="C132" s="72"/>
      <c r="D132" s="71"/>
      <c r="E132" s="73"/>
      <c r="F132" s="73"/>
      <c r="G132" s="73"/>
      <c r="H132" s="42" t="str">
        <f aca="false">IF(M132="","",IF(R132&gt;0,"✔ Matched",IF(M132="IN","Not in cash book (credit)","Not in cash book (debit)")))</f>
        <v/>
      </c>
      <c r="I132" s="43" t="str">
        <f aca="false">IF(N(R132)&gt;0,R132,"")</f>
        <v/>
      </c>
      <c r="J132" s="45" t="str">
        <f aca="false">IF(AND(M132="",B132="",C132=""),"",IF(AND(N(E132)&gt;0,N(F132)&gt;0),"⚠ Fill withdrawal OR deposit",IF(M132="","⚠ Enter amount",IF(B132="","⚠ Enter date",IF(NOT(OR(NOT(ISNUMBER(G132)),NOT(ISNUMBER(G131)),ABS(N(G132)-(N(G131)+N(F132)-N(E132)))&lt;=0.5)),"⚠ Balance does not follow previous row","✔")))))</f>
        <v/>
      </c>
      <c r="M132" s="9" t="str">
        <f aca="false">IF(N(F132)&gt;0,"IN",IF(N(E132)&gt;0,"OUT",""))</f>
        <v/>
      </c>
      <c r="N132" s="9" t="str">
        <f aca="false">IF(M132="","",M132&amp;"|"&amp;TEXT(ROUND(N(E132)+N(F132),2),"0.00"))</f>
        <v/>
      </c>
      <c r="O132" s="9" t="str">
        <f aca="false">IF(OR(N132="",TRIM(D132&amp;"")=""),"",N132&amp;"|"&amp;UPPER(TRIM(D132&amp;"")))</f>
        <v/>
      </c>
      <c r="P132" s="9" t="n">
        <f aca="false">IF(O132="",0,IF(COUNTIF('Cash Book'!$O$8:$O$507,O132)&gt;0,1,0))</f>
        <v>0</v>
      </c>
      <c r="Q132" s="9" t="str">
        <f aca="false">IF(OR(N132="",P132=1),"",N132&amp;"#"&amp;COUNTIFS($N$8:N132,N132,$P$8:P132,0))</f>
        <v/>
      </c>
      <c r="R132" s="9" t="n">
        <f aca="false">IF(N132="",0,IFERROR(MATCH(ROW()-7,'Cash Book'!$U$8:$U$507,0),0))</f>
        <v>0</v>
      </c>
      <c r="V132" s="9" t="str">
        <f aca="false">IF(AND(N132&lt;&gt;"",R132=0),IF(M132="IN",3,4)*100000+ROW(),"")</f>
        <v/>
      </c>
      <c r="W132" s="9" t="n">
        <f aca="false">N(E132)+N(F132)</f>
        <v>0</v>
      </c>
    </row>
    <row r="133" customFormat="false" ht="15" hidden="false" customHeight="false" outlineLevel="0" collapsed="false">
      <c r="A133" s="37" t="str">
        <f aca="false">IF(M133="","",ROW()-7)</f>
        <v/>
      </c>
      <c r="B133" s="70"/>
      <c r="C133" s="72"/>
      <c r="D133" s="71"/>
      <c r="E133" s="73"/>
      <c r="F133" s="73"/>
      <c r="G133" s="73"/>
      <c r="H133" s="42" t="str">
        <f aca="false">IF(M133="","",IF(R133&gt;0,"✔ Matched",IF(M133="IN","Not in cash book (credit)","Not in cash book (debit)")))</f>
        <v/>
      </c>
      <c r="I133" s="43" t="str">
        <f aca="false">IF(N(R133)&gt;0,R133,"")</f>
        <v/>
      </c>
      <c r="J133" s="45" t="str">
        <f aca="false">IF(AND(M133="",B133="",C133=""),"",IF(AND(N(E133)&gt;0,N(F133)&gt;0),"⚠ Fill withdrawal OR deposit",IF(M133="","⚠ Enter amount",IF(B133="","⚠ Enter date",IF(NOT(OR(NOT(ISNUMBER(G133)),NOT(ISNUMBER(G132)),ABS(N(G133)-(N(G132)+N(F133)-N(E133)))&lt;=0.5)),"⚠ Balance does not follow previous row","✔")))))</f>
        <v/>
      </c>
      <c r="M133" s="9" t="str">
        <f aca="false">IF(N(F133)&gt;0,"IN",IF(N(E133)&gt;0,"OUT",""))</f>
        <v/>
      </c>
      <c r="N133" s="9" t="str">
        <f aca="false">IF(M133="","",M133&amp;"|"&amp;TEXT(ROUND(N(E133)+N(F133),2),"0.00"))</f>
        <v/>
      </c>
      <c r="O133" s="9" t="str">
        <f aca="false">IF(OR(N133="",TRIM(D133&amp;"")=""),"",N133&amp;"|"&amp;UPPER(TRIM(D133&amp;"")))</f>
        <v/>
      </c>
      <c r="P133" s="9" t="n">
        <f aca="false">IF(O133="",0,IF(COUNTIF('Cash Book'!$O$8:$O$507,O133)&gt;0,1,0))</f>
        <v>0</v>
      </c>
      <c r="Q133" s="9" t="str">
        <f aca="false">IF(OR(N133="",P133=1),"",N133&amp;"#"&amp;COUNTIFS($N$8:N133,N133,$P$8:P133,0))</f>
        <v/>
      </c>
      <c r="R133" s="9" t="n">
        <f aca="false">IF(N133="",0,IFERROR(MATCH(ROW()-7,'Cash Book'!$U$8:$U$507,0),0))</f>
        <v>0</v>
      </c>
      <c r="V133" s="9" t="str">
        <f aca="false">IF(AND(N133&lt;&gt;"",R133=0),IF(M133="IN",3,4)*100000+ROW(),"")</f>
        <v/>
      </c>
      <c r="W133" s="9" t="n">
        <f aca="false">N(E133)+N(F133)</f>
        <v>0</v>
      </c>
    </row>
    <row r="134" customFormat="false" ht="15" hidden="false" customHeight="false" outlineLevel="0" collapsed="false">
      <c r="A134" s="37" t="str">
        <f aca="false">IF(M134="","",ROW()-7)</f>
        <v/>
      </c>
      <c r="B134" s="70"/>
      <c r="C134" s="72"/>
      <c r="D134" s="71"/>
      <c r="E134" s="73"/>
      <c r="F134" s="73"/>
      <c r="G134" s="73"/>
      <c r="H134" s="42" t="str">
        <f aca="false">IF(M134="","",IF(R134&gt;0,"✔ Matched",IF(M134="IN","Not in cash book (credit)","Not in cash book (debit)")))</f>
        <v/>
      </c>
      <c r="I134" s="43" t="str">
        <f aca="false">IF(N(R134)&gt;0,R134,"")</f>
        <v/>
      </c>
      <c r="J134" s="45" t="str">
        <f aca="false">IF(AND(M134="",B134="",C134=""),"",IF(AND(N(E134)&gt;0,N(F134)&gt;0),"⚠ Fill withdrawal OR deposit",IF(M134="","⚠ Enter amount",IF(B134="","⚠ Enter date",IF(NOT(OR(NOT(ISNUMBER(G134)),NOT(ISNUMBER(G133)),ABS(N(G134)-(N(G133)+N(F134)-N(E134)))&lt;=0.5)),"⚠ Balance does not follow previous row","✔")))))</f>
        <v/>
      </c>
      <c r="M134" s="9" t="str">
        <f aca="false">IF(N(F134)&gt;0,"IN",IF(N(E134)&gt;0,"OUT",""))</f>
        <v/>
      </c>
      <c r="N134" s="9" t="str">
        <f aca="false">IF(M134="","",M134&amp;"|"&amp;TEXT(ROUND(N(E134)+N(F134),2),"0.00"))</f>
        <v/>
      </c>
      <c r="O134" s="9" t="str">
        <f aca="false">IF(OR(N134="",TRIM(D134&amp;"")=""),"",N134&amp;"|"&amp;UPPER(TRIM(D134&amp;"")))</f>
        <v/>
      </c>
      <c r="P134" s="9" t="n">
        <f aca="false">IF(O134="",0,IF(COUNTIF('Cash Book'!$O$8:$O$507,O134)&gt;0,1,0))</f>
        <v>0</v>
      </c>
      <c r="Q134" s="9" t="str">
        <f aca="false">IF(OR(N134="",P134=1),"",N134&amp;"#"&amp;COUNTIFS($N$8:N134,N134,$P$8:P134,0))</f>
        <v/>
      </c>
      <c r="R134" s="9" t="n">
        <f aca="false">IF(N134="",0,IFERROR(MATCH(ROW()-7,'Cash Book'!$U$8:$U$507,0),0))</f>
        <v>0</v>
      </c>
      <c r="V134" s="9" t="str">
        <f aca="false">IF(AND(N134&lt;&gt;"",R134=0),IF(M134="IN",3,4)*100000+ROW(),"")</f>
        <v/>
      </c>
      <c r="W134" s="9" t="n">
        <f aca="false">N(E134)+N(F134)</f>
        <v>0</v>
      </c>
    </row>
    <row r="135" customFormat="false" ht="15" hidden="false" customHeight="false" outlineLevel="0" collapsed="false">
      <c r="A135" s="37" t="str">
        <f aca="false">IF(M135="","",ROW()-7)</f>
        <v/>
      </c>
      <c r="B135" s="70"/>
      <c r="C135" s="72"/>
      <c r="D135" s="71"/>
      <c r="E135" s="73"/>
      <c r="F135" s="73"/>
      <c r="G135" s="73"/>
      <c r="H135" s="42" t="str">
        <f aca="false">IF(M135="","",IF(R135&gt;0,"✔ Matched",IF(M135="IN","Not in cash book (credit)","Not in cash book (debit)")))</f>
        <v/>
      </c>
      <c r="I135" s="43" t="str">
        <f aca="false">IF(N(R135)&gt;0,R135,"")</f>
        <v/>
      </c>
      <c r="J135" s="45" t="str">
        <f aca="false">IF(AND(M135="",B135="",C135=""),"",IF(AND(N(E135)&gt;0,N(F135)&gt;0),"⚠ Fill withdrawal OR deposit",IF(M135="","⚠ Enter amount",IF(B135="","⚠ Enter date",IF(NOT(OR(NOT(ISNUMBER(G135)),NOT(ISNUMBER(G134)),ABS(N(G135)-(N(G134)+N(F135)-N(E135)))&lt;=0.5)),"⚠ Balance does not follow previous row","✔")))))</f>
        <v/>
      </c>
      <c r="M135" s="9" t="str">
        <f aca="false">IF(N(F135)&gt;0,"IN",IF(N(E135)&gt;0,"OUT",""))</f>
        <v/>
      </c>
      <c r="N135" s="9" t="str">
        <f aca="false">IF(M135="","",M135&amp;"|"&amp;TEXT(ROUND(N(E135)+N(F135),2),"0.00"))</f>
        <v/>
      </c>
      <c r="O135" s="9" t="str">
        <f aca="false">IF(OR(N135="",TRIM(D135&amp;"")=""),"",N135&amp;"|"&amp;UPPER(TRIM(D135&amp;"")))</f>
        <v/>
      </c>
      <c r="P135" s="9" t="n">
        <f aca="false">IF(O135="",0,IF(COUNTIF('Cash Book'!$O$8:$O$507,O135)&gt;0,1,0))</f>
        <v>0</v>
      </c>
      <c r="Q135" s="9" t="str">
        <f aca="false">IF(OR(N135="",P135=1),"",N135&amp;"#"&amp;COUNTIFS($N$8:N135,N135,$P$8:P135,0))</f>
        <v/>
      </c>
      <c r="R135" s="9" t="n">
        <f aca="false">IF(N135="",0,IFERROR(MATCH(ROW()-7,'Cash Book'!$U$8:$U$507,0),0))</f>
        <v>0</v>
      </c>
      <c r="V135" s="9" t="str">
        <f aca="false">IF(AND(N135&lt;&gt;"",R135=0),IF(M135="IN",3,4)*100000+ROW(),"")</f>
        <v/>
      </c>
      <c r="W135" s="9" t="n">
        <f aca="false">N(E135)+N(F135)</f>
        <v>0</v>
      </c>
    </row>
    <row r="136" customFormat="false" ht="15" hidden="false" customHeight="false" outlineLevel="0" collapsed="false">
      <c r="A136" s="37" t="str">
        <f aca="false">IF(M136="","",ROW()-7)</f>
        <v/>
      </c>
      <c r="B136" s="70"/>
      <c r="C136" s="72"/>
      <c r="D136" s="71"/>
      <c r="E136" s="73"/>
      <c r="F136" s="73"/>
      <c r="G136" s="73"/>
      <c r="H136" s="42" t="str">
        <f aca="false">IF(M136="","",IF(R136&gt;0,"✔ Matched",IF(M136="IN","Not in cash book (credit)","Not in cash book (debit)")))</f>
        <v/>
      </c>
      <c r="I136" s="43" t="str">
        <f aca="false">IF(N(R136)&gt;0,R136,"")</f>
        <v/>
      </c>
      <c r="J136" s="45" t="str">
        <f aca="false">IF(AND(M136="",B136="",C136=""),"",IF(AND(N(E136)&gt;0,N(F136)&gt;0),"⚠ Fill withdrawal OR deposit",IF(M136="","⚠ Enter amount",IF(B136="","⚠ Enter date",IF(NOT(OR(NOT(ISNUMBER(G136)),NOT(ISNUMBER(G135)),ABS(N(G136)-(N(G135)+N(F136)-N(E136)))&lt;=0.5)),"⚠ Balance does not follow previous row","✔")))))</f>
        <v/>
      </c>
      <c r="M136" s="9" t="str">
        <f aca="false">IF(N(F136)&gt;0,"IN",IF(N(E136)&gt;0,"OUT",""))</f>
        <v/>
      </c>
      <c r="N136" s="9" t="str">
        <f aca="false">IF(M136="","",M136&amp;"|"&amp;TEXT(ROUND(N(E136)+N(F136),2),"0.00"))</f>
        <v/>
      </c>
      <c r="O136" s="9" t="str">
        <f aca="false">IF(OR(N136="",TRIM(D136&amp;"")=""),"",N136&amp;"|"&amp;UPPER(TRIM(D136&amp;"")))</f>
        <v/>
      </c>
      <c r="P136" s="9" t="n">
        <f aca="false">IF(O136="",0,IF(COUNTIF('Cash Book'!$O$8:$O$507,O136)&gt;0,1,0))</f>
        <v>0</v>
      </c>
      <c r="Q136" s="9" t="str">
        <f aca="false">IF(OR(N136="",P136=1),"",N136&amp;"#"&amp;COUNTIFS($N$8:N136,N136,$P$8:P136,0))</f>
        <v/>
      </c>
      <c r="R136" s="9" t="n">
        <f aca="false">IF(N136="",0,IFERROR(MATCH(ROW()-7,'Cash Book'!$U$8:$U$507,0),0))</f>
        <v>0</v>
      </c>
      <c r="V136" s="9" t="str">
        <f aca="false">IF(AND(N136&lt;&gt;"",R136=0),IF(M136="IN",3,4)*100000+ROW(),"")</f>
        <v/>
      </c>
      <c r="W136" s="9" t="n">
        <f aca="false">N(E136)+N(F136)</f>
        <v>0</v>
      </c>
    </row>
    <row r="137" customFormat="false" ht="15" hidden="false" customHeight="false" outlineLevel="0" collapsed="false">
      <c r="A137" s="37" t="str">
        <f aca="false">IF(M137="","",ROW()-7)</f>
        <v/>
      </c>
      <c r="B137" s="70"/>
      <c r="C137" s="72"/>
      <c r="D137" s="71"/>
      <c r="E137" s="73"/>
      <c r="F137" s="73"/>
      <c r="G137" s="73"/>
      <c r="H137" s="42" t="str">
        <f aca="false">IF(M137="","",IF(R137&gt;0,"✔ Matched",IF(M137="IN","Not in cash book (credit)","Not in cash book (debit)")))</f>
        <v/>
      </c>
      <c r="I137" s="43" t="str">
        <f aca="false">IF(N(R137)&gt;0,R137,"")</f>
        <v/>
      </c>
      <c r="J137" s="45" t="str">
        <f aca="false">IF(AND(M137="",B137="",C137=""),"",IF(AND(N(E137)&gt;0,N(F137)&gt;0),"⚠ Fill withdrawal OR deposit",IF(M137="","⚠ Enter amount",IF(B137="","⚠ Enter date",IF(NOT(OR(NOT(ISNUMBER(G137)),NOT(ISNUMBER(G136)),ABS(N(G137)-(N(G136)+N(F137)-N(E137)))&lt;=0.5)),"⚠ Balance does not follow previous row","✔")))))</f>
        <v/>
      </c>
      <c r="M137" s="9" t="str">
        <f aca="false">IF(N(F137)&gt;0,"IN",IF(N(E137)&gt;0,"OUT",""))</f>
        <v/>
      </c>
      <c r="N137" s="9" t="str">
        <f aca="false">IF(M137="","",M137&amp;"|"&amp;TEXT(ROUND(N(E137)+N(F137),2),"0.00"))</f>
        <v/>
      </c>
      <c r="O137" s="9" t="str">
        <f aca="false">IF(OR(N137="",TRIM(D137&amp;"")=""),"",N137&amp;"|"&amp;UPPER(TRIM(D137&amp;"")))</f>
        <v/>
      </c>
      <c r="P137" s="9" t="n">
        <f aca="false">IF(O137="",0,IF(COUNTIF('Cash Book'!$O$8:$O$507,O137)&gt;0,1,0))</f>
        <v>0</v>
      </c>
      <c r="Q137" s="9" t="str">
        <f aca="false">IF(OR(N137="",P137=1),"",N137&amp;"#"&amp;COUNTIFS($N$8:N137,N137,$P$8:P137,0))</f>
        <v/>
      </c>
      <c r="R137" s="9" t="n">
        <f aca="false">IF(N137="",0,IFERROR(MATCH(ROW()-7,'Cash Book'!$U$8:$U$507,0),0))</f>
        <v>0</v>
      </c>
      <c r="V137" s="9" t="str">
        <f aca="false">IF(AND(N137&lt;&gt;"",R137=0),IF(M137="IN",3,4)*100000+ROW(),"")</f>
        <v/>
      </c>
      <c r="W137" s="9" t="n">
        <f aca="false">N(E137)+N(F137)</f>
        <v>0</v>
      </c>
    </row>
    <row r="138" customFormat="false" ht="15" hidden="false" customHeight="false" outlineLevel="0" collapsed="false">
      <c r="A138" s="37" t="str">
        <f aca="false">IF(M138="","",ROW()-7)</f>
        <v/>
      </c>
      <c r="B138" s="70"/>
      <c r="C138" s="72"/>
      <c r="D138" s="71"/>
      <c r="E138" s="73"/>
      <c r="F138" s="73"/>
      <c r="G138" s="73"/>
      <c r="H138" s="42" t="str">
        <f aca="false">IF(M138="","",IF(R138&gt;0,"✔ Matched",IF(M138="IN","Not in cash book (credit)","Not in cash book (debit)")))</f>
        <v/>
      </c>
      <c r="I138" s="43" t="str">
        <f aca="false">IF(N(R138)&gt;0,R138,"")</f>
        <v/>
      </c>
      <c r="J138" s="45" t="str">
        <f aca="false">IF(AND(M138="",B138="",C138=""),"",IF(AND(N(E138)&gt;0,N(F138)&gt;0),"⚠ Fill withdrawal OR deposit",IF(M138="","⚠ Enter amount",IF(B138="","⚠ Enter date",IF(NOT(OR(NOT(ISNUMBER(G138)),NOT(ISNUMBER(G137)),ABS(N(G138)-(N(G137)+N(F138)-N(E138)))&lt;=0.5)),"⚠ Balance does not follow previous row","✔")))))</f>
        <v/>
      </c>
      <c r="M138" s="9" t="str">
        <f aca="false">IF(N(F138)&gt;0,"IN",IF(N(E138)&gt;0,"OUT",""))</f>
        <v/>
      </c>
      <c r="N138" s="9" t="str">
        <f aca="false">IF(M138="","",M138&amp;"|"&amp;TEXT(ROUND(N(E138)+N(F138),2),"0.00"))</f>
        <v/>
      </c>
      <c r="O138" s="9" t="str">
        <f aca="false">IF(OR(N138="",TRIM(D138&amp;"")=""),"",N138&amp;"|"&amp;UPPER(TRIM(D138&amp;"")))</f>
        <v/>
      </c>
      <c r="P138" s="9" t="n">
        <f aca="false">IF(O138="",0,IF(COUNTIF('Cash Book'!$O$8:$O$507,O138)&gt;0,1,0))</f>
        <v>0</v>
      </c>
      <c r="Q138" s="9" t="str">
        <f aca="false">IF(OR(N138="",P138=1),"",N138&amp;"#"&amp;COUNTIFS($N$8:N138,N138,$P$8:P138,0))</f>
        <v/>
      </c>
      <c r="R138" s="9" t="n">
        <f aca="false">IF(N138="",0,IFERROR(MATCH(ROW()-7,'Cash Book'!$U$8:$U$507,0),0))</f>
        <v>0</v>
      </c>
      <c r="V138" s="9" t="str">
        <f aca="false">IF(AND(N138&lt;&gt;"",R138=0),IF(M138="IN",3,4)*100000+ROW(),"")</f>
        <v/>
      </c>
      <c r="W138" s="9" t="n">
        <f aca="false">N(E138)+N(F138)</f>
        <v>0</v>
      </c>
    </row>
    <row r="139" customFormat="false" ht="15" hidden="false" customHeight="false" outlineLevel="0" collapsed="false">
      <c r="A139" s="37" t="str">
        <f aca="false">IF(M139="","",ROW()-7)</f>
        <v/>
      </c>
      <c r="B139" s="70"/>
      <c r="C139" s="72"/>
      <c r="D139" s="71"/>
      <c r="E139" s="73"/>
      <c r="F139" s="73"/>
      <c r="G139" s="73"/>
      <c r="H139" s="42" t="str">
        <f aca="false">IF(M139="","",IF(R139&gt;0,"✔ Matched",IF(M139="IN","Not in cash book (credit)","Not in cash book (debit)")))</f>
        <v/>
      </c>
      <c r="I139" s="43" t="str">
        <f aca="false">IF(N(R139)&gt;0,R139,"")</f>
        <v/>
      </c>
      <c r="J139" s="45" t="str">
        <f aca="false">IF(AND(M139="",B139="",C139=""),"",IF(AND(N(E139)&gt;0,N(F139)&gt;0),"⚠ Fill withdrawal OR deposit",IF(M139="","⚠ Enter amount",IF(B139="","⚠ Enter date",IF(NOT(OR(NOT(ISNUMBER(G139)),NOT(ISNUMBER(G138)),ABS(N(G139)-(N(G138)+N(F139)-N(E139)))&lt;=0.5)),"⚠ Balance does not follow previous row","✔")))))</f>
        <v/>
      </c>
      <c r="M139" s="9" t="str">
        <f aca="false">IF(N(F139)&gt;0,"IN",IF(N(E139)&gt;0,"OUT",""))</f>
        <v/>
      </c>
      <c r="N139" s="9" t="str">
        <f aca="false">IF(M139="","",M139&amp;"|"&amp;TEXT(ROUND(N(E139)+N(F139),2),"0.00"))</f>
        <v/>
      </c>
      <c r="O139" s="9" t="str">
        <f aca="false">IF(OR(N139="",TRIM(D139&amp;"")=""),"",N139&amp;"|"&amp;UPPER(TRIM(D139&amp;"")))</f>
        <v/>
      </c>
      <c r="P139" s="9" t="n">
        <f aca="false">IF(O139="",0,IF(COUNTIF('Cash Book'!$O$8:$O$507,O139)&gt;0,1,0))</f>
        <v>0</v>
      </c>
      <c r="Q139" s="9" t="str">
        <f aca="false">IF(OR(N139="",P139=1),"",N139&amp;"#"&amp;COUNTIFS($N$8:N139,N139,$P$8:P139,0))</f>
        <v/>
      </c>
      <c r="R139" s="9" t="n">
        <f aca="false">IF(N139="",0,IFERROR(MATCH(ROW()-7,'Cash Book'!$U$8:$U$507,0),0))</f>
        <v>0</v>
      </c>
      <c r="V139" s="9" t="str">
        <f aca="false">IF(AND(N139&lt;&gt;"",R139=0),IF(M139="IN",3,4)*100000+ROW(),"")</f>
        <v/>
      </c>
      <c r="W139" s="9" t="n">
        <f aca="false">N(E139)+N(F139)</f>
        <v>0</v>
      </c>
    </row>
    <row r="140" customFormat="false" ht="15" hidden="false" customHeight="false" outlineLevel="0" collapsed="false">
      <c r="A140" s="37" t="str">
        <f aca="false">IF(M140="","",ROW()-7)</f>
        <v/>
      </c>
      <c r="B140" s="70"/>
      <c r="C140" s="72"/>
      <c r="D140" s="71"/>
      <c r="E140" s="73"/>
      <c r="F140" s="73"/>
      <c r="G140" s="73"/>
      <c r="H140" s="42" t="str">
        <f aca="false">IF(M140="","",IF(R140&gt;0,"✔ Matched",IF(M140="IN","Not in cash book (credit)","Not in cash book (debit)")))</f>
        <v/>
      </c>
      <c r="I140" s="43" t="str">
        <f aca="false">IF(N(R140)&gt;0,R140,"")</f>
        <v/>
      </c>
      <c r="J140" s="45" t="str">
        <f aca="false">IF(AND(M140="",B140="",C140=""),"",IF(AND(N(E140)&gt;0,N(F140)&gt;0),"⚠ Fill withdrawal OR deposit",IF(M140="","⚠ Enter amount",IF(B140="","⚠ Enter date",IF(NOT(OR(NOT(ISNUMBER(G140)),NOT(ISNUMBER(G139)),ABS(N(G140)-(N(G139)+N(F140)-N(E140)))&lt;=0.5)),"⚠ Balance does not follow previous row","✔")))))</f>
        <v/>
      </c>
      <c r="M140" s="9" t="str">
        <f aca="false">IF(N(F140)&gt;0,"IN",IF(N(E140)&gt;0,"OUT",""))</f>
        <v/>
      </c>
      <c r="N140" s="9" t="str">
        <f aca="false">IF(M140="","",M140&amp;"|"&amp;TEXT(ROUND(N(E140)+N(F140),2),"0.00"))</f>
        <v/>
      </c>
      <c r="O140" s="9" t="str">
        <f aca="false">IF(OR(N140="",TRIM(D140&amp;"")=""),"",N140&amp;"|"&amp;UPPER(TRIM(D140&amp;"")))</f>
        <v/>
      </c>
      <c r="P140" s="9" t="n">
        <f aca="false">IF(O140="",0,IF(COUNTIF('Cash Book'!$O$8:$O$507,O140)&gt;0,1,0))</f>
        <v>0</v>
      </c>
      <c r="Q140" s="9" t="str">
        <f aca="false">IF(OR(N140="",P140=1),"",N140&amp;"#"&amp;COUNTIFS($N$8:N140,N140,$P$8:P140,0))</f>
        <v/>
      </c>
      <c r="R140" s="9" t="n">
        <f aca="false">IF(N140="",0,IFERROR(MATCH(ROW()-7,'Cash Book'!$U$8:$U$507,0),0))</f>
        <v>0</v>
      </c>
      <c r="V140" s="9" t="str">
        <f aca="false">IF(AND(N140&lt;&gt;"",R140=0),IF(M140="IN",3,4)*100000+ROW(),"")</f>
        <v/>
      </c>
      <c r="W140" s="9" t="n">
        <f aca="false">N(E140)+N(F140)</f>
        <v>0</v>
      </c>
    </row>
    <row r="141" customFormat="false" ht="15" hidden="false" customHeight="false" outlineLevel="0" collapsed="false">
      <c r="A141" s="37" t="str">
        <f aca="false">IF(M141="","",ROW()-7)</f>
        <v/>
      </c>
      <c r="B141" s="70"/>
      <c r="C141" s="72"/>
      <c r="D141" s="71"/>
      <c r="E141" s="73"/>
      <c r="F141" s="73"/>
      <c r="G141" s="73"/>
      <c r="H141" s="42" t="str">
        <f aca="false">IF(M141="","",IF(R141&gt;0,"✔ Matched",IF(M141="IN","Not in cash book (credit)","Not in cash book (debit)")))</f>
        <v/>
      </c>
      <c r="I141" s="43" t="str">
        <f aca="false">IF(N(R141)&gt;0,R141,"")</f>
        <v/>
      </c>
      <c r="J141" s="45" t="str">
        <f aca="false">IF(AND(M141="",B141="",C141=""),"",IF(AND(N(E141)&gt;0,N(F141)&gt;0),"⚠ Fill withdrawal OR deposit",IF(M141="","⚠ Enter amount",IF(B141="","⚠ Enter date",IF(NOT(OR(NOT(ISNUMBER(G141)),NOT(ISNUMBER(G140)),ABS(N(G141)-(N(G140)+N(F141)-N(E141)))&lt;=0.5)),"⚠ Balance does not follow previous row","✔")))))</f>
        <v/>
      </c>
      <c r="M141" s="9" t="str">
        <f aca="false">IF(N(F141)&gt;0,"IN",IF(N(E141)&gt;0,"OUT",""))</f>
        <v/>
      </c>
      <c r="N141" s="9" t="str">
        <f aca="false">IF(M141="","",M141&amp;"|"&amp;TEXT(ROUND(N(E141)+N(F141),2),"0.00"))</f>
        <v/>
      </c>
      <c r="O141" s="9" t="str">
        <f aca="false">IF(OR(N141="",TRIM(D141&amp;"")=""),"",N141&amp;"|"&amp;UPPER(TRIM(D141&amp;"")))</f>
        <v/>
      </c>
      <c r="P141" s="9" t="n">
        <f aca="false">IF(O141="",0,IF(COUNTIF('Cash Book'!$O$8:$O$507,O141)&gt;0,1,0))</f>
        <v>0</v>
      </c>
      <c r="Q141" s="9" t="str">
        <f aca="false">IF(OR(N141="",P141=1),"",N141&amp;"#"&amp;COUNTIFS($N$8:N141,N141,$P$8:P141,0))</f>
        <v/>
      </c>
      <c r="R141" s="9" t="n">
        <f aca="false">IF(N141="",0,IFERROR(MATCH(ROW()-7,'Cash Book'!$U$8:$U$507,0),0))</f>
        <v>0</v>
      </c>
      <c r="V141" s="9" t="str">
        <f aca="false">IF(AND(N141&lt;&gt;"",R141=0),IF(M141="IN",3,4)*100000+ROW(),"")</f>
        <v/>
      </c>
      <c r="W141" s="9" t="n">
        <f aca="false">N(E141)+N(F141)</f>
        <v>0</v>
      </c>
    </row>
    <row r="142" customFormat="false" ht="15" hidden="false" customHeight="false" outlineLevel="0" collapsed="false">
      <c r="A142" s="37" t="str">
        <f aca="false">IF(M142="","",ROW()-7)</f>
        <v/>
      </c>
      <c r="B142" s="70"/>
      <c r="C142" s="72"/>
      <c r="D142" s="71"/>
      <c r="E142" s="73"/>
      <c r="F142" s="73"/>
      <c r="G142" s="73"/>
      <c r="H142" s="42" t="str">
        <f aca="false">IF(M142="","",IF(R142&gt;0,"✔ Matched",IF(M142="IN","Not in cash book (credit)","Not in cash book (debit)")))</f>
        <v/>
      </c>
      <c r="I142" s="43" t="str">
        <f aca="false">IF(N(R142)&gt;0,R142,"")</f>
        <v/>
      </c>
      <c r="J142" s="45" t="str">
        <f aca="false">IF(AND(M142="",B142="",C142=""),"",IF(AND(N(E142)&gt;0,N(F142)&gt;0),"⚠ Fill withdrawal OR deposit",IF(M142="","⚠ Enter amount",IF(B142="","⚠ Enter date",IF(NOT(OR(NOT(ISNUMBER(G142)),NOT(ISNUMBER(G141)),ABS(N(G142)-(N(G141)+N(F142)-N(E142)))&lt;=0.5)),"⚠ Balance does not follow previous row","✔")))))</f>
        <v/>
      </c>
      <c r="M142" s="9" t="str">
        <f aca="false">IF(N(F142)&gt;0,"IN",IF(N(E142)&gt;0,"OUT",""))</f>
        <v/>
      </c>
      <c r="N142" s="9" t="str">
        <f aca="false">IF(M142="","",M142&amp;"|"&amp;TEXT(ROUND(N(E142)+N(F142),2),"0.00"))</f>
        <v/>
      </c>
      <c r="O142" s="9" t="str">
        <f aca="false">IF(OR(N142="",TRIM(D142&amp;"")=""),"",N142&amp;"|"&amp;UPPER(TRIM(D142&amp;"")))</f>
        <v/>
      </c>
      <c r="P142" s="9" t="n">
        <f aca="false">IF(O142="",0,IF(COUNTIF('Cash Book'!$O$8:$O$507,O142)&gt;0,1,0))</f>
        <v>0</v>
      </c>
      <c r="Q142" s="9" t="str">
        <f aca="false">IF(OR(N142="",P142=1),"",N142&amp;"#"&amp;COUNTIFS($N$8:N142,N142,$P$8:P142,0))</f>
        <v/>
      </c>
      <c r="R142" s="9" t="n">
        <f aca="false">IF(N142="",0,IFERROR(MATCH(ROW()-7,'Cash Book'!$U$8:$U$507,0),0))</f>
        <v>0</v>
      </c>
      <c r="V142" s="9" t="str">
        <f aca="false">IF(AND(N142&lt;&gt;"",R142=0),IF(M142="IN",3,4)*100000+ROW(),"")</f>
        <v/>
      </c>
      <c r="W142" s="9" t="n">
        <f aca="false">N(E142)+N(F142)</f>
        <v>0</v>
      </c>
    </row>
    <row r="143" customFormat="false" ht="15" hidden="false" customHeight="false" outlineLevel="0" collapsed="false">
      <c r="A143" s="37" t="str">
        <f aca="false">IF(M143="","",ROW()-7)</f>
        <v/>
      </c>
      <c r="B143" s="70"/>
      <c r="C143" s="72"/>
      <c r="D143" s="71"/>
      <c r="E143" s="73"/>
      <c r="F143" s="73"/>
      <c r="G143" s="73"/>
      <c r="H143" s="42" t="str">
        <f aca="false">IF(M143="","",IF(R143&gt;0,"✔ Matched",IF(M143="IN","Not in cash book (credit)","Not in cash book (debit)")))</f>
        <v/>
      </c>
      <c r="I143" s="43" t="str">
        <f aca="false">IF(N(R143)&gt;0,R143,"")</f>
        <v/>
      </c>
      <c r="J143" s="45" t="str">
        <f aca="false">IF(AND(M143="",B143="",C143=""),"",IF(AND(N(E143)&gt;0,N(F143)&gt;0),"⚠ Fill withdrawal OR deposit",IF(M143="","⚠ Enter amount",IF(B143="","⚠ Enter date",IF(NOT(OR(NOT(ISNUMBER(G143)),NOT(ISNUMBER(G142)),ABS(N(G143)-(N(G142)+N(F143)-N(E143)))&lt;=0.5)),"⚠ Balance does not follow previous row","✔")))))</f>
        <v/>
      </c>
      <c r="M143" s="9" t="str">
        <f aca="false">IF(N(F143)&gt;0,"IN",IF(N(E143)&gt;0,"OUT",""))</f>
        <v/>
      </c>
      <c r="N143" s="9" t="str">
        <f aca="false">IF(M143="","",M143&amp;"|"&amp;TEXT(ROUND(N(E143)+N(F143),2),"0.00"))</f>
        <v/>
      </c>
      <c r="O143" s="9" t="str">
        <f aca="false">IF(OR(N143="",TRIM(D143&amp;"")=""),"",N143&amp;"|"&amp;UPPER(TRIM(D143&amp;"")))</f>
        <v/>
      </c>
      <c r="P143" s="9" t="n">
        <f aca="false">IF(O143="",0,IF(COUNTIF('Cash Book'!$O$8:$O$507,O143)&gt;0,1,0))</f>
        <v>0</v>
      </c>
      <c r="Q143" s="9" t="str">
        <f aca="false">IF(OR(N143="",P143=1),"",N143&amp;"#"&amp;COUNTIFS($N$8:N143,N143,$P$8:P143,0))</f>
        <v/>
      </c>
      <c r="R143" s="9" t="n">
        <f aca="false">IF(N143="",0,IFERROR(MATCH(ROW()-7,'Cash Book'!$U$8:$U$507,0),0))</f>
        <v>0</v>
      </c>
      <c r="V143" s="9" t="str">
        <f aca="false">IF(AND(N143&lt;&gt;"",R143=0),IF(M143="IN",3,4)*100000+ROW(),"")</f>
        <v/>
      </c>
      <c r="W143" s="9" t="n">
        <f aca="false">N(E143)+N(F143)</f>
        <v>0</v>
      </c>
    </row>
    <row r="144" customFormat="false" ht="15" hidden="false" customHeight="false" outlineLevel="0" collapsed="false">
      <c r="A144" s="37" t="str">
        <f aca="false">IF(M144="","",ROW()-7)</f>
        <v/>
      </c>
      <c r="B144" s="70"/>
      <c r="C144" s="72"/>
      <c r="D144" s="71"/>
      <c r="E144" s="73"/>
      <c r="F144" s="73"/>
      <c r="G144" s="73"/>
      <c r="H144" s="42" t="str">
        <f aca="false">IF(M144="","",IF(R144&gt;0,"✔ Matched",IF(M144="IN","Not in cash book (credit)","Not in cash book (debit)")))</f>
        <v/>
      </c>
      <c r="I144" s="43" t="str">
        <f aca="false">IF(N(R144)&gt;0,R144,"")</f>
        <v/>
      </c>
      <c r="J144" s="45" t="str">
        <f aca="false">IF(AND(M144="",B144="",C144=""),"",IF(AND(N(E144)&gt;0,N(F144)&gt;0),"⚠ Fill withdrawal OR deposit",IF(M144="","⚠ Enter amount",IF(B144="","⚠ Enter date",IF(NOT(OR(NOT(ISNUMBER(G144)),NOT(ISNUMBER(G143)),ABS(N(G144)-(N(G143)+N(F144)-N(E144)))&lt;=0.5)),"⚠ Balance does not follow previous row","✔")))))</f>
        <v/>
      </c>
      <c r="M144" s="9" t="str">
        <f aca="false">IF(N(F144)&gt;0,"IN",IF(N(E144)&gt;0,"OUT",""))</f>
        <v/>
      </c>
      <c r="N144" s="9" t="str">
        <f aca="false">IF(M144="","",M144&amp;"|"&amp;TEXT(ROUND(N(E144)+N(F144),2),"0.00"))</f>
        <v/>
      </c>
      <c r="O144" s="9" t="str">
        <f aca="false">IF(OR(N144="",TRIM(D144&amp;"")=""),"",N144&amp;"|"&amp;UPPER(TRIM(D144&amp;"")))</f>
        <v/>
      </c>
      <c r="P144" s="9" t="n">
        <f aca="false">IF(O144="",0,IF(COUNTIF('Cash Book'!$O$8:$O$507,O144)&gt;0,1,0))</f>
        <v>0</v>
      </c>
      <c r="Q144" s="9" t="str">
        <f aca="false">IF(OR(N144="",P144=1),"",N144&amp;"#"&amp;COUNTIFS($N$8:N144,N144,$P$8:P144,0))</f>
        <v/>
      </c>
      <c r="R144" s="9" t="n">
        <f aca="false">IF(N144="",0,IFERROR(MATCH(ROW()-7,'Cash Book'!$U$8:$U$507,0),0))</f>
        <v>0</v>
      </c>
      <c r="V144" s="9" t="str">
        <f aca="false">IF(AND(N144&lt;&gt;"",R144=0),IF(M144="IN",3,4)*100000+ROW(),"")</f>
        <v/>
      </c>
      <c r="W144" s="9" t="n">
        <f aca="false">N(E144)+N(F144)</f>
        <v>0</v>
      </c>
    </row>
    <row r="145" customFormat="false" ht="15" hidden="false" customHeight="false" outlineLevel="0" collapsed="false">
      <c r="A145" s="37" t="str">
        <f aca="false">IF(M145="","",ROW()-7)</f>
        <v/>
      </c>
      <c r="B145" s="70"/>
      <c r="C145" s="72"/>
      <c r="D145" s="71"/>
      <c r="E145" s="73"/>
      <c r="F145" s="73"/>
      <c r="G145" s="73"/>
      <c r="H145" s="42" t="str">
        <f aca="false">IF(M145="","",IF(R145&gt;0,"✔ Matched",IF(M145="IN","Not in cash book (credit)","Not in cash book (debit)")))</f>
        <v/>
      </c>
      <c r="I145" s="43" t="str">
        <f aca="false">IF(N(R145)&gt;0,R145,"")</f>
        <v/>
      </c>
      <c r="J145" s="45" t="str">
        <f aca="false">IF(AND(M145="",B145="",C145=""),"",IF(AND(N(E145)&gt;0,N(F145)&gt;0),"⚠ Fill withdrawal OR deposit",IF(M145="","⚠ Enter amount",IF(B145="","⚠ Enter date",IF(NOT(OR(NOT(ISNUMBER(G145)),NOT(ISNUMBER(G144)),ABS(N(G145)-(N(G144)+N(F145)-N(E145)))&lt;=0.5)),"⚠ Balance does not follow previous row","✔")))))</f>
        <v/>
      </c>
      <c r="M145" s="9" t="str">
        <f aca="false">IF(N(F145)&gt;0,"IN",IF(N(E145)&gt;0,"OUT",""))</f>
        <v/>
      </c>
      <c r="N145" s="9" t="str">
        <f aca="false">IF(M145="","",M145&amp;"|"&amp;TEXT(ROUND(N(E145)+N(F145),2),"0.00"))</f>
        <v/>
      </c>
      <c r="O145" s="9" t="str">
        <f aca="false">IF(OR(N145="",TRIM(D145&amp;"")=""),"",N145&amp;"|"&amp;UPPER(TRIM(D145&amp;"")))</f>
        <v/>
      </c>
      <c r="P145" s="9" t="n">
        <f aca="false">IF(O145="",0,IF(COUNTIF('Cash Book'!$O$8:$O$507,O145)&gt;0,1,0))</f>
        <v>0</v>
      </c>
      <c r="Q145" s="9" t="str">
        <f aca="false">IF(OR(N145="",P145=1),"",N145&amp;"#"&amp;COUNTIFS($N$8:N145,N145,$P$8:P145,0))</f>
        <v/>
      </c>
      <c r="R145" s="9" t="n">
        <f aca="false">IF(N145="",0,IFERROR(MATCH(ROW()-7,'Cash Book'!$U$8:$U$507,0),0))</f>
        <v>0</v>
      </c>
      <c r="V145" s="9" t="str">
        <f aca="false">IF(AND(N145&lt;&gt;"",R145=0),IF(M145="IN",3,4)*100000+ROW(),"")</f>
        <v/>
      </c>
      <c r="W145" s="9" t="n">
        <f aca="false">N(E145)+N(F145)</f>
        <v>0</v>
      </c>
    </row>
    <row r="146" customFormat="false" ht="15" hidden="false" customHeight="false" outlineLevel="0" collapsed="false">
      <c r="A146" s="37" t="str">
        <f aca="false">IF(M146="","",ROW()-7)</f>
        <v/>
      </c>
      <c r="B146" s="70"/>
      <c r="C146" s="72"/>
      <c r="D146" s="71"/>
      <c r="E146" s="73"/>
      <c r="F146" s="73"/>
      <c r="G146" s="73"/>
      <c r="H146" s="42" t="str">
        <f aca="false">IF(M146="","",IF(R146&gt;0,"✔ Matched",IF(M146="IN","Not in cash book (credit)","Not in cash book (debit)")))</f>
        <v/>
      </c>
      <c r="I146" s="43" t="str">
        <f aca="false">IF(N(R146)&gt;0,R146,"")</f>
        <v/>
      </c>
      <c r="J146" s="45" t="str">
        <f aca="false">IF(AND(M146="",B146="",C146=""),"",IF(AND(N(E146)&gt;0,N(F146)&gt;0),"⚠ Fill withdrawal OR deposit",IF(M146="","⚠ Enter amount",IF(B146="","⚠ Enter date",IF(NOT(OR(NOT(ISNUMBER(G146)),NOT(ISNUMBER(G145)),ABS(N(G146)-(N(G145)+N(F146)-N(E146)))&lt;=0.5)),"⚠ Balance does not follow previous row","✔")))))</f>
        <v/>
      </c>
      <c r="M146" s="9" t="str">
        <f aca="false">IF(N(F146)&gt;0,"IN",IF(N(E146)&gt;0,"OUT",""))</f>
        <v/>
      </c>
      <c r="N146" s="9" t="str">
        <f aca="false">IF(M146="","",M146&amp;"|"&amp;TEXT(ROUND(N(E146)+N(F146),2),"0.00"))</f>
        <v/>
      </c>
      <c r="O146" s="9" t="str">
        <f aca="false">IF(OR(N146="",TRIM(D146&amp;"")=""),"",N146&amp;"|"&amp;UPPER(TRIM(D146&amp;"")))</f>
        <v/>
      </c>
      <c r="P146" s="9" t="n">
        <f aca="false">IF(O146="",0,IF(COUNTIF('Cash Book'!$O$8:$O$507,O146)&gt;0,1,0))</f>
        <v>0</v>
      </c>
      <c r="Q146" s="9" t="str">
        <f aca="false">IF(OR(N146="",P146=1),"",N146&amp;"#"&amp;COUNTIFS($N$8:N146,N146,$P$8:P146,0))</f>
        <v/>
      </c>
      <c r="R146" s="9" t="n">
        <f aca="false">IF(N146="",0,IFERROR(MATCH(ROW()-7,'Cash Book'!$U$8:$U$507,0),0))</f>
        <v>0</v>
      </c>
      <c r="V146" s="9" t="str">
        <f aca="false">IF(AND(N146&lt;&gt;"",R146=0),IF(M146="IN",3,4)*100000+ROW(),"")</f>
        <v/>
      </c>
      <c r="W146" s="9" t="n">
        <f aca="false">N(E146)+N(F146)</f>
        <v>0</v>
      </c>
    </row>
    <row r="147" customFormat="false" ht="15" hidden="false" customHeight="false" outlineLevel="0" collapsed="false">
      <c r="A147" s="37" t="str">
        <f aca="false">IF(M147="","",ROW()-7)</f>
        <v/>
      </c>
      <c r="B147" s="70"/>
      <c r="C147" s="72"/>
      <c r="D147" s="71"/>
      <c r="E147" s="73"/>
      <c r="F147" s="73"/>
      <c r="G147" s="73"/>
      <c r="H147" s="42" t="str">
        <f aca="false">IF(M147="","",IF(R147&gt;0,"✔ Matched",IF(M147="IN","Not in cash book (credit)","Not in cash book (debit)")))</f>
        <v/>
      </c>
      <c r="I147" s="43" t="str">
        <f aca="false">IF(N(R147)&gt;0,R147,"")</f>
        <v/>
      </c>
      <c r="J147" s="45" t="str">
        <f aca="false">IF(AND(M147="",B147="",C147=""),"",IF(AND(N(E147)&gt;0,N(F147)&gt;0),"⚠ Fill withdrawal OR deposit",IF(M147="","⚠ Enter amount",IF(B147="","⚠ Enter date",IF(NOT(OR(NOT(ISNUMBER(G147)),NOT(ISNUMBER(G146)),ABS(N(G147)-(N(G146)+N(F147)-N(E147)))&lt;=0.5)),"⚠ Balance does not follow previous row","✔")))))</f>
        <v/>
      </c>
      <c r="M147" s="9" t="str">
        <f aca="false">IF(N(F147)&gt;0,"IN",IF(N(E147)&gt;0,"OUT",""))</f>
        <v/>
      </c>
      <c r="N147" s="9" t="str">
        <f aca="false">IF(M147="","",M147&amp;"|"&amp;TEXT(ROUND(N(E147)+N(F147),2),"0.00"))</f>
        <v/>
      </c>
      <c r="O147" s="9" t="str">
        <f aca="false">IF(OR(N147="",TRIM(D147&amp;"")=""),"",N147&amp;"|"&amp;UPPER(TRIM(D147&amp;"")))</f>
        <v/>
      </c>
      <c r="P147" s="9" t="n">
        <f aca="false">IF(O147="",0,IF(COUNTIF('Cash Book'!$O$8:$O$507,O147)&gt;0,1,0))</f>
        <v>0</v>
      </c>
      <c r="Q147" s="9" t="str">
        <f aca="false">IF(OR(N147="",P147=1),"",N147&amp;"#"&amp;COUNTIFS($N$8:N147,N147,$P$8:P147,0))</f>
        <v/>
      </c>
      <c r="R147" s="9" t="n">
        <f aca="false">IF(N147="",0,IFERROR(MATCH(ROW()-7,'Cash Book'!$U$8:$U$507,0),0))</f>
        <v>0</v>
      </c>
      <c r="V147" s="9" t="str">
        <f aca="false">IF(AND(N147&lt;&gt;"",R147=0),IF(M147="IN",3,4)*100000+ROW(),"")</f>
        <v/>
      </c>
      <c r="W147" s="9" t="n">
        <f aca="false">N(E147)+N(F147)</f>
        <v>0</v>
      </c>
    </row>
    <row r="148" customFormat="false" ht="15" hidden="false" customHeight="false" outlineLevel="0" collapsed="false">
      <c r="A148" s="37" t="str">
        <f aca="false">IF(M148="","",ROW()-7)</f>
        <v/>
      </c>
      <c r="B148" s="70"/>
      <c r="C148" s="72"/>
      <c r="D148" s="71"/>
      <c r="E148" s="73"/>
      <c r="F148" s="73"/>
      <c r="G148" s="73"/>
      <c r="H148" s="42" t="str">
        <f aca="false">IF(M148="","",IF(R148&gt;0,"✔ Matched",IF(M148="IN","Not in cash book (credit)","Not in cash book (debit)")))</f>
        <v/>
      </c>
      <c r="I148" s="43" t="str">
        <f aca="false">IF(N(R148)&gt;0,R148,"")</f>
        <v/>
      </c>
      <c r="J148" s="45" t="str">
        <f aca="false">IF(AND(M148="",B148="",C148=""),"",IF(AND(N(E148)&gt;0,N(F148)&gt;0),"⚠ Fill withdrawal OR deposit",IF(M148="","⚠ Enter amount",IF(B148="","⚠ Enter date",IF(NOT(OR(NOT(ISNUMBER(G148)),NOT(ISNUMBER(G147)),ABS(N(G148)-(N(G147)+N(F148)-N(E148)))&lt;=0.5)),"⚠ Balance does not follow previous row","✔")))))</f>
        <v/>
      </c>
      <c r="M148" s="9" t="str">
        <f aca="false">IF(N(F148)&gt;0,"IN",IF(N(E148)&gt;0,"OUT",""))</f>
        <v/>
      </c>
      <c r="N148" s="9" t="str">
        <f aca="false">IF(M148="","",M148&amp;"|"&amp;TEXT(ROUND(N(E148)+N(F148),2),"0.00"))</f>
        <v/>
      </c>
      <c r="O148" s="9" t="str">
        <f aca="false">IF(OR(N148="",TRIM(D148&amp;"")=""),"",N148&amp;"|"&amp;UPPER(TRIM(D148&amp;"")))</f>
        <v/>
      </c>
      <c r="P148" s="9" t="n">
        <f aca="false">IF(O148="",0,IF(COUNTIF('Cash Book'!$O$8:$O$507,O148)&gt;0,1,0))</f>
        <v>0</v>
      </c>
      <c r="Q148" s="9" t="str">
        <f aca="false">IF(OR(N148="",P148=1),"",N148&amp;"#"&amp;COUNTIFS($N$8:N148,N148,$P$8:P148,0))</f>
        <v/>
      </c>
      <c r="R148" s="9" t="n">
        <f aca="false">IF(N148="",0,IFERROR(MATCH(ROW()-7,'Cash Book'!$U$8:$U$507,0),0))</f>
        <v>0</v>
      </c>
      <c r="V148" s="9" t="str">
        <f aca="false">IF(AND(N148&lt;&gt;"",R148=0),IF(M148="IN",3,4)*100000+ROW(),"")</f>
        <v/>
      </c>
      <c r="W148" s="9" t="n">
        <f aca="false">N(E148)+N(F148)</f>
        <v>0</v>
      </c>
    </row>
    <row r="149" customFormat="false" ht="15" hidden="false" customHeight="false" outlineLevel="0" collapsed="false">
      <c r="A149" s="37" t="str">
        <f aca="false">IF(M149="","",ROW()-7)</f>
        <v/>
      </c>
      <c r="B149" s="70"/>
      <c r="C149" s="72"/>
      <c r="D149" s="71"/>
      <c r="E149" s="73"/>
      <c r="F149" s="73"/>
      <c r="G149" s="73"/>
      <c r="H149" s="42" t="str">
        <f aca="false">IF(M149="","",IF(R149&gt;0,"✔ Matched",IF(M149="IN","Not in cash book (credit)","Not in cash book (debit)")))</f>
        <v/>
      </c>
      <c r="I149" s="43" t="str">
        <f aca="false">IF(N(R149)&gt;0,R149,"")</f>
        <v/>
      </c>
      <c r="J149" s="45" t="str">
        <f aca="false">IF(AND(M149="",B149="",C149=""),"",IF(AND(N(E149)&gt;0,N(F149)&gt;0),"⚠ Fill withdrawal OR deposit",IF(M149="","⚠ Enter amount",IF(B149="","⚠ Enter date",IF(NOT(OR(NOT(ISNUMBER(G149)),NOT(ISNUMBER(G148)),ABS(N(G149)-(N(G148)+N(F149)-N(E149)))&lt;=0.5)),"⚠ Balance does not follow previous row","✔")))))</f>
        <v/>
      </c>
      <c r="M149" s="9" t="str">
        <f aca="false">IF(N(F149)&gt;0,"IN",IF(N(E149)&gt;0,"OUT",""))</f>
        <v/>
      </c>
      <c r="N149" s="9" t="str">
        <f aca="false">IF(M149="","",M149&amp;"|"&amp;TEXT(ROUND(N(E149)+N(F149),2),"0.00"))</f>
        <v/>
      </c>
      <c r="O149" s="9" t="str">
        <f aca="false">IF(OR(N149="",TRIM(D149&amp;"")=""),"",N149&amp;"|"&amp;UPPER(TRIM(D149&amp;"")))</f>
        <v/>
      </c>
      <c r="P149" s="9" t="n">
        <f aca="false">IF(O149="",0,IF(COUNTIF('Cash Book'!$O$8:$O$507,O149)&gt;0,1,0))</f>
        <v>0</v>
      </c>
      <c r="Q149" s="9" t="str">
        <f aca="false">IF(OR(N149="",P149=1),"",N149&amp;"#"&amp;COUNTIFS($N$8:N149,N149,$P$8:P149,0))</f>
        <v/>
      </c>
      <c r="R149" s="9" t="n">
        <f aca="false">IF(N149="",0,IFERROR(MATCH(ROW()-7,'Cash Book'!$U$8:$U$507,0),0))</f>
        <v>0</v>
      </c>
      <c r="V149" s="9" t="str">
        <f aca="false">IF(AND(N149&lt;&gt;"",R149=0),IF(M149="IN",3,4)*100000+ROW(),"")</f>
        <v/>
      </c>
      <c r="W149" s="9" t="n">
        <f aca="false">N(E149)+N(F149)</f>
        <v>0</v>
      </c>
    </row>
    <row r="150" customFormat="false" ht="15" hidden="false" customHeight="false" outlineLevel="0" collapsed="false">
      <c r="A150" s="37" t="str">
        <f aca="false">IF(M150="","",ROW()-7)</f>
        <v/>
      </c>
      <c r="B150" s="70"/>
      <c r="C150" s="72"/>
      <c r="D150" s="71"/>
      <c r="E150" s="73"/>
      <c r="F150" s="73"/>
      <c r="G150" s="73"/>
      <c r="H150" s="42" t="str">
        <f aca="false">IF(M150="","",IF(R150&gt;0,"✔ Matched",IF(M150="IN","Not in cash book (credit)","Not in cash book (debit)")))</f>
        <v/>
      </c>
      <c r="I150" s="43" t="str">
        <f aca="false">IF(N(R150)&gt;0,R150,"")</f>
        <v/>
      </c>
      <c r="J150" s="45" t="str">
        <f aca="false">IF(AND(M150="",B150="",C150=""),"",IF(AND(N(E150)&gt;0,N(F150)&gt;0),"⚠ Fill withdrawal OR deposit",IF(M150="","⚠ Enter amount",IF(B150="","⚠ Enter date",IF(NOT(OR(NOT(ISNUMBER(G150)),NOT(ISNUMBER(G149)),ABS(N(G150)-(N(G149)+N(F150)-N(E150)))&lt;=0.5)),"⚠ Balance does not follow previous row","✔")))))</f>
        <v/>
      </c>
      <c r="M150" s="9" t="str">
        <f aca="false">IF(N(F150)&gt;0,"IN",IF(N(E150)&gt;0,"OUT",""))</f>
        <v/>
      </c>
      <c r="N150" s="9" t="str">
        <f aca="false">IF(M150="","",M150&amp;"|"&amp;TEXT(ROUND(N(E150)+N(F150),2),"0.00"))</f>
        <v/>
      </c>
      <c r="O150" s="9" t="str">
        <f aca="false">IF(OR(N150="",TRIM(D150&amp;"")=""),"",N150&amp;"|"&amp;UPPER(TRIM(D150&amp;"")))</f>
        <v/>
      </c>
      <c r="P150" s="9" t="n">
        <f aca="false">IF(O150="",0,IF(COUNTIF('Cash Book'!$O$8:$O$507,O150)&gt;0,1,0))</f>
        <v>0</v>
      </c>
      <c r="Q150" s="9" t="str">
        <f aca="false">IF(OR(N150="",P150=1),"",N150&amp;"#"&amp;COUNTIFS($N$8:N150,N150,$P$8:P150,0))</f>
        <v/>
      </c>
      <c r="R150" s="9" t="n">
        <f aca="false">IF(N150="",0,IFERROR(MATCH(ROW()-7,'Cash Book'!$U$8:$U$507,0),0))</f>
        <v>0</v>
      </c>
      <c r="V150" s="9" t="str">
        <f aca="false">IF(AND(N150&lt;&gt;"",R150=0),IF(M150="IN",3,4)*100000+ROW(),"")</f>
        <v/>
      </c>
      <c r="W150" s="9" t="n">
        <f aca="false">N(E150)+N(F150)</f>
        <v>0</v>
      </c>
    </row>
    <row r="151" customFormat="false" ht="15" hidden="false" customHeight="false" outlineLevel="0" collapsed="false">
      <c r="A151" s="37" t="str">
        <f aca="false">IF(M151="","",ROW()-7)</f>
        <v/>
      </c>
      <c r="B151" s="70"/>
      <c r="C151" s="72"/>
      <c r="D151" s="71"/>
      <c r="E151" s="73"/>
      <c r="F151" s="73"/>
      <c r="G151" s="73"/>
      <c r="H151" s="42" t="str">
        <f aca="false">IF(M151="","",IF(R151&gt;0,"✔ Matched",IF(M151="IN","Not in cash book (credit)","Not in cash book (debit)")))</f>
        <v/>
      </c>
      <c r="I151" s="43" t="str">
        <f aca="false">IF(N(R151)&gt;0,R151,"")</f>
        <v/>
      </c>
      <c r="J151" s="45" t="str">
        <f aca="false">IF(AND(M151="",B151="",C151=""),"",IF(AND(N(E151)&gt;0,N(F151)&gt;0),"⚠ Fill withdrawal OR deposit",IF(M151="","⚠ Enter amount",IF(B151="","⚠ Enter date",IF(NOT(OR(NOT(ISNUMBER(G151)),NOT(ISNUMBER(G150)),ABS(N(G151)-(N(G150)+N(F151)-N(E151)))&lt;=0.5)),"⚠ Balance does not follow previous row","✔")))))</f>
        <v/>
      </c>
      <c r="M151" s="9" t="str">
        <f aca="false">IF(N(F151)&gt;0,"IN",IF(N(E151)&gt;0,"OUT",""))</f>
        <v/>
      </c>
      <c r="N151" s="9" t="str">
        <f aca="false">IF(M151="","",M151&amp;"|"&amp;TEXT(ROUND(N(E151)+N(F151),2),"0.00"))</f>
        <v/>
      </c>
      <c r="O151" s="9" t="str">
        <f aca="false">IF(OR(N151="",TRIM(D151&amp;"")=""),"",N151&amp;"|"&amp;UPPER(TRIM(D151&amp;"")))</f>
        <v/>
      </c>
      <c r="P151" s="9" t="n">
        <f aca="false">IF(O151="",0,IF(COUNTIF('Cash Book'!$O$8:$O$507,O151)&gt;0,1,0))</f>
        <v>0</v>
      </c>
      <c r="Q151" s="9" t="str">
        <f aca="false">IF(OR(N151="",P151=1),"",N151&amp;"#"&amp;COUNTIFS($N$8:N151,N151,$P$8:P151,0))</f>
        <v/>
      </c>
      <c r="R151" s="9" t="n">
        <f aca="false">IF(N151="",0,IFERROR(MATCH(ROW()-7,'Cash Book'!$U$8:$U$507,0),0))</f>
        <v>0</v>
      </c>
      <c r="V151" s="9" t="str">
        <f aca="false">IF(AND(N151&lt;&gt;"",R151=0),IF(M151="IN",3,4)*100000+ROW(),"")</f>
        <v/>
      </c>
      <c r="W151" s="9" t="n">
        <f aca="false">N(E151)+N(F151)</f>
        <v>0</v>
      </c>
    </row>
    <row r="152" customFormat="false" ht="15" hidden="false" customHeight="false" outlineLevel="0" collapsed="false">
      <c r="A152" s="37" t="str">
        <f aca="false">IF(M152="","",ROW()-7)</f>
        <v/>
      </c>
      <c r="B152" s="70"/>
      <c r="C152" s="72"/>
      <c r="D152" s="71"/>
      <c r="E152" s="73"/>
      <c r="F152" s="73"/>
      <c r="G152" s="73"/>
      <c r="H152" s="42" t="str">
        <f aca="false">IF(M152="","",IF(R152&gt;0,"✔ Matched",IF(M152="IN","Not in cash book (credit)","Not in cash book (debit)")))</f>
        <v/>
      </c>
      <c r="I152" s="43" t="str">
        <f aca="false">IF(N(R152)&gt;0,R152,"")</f>
        <v/>
      </c>
      <c r="J152" s="45" t="str">
        <f aca="false">IF(AND(M152="",B152="",C152=""),"",IF(AND(N(E152)&gt;0,N(F152)&gt;0),"⚠ Fill withdrawal OR deposit",IF(M152="","⚠ Enter amount",IF(B152="","⚠ Enter date",IF(NOT(OR(NOT(ISNUMBER(G152)),NOT(ISNUMBER(G151)),ABS(N(G152)-(N(G151)+N(F152)-N(E152)))&lt;=0.5)),"⚠ Balance does not follow previous row","✔")))))</f>
        <v/>
      </c>
      <c r="M152" s="9" t="str">
        <f aca="false">IF(N(F152)&gt;0,"IN",IF(N(E152)&gt;0,"OUT",""))</f>
        <v/>
      </c>
      <c r="N152" s="9" t="str">
        <f aca="false">IF(M152="","",M152&amp;"|"&amp;TEXT(ROUND(N(E152)+N(F152),2),"0.00"))</f>
        <v/>
      </c>
      <c r="O152" s="9" t="str">
        <f aca="false">IF(OR(N152="",TRIM(D152&amp;"")=""),"",N152&amp;"|"&amp;UPPER(TRIM(D152&amp;"")))</f>
        <v/>
      </c>
      <c r="P152" s="9" t="n">
        <f aca="false">IF(O152="",0,IF(COUNTIF('Cash Book'!$O$8:$O$507,O152)&gt;0,1,0))</f>
        <v>0</v>
      </c>
      <c r="Q152" s="9" t="str">
        <f aca="false">IF(OR(N152="",P152=1),"",N152&amp;"#"&amp;COUNTIFS($N$8:N152,N152,$P$8:P152,0))</f>
        <v/>
      </c>
      <c r="R152" s="9" t="n">
        <f aca="false">IF(N152="",0,IFERROR(MATCH(ROW()-7,'Cash Book'!$U$8:$U$507,0),0))</f>
        <v>0</v>
      </c>
      <c r="V152" s="9" t="str">
        <f aca="false">IF(AND(N152&lt;&gt;"",R152=0),IF(M152="IN",3,4)*100000+ROW(),"")</f>
        <v/>
      </c>
      <c r="W152" s="9" t="n">
        <f aca="false">N(E152)+N(F152)</f>
        <v>0</v>
      </c>
    </row>
    <row r="153" customFormat="false" ht="15" hidden="false" customHeight="false" outlineLevel="0" collapsed="false">
      <c r="A153" s="37" t="str">
        <f aca="false">IF(M153="","",ROW()-7)</f>
        <v/>
      </c>
      <c r="B153" s="70"/>
      <c r="C153" s="72"/>
      <c r="D153" s="71"/>
      <c r="E153" s="73"/>
      <c r="F153" s="73"/>
      <c r="G153" s="73"/>
      <c r="H153" s="42" t="str">
        <f aca="false">IF(M153="","",IF(R153&gt;0,"✔ Matched",IF(M153="IN","Not in cash book (credit)","Not in cash book (debit)")))</f>
        <v/>
      </c>
      <c r="I153" s="43" t="str">
        <f aca="false">IF(N(R153)&gt;0,R153,"")</f>
        <v/>
      </c>
      <c r="J153" s="45" t="str">
        <f aca="false">IF(AND(M153="",B153="",C153=""),"",IF(AND(N(E153)&gt;0,N(F153)&gt;0),"⚠ Fill withdrawal OR deposit",IF(M153="","⚠ Enter amount",IF(B153="","⚠ Enter date",IF(NOT(OR(NOT(ISNUMBER(G153)),NOT(ISNUMBER(G152)),ABS(N(G153)-(N(G152)+N(F153)-N(E153)))&lt;=0.5)),"⚠ Balance does not follow previous row","✔")))))</f>
        <v/>
      </c>
      <c r="M153" s="9" t="str">
        <f aca="false">IF(N(F153)&gt;0,"IN",IF(N(E153)&gt;0,"OUT",""))</f>
        <v/>
      </c>
      <c r="N153" s="9" t="str">
        <f aca="false">IF(M153="","",M153&amp;"|"&amp;TEXT(ROUND(N(E153)+N(F153),2),"0.00"))</f>
        <v/>
      </c>
      <c r="O153" s="9" t="str">
        <f aca="false">IF(OR(N153="",TRIM(D153&amp;"")=""),"",N153&amp;"|"&amp;UPPER(TRIM(D153&amp;"")))</f>
        <v/>
      </c>
      <c r="P153" s="9" t="n">
        <f aca="false">IF(O153="",0,IF(COUNTIF('Cash Book'!$O$8:$O$507,O153)&gt;0,1,0))</f>
        <v>0</v>
      </c>
      <c r="Q153" s="9" t="str">
        <f aca="false">IF(OR(N153="",P153=1),"",N153&amp;"#"&amp;COUNTIFS($N$8:N153,N153,$P$8:P153,0))</f>
        <v/>
      </c>
      <c r="R153" s="9" t="n">
        <f aca="false">IF(N153="",0,IFERROR(MATCH(ROW()-7,'Cash Book'!$U$8:$U$507,0),0))</f>
        <v>0</v>
      </c>
      <c r="V153" s="9" t="str">
        <f aca="false">IF(AND(N153&lt;&gt;"",R153=0),IF(M153="IN",3,4)*100000+ROW(),"")</f>
        <v/>
      </c>
      <c r="W153" s="9" t="n">
        <f aca="false">N(E153)+N(F153)</f>
        <v>0</v>
      </c>
    </row>
    <row r="154" customFormat="false" ht="15" hidden="false" customHeight="false" outlineLevel="0" collapsed="false">
      <c r="A154" s="37" t="str">
        <f aca="false">IF(M154="","",ROW()-7)</f>
        <v/>
      </c>
      <c r="B154" s="70"/>
      <c r="C154" s="72"/>
      <c r="D154" s="71"/>
      <c r="E154" s="73"/>
      <c r="F154" s="73"/>
      <c r="G154" s="73"/>
      <c r="H154" s="42" t="str">
        <f aca="false">IF(M154="","",IF(R154&gt;0,"✔ Matched",IF(M154="IN","Not in cash book (credit)","Not in cash book (debit)")))</f>
        <v/>
      </c>
      <c r="I154" s="43" t="str">
        <f aca="false">IF(N(R154)&gt;0,R154,"")</f>
        <v/>
      </c>
      <c r="J154" s="45" t="str">
        <f aca="false">IF(AND(M154="",B154="",C154=""),"",IF(AND(N(E154)&gt;0,N(F154)&gt;0),"⚠ Fill withdrawal OR deposit",IF(M154="","⚠ Enter amount",IF(B154="","⚠ Enter date",IF(NOT(OR(NOT(ISNUMBER(G154)),NOT(ISNUMBER(G153)),ABS(N(G154)-(N(G153)+N(F154)-N(E154)))&lt;=0.5)),"⚠ Balance does not follow previous row","✔")))))</f>
        <v/>
      </c>
      <c r="M154" s="9" t="str">
        <f aca="false">IF(N(F154)&gt;0,"IN",IF(N(E154)&gt;0,"OUT",""))</f>
        <v/>
      </c>
      <c r="N154" s="9" t="str">
        <f aca="false">IF(M154="","",M154&amp;"|"&amp;TEXT(ROUND(N(E154)+N(F154),2),"0.00"))</f>
        <v/>
      </c>
      <c r="O154" s="9" t="str">
        <f aca="false">IF(OR(N154="",TRIM(D154&amp;"")=""),"",N154&amp;"|"&amp;UPPER(TRIM(D154&amp;"")))</f>
        <v/>
      </c>
      <c r="P154" s="9" t="n">
        <f aca="false">IF(O154="",0,IF(COUNTIF('Cash Book'!$O$8:$O$507,O154)&gt;0,1,0))</f>
        <v>0</v>
      </c>
      <c r="Q154" s="9" t="str">
        <f aca="false">IF(OR(N154="",P154=1),"",N154&amp;"#"&amp;COUNTIFS($N$8:N154,N154,$P$8:P154,0))</f>
        <v/>
      </c>
      <c r="R154" s="9" t="n">
        <f aca="false">IF(N154="",0,IFERROR(MATCH(ROW()-7,'Cash Book'!$U$8:$U$507,0),0))</f>
        <v>0</v>
      </c>
      <c r="V154" s="9" t="str">
        <f aca="false">IF(AND(N154&lt;&gt;"",R154=0),IF(M154="IN",3,4)*100000+ROW(),"")</f>
        <v/>
      </c>
      <c r="W154" s="9" t="n">
        <f aca="false">N(E154)+N(F154)</f>
        <v>0</v>
      </c>
    </row>
    <row r="155" customFormat="false" ht="15" hidden="false" customHeight="false" outlineLevel="0" collapsed="false">
      <c r="A155" s="37" t="str">
        <f aca="false">IF(M155="","",ROW()-7)</f>
        <v/>
      </c>
      <c r="B155" s="70"/>
      <c r="C155" s="72"/>
      <c r="D155" s="71"/>
      <c r="E155" s="73"/>
      <c r="F155" s="73"/>
      <c r="G155" s="73"/>
      <c r="H155" s="42" t="str">
        <f aca="false">IF(M155="","",IF(R155&gt;0,"✔ Matched",IF(M155="IN","Not in cash book (credit)","Not in cash book (debit)")))</f>
        <v/>
      </c>
      <c r="I155" s="43" t="str">
        <f aca="false">IF(N(R155)&gt;0,R155,"")</f>
        <v/>
      </c>
      <c r="J155" s="45" t="str">
        <f aca="false">IF(AND(M155="",B155="",C155=""),"",IF(AND(N(E155)&gt;0,N(F155)&gt;0),"⚠ Fill withdrawal OR deposit",IF(M155="","⚠ Enter amount",IF(B155="","⚠ Enter date",IF(NOT(OR(NOT(ISNUMBER(G155)),NOT(ISNUMBER(G154)),ABS(N(G155)-(N(G154)+N(F155)-N(E155)))&lt;=0.5)),"⚠ Balance does not follow previous row","✔")))))</f>
        <v/>
      </c>
      <c r="M155" s="9" t="str">
        <f aca="false">IF(N(F155)&gt;0,"IN",IF(N(E155)&gt;0,"OUT",""))</f>
        <v/>
      </c>
      <c r="N155" s="9" t="str">
        <f aca="false">IF(M155="","",M155&amp;"|"&amp;TEXT(ROUND(N(E155)+N(F155),2),"0.00"))</f>
        <v/>
      </c>
      <c r="O155" s="9" t="str">
        <f aca="false">IF(OR(N155="",TRIM(D155&amp;"")=""),"",N155&amp;"|"&amp;UPPER(TRIM(D155&amp;"")))</f>
        <v/>
      </c>
      <c r="P155" s="9" t="n">
        <f aca="false">IF(O155="",0,IF(COUNTIF('Cash Book'!$O$8:$O$507,O155)&gt;0,1,0))</f>
        <v>0</v>
      </c>
      <c r="Q155" s="9" t="str">
        <f aca="false">IF(OR(N155="",P155=1),"",N155&amp;"#"&amp;COUNTIFS($N$8:N155,N155,$P$8:P155,0))</f>
        <v/>
      </c>
      <c r="R155" s="9" t="n">
        <f aca="false">IF(N155="",0,IFERROR(MATCH(ROW()-7,'Cash Book'!$U$8:$U$507,0),0))</f>
        <v>0</v>
      </c>
      <c r="V155" s="9" t="str">
        <f aca="false">IF(AND(N155&lt;&gt;"",R155=0),IF(M155="IN",3,4)*100000+ROW(),"")</f>
        <v/>
      </c>
      <c r="W155" s="9" t="n">
        <f aca="false">N(E155)+N(F155)</f>
        <v>0</v>
      </c>
    </row>
    <row r="156" customFormat="false" ht="15" hidden="false" customHeight="false" outlineLevel="0" collapsed="false">
      <c r="A156" s="37" t="str">
        <f aca="false">IF(M156="","",ROW()-7)</f>
        <v/>
      </c>
      <c r="B156" s="70"/>
      <c r="C156" s="72"/>
      <c r="D156" s="71"/>
      <c r="E156" s="73"/>
      <c r="F156" s="73"/>
      <c r="G156" s="73"/>
      <c r="H156" s="42" t="str">
        <f aca="false">IF(M156="","",IF(R156&gt;0,"✔ Matched",IF(M156="IN","Not in cash book (credit)","Not in cash book (debit)")))</f>
        <v/>
      </c>
      <c r="I156" s="43" t="str">
        <f aca="false">IF(N(R156)&gt;0,R156,"")</f>
        <v/>
      </c>
      <c r="J156" s="45" t="str">
        <f aca="false">IF(AND(M156="",B156="",C156=""),"",IF(AND(N(E156)&gt;0,N(F156)&gt;0),"⚠ Fill withdrawal OR deposit",IF(M156="","⚠ Enter amount",IF(B156="","⚠ Enter date",IF(NOT(OR(NOT(ISNUMBER(G156)),NOT(ISNUMBER(G155)),ABS(N(G156)-(N(G155)+N(F156)-N(E156)))&lt;=0.5)),"⚠ Balance does not follow previous row","✔")))))</f>
        <v/>
      </c>
      <c r="M156" s="9" t="str">
        <f aca="false">IF(N(F156)&gt;0,"IN",IF(N(E156)&gt;0,"OUT",""))</f>
        <v/>
      </c>
      <c r="N156" s="9" t="str">
        <f aca="false">IF(M156="","",M156&amp;"|"&amp;TEXT(ROUND(N(E156)+N(F156),2),"0.00"))</f>
        <v/>
      </c>
      <c r="O156" s="9" t="str">
        <f aca="false">IF(OR(N156="",TRIM(D156&amp;"")=""),"",N156&amp;"|"&amp;UPPER(TRIM(D156&amp;"")))</f>
        <v/>
      </c>
      <c r="P156" s="9" t="n">
        <f aca="false">IF(O156="",0,IF(COUNTIF('Cash Book'!$O$8:$O$507,O156)&gt;0,1,0))</f>
        <v>0</v>
      </c>
      <c r="Q156" s="9" t="str">
        <f aca="false">IF(OR(N156="",P156=1),"",N156&amp;"#"&amp;COUNTIFS($N$8:N156,N156,$P$8:P156,0))</f>
        <v/>
      </c>
      <c r="R156" s="9" t="n">
        <f aca="false">IF(N156="",0,IFERROR(MATCH(ROW()-7,'Cash Book'!$U$8:$U$507,0),0))</f>
        <v>0</v>
      </c>
      <c r="V156" s="9" t="str">
        <f aca="false">IF(AND(N156&lt;&gt;"",R156=0),IF(M156="IN",3,4)*100000+ROW(),"")</f>
        <v/>
      </c>
      <c r="W156" s="9" t="n">
        <f aca="false">N(E156)+N(F156)</f>
        <v>0</v>
      </c>
    </row>
    <row r="157" customFormat="false" ht="15" hidden="false" customHeight="false" outlineLevel="0" collapsed="false">
      <c r="A157" s="37" t="str">
        <f aca="false">IF(M157="","",ROW()-7)</f>
        <v/>
      </c>
      <c r="B157" s="70"/>
      <c r="C157" s="72"/>
      <c r="D157" s="71"/>
      <c r="E157" s="73"/>
      <c r="F157" s="73"/>
      <c r="G157" s="73"/>
      <c r="H157" s="42" t="str">
        <f aca="false">IF(M157="","",IF(R157&gt;0,"✔ Matched",IF(M157="IN","Not in cash book (credit)","Not in cash book (debit)")))</f>
        <v/>
      </c>
      <c r="I157" s="43" t="str">
        <f aca="false">IF(N(R157)&gt;0,R157,"")</f>
        <v/>
      </c>
      <c r="J157" s="45" t="str">
        <f aca="false">IF(AND(M157="",B157="",C157=""),"",IF(AND(N(E157)&gt;0,N(F157)&gt;0),"⚠ Fill withdrawal OR deposit",IF(M157="","⚠ Enter amount",IF(B157="","⚠ Enter date",IF(NOT(OR(NOT(ISNUMBER(G157)),NOT(ISNUMBER(G156)),ABS(N(G157)-(N(G156)+N(F157)-N(E157)))&lt;=0.5)),"⚠ Balance does not follow previous row","✔")))))</f>
        <v/>
      </c>
      <c r="M157" s="9" t="str">
        <f aca="false">IF(N(F157)&gt;0,"IN",IF(N(E157)&gt;0,"OUT",""))</f>
        <v/>
      </c>
      <c r="N157" s="9" t="str">
        <f aca="false">IF(M157="","",M157&amp;"|"&amp;TEXT(ROUND(N(E157)+N(F157),2),"0.00"))</f>
        <v/>
      </c>
      <c r="O157" s="9" t="str">
        <f aca="false">IF(OR(N157="",TRIM(D157&amp;"")=""),"",N157&amp;"|"&amp;UPPER(TRIM(D157&amp;"")))</f>
        <v/>
      </c>
      <c r="P157" s="9" t="n">
        <f aca="false">IF(O157="",0,IF(COUNTIF('Cash Book'!$O$8:$O$507,O157)&gt;0,1,0))</f>
        <v>0</v>
      </c>
      <c r="Q157" s="9" t="str">
        <f aca="false">IF(OR(N157="",P157=1),"",N157&amp;"#"&amp;COUNTIFS($N$8:N157,N157,$P$8:P157,0))</f>
        <v/>
      </c>
      <c r="R157" s="9" t="n">
        <f aca="false">IF(N157="",0,IFERROR(MATCH(ROW()-7,'Cash Book'!$U$8:$U$507,0),0))</f>
        <v>0</v>
      </c>
      <c r="V157" s="9" t="str">
        <f aca="false">IF(AND(N157&lt;&gt;"",R157=0),IF(M157="IN",3,4)*100000+ROW(),"")</f>
        <v/>
      </c>
      <c r="W157" s="9" t="n">
        <f aca="false">N(E157)+N(F157)</f>
        <v>0</v>
      </c>
    </row>
    <row r="158" customFormat="false" ht="15" hidden="false" customHeight="false" outlineLevel="0" collapsed="false">
      <c r="A158" s="37" t="str">
        <f aca="false">IF(M158="","",ROW()-7)</f>
        <v/>
      </c>
      <c r="B158" s="70"/>
      <c r="C158" s="72"/>
      <c r="D158" s="71"/>
      <c r="E158" s="73"/>
      <c r="F158" s="73"/>
      <c r="G158" s="73"/>
      <c r="H158" s="42" t="str">
        <f aca="false">IF(M158="","",IF(R158&gt;0,"✔ Matched",IF(M158="IN","Not in cash book (credit)","Not in cash book (debit)")))</f>
        <v/>
      </c>
      <c r="I158" s="43" t="str">
        <f aca="false">IF(N(R158)&gt;0,R158,"")</f>
        <v/>
      </c>
      <c r="J158" s="45" t="str">
        <f aca="false">IF(AND(M158="",B158="",C158=""),"",IF(AND(N(E158)&gt;0,N(F158)&gt;0),"⚠ Fill withdrawal OR deposit",IF(M158="","⚠ Enter amount",IF(B158="","⚠ Enter date",IF(NOT(OR(NOT(ISNUMBER(G158)),NOT(ISNUMBER(G157)),ABS(N(G158)-(N(G157)+N(F158)-N(E158)))&lt;=0.5)),"⚠ Balance does not follow previous row","✔")))))</f>
        <v/>
      </c>
      <c r="M158" s="9" t="str">
        <f aca="false">IF(N(F158)&gt;0,"IN",IF(N(E158)&gt;0,"OUT",""))</f>
        <v/>
      </c>
      <c r="N158" s="9" t="str">
        <f aca="false">IF(M158="","",M158&amp;"|"&amp;TEXT(ROUND(N(E158)+N(F158),2),"0.00"))</f>
        <v/>
      </c>
      <c r="O158" s="9" t="str">
        <f aca="false">IF(OR(N158="",TRIM(D158&amp;"")=""),"",N158&amp;"|"&amp;UPPER(TRIM(D158&amp;"")))</f>
        <v/>
      </c>
      <c r="P158" s="9" t="n">
        <f aca="false">IF(O158="",0,IF(COUNTIF('Cash Book'!$O$8:$O$507,O158)&gt;0,1,0))</f>
        <v>0</v>
      </c>
      <c r="Q158" s="9" t="str">
        <f aca="false">IF(OR(N158="",P158=1),"",N158&amp;"#"&amp;COUNTIFS($N$8:N158,N158,$P$8:P158,0))</f>
        <v/>
      </c>
      <c r="R158" s="9" t="n">
        <f aca="false">IF(N158="",0,IFERROR(MATCH(ROW()-7,'Cash Book'!$U$8:$U$507,0),0))</f>
        <v>0</v>
      </c>
      <c r="V158" s="9" t="str">
        <f aca="false">IF(AND(N158&lt;&gt;"",R158=0),IF(M158="IN",3,4)*100000+ROW(),"")</f>
        <v/>
      </c>
      <c r="W158" s="9" t="n">
        <f aca="false">N(E158)+N(F158)</f>
        <v>0</v>
      </c>
    </row>
    <row r="159" customFormat="false" ht="15" hidden="false" customHeight="false" outlineLevel="0" collapsed="false">
      <c r="A159" s="37" t="str">
        <f aca="false">IF(M159="","",ROW()-7)</f>
        <v/>
      </c>
      <c r="B159" s="70"/>
      <c r="C159" s="72"/>
      <c r="D159" s="71"/>
      <c r="E159" s="73"/>
      <c r="F159" s="73"/>
      <c r="G159" s="73"/>
      <c r="H159" s="42" t="str">
        <f aca="false">IF(M159="","",IF(R159&gt;0,"✔ Matched",IF(M159="IN","Not in cash book (credit)","Not in cash book (debit)")))</f>
        <v/>
      </c>
      <c r="I159" s="43" t="str">
        <f aca="false">IF(N(R159)&gt;0,R159,"")</f>
        <v/>
      </c>
      <c r="J159" s="45" t="str">
        <f aca="false">IF(AND(M159="",B159="",C159=""),"",IF(AND(N(E159)&gt;0,N(F159)&gt;0),"⚠ Fill withdrawal OR deposit",IF(M159="","⚠ Enter amount",IF(B159="","⚠ Enter date",IF(NOT(OR(NOT(ISNUMBER(G159)),NOT(ISNUMBER(G158)),ABS(N(G159)-(N(G158)+N(F159)-N(E159)))&lt;=0.5)),"⚠ Balance does not follow previous row","✔")))))</f>
        <v/>
      </c>
      <c r="M159" s="9" t="str">
        <f aca="false">IF(N(F159)&gt;0,"IN",IF(N(E159)&gt;0,"OUT",""))</f>
        <v/>
      </c>
      <c r="N159" s="9" t="str">
        <f aca="false">IF(M159="","",M159&amp;"|"&amp;TEXT(ROUND(N(E159)+N(F159),2),"0.00"))</f>
        <v/>
      </c>
      <c r="O159" s="9" t="str">
        <f aca="false">IF(OR(N159="",TRIM(D159&amp;"")=""),"",N159&amp;"|"&amp;UPPER(TRIM(D159&amp;"")))</f>
        <v/>
      </c>
      <c r="P159" s="9" t="n">
        <f aca="false">IF(O159="",0,IF(COUNTIF('Cash Book'!$O$8:$O$507,O159)&gt;0,1,0))</f>
        <v>0</v>
      </c>
      <c r="Q159" s="9" t="str">
        <f aca="false">IF(OR(N159="",P159=1),"",N159&amp;"#"&amp;COUNTIFS($N$8:N159,N159,$P$8:P159,0))</f>
        <v/>
      </c>
      <c r="R159" s="9" t="n">
        <f aca="false">IF(N159="",0,IFERROR(MATCH(ROW()-7,'Cash Book'!$U$8:$U$507,0),0))</f>
        <v>0</v>
      </c>
      <c r="V159" s="9" t="str">
        <f aca="false">IF(AND(N159&lt;&gt;"",R159=0),IF(M159="IN",3,4)*100000+ROW(),"")</f>
        <v/>
      </c>
      <c r="W159" s="9" t="n">
        <f aca="false">N(E159)+N(F159)</f>
        <v>0</v>
      </c>
    </row>
    <row r="160" customFormat="false" ht="15" hidden="false" customHeight="false" outlineLevel="0" collapsed="false">
      <c r="A160" s="37" t="str">
        <f aca="false">IF(M160="","",ROW()-7)</f>
        <v/>
      </c>
      <c r="B160" s="70"/>
      <c r="C160" s="72"/>
      <c r="D160" s="71"/>
      <c r="E160" s="73"/>
      <c r="F160" s="73"/>
      <c r="G160" s="73"/>
      <c r="H160" s="42" t="str">
        <f aca="false">IF(M160="","",IF(R160&gt;0,"✔ Matched",IF(M160="IN","Not in cash book (credit)","Not in cash book (debit)")))</f>
        <v/>
      </c>
      <c r="I160" s="43" t="str">
        <f aca="false">IF(N(R160)&gt;0,R160,"")</f>
        <v/>
      </c>
      <c r="J160" s="45" t="str">
        <f aca="false">IF(AND(M160="",B160="",C160=""),"",IF(AND(N(E160)&gt;0,N(F160)&gt;0),"⚠ Fill withdrawal OR deposit",IF(M160="","⚠ Enter amount",IF(B160="","⚠ Enter date",IF(NOT(OR(NOT(ISNUMBER(G160)),NOT(ISNUMBER(G159)),ABS(N(G160)-(N(G159)+N(F160)-N(E160)))&lt;=0.5)),"⚠ Balance does not follow previous row","✔")))))</f>
        <v/>
      </c>
      <c r="M160" s="9" t="str">
        <f aca="false">IF(N(F160)&gt;0,"IN",IF(N(E160)&gt;0,"OUT",""))</f>
        <v/>
      </c>
      <c r="N160" s="9" t="str">
        <f aca="false">IF(M160="","",M160&amp;"|"&amp;TEXT(ROUND(N(E160)+N(F160),2),"0.00"))</f>
        <v/>
      </c>
      <c r="O160" s="9" t="str">
        <f aca="false">IF(OR(N160="",TRIM(D160&amp;"")=""),"",N160&amp;"|"&amp;UPPER(TRIM(D160&amp;"")))</f>
        <v/>
      </c>
      <c r="P160" s="9" t="n">
        <f aca="false">IF(O160="",0,IF(COUNTIF('Cash Book'!$O$8:$O$507,O160)&gt;0,1,0))</f>
        <v>0</v>
      </c>
      <c r="Q160" s="9" t="str">
        <f aca="false">IF(OR(N160="",P160=1),"",N160&amp;"#"&amp;COUNTIFS($N$8:N160,N160,$P$8:P160,0))</f>
        <v/>
      </c>
      <c r="R160" s="9" t="n">
        <f aca="false">IF(N160="",0,IFERROR(MATCH(ROW()-7,'Cash Book'!$U$8:$U$507,0),0))</f>
        <v>0</v>
      </c>
      <c r="V160" s="9" t="str">
        <f aca="false">IF(AND(N160&lt;&gt;"",R160=0),IF(M160="IN",3,4)*100000+ROW(),"")</f>
        <v/>
      </c>
      <c r="W160" s="9" t="n">
        <f aca="false">N(E160)+N(F160)</f>
        <v>0</v>
      </c>
    </row>
    <row r="161" customFormat="false" ht="15" hidden="false" customHeight="false" outlineLevel="0" collapsed="false">
      <c r="A161" s="37" t="str">
        <f aca="false">IF(M161="","",ROW()-7)</f>
        <v/>
      </c>
      <c r="B161" s="70"/>
      <c r="C161" s="72"/>
      <c r="D161" s="71"/>
      <c r="E161" s="73"/>
      <c r="F161" s="73"/>
      <c r="G161" s="73"/>
      <c r="H161" s="42" t="str">
        <f aca="false">IF(M161="","",IF(R161&gt;0,"✔ Matched",IF(M161="IN","Not in cash book (credit)","Not in cash book (debit)")))</f>
        <v/>
      </c>
      <c r="I161" s="43" t="str">
        <f aca="false">IF(N(R161)&gt;0,R161,"")</f>
        <v/>
      </c>
      <c r="J161" s="45" t="str">
        <f aca="false">IF(AND(M161="",B161="",C161=""),"",IF(AND(N(E161)&gt;0,N(F161)&gt;0),"⚠ Fill withdrawal OR deposit",IF(M161="","⚠ Enter amount",IF(B161="","⚠ Enter date",IF(NOT(OR(NOT(ISNUMBER(G161)),NOT(ISNUMBER(G160)),ABS(N(G161)-(N(G160)+N(F161)-N(E161)))&lt;=0.5)),"⚠ Balance does not follow previous row","✔")))))</f>
        <v/>
      </c>
      <c r="M161" s="9" t="str">
        <f aca="false">IF(N(F161)&gt;0,"IN",IF(N(E161)&gt;0,"OUT",""))</f>
        <v/>
      </c>
      <c r="N161" s="9" t="str">
        <f aca="false">IF(M161="","",M161&amp;"|"&amp;TEXT(ROUND(N(E161)+N(F161),2),"0.00"))</f>
        <v/>
      </c>
      <c r="O161" s="9" t="str">
        <f aca="false">IF(OR(N161="",TRIM(D161&amp;"")=""),"",N161&amp;"|"&amp;UPPER(TRIM(D161&amp;"")))</f>
        <v/>
      </c>
      <c r="P161" s="9" t="n">
        <f aca="false">IF(O161="",0,IF(COUNTIF('Cash Book'!$O$8:$O$507,O161)&gt;0,1,0))</f>
        <v>0</v>
      </c>
      <c r="Q161" s="9" t="str">
        <f aca="false">IF(OR(N161="",P161=1),"",N161&amp;"#"&amp;COUNTIFS($N$8:N161,N161,$P$8:P161,0))</f>
        <v/>
      </c>
      <c r="R161" s="9" t="n">
        <f aca="false">IF(N161="",0,IFERROR(MATCH(ROW()-7,'Cash Book'!$U$8:$U$507,0),0))</f>
        <v>0</v>
      </c>
      <c r="V161" s="9" t="str">
        <f aca="false">IF(AND(N161&lt;&gt;"",R161=0),IF(M161="IN",3,4)*100000+ROW(),"")</f>
        <v/>
      </c>
      <c r="W161" s="9" t="n">
        <f aca="false">N(E161)+N(F161)</f>
        <v>0</v>
      </c>
    </row>
    <row r="162" customFormat="false" ht="15" hidden="false" customHeight="false" outlineLevel="0" collapsed="false">
      <c r="A162" s="37" t="str">
        <f aca="false">IF(M162="","",ROW()-7)</f>
        <v/>
      </c>
      <c r="B162" s="70"/>
      <c r="C162" s="72"/>
      <c r="D162" s="71"/>
      <c r="E162" s="73"/>
      <c r="F162" s="73"/>
      <c r="G162" s="73"/>
      <c r="H162" s="42" t="str">
        <f aca="false">IF(M162="","",IF(R162&gt;0,"✔ Matched",IF(M162="IN","Not in cash book (credit)","Not in cash book (debit)")))</f>
        <v/>
      </c>
      <c r="I162" s="43" t="str">
        <f aca="false">IF(N(R162)&gt;0,R162,"")</f>
        <v/>
      </c>
      <c r="J162" s="45" t="str">
        <f aca="false">IF(AND(M162="",B162="",C162=""),"",IF(AND(N(E162)&gt;0,N(F162)&gt;0),"⚠ Fill withdrawal OR deposit",IF(M162="","⚠ Enter amount",IF(B162="","⚠ Enter date",IF(NOT(OR(NOT(ISNUMBER(G162)),NOT(ISNUMBER(G161)),ABS(N(G162)-(N(G161)+N(F162)-N(E162)))&lt;=0.5)),"⚠ Balance does not follow previous row","✔")))))</f>
        <v/>
      </c>
      <c r="M162" s="9" t="str">
        <f aca="false">IF(N(F162)&gt;0,"IN",IF(N(E162)&gt;0,"OUT",""))</f>
        <v/>
      </c>
      <c r="N162" s="9" t="str">
        <f aca="false">IF(M162="","",M162&amp;"|"&amp;TEXT(ROUND(N(E162)+N(F162),2),"0.00"))</f>
        <v/>
      </c>
      <c r="O162" s="9" t="str">
        <f aca="false">IF(OR(N162="",TRIM(D162&amp;"")=""),"",N162&amp;"|"&amp;UPPER(TRIM(D162&amp;"")))</f>
        <v/>
      </c>
      <c r="P162" s="9" t="n">
        <f aca="false">IF(O162="",0,IF(COUNTIF('Cash Book'!$O$8:$O$507,O162)&gt;0,1,0))</f>
        <v>0</v>
      </c>
      <c r="Q162" s="9" t="str">
        <f aca="false">IF(OR(N162="",P162=1),"",N162&amp;"#"&amp;COUNTIFS($N$8:N162,N162,$P$8:P162,0))</f>
        <v/>
      </c>
      <c r="R162" s="9" t="n">
        <f aca="false">IF(N162="",0,IFERROR(MATCH(ROW()-7,'Cash Book'!$U$8:$U$507,0),0))</f>
        <v>0</v>
      </c>
      <c r="V162" s="9" t="str">
        <f aca="false">IF(AND(N162&lt;&gt;"",R162=0),IF(M162="IN",3,4)*100000+ROW(),"")</f>
        <v/>
      </c>
      <c r="W162" s="9" t="n">
        <f aca="false">N(E162)+N(F162)</f>
        <v>0</v>
      </c>
    </row>
    <row r="163" customFormat="false" ht="15" hidden="false" customHeight="false" outlineLevel="0" collapsed="false">
      <c r="A163" s="37" t="str">
        <f aca="false">IF(M163="","",ROW()-7)</f>
        <v/>
      </c>
      <c r="B163" s="70"/>
      <c r="C163" s="72"/>
      <c r="D163" s="71"/>
      <c r="E163" s="73"/>
      <c r="F163" s="73"/>
      <c r="G163" s="73"/>
      <c r="H163" s="42" t="str">
        <f aca="false">IF(M163="","",IF(R163&gt;0,"✔ Matched",IF(M163="IN","Not in cash book (credit)","Not in cash book (debit)")))</f>
        <v/>
      </c>
      <c r="I163" s="43" t="str">
        <f aca="false">IF(N(R163)&gt;0,R163,"")</f>
        <v/>
      </c>
      <c r="J163" s="45" t="str">
        <f aca="false">IF(AND(M163="",B163="",C163=""),"",IF(AND(N(E163)&gt;0,N(F163)&gt;0),"⚠ Fill withdrawal OR deposit",IF(M163="","⚠ Enter amount",IF(B163="","⚠ Enter date",IF(NOT(OR(NOT(ISNUMBER(G163)),NOT(ISNUMBER(G162)),ABS(N(G163)-(N(G162)+N(F163)-N(E163)))&lt;=0.5)),"⚠ Balance does not follow previous row","✔")))))</f>
        <v/>
      </c>
      <c r="M163" s="9" t="str">
        <f aca="false">IF(N(F163)&gt;0,"IN",IF(N(E163)&gt;0,"OUT",""))</f>
        <v/>
      </c>
      <c r="N163" s="9" t="str">
        <f aca="false">IF(M163="","",M163&amp;"|"&amp;TEXT(ROUND(N(E163)+N(F163),2),"0.00"))</f>
        <v/>
      </c>
      <c r="O163" s="9" t="str">
        <f aca="false">IF(OR(N163="",TRIM(D163&amp;"")=""),"",N163&amp;"|"&amp;UPPER(TRIM(D163&amp;"")))</f>
        <v/>
      </c>
      <c r="P163" s="9" t="n">
        <f aca="false">IF(O163="",0,IF(COUNTIF('Cash Book'!$O$8:$O$507,O163)&gt;0,1,0))</f>
        <v>0</v>
      </c>
      <c r="Q163" s="9" t="str">
        <f aca="false">IF(OR(N163="",P163=1),"",N163&amp;"#"&amp;COUNTIFS($N$8:N163,N163,$P$8:P163,0))</f>
        <v/>
      </c>
      <c r="R163" s="9" t="n">
        <f aca="false">IF(N163="",0,IFERROR(MATCH(ROW()-7,'Cash Book'!$U$8:$U$507,0),0))</f>
        <v>0</v>
      </c>
      <c r="V163" s="9" t="str">
        <f aca="false">IF(AND(N163&lt;&gt;"",R163=0),IF(M163="IN",3,4)*100000+ROW(),"")</f>
        <v/>
      </c>
      <c r="W163" s="9" t="n">
        <f aca="false">N(E163)+N(F163)</f>
        <v>0</v>
      </c>
    </row>
    <row r="164" customFormat="false" ht="15" hidden="false" customHeight="false" outlineLevel="0" collapsed="false">
      <c r="A164" s="37" t="str">
        <f aca="false">IF(M164="","",ROW()-7)</f>
        <v/>
      </c>
      <c r="B164" s="70"/>
      <c r="C164" s="72"/>
      <c r="D164" s="71"/>
      <c r="E164" s="73"/>
      <c r="F164" s="73"/>
      <c r="G164" s="73"/>
      <c r="H164" s="42" t="str">
        <f aca="false">IF(M164="","",IF(R164&gt;0,"✔ Matched",IF(M164="IN","Not in cash book (credit)","Not in cash book (debit)")))</f>
        <v/>
      </c>
      <c r="I164" s="43" t="str">
        <f aca="false">IF(N(R164)&gt;0,R164,"")</f>
        <v/>
      </c>
      <c r="J164" s="45" t="str">
        <f aca="false">IF(AND(M164="",B164="",C164=""),"",IF(AND(N(E164)&gt;0,N(F164)&gt;0),"⚠ Fill withdrawal OR deposit",IF(M164="","⚠ Enter amount",IF(B164="","⚠ Enter date",IF(NOT(OR(NOT(ISNUMBER(G164)),NOT(ISNUMBER(G163)),ABS(N(G164)-(N(G163)+N(F164)-N(E164)))&lt;=0.5)),"⚠ Balance does not follow previous row","✔")))))</f>
        <v/>
      </c>
      <c r="M164" s="9" t="str">
        <f aca="false">IF(N(F164)&gt;0,"IN",IF(N(E164)&gt;0,"OUT",""))</f>
        <v/>
      </c>
      <c r="N164" s="9" t="str">
        <f aca="false">IF(M164="","",M164&amp;"|"&amp;TEXT(ROUND(N(E164)+N(F164),2),"0.00"))</f>
        <v/>
      </c>
      <c r="O164" s="9" t="str">
        <f aca="false">IF(OR(N164="",TRIM(D164&amp;"")=""),"",N164&amp;"|"&amp;UPPER(TRIM(D164&amp;"")))</f>
        <v/>
      </c>
      <c r="P164" s="9" t="n">
        <f aca="false">IF(O164="",0,IF(COUNTIF('Cash Book'!$O$8:$O$507,O164)&gt;0,1,0))</f>
        <v>0</v>
      </c>
      <c r="Q164" s="9" t="str">
        <f aca="false">IF(OR(N164="",P164=1),"",N164&amp;"#"&amp;COUNTIFS($N$8:N164,N164,$P$8:P164,0))</f>
        <v/>
      </c>
      <c r="R164" s="9" t="n">
        <f aca="false">IF(N164="",0,IFERROR(MATCH(ROW()-7,'Cash Book'!$U$8:$U$507,0),0))</f>
        <v>0</v>
      </c>
      <c r="V164" s="9" t="str">
        <f aca="false">IF(AND(N164&lt;&gt;"",R164=0),IF(M164="IN",3,4)*100000+ROW(),"")</f>
        <v/>
      </c>
      <c r="W164" s="9" t="n">
        <f aca="false">N(E164)+N(F164)</f>
        <v>0</v>
      </c>
    </row>
    <row r="165" customFormat="false" ht="15" hidden="false" customHeight="false" outlineLevel="0" collapsed="false">
      <c r="A165" s="37" t="str">
        <f aca="false">IF(M165="","",ROW()-7)</f>
        <v/>
      </c>
      <c r="B165" s="70"/>
      <c r="C165" s="72"/>
      <c r="D165" s="71"/>
      <c r="E165" s="73"/>
      <c r="F165" s="73"/>
      <c r="G165" s="73"/>
      <c r="H165" s="42" t="str">
        <f aca="false">IF(M165="","",IF(R165&gt;0,"✔ Matched",IF(M165="IN","Not in cash book (credit)","Not in cash book (debit)")))</f>
        <v/>
      </c>
      <c r="I165" s="43" t="str">
        <f aca="false">IF(N(R165)&gt;0,R165,"")</f>
        <v/>
      </c>
      <c r="J165" s="45" t="str">
        <f aca="false">IF(AND(M165="",B165="",C165=""),"",IF(AND(N(E165)&gt;0,N(F165)&gt;0),"⚠ Fill withdrawal OR deposit",IF(M165="","⚠ Enter amount",IF(B165="","⚠ Enter date",IF(NOT(OR(NOT(ISNUMBER(G165)),NOT(ISNUMBER(G164)),ABS(N(G165)-(N(G164)+N(F165)-N(E165)))&lt;=0.5)),"⚠ Balance does not follow previous row","✔")))))</f>
        <v/>
      </c>
      <c r="M165" s="9" t="str">
        <f aca="false">IF(N(F165)&gt;0,"IN",IF(N(E165)&gt;0,"OUT",""))</f>
        <v/>
      </c>
      <c r="N165" s="9" t="str">
        <f aca="false">IF(M165="","",M165&amp;"|"&amp;TEXT(ROUND(N(E165)+N(F165),2),"0.00"))</f>
        <v/>
      </c>
      <c r="O165" s="9" t="str">
        <f aca="false">IF(OR(N165="",TRIM(D165&amp;"")=""),"",N165&amp;"|"&amp;UPPER(TRIM(D165&amp;"")))</f>
        <v/>
      </c>
      <c r="P165" s="9" t="n">
        <f aca="false">IF(O165="",0,IF(COUNTIF('Cash Book'!$O$8:$O$507,O165)&gt;0,1,0))</f>
        <v>0</v>
      </c>
      <c r="Q165" s="9" t="str">
        <f aca="false">IF(OR(N165="",P165=1),"",N165&amp;"#"&amp;COUNTIFS($N$8:N165,N165,$P$8:P165,0))</f>
        <v/>
      </c>
      <c r="R165" s="9" t="n">
        <f aca="false">IF(N165="",0,IFERROR(MATCH(ROW()-7,'Cash Book'!$U$8:$U$507,0),0))</f>
        <v>0</v>
      </c>
      <c r="V165" s="9" t="str">
        <f aca="false">IF(AND(N165&lt;&gt;"",R165=0),IF(M165="IN",3,4)*100000+ROW(),"")</f>
        <v/>
      </c>
      <c r="W165" s="9" t="n">
        <f aca="false">N(E165)+N(F165)</f>
        <v>0</v>
      </c>
    </row>
    <row r="166" customFormat="false" ht="15" hidden="false" customHeight="false" outlineLevel="0" collapsed="false">
      <c r="A166" s="37" t="str">
        <f aca="false">IF(M166="","",ROW()-7)</f>
        <v/>
      </c>
      <c r="B166" s="70"/>
      <c r="C166" s="72"/>
      <c r="D166" s="71"/>
      <c r="E166" s="73"/>
      <c r="F166" s="73"/>
      <c r="G166" s="73"/>
      <c r="H166" s="42" t="str">
        <f aca="false">IF(M166="","",IF(R166&gt;0,"✔ Matched",IF(M166="IN","Not in cash book (credit)","Not in cash book (debit)")))</f>
        <v/>
      </c>
      <c r="I166" s="43" t="str">
        <f aca="false">IF(N(R166)&gt;0,R166,"")</f>
        <v/>
      </c>
      <c r="J166" s="45" t="str">
        <f aca="false">IF(AND(M166="",B166="",C166=""),"",IF(AND(N(E166)&gt;0,N(F166)&gt;0),"⚠ Fill withdrawal OR deposit",IF(M166="","⚠ Enter amount",IF(B166="","⚠ Enter date",IF(NOT(OR(NOT(ISNUMBER(G166)),NOT(ISNUMBER(G165)),ABS(N(G166)-(N(G165)+N(F166)-N(E166)))&lt;=0.5)),"⚠ Balance does not follow previous row","✔")))))</f>
        <v/>
      </c>
      <c r="M166" s="9" t="str">
        <f aca="false">IF(N(F166)&gt;0,"IN",IF(N(E166)&gt;0,"OUT",""))</f>
        <v/>
      </c>
      <c r="N166" s="9" t="str">
        <f aca="false">IF(M166="","",M166&amp;"|"&amp;TEXT(ROUND(N(E166)+N(F166),2),"0.00"))</f>
        <v/>
      </c>
      <c r="O166" s="9" t="str">
        <f aca="false">IF(OR(N166="",TRIM(D166&amp;"")=""),"",N166&amp;"|"&amp;UPPER(TRIM(D166&amp;"")))</f>
        <v/>
      </c>
      <c r="P166" s="9" t="n">
        <f aca="false">IF(O166="",0,IF(COUNTIF('Cash Book'!$O$8:$O$507,O166)&gt;0,1,0))</f>
        <v>0</v>
      </c>
      <c r="Q166" s="9" t="str">
        <f aca="false">IF(OR(N166="",P166=1),"",N166&amp;"#"&amp;COUNTIFS($N$8:N166,N166,$P$8:P166,0))</f>
        <v/>
      </c>
      <c r="R166" s="9" t="n">
        <f aca="false">IF(N166="",0,IFERROR(MATCH(ROW()-7,'Cash Book'!$U$8:$U$507,0),0))</f>
        <v>0</v>
      </c>
      <c r="V166" s="9" t="str">
        <f aca="false">IF(AND(N166&lt;&gt;"",R166=0),IF(M166="IN",3,4)*100000+ROW(),"")</f>
        <v/>
      </c>
      <c r="W166" s="9" t="n">
        <f aca="false">N(E166)+N(F166)</f>
        <v>0</v>
      </c>
    </row>
    <row r="167" customFormat="false" ht="15" hidden="false" customHeight="false" outlineLevel="0" collapsed="false">
      <c r="A167" s="37" t="str">
        <f aca="false">IF(M167="","",ROW()-7)</f>
        <v/>
      </c>
      <c r="B167" s="70"/>
      <c r="C167" s="72"/>
      <c r="D167" s="71"/>
      <c r="E167" s="73"/>
      <c r="F167" s="73"/>
      <c r="G167" s="73"/>
      <c r="H167" s="42" t="str">
        <f aca="false">IF(M167="","",IF(R167&gt;0,"✔ Matched",IF(M167="IN","Not in cash book (credit)","Not in cash book (debit)")))</f>
        <v/>
      </c>
      <c r="I167" s="43" t="str">
        <f aca="false">IF(N(R167)&gt;0,R167,"")</f>
        <v/>
      </c>
      <c r="J167" s="45" t="str">
        <f aca="false">IF(AND(M167="",B167="",C167=""),"",IF(AND(N(E167)&gt;0,N(F167)&gt;0),"⚠ Fill withdrawal OR deposit",IF(M167="","⚠ Enter amount",IF(B167="","⚠ Enter date",IF(NOT(OR(NOT(ISNUMBER(G167)),NOT(ISNUMBER(G166)),ABS(N(G167)-(N(G166)+N(F167)-N(E167)))&lt;=0.5)),"⚠ Balance does not follow previous row","✔")))))</f>
        <v/>
      </c>
      <c r="M167" s="9" t="str">
        <f aca="false">IF(N(F167)&gt;0,"IN",IF(N(E167)&gt;0,"OUT",""))</f>
        <v/>
      </c>
      <c r="N167" s="9" t="str">
        <f aca="false">IF(M167="","",M167&amp;"|"&amp;TEXT(ROUND(N(E167)+N(F167),2),"0.00"))</f>
        <v/>
      </c>
      <c r="O167" s="9" t="str">
        <f aca="false">IF(OR(N167="",TRIM(D167&amp;"")=""),"",N167&amp;"|"&amp;UPPER(TRIM(D167&amp;"")))</f>
        <v/>
      </c>
      <c r="P167" s="9" t="n">
        <f aca="false">IF(O167="",0,IF(COUNTIF('Cash Book'!$O$8:$O$507,O167)&gt;0,1,0))</f>
        <v>0</v>
      </c>
      <c r="Q167" s="9" t="str">
        <f aca="false">IF(OR(N167="",P167=1),"",N167&amp;"#"&amp;COUNTIFS($N$8:N167,N167,$P$8:P167,0))</f>
        <v/>
      </c>
      <c r="R167" s="9" t="n">
        <f aca="false">IF(N167="",0,IFERROR(MATCH(ROW()-7,'Cash Book'!$U$8:$U$507,0),0))</f>
        <v>0</v>
      </c>
      <c r="V167" s="9" t="str">
        <f aca="false">IF(AND(N167&lt;&gt;"",R167=0),IF(M167="IN",3,4)*100000+ROW(),"")</f>
        <v/>
      </c>
      <c r="W167" s="9" t="n">
        <f aca="false">N(E167)+N(F167)</f>
        <v>0</v>
      </c>
    </row>
    <row r="168" customFormat="false" ht="15" hidden="false" customHeight="false" outlineLevel="0" collapsed="false">
      <c r="A168" s="37" t="str">
        <f aca="false">IF(M168="","",ROW()-7)</f>
        <v/>
      </c>
      <c r="B168" s="70"/>
      <c r="C168" s="72"/>
      <c r="D168" s="71"/>
      <c r="E168" s="73"/>
      <c r="F168" s="73"/>
      <c r="G168" s="73"/>
      <c r="H168" s="42" t="str">
        <f aca="false">IF(M168="","",IF(R168&gt;0,"✔ Matched",IF(M168="IN","Not in cash book (credit)","Not in cash book (debit)")))</f>
        <v/>
      </c>
      <c r="I168" s="43" t="str">
        <f aca="false">IF(N(R168)&gt;0,R168,"")</f>
        <v/>
      </c>
      <c r="J168" s="45" t="str">
        <f aca="false">IF(AND(M168="",B168="",C168=""),"",IF(AND(N(E168)&gt;0,N(F168)&gt;0),"⚠ Fill withdrawal OR deposit",IF(M168="","⚠ Enter amount",IF(B168="","⚠ Enter date",IF(NOT(OR(NOT(ISNUMBER(G168)),NOT(ISNUMBER(G167)),ABS(N(G168)-(N(G167)+N(F168)-N(E168)))&lt;=0.5)),"⚠ Balance does not follow previous row","✔")))))</f>
        <v/>
      </c>
      <c r="M168" s="9" t="str">
        <f aca="false">IF(N(F168)&gt;0,"IN",IF(N(E168)&gt;0,"OUT",""))</f>
        <v/>
      </c>
      <c r="N168" s="9" t="str">
        <f aca="false">IF(M168="","",M168&amp;"|"&amp;TEXT(ROUND(N(E168)+N(F168),2),"0.00"))</f>
        <v/>
      </c>
      <c r="O168" s="9" t="str">
        <f aca="false">IF(OR(N168="",TRIM(D168&amp;"")=""),"",N168&amp;"|"&amp;UPPER(TRIM(D168&amp;"")))</f>
        <v/>
      </c>
      <c r="P168" s="9" t="n">
        <f aca="false">IF(O168="",0,IF(COUNTIF('Cash Book'!$O$8:$O$507,O168)&gt;0,1,0))</f>
        <v>0</v>
      </c>
      <c r="Q168" s="9" t="str">
        <f aca="false">IF(OR(N168="",P168=1),"",N168&amp;"#"&amp;COUNTIFS($N$8:N168,N168,$P$8:P168,0))</f>
        <v/>
      </c>
      <c r="R168" s="9" t="n">
        <f aca="false">IF(N168="",0,IFERROR(MATCH(ROW()-7,'Cash Book'!$U$8:$U$507,0),0))</f>
        <v>0</v>
      </c>
      <c r="V168" s="9" t="str">
        <f aca="false">IF(AND(N168&lt;&gt;"",R168=0),IF(M168="IN",3,4)*100000+ROW(),"")</f>
        <v/>
      </c>
      <c r="W168" s="9" t="n">
        <f aca="false">N(E168)+N(F168)</f>
        <v>0</v>
      </c>
    </row>
    <row r="169" customFormat="false" ht="15" hidden="false" customHeight="false" outlineLevel="0" collapsed="false">
      <c r="A169" s="37" t="str">
        <f aca="false">IF(M169="","",ROW()-7)</f>
        <v/>
      </c>
      <c r="B169" s="70"/>
      <c r="C169" s="72"/>
      <c r="D169" s="71"/>
      <c r="E169" s="73"/>
      <c r="F169" s="73"/>
      <c r="G169" s="73"/>
      <c r="H169" s="42" t="str">
        <f aca="false">IF(M169="","",IF(R169&gt;0,"✔ Matched",IF(M169="IN","Not in cash book (credit)","Not in cash book (debit)")))</f>
        <v/>
      </c>
      <c r="I169" s="43" t="str">
        <f aca="false">IF(N(R169)&gt;0,R169,"")</f>
        <v/>
      </c>
      <c r="J169" s="45" t="str">
        <f aca="false">IF(AND(M169="",B169="",C169=""),"",IF(AND(N(E169)&gt;0,N(F169)&gt;0),"⚠ Fill withdrawal OR deposit",IF(M169="","⚠ Enter amount",IF(B169="","⚠ Enter date",IF(NOT(OR(NOT(ISNUMBER(G169)),NOT(ISNUMBER(G168)),ABS(N(G169)-(N(G168)+N(F169)-N(E169)))&lt;=0.5)),"⚠ Balance does not follow previous row","✔")))))</f>
        <v/>
      </c>
      <c r="M169" s="9" t="str">
        <f aca="false">IF(N(F169)&gt;0,"IN",IF(N(E169)&gt;0,"OUT",""))</f>
        <v/>
      </c>
      <c r="N169" s="9" t="str">
        <f aca="false">IF(M169="","",M169&amp;"|"&amp;TEXT(ROUND(N(E169)+N(F169),2),"0.00"))</f>
        <v/>
      </c>
      <c r="O169" s="9" t="str">
        <f aca="false">IF(OR(N169="",TRIM(D169&amp;"")=""),"",N169&amp;"|"&amp;UPPER(TRIM(D169&amp;"")))</f>
        <v/>
      </c>
      <c r="P169" s="9" t="n">
        <f aca="false">IF(O169="",0,IF(COUNTIF('Cash Book'!$O$8:$O$507,O169)&gt;0,1,0))</f>
        <v>0</v>
      </c>
      <c r="Q169" s="9" t="str">
        <f aca="false">IF(OR(N169="",P169=1),"",N169&amp;"#"&amp;COUNTIFS($N$8:N169,N169,$P$8:P169,0))</f>
        <v/>
      </c>
      <c r="R169" s="9" t="n">
        <f aca="false">IF(N169="",0,IFERROR(MATCH(ROW()-7,'Cash Book'!$U$8:$U$507,0),0))</f>
        <v>0</v>
      </c>
      <c r="V169" s="9" t="str">
        <f aca="false">IF(AND(N169&lt;&gt;"",R169=0),IF(M169="IN",3,4)*100000+ROW(),"")</f>
        <v/>
      </c>
      <c r="W169" s="9" t="n">
        <f aca="false">N(E169)+N(F169)</f>
        <v>0</v>
      </c>
    </row>
    <row r="170" customFormat="false" ht="15" hidden="false" customHeight="false" outlineLevel="0" collapsed="false">
      <c r="A170" s="37" t="str">
        <f aca="false">IF(M170="","",ROW()-7)</f>
        <v/>
      </c>
      <c r="B170" s="70"/>
      <c r="C170" s="72"/>
      <c r="D170" s="71"/>
      <c r="E170" s="73"/>
      <c r="F170" s="73"/>
      <c r="G170" s="73"/>
      <c r="H170" s="42" t="str">
        <f aca="false">IF(M170="","",IF(R170&gt;0,"✔ Matched",IF(M170="IN","Not in cash book (credit)","Not in cash book (debit)")))</f>
        <v/>
      </c>
      <c r="I170" s="43" t="str">
        <f aca="false">IF(N(R170)&gt;0,R170,"")</f>
        <v/>
      </c>
      <c r="J170" s="45" t="str">
        <f aca="false">IF(AND(M170="",B170="",C170=""),"",IF(AND(N(E170)&gt;0,N(F170)&gt;0),"⚠ Fill withdrawal OR deposit",IF(M170="","⚠ Enter amount",IF(B170="","⚠ Enter date",IF(NOT(OR(NOT(ISNUMBER(G170)),NOT(ISNUMBER(G169)),ABS(N(G170)-(N(G169)+N(F170)-N(E170)))&lt;=0.5)),"⚠ Balance does not follow previous row","✔")))))</f>
        <v/>
      </c>
      <c r="M170" s="9" t="str">
        <f aca="false">IF(N(F170)&gt;0,"IN",IF(N(E170)&gt;0,"OUT",""))</f>
        <v/>
      </c>
      <c r="N170" s="9" t="str">
        <f aca="false">IF(M170="","",M170&amp;"|"&amp;TEXT(ROUND(N(E170)+N(F170),2),"0.00"))</f>
        <v/>
      </c>
      <c r="O170" s="9" t="str">
        <f aca="false">IF(OR(N170="",TRIM(D170&amp;"")=""),"",N170&amp;"|"&amp;UPPER(TRIM(D170&amp;"")))</f>
        <v/>
      </c>
      <c r="P170" s="9" t="n">
        <f aca="false">IF(O170="",0,IF(COUNTIF('Cash Book'!$O$8:$O$507,O170)&gt;0,1,0))</f>
        <v>0</v>
      </c>
      <c r="Q170" s="9" t="str">
        <f aca="false">IF(OR(N170="",P170=1),"",N170&amp;"#"&amp;COUNTIFS($N$8:N170,N170,$P$8:P170,0))</f>
        <v/>
      </c>
      <c r="R170" s="9" t="n">
        <f aca="false">IF(N170="",0,IFERROR(MATCH(ROW()-7,'Cash Book'!$U$8:$U$507,0),0))</f>
        <v>0</v>
      </c>
      <c r="V170" s="9" t="str">
        <f aca="false">IF(AND(N170&lt;&gt;"",R170=0),IF(M170="IN",3,4)*100000+ROW(),"")</f>
        <v/>
      </c>
      <c r="W170" s="9" t="n">
        <f aca="false">N(E170)+N(F170)</f>
        <v>0</v>
      </c>
    </row>
    <row r="171" customFormat="false" ht="15" hidden="false" customHeight="false" outlineLevel="0" collapsed="false">
      <c r="A171" s="37" t="str">
        <f aca="false">IF(M171="","",ROW()-7)</f>
        <v/>
      </c>
      <c r="B171" s="70"/>
      <c r="C171" s="72"/>
      <c r="D171" s="71"/>
      <c r="E171" s="73"/>
      <c r="F171" s="73"/>
      <c r="G171" s="73"/>
      <c r="H171" s="42" t="str">
        <f aca="false">IF(M171="","",IF(R171&gt;0,"✔ Matched",IF(M171="IN","Not in cash book (credit)","Not in cash book (debit)")))</f>
        <v/>
      </c>
      <c r="I171" s="43" t="str">
        <f aca="false">IF(N(R171)&gt;0,R171,"")</f>
        <v/>
      </c>
      <c r="J171" s="45" t="str">
        <f aca="false">IF(AND(M171="",B171="",C171=""),"",IF(AND(N(E171)&gt;0,N(F171)&gt;0),"⚠ Fill withdrawal OR deposit",IF(M171="","⚠ Enter amount",IF(B171="","⚠ Enter date",IF(NOT(OR(NOT(ISNUMBER(G171)),NOT(ISNUMBER(G170)),ABS(N(G171)-(N(G170)+N(F171)-N(E171)))&lt;=0.5)),"⚠ Balance does not follow previous row","✔")))))</f>
        <v/>
      </c>
      <c r="M171" s="9" t="str">
        <f aca="false">IF(N(F171)&gt;0,"IN",IF(N(E171)&gt;0,"OUT",""))</f>
        <v/>
      </c>
      <c r="N171" s="9" t="str">
        <f aca="false">IF(M171="","",M171&amp;"|"&amp;TEXT(ROUND(N(E171)+N(F171),2),"0.00"))</f>
        <v/>
      </c>
      <c r="O171" s="9" t="str">
        <f aca="false">IF(OR(N171="",TRIM(D171&amp;"")=""),"",N171&amp;"|"&amp;UPPER(TRIM(D171&amp;"")))</f>
        <v/>
      </c>
      <c r="P171" s="9" t="n">
        <f aca="false">IF(O171="",0,IF(COUNTIF('Cash Book'!$O$8:$O$507,O171)&gt;0,1,0))</f>
        <v>0</v>
      </c>
      <c r="Q171" s="9" t="str">
        <f aca="false">IF(OR(N171="",P171=1),"",N171&amp;"#"&amp;COUNTIFS($N$8:N171,N171,$P$8:P171,0))</f>
        <v/>
      </c>
      <c r="R171" s="9" t="n">
        <f aca="false">IF(N171="",0,IFERROR(MATCH(ROW()-7,'Cash Book'!$U$8:$U$507,0),0))</f>
        <v>0</v>
      </c>
      <c r="V171" s="9" t="str">
        <f aca="false">IF(AND(N171&lt;&gt;"",R171=0),IF(M171="IN",3,4)*100000+ROW(),"")</f>
        <v/>
      </c>
      <c r="W171" s="9" t="n">
        <f aca="false">N(E171)+N(F171)</f>
        <v>0</v>
      </c>
    </row>
    <row r="172" customFormat="false" ht="15" hidden="false" customHeight="false" outlineLevel="0" collapsed="false">
      <c r="A172" s="37" t="str">
        <f aca="false">IF(M172="","",ROW()-7)</f>
        <v/>
      </c>
      <c r="B172" s="70"/>
      <c r="C172" s="72"/>
      <c r="D172" s="71"/>
      <c r="E172" s="73"/>
      <c r="F172" s="73"/>
      <c r="G172" s="73"/>
      <c r="H172" s="42" t="str">
        <f aca="false">IF(M172="","",IF(R172&gt;0,"✔ Matched",IF(M172="IN","Not in cash book (credit)","Not in cash book (debit)")))</f>
        <v/>
      </c>
      <c r="I172" s="43" t="str">
        <f aca="false">IF(N(R172)&gt;0,R172,"")</f>
        <v/>
      </c>
      <c r="J172" s="45" t="str">
        <f aca="false">IF(AND(M172="",B172="",C172=""),"",IF(AND(N(E172)&gt;0,N(F172)&gt;0),"⚠ Fill withdrawal OR deposit",IF(M172="","⚠ Enter amount",IF(B172="","⚠ Enter date",IF(NOT(OR(NOT(ISNUMBER(G172)),NOT(ISNUMBER(G171)),ABS(N(G172)-(N(G171)+N(F172)-N(E172)))&lt;=0.5)),"⚠ Balance does not follow previous row","✔")))))</f>
        <v/>
      </c>
      <c r="M172" s="9" t="str">
        <f aca="false">IF(N(F172)&gt;0,"IN",IF(N(E172)&gt;0,"OUT",""))</f>
        <v/>
      </c>
      <c r="N172" s="9" t="str">
        <f aca="false">IF(M172="","",M172&amp;"|"&amp;TEXT(ROUND(N(E172)+N(F172),2),"0.00"))</f>
        <v/>
      </c>
      <c r="O172" s="9" t="str">
        <f aca="false">IF(OR(N172="",TRIM(D172&amp;"")=""),"",N172&amp;"|"&amp;UPPER(TRIM(D172&amp;"")))</f>
        <v/>
      </c>
      <c r="P172" s="9" t="n">
        <f aca="false">IF(O172="",0,IF(COUNTIF('Cash Book'!$O$8:$O$507,O172)&gt;0,1,0))</f>
        <v>0</v>
      </c>
      <c r="Q172" s="9" t="str">
        <f aca="false">IF(OR(N172="",P172=1),"",N172&amp;"#"&amp;COUNTIFS($N$8:N172,N172,$P$8:P172,0))</f>
        <v/>
      </c>
      <c r="R172" s="9" t="n">
        <f aca="false">IF(N172="",0,IFERROR(MATCH(ROW()-7,'Cash Book'!$U$8:$U$507,0),0))</f>
        <v>0</v>
      </c>
      <c r="V172" s="9" t="str">
        <f aca="false">IF(AND(N172&lt;&gt;"",R172=0),IF(M172="IN",3,4)*100000+ROW(),"")</f>
        <v/>
      </c>
      <c r="W172" s="9" t="n">
        <f aca="false">N(E172)+N(F172)</f>
        <v>0</v>
      </c>
    </row>
    <row r="173" customFormat="false" ht="15" hidden="false" customHeight="false" outlineLevel="0" collapsed="false">
      <c r="A173" s="37" t="str">
        <f aca="false">IF(M173="","",ROW()-7)</f>
        <v/>
      </c>
      <c r="B173" s="70"/>
      <c r="C173" s="72"/>
      <c r="D173" s="71"/>
      <c r="E173" s="73"/>
      <c r="F173" s="73"/>
      <c r="G173" s="73"/>
      <c r="H173" s="42" t="str">
        <f aca="false">IF(M173="","",IF(R173&gt;0,"✔ Matched",IF(M173="IN","Not in cash book (credit)","Not in cash book (debit)")))</f>
        <v/>
      </c>
      <c r="I173" s="43" t="str">
        <f aca="false">IF(N(R173)&gt;0,R173,"")</f>
        <v/>
      </c>
      <c r="J173" s="45" t="str">
        <f aca="false">IF(AND(M173="",B173="",C173=""),"",IF(AND(N(E173)&gt;0,N(F173)&gt;0),"⚠ Fill withdrawal OR deposit",IF(M173="","⚠ Enter amount",IF(B173="","⚠ Enter date",IF(NOT(OR(NOT(ISNUMBER(G173)),NOT(ISNUMBER(G172)),ABS(N(G173)-(N(G172)+N(F173)-N(E173)))&lt;=0.5)),"⚠ Balance does not follow previous row","✔")))))</f>
        <v/>
      </c>
      <c r="M173" s="9" t="str">
        <f aca="false">IF(N(F173)&gt;0,"IN",IF(N(E173)&gt;0,"OUT",""))</f>
        <v/>
      </c>
      <c r="N173" s="9" t="str">
        <f aca="false">IF(M173="","",M173&amp;"|"&amp;TEXT(ROUND(N(E173)+N(F173),2),"0.00"))</f>
        <v/>
      </c>
      <c r="O173" s="9" t="str">
        <f aca="false">IF(OR(N173="",TRIM(D173&amp;"")=""),"",N173&amp;"|"&amp;UPPER(TRIM(D173&amp;"")))</f>
        <v/>
      </c>
      <c r="P173" s="9" t="n">
        <f aca="false">IF(O173="",0,IF(COUNTIF('Cash Book'!$O$8:$O$507,O173)&gt;0,1,0))</f>
        <v>0</v>
      </c>
      <c r="Q173" s="9" t="str">
        <f aca="false">IF(OR(N173="",P173=1),"",N173&amp;"#"&amp;COUNTIFS($N$8:N173,N173,$P$8:P173,0))</f>
        <v/>
      </c>
      <c r="R173" s="9" t="n">
        <f aca="false">IF(N173="",0,IFERROR(MATCH(ROW()-7,'Cash Book'!$U$8:$U$507,0),0))</f>
        <v>0</v>
      </c>
      <c r="V173" s="9" t="str">
        <f aca="false">IF(AND(N173&lt;&gt;"",R173=0),IF(M173="IN",3,4)*100000+ROW(),"")</f>
        <v/>
      </c>
      <c r="W173" s="9" t="n">
        <f aca="false">N(E173)+N(F173)</f>
        <v>0</v>
      </c>
    </row>
    <row r="174" customFormat="false" ht="15" hidden="false" customHeight="false" outlineLevel="0" collapsed="false">
      <c r="A174" s="37" t="str">
        <f aca="false">IF(M174="","",ROW()-7)</f>
        <v/>
      </c>
      <c r="B174" s="70"/>
      <c r="C174" s="72"/>
      <c r="D174" s="71"/>
      <c r="E174" s="73"/>
      <c r="F174" s="73"/>
      <c r="G174" s="73"/>
      <c r="H174" s="42" t="str">
        <f aca="false">IF(M174="","",IF(R174&gt;0,"✔ Matched",IF(M174="IN","Not in cash book (credit)","Not in cash book (debit)")))</f>
        <v/>
      </c>
      <c r="I174" s="43" t="str">
        <f aca="false">IF(N(R174)&gt;0,R174,"")</f>
        <v/>
      </c>
      <c r="J174" s="45" t="str">
        <f aca="false">IF(AND(M174="",B174="",C174=""),"",IF(AND(N(E174)&gt;0,N(F174)&gt;0),"⚠ Fill withdrawal OR deposit",IF(M174="","⚠ Enter amount",IF(B174="","⚠ Enter date",IF(NOT(OR(NOT(ISNUMBER(G174)),NOT(ISNUMBER(G173)),ABS(N(G174)-(N(G173)+N(F174)-N(E174)))&lt;=0.5)),"⚠ Balance does not follow previous row","✔")))))</f>
        <v/>
      </c>
      <c r="M174" s="9" t="str">
        <f aca="false">IF(N(F174)&gt;0,"IN",IF(N(E174)&gt;0,"OUT",""))</f>
        <v/>
      </c>
      <c r="N174" s="9" t="str">
        <f aca="false">IF(M174="","",M174&amp;"|"&amp;TEXT(ROUND(N(E174)+N(F174),2),"0.00"))</f>
        <v/>
      </c>
      <c r="O174" s="9" t="str">
        <f aca="false">IF(OR(N174="",TRIM(D174&amp;"")=""),"",N174&amp;"|"&amp;UPPER(TRIM(D174&amp;"")))</f>
        <v/>
      </c>
      <c r="P174" s="9" t="n">
        <f aca="false">IF(O174="",0,IF(COUNTIF('Cash Book'!$O$8:$O$507,O174)&gt;0,1,0))</f>
        <v>0</v>
      </c>
      <c r="Q174" s="9" t="str">
        <f aca="false">IF(OR(N174="",P174=1),"",N174&amp;"#"&amp;COUNTIFS($N$8:N174,N174,$P$8:P174,0))</f>
        <v/>
      </c>
      <c r="R174" s="9" t="n">
        <f aca="false">IF(N174="",0,IFERROR(MATCH(ROW()-7,'Cash Book'!$U$8:$U$507,0),0))</f>
        <v>0</v>
      </c>
      <c r="V174" s="9" t="str">
        <f aca="false">IF(AND(N174&lt;&gt;"",R174=0),IF(M174="IN",3,4)*100000+ROW(),"")</f>
        <v/>
      </c>
      <c r="W174" s="9" t="n">
        <f aca="false">N(E174)+N(F174)</f>
        <v>0</v>
      </c>
    </row>
    <row r="175" customFormat="false" ht="15" hidden="false" customHeight="false" outlineLevel="0" collapsed="false">
      <c r="A175" s="37" t="str">
        <f aca="false">IF(M175="","",ROW()-7)</f>
        <v/>
      </c>
      <c r="B175" s="70"/>
      <c r="C175" s="72"/>
      <c r="D175" s="71"/>
      <c r="E175" s="73"/>
      <c r="F175" s="73"/>
      <c r="G175" s="73"/>
      <c r="H175" s="42" t="str">
        <f aca="false">IF(M175="","",IF(R175&gt;0,"✔ Matched",IF(M175="IN","Not in cash book (credit)","Not in cash book (debit)")))</f>
        <v/>
      </c>
      <c r="I175" s="43" t="str">
        <f aca="false">IF(N(R175)&gt;0,R175,"")</f>
        <v/>
      </c>
      <c r="J175" s="45" t="str">
        <f aca="false">IF(AND(M175="",B175="",C175=""),"",IF(AND(N(E175)&gt;0,N(F175)&gt;0),"⚠ Fill withdrawal OR deposit",IF(M175="","⚠ Enter amount",IF(B175="","⚠ Enter date",IF(NOT(OR(NOT(ISNUMBER(G175)),NOT(ISNUMBER(G174)),ABS(N(G175)-(N(G174)+N(F175)-N(E175)))&lt;=0.5)),"⚠ Balance does not follow previous row","✔")))))</f>
        <v/>
      </c>
      <c r="M175" s="9" t="str">
        <f aca="false">IF(N(F175)&gt;0,"IN",IF(N(E175)&gt;0,"OUT",""))</f>
        <v/>
      </c>
      <c r="N175" s="9" t="str">
        <f aca="false">IF(M175="","",M175&amp;"|"&amp;TEXT(ROUND(N(E175)+N(F175),2),"0.00"))</f>
        <v/>
      </c>
      <c r="O175" s="9" t="str">
        <f aca="false">IF(OR(N175="",TRIM(D175&amp;"")=""),"",N175&amp;"|"&amp;UPPER(TRIM(D175&amp;"")))</f>
        <v/>
      </c>
      <c r="P175" s="9" t="n">
        <f aca="false">IF(O175="",0,IF(COUNTIF('Cash Book'!$O$8:$O$507,O175)&gt;0,1,0))</f>
        <v>0</v>
      </c>
      <c r="Q175" s="9" t="str">
        <f aca="false">IF(OR(N175="",P175=1),"",N175&amp;"#"&amp;COUNTIFS($N$8:N175,N175,$P$8:P175,0))</f>
        <v/>
      </c>
      <c r="R175" s="9" t="n">
        <f aca="false">IF(N175="",0,IFERROR(MATCH(ROW()-7,'Cash Book'!$U$8:$U$507,0),0))</f>
        <v>0</v>
      </c>
      <c r="V175" s="9" t="str">
        <f aca="false">IF(AND(N175&lt;&gt;"",R175=0),IF(M175="IN",3,4)*100000+ROW(),"")</f>
        <v/>
      </c>
      <c r="W175" s="9" t="n">
        <f aca="false">N(E175)+N(F175)</f>
        <v>0</v>
      </c>
    </row>
    <row r="176" customFormat="false" ht="15" hidden="false" customHeight="false" outlineLevel="0" collapsed="false">
      <c r="A176" s="37" t="str">
        <f aca="false">IF(M176="","",ROW()-7)</f>
        <v/>
      </c>
      <c r="B176" s="70"/>
      <c r="C176" s="72"/>
      <c r="D176" s="71"/>
      <c r="E176" s="73"/>
      <c r="F176" s="73"/>
      <c r="G176" s="73"/>
      <c r="H176" s="42" t="str">
        <f aca="false">IF(M176="","",IF(R176&gt;0,"✔ Matched",IF(M176="IN","Not in cash book (credit)","Not in cash book (debit)")))</f>
        <v/>
      </c>
      <c r="I176" s="43" t="str">
        <f aca="false">IF(N(R176)&gt;0,R176,"")</f>
        <v/>
      </c>
      <c r="J176" s="45" t="str">
        <f aca="false">IF(AND(M176="",B176="",C176=""),"",IF(AND(N(E176)&gt;0,N(F176)&gt;0),"⚠ Fill withdrawal OR deposit",IF(M176="","⚠ Enter amount",IF(B176="","⚠ Enter date",IF(NOT(OR(NOT(ISNUMBER(G176)),NOT(ISNUMBER(G175)),ABS(N(G176)-(N(G175)+N(F176)-N(E176)))&lt;=0.5)),"⚠ Balance does not follow previous row","✔")))))</f>
        <v/>
      </c>
      <c r="M176" s="9" t="str">
        <f aca="false">IF(N(F176)&gt;0,"IN",IF(N(E176)&gt;0,"OUT",""))</f>
        <v/>
      </c>
      <c r="N176" s="9" t="str">
        <f aca="false">IF(M176="","",M176&amp;"|"&amp;TEXT(ROUND(N(E176)+N(F176),2),"0.00"))</f>
        <v/>
      </c>
      <c r="O176" s="9" t="str">
        <f aca="false">IF(OR(N176="",TRIM(D176&amp;"")=""),"",N176&amp;"|"&amp;UPPER(TRIM(D176&amp;"")))</f>
        <v/>
      </c>
      <c r="P176" s="9" t="n">
        <f aca="false">IF(O176="",0,IF(COUNTIF('Cash Book'!$O$8:$O$507,O176)&gt;0,1,0))</f>
        <v>0</v>
      </c>
      <c r="Q176" s="9" t="str">
        <f aca="false">IF(OR(N176="",P176=1),"",N176&amp;"#"&amp;COUNTIFS($N$8:N176,N176,$P$8:P176,0))</f>
        <v/>
      </c>
      <c r="R176" s="9" t="n">
        <f aca="false">IF(N176="",0,IFERROR(MATCH(ROW()-7,'Cash Book'!$U$8:$U$507,0),0))</f>
        <v>0</v>
      </c>
      <c r="V176" s="9" t="str">
        <f aca="false">IF(AND(N176&lt;&gt;"",R176=0),IF(M176="IN",3,4)*100000+ROW(),"")</f>
        <v/>
      </c>
      <c r="W176" s="9" t="n">
        <f aca="false">N(E176)+N(F176)</f>
        <v>0</v>
      </c>
    </row>
    <row r="177" customFormat="false" ht="15" hidden="false" customHeight="false" outlineLevel="0" collapsed="false">
      <c r="A177" s="37" t="str">
        <f aca="false">IF(M177="","",ROW()-7)</f>
        <v/>
      </c>
      <c r="B177" s="70"/>
      <c r="C177" s="72"/>
      <c r="D177" s="71"/>
      <c r="E177" s="73"/>
      <c r="F177" s="73"/>
      <c r="G177" s="73"/>
      <c r="H177" s="42" t="str">
        <f aca="false">IF(M177="","",IF(R177&gt;0,"✔ Matched",IF(M177="IN","Not in cash book (credit)","Not in cash book (debit)")))</f>
        <v/>
      </c>
      <c r="I177" s="43" t="str">
        <f aca="false">IF(N(R177)&gt;0,R177,"")</f>
        <v/>
      </c>
      <c r="J177" s="45" t="str">
        <f aca="false">IF(AND(M177="",B177="",C177=""),"",IF(AND(N(E177)&gt;0,N(F177)&gt;0),"⚠ Fill withdrawal OR deposit",IF(M177="","⚠ Enter amount",IF(B177="","⚠ Enter date",IF(NOT(OR(NOT(ISNUMBER(G177)),NOT(ISNUMBER(G176)),ABS(N(G177)-(N(G176)+N(F177)-N(E177)))&lt;=0.5)),"⚠ Balance does not follow previous row","✔")))))</f>
        <v/>
      </c>
      <c r="M177" s="9" t="str">
        <f aca="false">IF(N(F177)&gt;0,"IN",IF(N(E177)&gt;0,"OUT",""))</f>
        <v/>
      </c>
      <c r="N177" s="9" t="str">
        <f aca="false">IF(M177="","",M177&amp;"|"&amp;TEXT(ROUND(N(E177)+N(F177),2),"0.00"))</f>
        <v/>
      </c>
      <c r="O177" s="9" t="str">
        <f aca="false">IF(OR(N177="",TRIM(D177&amp;"")=""),"",N177&amp;"|"&amp;UPPER(TRIM(D177&amp;"")))</f>
        <v/>
      </c>
      <c r="P177" s="9" t="n">
        <f aca="false">IF(O177="",0,IF(COUNTIF('Cash Book'!$O$8:$O$507,O177)&gt;0,1,0))</f>
        <v>0</v>
      </c>
      <c r="Q177" s="9" t="str">
        <f aca="false">IF(OR(N177="",P177=1),"",N177&amp;"#"&amp;COUNTIFS($N$8:N177,N177,$P$8:P177,0))</f>
        <v/>
      </c>
      <c r="R177" s="9" t="n">
        <f aca="false">IF(N177="",0,IFERROR(MATCH(ROW()-7,'Cash Book'!$U$8:$U$507,0),0))</f>
        <v>0</v>
      </c>
      <c r="V177" s="9" t="str">
        <f aca="false">IF(AND(N177&lt;&gt;"",R177=0),IF(M177="IN",3,4)*100000+ROW(),"")</f>
        <v/>
      </c>
      <c r="W177" s="9" t="n">
        <f aca="false">N(E177)+N(F177)</f>
        <v>0</v>
      </c>
    </row>
    <row r="178" customFormat="false" ht="15" hidden="false" customHeight="false" outlineLevel="0" collapsed="false">
      <c r="A178" s="37" t="str">
        <f aca="false">IF(M178="","",ROW()-7)</f>
        <v/>
      </c>
      <c r="B178" s="70"/>
      <c r="C178" s="72"/>
      <c r="D178" s="71"/>
      <c r="E178" s="73"/>
      <c r="F178" s="73"/>
      <c r="G178" s="73"/>
      <c r="H178" s="42" t="str">
        <f aca="false">IF(M178="","",IF(R178&gt;0,"✔ Matched",IF(M178="IN","Not in cash book (credit)","Not in cash book (debit)")))</f>
        <v/>
      </c>
      <c r="I178" s="43" t="str">
        <f aca="false">IF(N(R178)&gt;0,R178,"")</f>
        <v/>
      </c>
      <c r="J178" s="45" t="str">
        <f aca="false">IF(AND(M178="",B178="",C178=""),"",IF(AND(N(E178)&gt;0,N(F178)&gt;0),"⚠ Fill withdrawal OR deposit",IF(M178="","⚠ Enter amount",IF(B178="","⚠ Enter date",IF(NOT(OR(NOT(ISNUMBER(G178)),NOT(ISNUMBER(G177)),ABS(N(G178)-(N(G177)+N(F178)-N(E178)))&lt;=0.5)),"⚠ Balance does not follow previous row","✔")))))</f>
        <v/>
      </c>
      <c r="M178" s="9" t="str">
        <f aca="false">IF(N(F178)&gt;0,"IN",IF(N(E178)&gt;0,"OUT",""))</f>
        <v/>
      </c>
      <c r="N178" s="9" t="str">
        <f aca="false">IF(M178="","",M178&amp;"|"&amp;TEXT(ROUND(N(E178)+N(F178),2),"0.00"))</f>
        <v/>
      </c>
      <c r="O178" s="9" t="str">
        <f aca="false">IF(OR(N178="",TRIM(D178&amp;"")=""),"",N178&amp;"|"&amp;UPPER(TRIM(D178&amp;"")))</f>
        <v/>
      </c>
      <c r="P178" s="9" t="n">
        <f aca="false">IF(O178="",0,IF(COUNTIF('Cash Book'!$O$8:$O$507,O178)&gt;0,1,0))</f>
        <v>0</v>
      </c>
      <c r="Q178" s="9" t="str">
        <f aca="false">IF(OR(N178="",P178=1),"",N178&amp;"#"&amp;COUNTIFS($N$8:N178,N178,$P$8:P178,0))</f>
        <v/>
      </c>
      <c r="R178" s="9" t="n">
        <f aca="false">IF(N178="",0,IFERROR(MATCH(ROW()-7,'Cash Book'!$U$8:$U$507,0),0))</f>
        <v>0</v>
      </c>
      <c r="V178" s="9" t="str">
        <f aca="false">IF(AND(N178&lt;&gt;"",R178=0),IF(M178="IN",3,4)*100000+ROW(),"")</f>
        <v/>
      </c>
      <c r="W178" s="9" t="n">
        <f aca="false">N(E178)+N(F178)</f>
        <v>0</v>
      </c>
    </row>
    <row r="179" customFormat="false" ht="15" hidden="false" customHeight="false" outlineLevel="0" collapsed="false">
      <c r="A179" s="37" t="str">
        <f aca="false">IF(M179="","",ROW()-7)</f>
        <v/>
      </c>
      <c r="B179" s="70"/>
      <c r="C179" s="72"/>
      <c r="D179" s="71"/>
      <c r="E179" s="73"/>
      <c r="F179" s="73"/>
      <c r="G179" s="73"/>
      <c r="H179" s="42" t="str">
        <f aca="false">IF(M179="","",IF(R179&gt;0,"✔ Matched",IF(M179="IN","Not in cash book (credit)","Not in cash book (debit)")))</f>
        <v/>
      </c>
      <c r="I179" s="43" t="str">
        <f aca="false">IF(N(R179)&gt;0,R179,"")</f>
        <v/>
      </c>
      <c r="J179" s="45" t="str">
        <f aca="false">IF(AND(M179="",B179="",C179=""),"",IF(AND(N(E179)&gt;0,N(F179)&gt;0),"⚠ Fill withdrawal OR deposit",IF(M179="","⚠ Enter amount",IF(B179="","⚠ Enter date",IF(NOT(OR(NOT(ISNUMBER(G179)),NOT(ISNUMBER(G178)),ABS(N(G179)-(N(G178)+N(F179)-N(E179)))&lt;=0.5)),"⚠ Balance does not follow previous row","✔")))))</f>
        <v/>
      </c>
      <c r="M179" s="9" t="str">
        <f aca="false">IF(N(F179)&gt;0,"IN",IF(N(E179)&gt;0,"OUT",""))</f>
        <v/>
      </c>
      <c r="N179" s="9" t="str">
        <f aca="false">IF(M179="","",M179&amp;"|"&amp;TEXT(ROUND(N(E179)+N(F179),2),"0.00"))</f>
        <v/>
      </c>
      <c r="O179" s="9" t="str">
        <f aca="false">IF(OR(N179="",TRIM(D179&amp;"")=""),"",N179&amp;"|"&amp;UPPER(TRIM(D179&amp;"")))</f>
        <v/>
      </c>
      <c r="P179" s="9" t="n">
        <f aca="false">IF(O179="",0,IF(COUNTIF('Cash Book'!$O$8:$O$507,O179)&gt;0,1,0))</f>
        <v>0</v>
      </c>
      <c r="Q179" s="9" t="str">
        <f aca="false">IF(OR(N179="",P179=1),"",N179&amp;"#"&amp;COUNTIFS($N$8:N179,N179,$P$8:P179,0))</f>
        <v/>
      </c>
      <c r="R179" s="9" t="n">
        <f aca="false">IF(N179="",0,IFERROR(MATCH(ROW()-7,'Cash Book'!$U$8:$U$507,0),0))</f>
        <v>0</v>
      </c>
      <c r="V179" s="9" t="str">
        <f aca="false">IF(AND(N179&lt;&gt;"",R179=0),IF(M179="IN",3,4)*100000+ROW(),"")</f>
        <v/>
      </c>
      <c r="W179" s="9" t="n">
        <f aca="false">N(E179)+N(F179)</f>
        <v>0</v>
      </c>
    </row>
    <row r="180" customFormat="false" ht="15" hidden="false" customHeight="false" outlineLevel="0" collapsed="false">
      <c r="A180" s="37" t="str">
        <f aca="false">IF(M180="","",ROW()-7)</f>
        <v/>
      </c>
      <c r="B180" s="70"/>
      <c r="C180" s="72"/>
      <c r="D180" s="71"/>
      <c r="E180" s="73"/>
      <c r="F180" s="73"/>
      <c r="G180" s="73"/>
      <c r="H180" s="42" t="str">
        <f aca="false">IF(M180="","",IF(R180&gt;0,"✔ Matched",IF(M180="IN","Not in cash book (credit)","Not in cash book (debit)")))</f>
        <v/>
      </c>
      <c r="I180" s="43" t="str">
        <f aca="false">IF(N(R180)&gt;0,R180,"")</f>
        <v/>
      </c>
      <c r="J180" s="45" t="str">
        <f aca="false">IF(AND(M180="",B180="",C180=""),"",IF(AND(N(E180)&gt;0,N(F180)&gt;0),"⚠ Fill withdrawal OR deposit",IF(M180="","⚠ Enter amount",IF(B180="","⚠ Enter date",IF(NOT(OR(NOT(ISNUMBER(G180)),NOT(ISNUMBER(G179)),ABS(N(G180)-(N(G179)+N(F180)-N(E180)))&lt;=0.5)),"⚠ Balance does not follow previous row","✔")))))</f>
        <v/>
      </c>
      <c r="M180" s="9" t="str">
        <f aca="false">IF(N(F180)&gt;0,"IN",IF(N(E180)&gt;0,"OUT",""))</f>
        <v/>
      </c>
      <c r="N180" s="9" t="str">
        <f aca="false">IF(M180="","",M180&amp;"|"&amp;TEXT(ROUND(N(E180)+N(F180),2),"0.00"))</f>
        <v/>
      </c>
      <c r="O180" s="9" t="str">
        <f aca="false">IF(OR(N180="",TRIM(D180&amp;"")=""),"",N180&amp;"|"&amp;UPPER(TRIM(D180&amp;"")))</f>
        <v/>
      </c>
      <c r="P180" s="9" t="n">
        <f aca="false">IF(O180="",0,IF(COUNTIF('Cash Book'!$O$8:$O$507,O180)&gt;0,1,0))</f>
        <v>0</v>
      </c>
      <c r="Q180" s="9" t="str">
        <f aca="false">IF(OR(N180="",P180=1),"",N180&amp;"#"&amp;COUNTIFS($N$8:N180,N180,$P$8:P180,0))</f>
        <v/>
      </c>
      <c r="R180" s="9" t="n">
        <f aca="false">IF(N180="",0,IFERROR(MATCH(ROW()-7,'Cash Book'!$U$8:$U$507,0),0))</f>
        <v>0</v>
      </c>
      <c r="V180" s="9" t="str">
        <f aca="false">IF(AND(N180&lt;&gt;"",R180=0),IF(M180="IN",3,4)*100000+ROW(),"")</f>
        <v/>
      </c>
      <c r="W180" s="9" t="n">
        <f aca="false">N(E180)+N(F180)</f>
        <v>0</v>
      </c>
    </row>
    <row r="181" customFormat="false" ht="15" hidden="false" customHeight="false" outlineLevel="0" collapsed="false">
      <c r="A181" s="37" t="str">
        <f aca="false">IF(M181="","",ROW()-7)</f>
        <v/>
      </c>
      <c r="B181" s="70"/>
      <c r="C181" s="72"/>
      <c r="D181" s="71"/>
      <c r="E181" s="73"/>
      <c r="F181" s="73"/>
      <c r="G181" s="73"/>
      <c r="H181" s="42" t="str">
        <f aca="false">IF(M181="","",IF(R181&gt;0,"✔ Matched",IF(M181="IN","Not in cash book (credit)","Not in cash book (debit)")))</f>
        <v/>
      </c>
      <c r="I181" s="43" t="str">
        <f aca="false">IF(N(R181)&gt;0,R181,"")</f>
        <v/>
      </c>
      <c r="J181" s="45" t="str">
        <f aca="false">IF(AND(M181="",B181="",C181=""),"",IF(AND(N(E181)&gt;0,N(F181)&gt;0),"⚠ Fill withdrawal OR deposit",IF(M181="","⚠ Enter amount",IF(B181="","⚠ Enter date",IF(NOT(OR(NOT(ISNUMBER(G181)),NOT(ISNUMBER(G180)),ABS(N(G181)-(N(G180)+N(F181)-N(E181)))&lt;=0.5)),"⚠ Balance does not follow previous row","✔")))))</f>
        <v/>
      </c>
      <c r="M181" s="9" t="str">
        <f aca="false">IF(N(F181)&gt;0,"IN",IF(N(E181)&gt;0,"OUT",""))</f>
        <v/>
      </c>
      <c r="N181" s="9" t="str">
        <f aca="false">IF(M181="","",M181&amp;"|"&amp;TEXT(ROUND(N(E181)+N(F181),2),"0.00"))</f>
        <v/>
      </c>
      <c r="O181" s="9" t="str">
        <f aca="false">IF(OR(N181="",TRIM(D181&amp;"")=""),"",N181&amp;"|"&amp;UPPER(TRIM(D181&amp;"")))</f>
        <v/>
      </c>
      <c r="P181" s="9" t="n">
        <f aca="false">IF(O181="",0,IF(COUNTIF('Cash Book'!$O$8:$O$507,O181)&gt;0,1,0))</f>
        <v>0</v>
      </c>
      <c r="Q181" s="9" t="str">
        <f aca="false">IF(OR(N181="",P181=1),"",N181&amp;"#"&amp;COUNTIFS($N$8:N181,N181,$P$8:P181,0))</f>
        <v/>
      </c>
      <c r="R181" s="9" t="n">
        <f aca="false">IF(N181="",0,IFERROR(MATCH(ROW()-7,'Cash Book'!$U$8:$U$507,0),0))</f>
        <v>0</v>
      </c>
      <c r="V181" s="9" t="str">
        <f aca="false">IF(AND(N181&lt;&gt;"",R181=0),IF(M181="IN",3,4)*100000+ROW(),"")</f>
        <v/>
      </c>
      <c r="W181" s="9" t="n">
        <f aca="false">N(E181)+N(F181)</f>
        <v>0</v>
      </c>
    </row>
    <row r="182" customFormat="false" ht="15" hidden="false" customHeight="false" outlineLevel="0" collapsed="false">
      <c r="A182" s="37" t="str">
        <f aca="false">IF(M182="","",ROW()-7)</f>
        <v/>
      </c>
      <c r="B182" s="70"/>
      <c r="C182" s="72"/>
      <c r="D182" s="71"/>
      <c r="E182" s="73"/>
      <c r="F182" s="73"/>
      <c r="G182" s="73"/>
      <c r="H182" s="42" t="str">
        <f aca="false">IF(M182="","",IF(R182&gt;0,"✔ Matched",IF(M182="IN","Not in cash book (credit)","Not in cash book (debit)")))</f>
        <v/>
      </c>
      <c r="I182" s="43" t="str">
        <f aca="false">IF(N(R182)&gt;0,R182,"")</f>
        <v/>
      </c>
      <c r="J182" s="45" t="str">
        <f aca="false">IF(AND(M182="",B182="",C182=""),"",IF(AND(N(E182)&gt;0,N(F182)&gt;0),"⚠ Fill withdrawal OR deposit",IF(M182="","⚠ Enter amount",IF(B182="","⚠ Enter date",IF(NOT(OR(NOT(ISNUMBER(G182)),NOT(ISNUMBER(G181)),ABS(N(G182)-(N(G181)+N(F182)-N(E182)))&lt;=0.5)),"⚠ Balance does not follow previous row","✔")))))</f>
        <v/>
      </c>
      <c r="M182" s="9" t="str">
        <f aca="false">IF(N(F182)&gt;0,"IN",IF(N(E182)&gt;0,"OUT",""))</f>
        <v/>
      </c>
      <c r="N182" s="9" t="str">
        <f aca="false">IF(M182="","",M182&amp;"|"&amp;TEXT(ROUND(N(E182)+N(F182),2),"0.00"))</f>
        <v/>
      </c>
      <c r="O182" s="9" t="str">
        <f aca="false">IF(OR(N182="",TRIM(D182&amp;"")=""),"",N182&amp;"|"&amp;UPPER(TRIM(D182&amp;"")))</f>
        <v/>
      </c>
      <c r="P182" s="9" t="n">
        <f aca="false">IF(O182="",0,IF(COUNTIF('Cash Book'!$O$8:$O$507,O182)&gt;0,1,0))</f>
        <v>0</v>
      </c>
      <c r="Q182" s="9" t="str">
        <f aca="false">IF(OR(N182="",P182=1),"",N182&amp;"#"&amp;COUNTIFS($N$8:N182,N182,$P$8:P182,0))</f>
        <v/>
      </c>
      <c r="R182" s="9" t="n">
        <f aca="false">IF(N182="",0,IFERROR(MATCH(ROW()-7,'Cash Book'!$U$8:$U$507,0),0))</f>
        <v>0</v>
      </c>
      <c r="V182" s="9" t="str">
        <f aca="false">IF(AND(N182&lt;&gt;"",R182=0),IF(M182="IN",3,4)*100000+ROW(),"")</f>
        <v/>
      </c>
      <c r="W182" s="9" t="n">
        <f aca="false">N(E182)+N(F182)</f>
        <v>0</v>
      </c>
    </row>
    <row r="183" customFormat="false" ht="15" hidden="false" customHeight="false" outlineLevel="0" collapsed="false">
      <c r="A183" s="37" t="str">
        <f aca="false">IF(M183="","",ROW()-7)</f>
        <v/>
      </c>
      <c r="B183" s="70"/>
      <c r="C183" s="72"/>
      <c r="D183" s="71"/>
      <c r="E183" s="73"/>
      <c r="F183" s="73"/>
      <c r="G183" s="73"/>
      <c r="H183" s="42" t="str">
        <f aca="false">IF(M183="","",IF(R183&gt;0,"✔ Matched",IF(M183="IN","Not in cash book (credit)","Not in cash book (debit)")))</f>
        <v/>
      </c>
      <c r="I183" s="43" t="str">
        <f aca="false">IF(N(R183)&gt;0,R183,"")</f>
        <v/>
      </c>
      <c r="J183" s="45" t="str">
        <f aca="false">IF(AND(M183="",B183="",C183=""),"",IF(AND(N(E183)&gt;0,N(F183)&gt;0),"⚠ Fill withdrawal OR deposit",IF(M183="","⚠ Enter amount",IF(B183="","⚠ Enter date",IF(NOT(OR(NOT(ISNUMBER(G183)),NOT(ISNUMBER(G182)),ABS(N(G183)-(N(G182)+N(F183)-N(E183)))&lt;=0.5)),"⚠ Balance does not follow previous row","✔")))))</f>
        <v/>
      </c>
      <c r="M183" s="9" t="str">
        <f aca="false">IF(N(F183)&gt;0,"IN",IF(N(E183)&gt;0,"OUT",""))</f>
        <v/>
      </c>
      <c r="N183" s="9" t="str">
        <f aca="false">IF(M183="","",M183&amp;"|"&amp;TEXT(ROUND(N(E183)+N(F183),2),"0.00"))</f>
        <v/>
      </c>
      <c r="O183" s="9" t="str">
        <f aca="false">IF(OR(N183="",TRIM(D183&amp;"")=""),"",N183&amp;"|"&amp;UPPER(TRIM(D183&amp;"")))</f>
        <v/>
      </c>
      <c r="P183" s="9" t="n">
        <f aca="false">IF(O183="",0,IF(COUNTIF('Cash Book'!$O$8:$O$507,O183)&gt;0,1,0))</f>
        <v>0</v>
      </c>
      <c r="Q183" s="9" t="str">
        <f aca="false">IF(OR(N183="",P183=1),"",N183&amp;"#"&amp;COUNTIFS($N$8:N183,N183,$P$8:P183,0))</f>
        <v/>
      </c>
      <c r="R183" s="9" t="n">
        <f aca="false">IF(N183="",0,IFERROR(MATCH(ROW()-7,'Cash Book'!$U$8:$U$507,0),0))</f>
        <v>0</v>
      </c>
      <c r="V183" s="9" t="str">
        <f aca="false">IF(AND(N183&lt;&gt;"",R183=0),IF(M183="IN",3,4)*100000+ROW(),"")</f>
        <v/>
      </c>
      <c r="W183" s="9" t="n">
        <f aca="false">N(E183)+N(F183)</f>
        <v>0</v>
      </c>
    </row>
    <row r="184" customFormat="false" ht="15" hidden="false" customHeight="false" outlineLevel="0" collapsed="false">
      <c r="A184" s="37" t="str">
        <f aca="false">IF(M184="","",ROW()-7)</f>
        <v/>
      </c>
      <c r="B184" s="70"/>
      <c r="C184" s="72"/>
      <c r="D184" s="71"/>
      <c r="E184" s="73"/>
      <c r="F184" s="73"/>
      <c r="G184" s="73"/>
      <c r="H184" s="42" t="str">
        <f aca="false">IF(M184="","",IF(R184&gt;0,"✔ Matched",IF(M184="IN","Not in cash book (credit)","Not in cash book (debit)")))</f>
        <v/>
      </c>
      <c r="I184" s="43" t="str">
        <f aca="false">IF(N(R184)&gt;0,R184,"")</f>
        <v/>
      </c>
      <c r="J184" s="45" t="str">
        <f aca="false">IF(AND(M184="",B184="",C184=""),"",IF(AND(N(E184)&gt;0,N(F184)&gt;0),"⚠ Fill withdrawal OR deposit",IF(M184="","⚠ Enter amount",IF(B184="","⚠ Enter date",IF(NOT(OR(NOT(ISNUMBER(G184)),NOT(ISNUMBER(G183)),ABS(N(G184)-(N(G183)+N(F184)-N(E184)))&lt;=0.5)),"⚠ Balance does not follow previous row","✔")))))</f>
        <v/>
      </c>
      <c r="M184" s="9" t="str">
        <f aca="false">IF(N(F184)&gt;0,"IN",IF(N(E184)&gt;0,"OUT",""))</f>
        <v/>
      </c>
      <c r="N184" s="9" t="str">
        <f aca="false">IF(M184="","",M184&amp;"|"&amp;TEXT(ROUND(N(E184)+N(F184),2),"0.00"))</f>
        <v/>
      </c>
      <c r="O184" s="9" t="str">
        <f aca="false">IF(OR(N184="",TRIM(D184&amp;"")=""),"",N184&amp;"|"&amp;UPPER(TRIM(D184&amp;"")))</f>
        <v/>
      </c>
      <c r="P184" s="9" t="n">
        <f aca="false">IF(O184="",0,IF(COUNTIF('Cash Book'!$O$8:$O$507,O184)&gt;0,1,0))</f>
        <v>0</v>
      </c>
      <c r="Q184" s="9" t="str">
        <f aca="false">IF(OR(N184="",P184=1),"",N184&amp;"#"&amp;COUNTIFS($N$8:N184,N184,$P$8:P184,0))</f>
        <v/>
      </c>
      <c r="R184" s="9" t="n">
        <f aca="false">IF(N184="",0,IFERROR(MATCH(ROW()-7,'Cash Book'!$U$8:$U$507,0),0))</f>
        <v>0</v>
      </c>
      <c r="V184" s="9" t="str">
        <f aca="false">IF(AND(N184&lt;&gt;"",R184=0),IF(M184="IN",3,4)*100000+ROW(),"")</f>
        <v/>
      </c>
      <c r="W184" s="9" t="n">
        <f aca="false">N(E184)+N(F184)</f>
        <v>0</v>
      </c>
    </row>
    <row r="185" customFormat="false" ht="15" hidden="false" customHeight="false" outlineLevel="0" collapsed="false">
      <c r="A185" s="37" t="str">
        <f aca="false">IF(M185="","",ROW()-7)</f>
        <v/>
      </c>
      <c r="B185" s="70"/>
      <c r="C185" s="72"/>
      <c r="D185" s="71"/>
      <c r="E185" s="73"/>
      <c r="F185" s="73"/>
      <c r="G185" s="73"/>
      <c r="H185" s="42" t="str">
        <f aca="false">IF(M185="","",IF(R185&gt;0,"✔ Matched",IF(M185="IN","Not in cash book (credit)","Not in cash book (debit)")))</f>
        <v/>
      </c>
      <c r="I185" s="43" t="str">
        <f aca="false">IF(N(R185)&gt;0,R185,"")</f>
        <v/>
      </c>
      <c r="J185" s="45" t="str">
        <f aca="false">IF(AND(M185="",B185="",C185=""),"",IF(AND(N(E185)&gt;0,N(F185)&gt;0),"⚠ Fill withdrawal OR deposit",IF(M185="","⚠ Enter amount",IF(B185="","⚠ Enter date",IF(NOT(OR(NOT(ISNUMBER(G185)),NOT(ISNUMBER(G184)),ABS(N(G185)-(N(G184)+N(F185)-N(E185)))&lt;=0.5)),"⚠ Balance does not follow previous row","✔")))))</f>
        <v/>
      </c>
      <c r="M185" s="9" t="str">
        <f aca="false">IF(N(F185)&gt;0,"IN",IF(N(E185)&gt;0,"OUT",""))</f>
        <v/>
      </c>
      <c r="N185" s="9" t="str">
        <f aca="false">IF(M185="","",M185&amp;"|"&amp;TEXT(ROUND(N(E185)+N(F185),2),"0.00"))</f>
        <v/>
      </c>
      <c r="O185" s="9" t="str">
        <f aca="false">IF(OR(N185="",TRIM(D185&amp;"")=""),"",N185&amp;"|"&amp;UPPER(TRIM(D185&amp;"")))</f>
        <v/>
      </c>
      <c r="P185" s="9" t="n">
        <f aca="false">IF(O185="",0,IF(COUNTIF('Cash Book'!$O$8:$O$507,O185)&gt;0,1,0))</f>
        <v>0</v>
      </c>
      <c r="Q185" s="9" t="str">
        <f aca="false">IF(OR(N185="",P185=1),"",N185&amp;"#"&amp;COUNTIFS($N$8:N185,N185,$P$8:P185,0))</f>
        <v/>
      </c>
      <c r="R185" s="9" t="n">
        <f aca="false">IF(N185="",0,IFERROR(MATCH(ROW()-7,'Cash Book'!$U$8:$U$507,0),0))</f>
        <v>0</v>
      </c>
      <c r="V185" s="9" t="str">
        <f aca="false">IF(AND(N185&lt;&gt;"",R185=0),IF(M185="IN",3,4)*100000+ROW(),"")</f>
        <v/>
      </c>
      <c r="W185" s="9" t="n">
        <f aca="false">N(E185)+N(F185)</f>
        <v>0</v>
      </c>
    </row>
    <row r="186" customFormat="false" ht="15" hidden="false" customHeight="false" outlineLevel="0" collapsed="false">
      <c r="A186" s="37" t="str">
        <f aca="false">IF(M186="","",ROW()-7)</f>
        <v/>
      </c>
      <c r="B186" s="70"/>
      <c r="C186" s="72"/>
      <c r="D186" s="71"/>
      <c r="E186" s="73"/>
      <c r="F186" s="73"/>
      <c r="G186" s="73"/>
      <c r="H186" s="42" t="str">
        <f aca="false">IF(M186="","",IF(R186&gt;0,"✔ Matched",IF(M186="IN","Not in cash book (credit)","Not in cash book (debit)")))</f>
        <v/>
      </c>
      <c r="I186" s="43" t="str">
        <f aca="false">IF(N(R186)&gt;0,R186,"")</f>
        <v/>
      </c>
      <c r="J186" s="45" t="str">
        <f aca="false">IF(AND(M186="",B186="",C186=""),"",IF(AND(N(E186)&gt;0,N(F186)&gt;0),"⚠ Fill withdrawal OR deposit",IF(M186="","⚠ Enter amount",IF(B186="","⚠ Enter date",IF(NOT(OR(NOT(ISNUMBER(G186)),NOT(ISNUMBER(G185)),ABS(N(G186)-(N(G185)+N(F186)-N(E186)))&lt;=0.5)),"⚠ Balance does not follow previous row","✔")))))</f>
        <v/>
      </c>
      <c r="M186" s="9" t="str">
        <f aca="false">IF(N(F186)&gt;0,"IN",IF(N(E186)&gt;0,"OUT",""))</f>
        <v/>
      </c>
      <c r="N186" s="9" t="str">
        <f aca="false">IF(M186="","",M186&amp;"|"&amp;TEXT(ROUND(N(E186)+N(F186),2),"0.00"))</f>
        <v/>
      </c>
      <c r="O186" s="9" t="str">
        <f aca="false">IF(OR(N186="",TRIM(D186&amp;"")=""),"",N186&amp;"|"&amp;UPPER(TRIM(D186&amp;"")))</f>
        <v/>
      </c>
      <c r="P186" s="9" t="n">
        <f aca="false">IF(O186="",0,IF(COUNTIF('Cash Book'!$O$8:$O$507,O186)&gt;0,1,0))</f>
        <v>0</v>
      </c>
      <c r="Q186" s="9" t="str">
        <f aca="false">IF(OR(N186="",P186=1),"",N186&amp;"#"&amp;COUNTIFS($N$8:N186,N186,$P$8:P186,0))</f>
        <v/>
      </c>
      <c r="R186" s="9" t="n">
        <f aca="false">IF(N186="",0,IFERROR(MATCH(ROW()-7,'Cash Book'!$U$8:$U$507,0),0))</f>
        <v>0</v>
      </c>
      <c r="V186" s="9" t="str">
        <f aca="false">IF(AND(N186&lt;&gt;"",R186=0),IF(M186="IN",3,4)*100000+ROW(),"")</f>
        <v/>
      </c>
      <c r="W186" s="9" t="n">
        <f aca="false">N(E186)+N(F186)</f>
        <v>0</v>
      </c>
    </row>
    <row r="187" customFormat="false" ht="15" hidden="false" customHeight="false" outlineLevel="0" collapsed="false">
      <c r="A187" s="37" t="str">
        <f aca="false">IF(M187="","",ROW()-7)</f>
        <v/>
      </c>
      <c r="B187" s="70"/>
      <c r="C187" s="72"/>
      <c r="D187" s="71"/>
      <c r="E187" s="73"/>
      <c r="F187" s="73"/>
      <c r="G187" s="73"/>
      <c r="H187" s="42" t="str">
        <f aca="false">IF(M187="","",IF(R187&gt;0,"✔ Matched",IF(M187="IN","Not in cash book (credit)","Not in cash book (debit)")))</f>
        <v/>
      </c>
      <c r="I187" s="43" t="str">
        <f aca="false">IF(N(R187)&gt;0,R187,"")</f>
        <v/>
      </c>
      <c r="J187" s="45" t="str">
        <f aca="false">IF(AND(M187="",B187="",C187=""),"",IF(AND(N(E187)&gt;0,N(F187)&gt;0),"⚠ Fill withdrawal OR deposit",IF(M187="","⚠ Enter amount",IF(B187="","⚠ Enter date",IF(NOT(OR(NOT(ISNUMBER(G187)),NOT(ISNUMBER(G186)),ABS(N(G187)-(N(G186)+N(F187)-N(E187)))&lt;=0.5)),"⚠ Balance does not follow previous row","✔")))))</f>
        <v/>
      </c>
      <c r="M187" s="9" t="str">
        <f aca="false">IF(N(F187)&gt;0,"IN",IF(N(E187)&gt;0,"OUT",""))</f>
        <v/>
      </c>
      <c r="N187" s="9" t="str">
        <f aca="false">IF(M187="","",M187&amp;"|"&amp;TEXT(ROUND(N(E187)+N(F187),2),"0.00"))</f>
        <v/>
      </c>
      <c r="O187" s="9" t="str">
        <f aca="false">IF(OR(N187="",TRIM(D187&amp;"")=""),"",N187&amp;"|"&amp;UPPER(TRIM(D187&amp;"")))</f>
        <v/>
      </c>
      <c r="P187" s="9" t="n">
        <f aca="false">IF(O187="",0,IF(COUNTIF('Cash Book'!$O$8:$O$507,O187)&gt;0,1,0))</f>
        <v>0</v>
      </c>
      <c r="Q187" s="9" t="str">
        <f aca="false">IF(OR(N187="",P187=1),"",N187&amp;"#"&amp;COUNTIFS($N$8:N187,N187,$P$8:P187,0))</f>
        <v/>
      </c>
      <c r="R187" s="9" t="n">
        <f aca="false">IF(N187="",0,IFERROR(MATCH(ROW()-7,'Cash Book'!$U$8:$U$507,0),0))</f>
        <v>0</v>
      </c>
      <c r="V187" s="9" t="str">
        <f aca="false">IF(AND(N187&lt;&gt;"",R187=0),IF(M187="IN",3,4)*100000+ROW(),"")</f>
        <v/>
      </c>
      <c r="W187" s="9" t="n">
        <f aca="false">N(E187)+N(F187)</f>
        <v>0</v>
      </c>
    </row>
    <row r="188" customFormat="false" ht="15" hidden="false" customHeight="false" outlineLevel="0" collapsed="false">
      <c r="A188" s="37" t="str">
        <f aca="false">IF(M188="","",ROW()-7)</f>
        <v/>
      </c>
      <c r="B188" s="70"/>
      <c r="C188" s="72"/>
      <c r="D188" s="71"/>
      <c r="E188" s="73"/>
      <c r="F188" s="73"/>
      <c r="G188" s="73"/>
      <c r="H188" s="42" t="str">
        <f aca="false">IF(M188="","",IF(R188&gt;0,"✔ Matched",IF(M188="IN","Not in cash book (credit)","Not in cash book (debit)")))</f>
        <v/>
      </c>
      <c r="I188" s="43" t="str">
        <f aca="false">IF(N(R188)&gt;0,R188,"")</f>
        <v/>
      </c>
      <c r="J188" s="45" t="str">
        <f aca="false">IF(AND(M188="",B188="",C188=""),"",IF(AND(N(E188)&gt;0,N(F188)&gt;0),"⚠ Fill withdrawal OR deposit",IF(M188="","⚠ Enter amount",IF(B188="","⚠ Enter date",IF(NOT(OR(NOT(ISNUMBER(G188)),NOT(ISNUMBER(G187)),ABS(N(G188)-(N(G187)+N(F188)-N(E188)))&lt;=0.5)),"⚠ Balance does not follow previous row","✔")))))</f>
        <v/>
      </c>
      <c r="M188" s="9" t="str">
        <f aca="false">IF(N(F188)&gt;0,"IN",IF(N(E188)&gt;0,"OUT",""))</f>
        <v/>
      </c>
      <c r="N188" s="9" t="str">
        <f aca="false">IF(M188="","",M188&amp;"|"&amp;TEXT(ROUND(N(E188)+N(F188),2),"0.00"))</f>
        <v/>
      </c>
      <c r="O188" s="9" t="str">
        <f aca="false">IF(OR(N188="",TRIM(D188&amp;"")=""),"",N188&amp;"|"&amp;UPPER(TRIM(D188&amp;"")))</f>
        <v/>
      </c>
      <c r="P188" s="9" t="n">
        <f aca="false">IF(O188="",0,IF(COUNTIF('Cash Book'!$O$8:$O$507,O188)&gt;0,1,0))</f>
        <v>0</v>
      </c>
      <c r="Q188" s="9" t="str">
        <f aca="false">IF(OR(N188="",P188=1),"",N188&amp;"#"&amp;COUNTIFS($N$8:N188,N188,$P$8:P188,0))</f>
        <v/>
      </c>
      <c r="R188" s="9" t="n">
        <f aca="false">IF(N188="",0,IFERROR(MATCH(ROW()-7,'Cash Book'!$U$8:$U$507,0),0))</f>
        <v>0</v>
      </c>
      <c r="V188" s="9" t="str">
        <f aca="false">IF(AND(N188&lt;&gt;"",R188=0),IF(M188="IN",3,4)*100000+ROW(),"")</f>
        <v/>
      </c>
      <c r="W188" s="9" t="n">
        <f aca="false">N(E188)+N(F188)</f>
        <v>0</v>
      </c>
    </row>
    <row r="189" customFormat="false" ht="15" hidden="false" customHeight="false" outlineLevel="0" collapsed="false">
      <c r="A189" s="37" t="str">
        <f aca="false">IF(M189="","",ROW()-7)</f>
        <v/>
      </c>
      <c r="B189" s="70"/>
      <c r="C189" s="72"/>
      <c r="D189" s="71"/>
      <c r="E189" s="73"/>
      <c r="F189" s="73"/>
      <c r="G189" s="73"/>
      <c r="H189" s="42" t="str">
        <f aca="false">IF(M189="","",IF(R189&gt;0,"✔ Matched",IF(M189="IN","Not in cash book (credit)","Not in cash book (debit)")))</f>
        <v/>
      </c>
      <c r="I189" s="43" t="str">
        <f aca="false">IF(N(R189)&gt;0,R189,"")</f>
        <v/>
      </c>
      <c r="J189" s="45" t="str">
        <f aca="false">IF(AND(M189="",B189="",C189=""),"",IF(AND(N(E189)&gt;0,N(F189)&gt;0),"⚠ Fill withdrawal OR deposit",IF(M189="","⚠ Enter amount",IF(B189="","⚠ Enter date",IF(NOT(OR(NOT(ISNUMBER(G189)),NOT(ISNUMBER(G188)),ABS(N(G189)-(N(G188)+N(F189)-N(E189)))&lt;=0.5)),"⚠ Balance does not follow previous row","✔")))))</f>
        <v/>
      </c>
      <c r="M189" s="9" t="str">
        <f aca="false">IF(N(F189)&gt;0,"IN",IF(N(E189)&gt;0,"OUT",""))</f>
        <v/>
      </c>
      <c r="N189" s="9" t="str">
        <f aca="false">IF(M189="","",M189&amp;"|"&amp;TEXT(ROUND(N(E189)+N(F189),2),"0.00"))</f>
        <v/>
      </c>
      <c r="O189" s="9" t="str">
        <f aca="false">IF(OR(N189="",TRIM(D189&amp;"")=""),"",N189&amp;"|"&amp;UPPER(TRIM(D189&amp;"")))</f>
        <v/>
      </c>
      <c r="P189" s="9" t="n">
        <f aca="false">IF(O189="",0,IF(COUNTIF('Cash Book'!$O$8:$O$507,O189)&gt;0,1,0))</f>
        <v>0</v>
      </c>
      <c r="Q189" s="9" t="str">
        <f aca="false">IF(OR(N189="",P189=1),"",N189&amp;"#"&amp;COUNTIFS($N$8:N189,N189,$P$8:P189,0))</f>
        <v/>
      </c>
      <c r="R189" s="9" t="n">
        <f aca="false">IF(N189="",0,IFERROR(MATCH(ROW()-7,'Cash Book'!$U$8:$U$507,0),0))</f>
        <v>0</v>
      </c>
      <c r="V189" s="9" t="str">
        <f aca="false">IF(AND(N189&lt;&gt;"",R189=0),IF(M189="IN",3,4)*100000+ROW(),"")</f>
        <v/>
      </c>
      <c r="W189" s="9" t="n">
        <f aca="false">N(E189)+N(F189)</f>
        <v>0</v>
      </c>
    </row>
    <row r="190" customFormat="false" ht="15" hidden="false" customHeight="false" outlineLevel="0" collapsed="false">
      <c r="A190" s="37" t="str">
        <f aca="false">IF(M190="","",ROW()-7)</f>
        <v/>
      </c>
      <c r="B190" s="70"/>
      <c r="C190" s="72"/>
      <c r="D190" s="71"/>
      <c r="E190" s="73"/>
      <c r="F190" s="73"/>
      <c r="G190" s="73"/>
      <c r="H190" s="42" t="str">
        <f aca="false">IF(M190="","",IF(R190&gt;0,"✔ Matched",IF(M190="IN","Not in cash book (credit)","Not in cash book (debit)")))</f>
        <v/>
      </c>
      <c r="I190" s="43" t="str">
        <f aca="false">IF(N(R190)&gt;0,R190,"")</f>
        <v/>
      </c>
      <c r="J190" s="45" t="str">
        <f aca="false">IF(AND(M190="",B190="",C190=""),"",IF(AND(N(E190)&gt;0,N(F190)&gt;0),"⚠ Fill withdrawal OR deposit",IF(M190="","⚠ Enter amount",IF(B190="","⚠ Enter date",IF(NOT(OR(NOT(ISNUMBER(G190)),NOT(ISNUMBER(G189)),ABS(N(G190)-(N(G189)+N(F190)-N(E190)))&lt;=0.5)),"⚠ Balance does not follow previous row","✔")))))</f>
        <v/>
      </c>
      <c r="M190" s="9" t="str">
        <f aca="false">IF(N(F190)&gt;0,"IN",IF(N(E190)&gt;0,"OUT",""))</f>
        <v/>
      </c>
      <c r="N190" s="9" t="str">
        <f aca="false">IF(M190="","",M190&amp;"|"&amp;TEXT(ROUND(N(E190)+N(F190),2),"0.00"))</f>
        <v/>
      </c>
      <c r="O190" s="9" t="str">
        <f aca="false">IF(OR(N190="",TRIM(D190&amp;"")=""),"",N190&amp;"|"&amp;UPPER(TRIM(D190&amp;"")))</f>
        <v/>
      </c>
      <c r="P190" s="9" t="n">
        <f aca="false">IF(O190="",0,IF(COUNTIF('Cash Book'!$O$8:$O$507,O190)&gt;0,1,0))</f>
        <v>0</v>
      </c>
      <c r="Q190" s="9" t="str">
        <f aca="false">IF(OR(N190="",P190=1),"",N190&amp;"#"&amp;COUNTIFS($N$8:N190,N190,$P$8:P190,0))</f>
        <v/>
      </c>
      <c r="R190" s="9" t="n">
        <f aca="false">IF(N190="",0,IFERROR(MATCH(ROW()-7,'Cash Book'!$U$8:$U$507,0),0))</f>
        <v>0</v>
      </c>
      <c r="V190" s="9" t="str">
        <f aca="false">IF(AND(N190&lt;&gt;"",R190=0),IF(M190="IN",3,4)*100000+ROW(),"")</f>
        <v/>
      </c>
      <c r="W190" s="9" t="n">
        <f aca="false">N(E190)+N(F190)</f>
        <v>0</v>
      </c>
    </row>
    <row r="191" customFormat="false" ht="15" hidden="false" customHeight="false" outlineLevel="0" collapsed="false">
      <c r="A191" s="37" t="str">
        <f aca="false">IF(M191="","",ROW()-7)</f>
        <v/>
      </c>
      <c r="B191" s="70"/>
      <c r="C191" s="72"/>
      <c r="D191" s="71"/>
      <c r="E191" s="73"/>
      <c r="F191" s="73"/>
      <c r="G191" s="73"/>
      <c r="H191" s="42" t="str">
        <f aca="false">IF(M191="","",IF(R191&gt;0,"✔ Matched",IF(M191="IN","Not in cash book (credit)","Not in cash book (debit)")))</f>
        <v/>
      </c>
      <c r="I191" s="43" t="str">
        <f aca="false">IF(N(R191)&gt;0,R191,"")</f>
        <v/>
      </c>
      <c r="J191" s="45" t="str">
        <f aca="false">IF(AND(M191="",B191="",C191=""),"",IF(AND(N(E191)&gt;0,N(F191)&gt;0),"⚠ Fill withdrawal OR deposit",IF(M191="","⚠ Enter amount",IF(B191="","⚠ Enter date",IF(NOT(OR(NOT(ISNUMBER(G191)),NOT(ISNUMBER(G190)),ABS(N(G191)-(N(G190)+N(F191)-N(E191)))&lt;=0.5)),"⚠ Balance does not follow previous row","✔")))))</f>
        <v/>
      </c>
      <c r="M191" s="9" t="str">
        <f aca="false">IF(N(F191)&gt;0,"IN",IF(N(E191)&gt;0,"OUT",""))</f>
        <v/>
      </c>
      <c r="N191" s="9" t="str">
        <f aca="false">IF(M191="","",M191&amp;"|"&amp;TEXT(ROUND(N(E191)+N(F191),2),"0.00"))</f>
        <v/>
      </c>
      <c r="O191" s="9" t="str">
        <f aca="false">IF(OR(N191="",TRIM(D191&amp;"")=""),"",N191&amp;"|"&amp;UPPER(TRIM(D191&amp;"")))</f>
        <v/>
      </c>
      <c r="P191" s="9" t="n">
        <f aca="false">IF(O191="",0,IF(COUNTIF('Cash Book'!$O$8:$O$507,O191)&gt;0,1,0))</f>
        <v>0</v>
      </c>
      <c r="Q191" s="9" t="str">
        <f aca="false">IF(OR(N191="",P191=1),"",N191&amp;"#"&amp;COUNTIFS($N$8:N191,N191,$P$8:P191,0))</f>
        <v/>
      </c>
      <c r="R191" s="9" t="n">
        <f aca="false">IF(N191="",0,IFERROR(MATCH(ROW()-7,'Cash Book'!$U$8:$U$507,0),0))</f>
        <v>0</v>
      </c>
      <c r="V191" s="9" t="str">
        <f aca="false">IF(AND(N191&lt;&gt;"",R191=0),IF(M191="IN",3,4)*100000+ROW(),"")</f>
        <v/>
      </c>
      <c r="W191" s="9" t="n">
        <f aca="false">N(E191)+N(F191)</f>
        <v>0</v>
      </c>
    </row>
    <row r="192" customFormat="false" ht="15" hidden="false" customHeight="false" outlineLevel="0" collapsed="false">
      <c r="A192" s="37" t="str">
        <f aca="false">IF(M192="","",ROW()-7)</f>
        <v/>
      </c>
      <c r="B192" s="70"/>
      <c r="C192" s="72"/>
      <c r="D192" s="71"/>
      <c r="E192" s="73"/>
      <c r="F192" s="73"/>
      <c r="G192" s="73"/>
      <c r="H192" s="42" t="str">
        <f aca="false">IF(M192="","",IF(R192&gt;0,"✔ Matched",IF(M192="IN","Not in cash book (credit)","Not in cash book (debit)")))</f>
        <v/>
      </c>
      <c r="I192" s="43" t="str">
        <f aca="false">IF(N(R192)&gt;0,R192,"")</f>
        <v/>
      </c>
      <c r="J192" s="45" t="str">
        <f aca="false">IF(AND(M192="",B192="",C192=""),"",IF(AND(N(E192)&gt;0,N(F192)&gt;0),"⚠ Fill withdrawal OR deposit",IF(M192="","⚠ Enter amount",IF(B192="","⚠ Enter date",IF(NOT(OR(NOT(ISNUMBER(G192)),NOT(ISNUMBER(G191)),ABS(N(G192)-(N(G191)+N(F192)-N(E192)))&lt;=0.5)),"⚠ Balance does not follow previous row","✔")))))</f>
        <v/>
      </c>
      <c r="M192" s="9" t="str">
        <f aca="false">IF(N(F192)&gt;0,"IN",IF(N(E192)&gt;0,"OUT",""))</f>
        <v/>
      </c>
      <c r="N192" s="9" t="str">
        <f aca="false">IF(M192="","",M192&amp;"|"&amp;TEXT(ROUND(N(E192)+N(F192),2),"0.00"))</f>
        <v/>
      </c>
      <c r="O192" s="9" t="str">
        <f aca="false">IF(OR(N192="",TRIM(D192&amp;"")=""),"",N192&amp;"|"&amp;UPPER(TRIM(D192&amp;"")))</f>
        <v/>
      </c>
      <c r="P192" s="9" t="n">
        <f aca="false">IF(O192="",0,IF(COUNTIF('Cash Book'!$O$8:$O$507,O192)&gt;0,1,0))</f>
        <v>0</v>
      </c>
      <c r="Q192" s="9" t="str">
        <f aca="false">IF(OR(N192="",P192=1),"",N192&amp;"#"&amp;COUNTIFS($N$8:N192,N192,$P$8:P192,0))</f>
        <v/>
      </c>
      <c r="R192" s="9" t="n">
        <f aca="false">IF(N192="",0,IFERROR(MATCH(ROW()-7,'Cash Book'!$U$8:$U$507,0),0))</f>
        <v>0</v>
      </c>
      <c r="V192" s="9" t="str">
        <f aca="false">IF(AND(N192&lt;&gt;"",R192=0),IF(M192="IN",3,4)*100000+ROW(),"")</f>
        <v/>
      </c>
      <c r="W192" s="9" t="n">
        <f aca="false">N(E192)+N(F192)</f>
        <v>0</v>
      </c>
    </row>
    <row r="193" customFormat="false" ht="15" hidden="false" customHeight="false" outlineLevel="0" collapsed="false">
      <c r="A193" s="37" t="str">
        <f aca="false">IF(M193="","",ROW()-7)</f>
        <v/>
      </c>
      <c r="B193" s="70"/>
      <c r="C193" s="72"/>
      <c r="D193" s="71"/>
      <c r="E193" s="73"/>
      <c r="F193" s="73"/>
      <c r="G193" s="73"/>
      <c r="H193" s="42" t="str">
        <f aca="false">IF(M193="","",IF(R193&gt;0,"✔ Matched",IF(M193="IN","Not in cash book (credit)","Not in cash book (debit)")))</f>
        <v/>
      </c>
      <c r="I193" s="43" t="str">
        <f aca="false">IF(N(R193)&gt;0,R193,"")</f>
        <v/>
      </c>
      <c r="J193" s="45" t="str">
        <f aca="false">IF(AND(M193="",B193="",C193=""),"",IF(AND(N(E193)&gt;0,N(F193)&gt;0),"⚠ Fill withdrawal OR deposit",IF(M193="","⚠ Enter amount",IF(B193="","⚠ Enter date",IF(NOT(OR(NOT(ISNUMBER(G193)),NOT(ISNUMBER(G192)),ABS(N(G193)-(N(G192)+N(F193)-N(E193)))&lt;=0.5)),"⚠ Balance does not follow previous row","✔")))))</f>
        <v/>
      </c>
      <c r="M193" s="9" t="str">
        <f aca="false">IF(N(F193)&gt;0,"IN",IF(N(E193)&gt;0,"OUT",""))</f>
        <v/>
      </c>
      <c r="N193" s="9" t="str">
        <f aca="false">IF(M193="","",M193&amp;"|"&amp;TEXT(ROUND(N(E193)+N(F193),2),"0.00"))</f>
        <v/>
      </c>
      <c r="O193" s="9" t="str">
        <f aca="false">IF(OR(N193="",TRIM(D193&amp;"")=""),"",N193&amp;"|"&amp;UPPER(TRIM(D193&amp;"")))</f>
        <v/>
      </c>
      <c r="P193" s="9" t="n">
        <f aca="false">IF(O193="",0,IF(COUNTIF('Cash Book'!$O$8:$O$507,O193)&gt;0,1,0))</f>
        <v>0</v>
      </c>
      <c r="Q193" s="9" t="str">
        <f aca="false">IF(OR(N193="",P193=1),"",N193&amp;"#"&amp;COUNTIFS($N$8:N193,N193,$P$8:P193,0))</f>
        <v/>
      </c>
      <c r="R193" s="9" t="n">
        <f aca="false">IF(N193="",0,IFERROR(MATCH(ROW()-7,'Cash Book'!$U$8:$U$507,0),0))</f>
        <v>0</v>
      </c>
      <c r="V193" s="9" t="str">
        <f aca="false">IF(AND(N193&lt;&gt;"",R193=0),IF(M193="IN",3,4)*100000+ROW(),"")</f>
        <v/>
      </c>
      <c r="W193" s="9" t="n">
        <f aca="false">N(E193)+N(F193)</f>
        <v>0</v>
      </c>
    </row>
    <row r="194" customFormat="false" ht="15" hidden="false" customHeight="false" outlineLevel="0" collapsed="false">
      <c r="A194" s="37" t="str">
        <f aca="false">IF(M194="","",ROW()-7)</f>
        <v/>
      </c>
      <c r="B194" s="70"/>
      <c r="C194" s="72"/>
      <c r="D194" s="71"/>
      <c r="E194" s="73"/>
      <c r="F194" s="73"/>
      <c r="G194" s="73"/>
      <c r="H194" s="42" t="str">
        <f aca="false">IF(M194="","",IF(R194&gt;0,"✔ Matched",IF(M194="IN","Not in cash book (credit)","Not in cash book (debit)")))</f>
        <v/>
      </c>
      <c r="I194" s="43" t="str">
        <f aca="false">IF(N(R194)&gt;0,R194,"")</f>
        <v/>
      </c>
      <c r="J194" s="45" t="str">
        <f aca="false">IF(AND(M194="",B194="",C194=""),"",IF(AND(N(E194)&gt;0,N(F194)&gt;0),"⚠ Fill withdrawal OR deposit",IF(M194="","⚠ Enter amount",IF(B194="","⚠ Enter date",IF(NOT(OR(NOT(ISNUMBER(G194)),NOT(ISNUMBER(G193)),ABS(N(G194)-(N(G193)+N(F194)-N(E194)))&lt;=0.5)),"⚠ Balance does not follow previous row","✔")))))</f>
        <v/>
      </c>
      <c r="M194" s="9" t="str">
        <f aca="false">IF(N(F194)&gt;0,"IN",IF(N(E194)&gt;0,"OUT",""))</f>
        <v/>
      </c>
      <c r="N194" s="9" t="str">
        <f aca="false">IF(M194="","",M194&amp;"|"&amp;TEXT(ROUND(N(E194)+N(F194),2),"0.00"))</f>
        <v/>
      </c>
      <c r="O194" s="9" t="str">
        <f aca="false">IF(OR(N194="",TRIM(D194&amp;"")=""),"",N194&amp;"|"&amp;UPPER(TRIM(D194&amp;"")))</f>
        <v/>
      </c>
      <c r="P194" s="9" t="n">
        <f aca="false">IF(O194="",0,IF(COUNTIF('Cash Book'!$O$8:$O$507,O194)&gt;0,1,0))</f>
        <v>0</v>
      </c>
      <c r="Q194" s="9" t="str">
        <f aca="false">IF(OR(N194="",P194=1),"",N194&amp;"#"&amp;COUNTIFS($N$8:N194,N194,$P$8:P194,0))</f>
        <v/>
      </c>
      <c r="R194" s="9" t="n">
        <f aca="false">IF(N194="",0,IFERROR(MATCH(ROW()-7,'Cash Book'!$U$8:$U$507,0),0))</f>
        <v>0</v>
      </c>
      <c r="V194" s="9" t="str">
        <f aca="false">IF(AND(N194&lt;&gt;"",R194=0),IF(M194="IN",3,4)*100000+ROW(),"")</f>
        <v/>
      </c>
      <c r="W194" s="9" t="n">
        <f aca="false">N(E194)+N(F194)</f>
        <v>0</v>
      </c>
    </row>
    <row r="195" customFormat="false" ht="15" hidden="false" customHeight="false" outlineLevel="0" collapsed="false">
      <c r="A195" s="37" t="str">
        <f aca="false">IF(M195="","",ROW()-7)</f>
        <v/>
      </c>
      <c r="B195" s="70"/>
      <c r="C195" s="72"/>
      <c r="D195" s="71"/>
      <c r="E195" s="73"/>
      <c r="F195" s="73"/>
      <c r="G195" s="73"/>
      <c r="H195" s="42" t="str">
        <f aca="false">IF(M195="","",IF(R195&gt;0,"✔ Matched",IF(M195="IN","Not in cash book (credit)","Not in cash book (debit)")))</f>
        <v/>
      </c>
      <c r="I195" s="43" t="str">
        <f aca="false">IF(N(R195)&gt;0,R195,"")</f>
        <v/>
      </c>
      <c r="J195" s="45" t="str">
        <f aca="false">IF(AND(M195="",B195="",C195=""),"",IF(AND(N(E195)&gt;0,N(F195)&gt;0),"⚠ Fill withdrawal OR deposit",IF(M195="","⚠ Enter amount",IF(B195="","⚠ Enter date",IF(NOT(OR(NOT(ISNUMBER(G195)),NOT(ISNUMBER(G194)),ABS(N(G195)-(N(G194)+N(F195)-N(E195)))&lt;=0.5)),"⚠ Balance does not follow previous row","✔")))))</f>
        <v/>
      </c>
      <c r="M195" s="9" t="str">
        <f aca="false">IF(N(F195)&gt;0,"IN",IF(N(E195)&gt;0,"OUT",""))</f>
        <v/>
      </c>
      <c r="N195" s="9" t="str">
        <f aca="false">IF(M195="","",M195&amp;"|"&amp;TEXT(ROUND(N(E195)+N(F195),2),"0.00"))</f>
        <v/>
      </c>
      <c r="O195" s="9" t="str">
        <f aca="false">IF(OR(N195="",TRIM(D195&amp;"")=""),"",N195&amp;"|"&amp;UPPER(TRIM(D195&amp;"")))</f>
        <v/>
      </c>
      <c r="P195" s="9" t="n">
        <f aca="false">IF(O195="",0,IF(COUNTIF('Cash Book'!$O$8:$O$507,O195)&gt;0,1,0))</f>
        <v>0</v>
      </c>
      <c r="Q195" s="9" t="str">
        <f aca="false">IF(OR(N195="",P195=1),"",N195&amp;"#"&amp;COUNTIFS($N$8:N195,N195,$P$8:P195,0))</f>
        <v/>
      </c>
      <c r="R195" s="9" t="n">
        <f aca="false">IF(N195="",0,IFERROR(MATCH(ROW()-7,'Cash Book'!$U$8:$U$507,0),0))</f>
        <v>0</v>
      </c>
      <c r="V195" s="9" t="str">
        <f aca="false">IF(AND(N195&lt;&gt;"",R195=0),IF(M195="IN",3,4)*100000+ROW(),"")</f>
        <v/>
      </c>
      <c r="W195" s="9" t="n">
        <f aca="false">N(E195)+N(F195)</f>
        <v>0</v>
      </c>
    </row>
    <row r="196" customFormat="false" ht="15" hidden="false" customHeight="false" outlineLevel="0" collapsed="false">
      <c r="A196" s="37" t="str">
        <f aca="false">IF(M196="","",ROW()-7)</f>
        <v/>
      </c>
      <c r="B196" s="70"/>
      <c r="C196" s="72"/>
      <c r="D196" s="71"/>
      <c r="E196" s="73"/>
      <c r="F196" s="73"/>
      <c r="G196" s="73"/>
      <c r="H196" s="42" t="str">
        <f aca="false">IF(M196="","",IF(R196&gt;0,"✔ Matched",IF(M196="IN","Not in cash book (credit)","Not in cash book (debit)")))</f>
        <v/>
      </c>
      <c r="I196" s="43" t="str">
        <f aca="false">IF(N(R196)&gt;0,R196,"")</f>
        <v/>
      </c>
      <c r="J196" s="45" t="str">
        <f aca="false">IF(AND(M196="",B196="",C196=""),"",IF(AND(N(E196)&gt;0,N(F196)&gt;0),"⚠ Fill withdrawal OR deposit",IF(M196="","⚠ Enter amount",IF(B196="","⚠ Enter date",IF(NOT(OR(NOT(ISNUMBER(G196)),NOT(ISNUMBER(G195)),ABS(N(G196)-(N(G195)+N(F196)-N(E196)))&lt;=0.5)),"⚠ Balance does not follow previous row","✔")))))</f>
        <v/>
      </c>
      <c r="M196" s="9" t="str">
        <f aca="false">IF(N(F196)&gt;0,"IN",IF(N(E196)&gt;0,"OUT",""))</f>
        <v/>
      </c>
      <c r="N196" s="9" t="str">
        <f aca="false">IF(M196="","",M196&amp;"|"&amp;TEXT(ROUND(N(E196)+N(F196),2),"0.00"))</f>
        <v/>
      </c>
      <c r="O196" s="9" t="str">
        <f aca="false">IF(OR(N196="",TRIM(D196&amp;"")=""),"",N196&amp;"|"&amp;UPPER(TRIM(D196&amp;"")))</f>
        <v/>
      </c>
      <c r="P196" s="9" t="n">
        <f aca="false">IF(O196="",0,IF(COUNTIF('Cash Book'!$O$8:$O$507,O196)&gt;0,1,0))</f>
        <v>0</v>
      </c>
      <c r="Q196" s="9" t="str">
        <f aca="false">IF(OR(N196="",P196=1),"",N196&amp;"#"&amp;COUNTIFS($N$8:N196,N196,$P$8:P196,0))</f>
        <v/>
      </c>
      <c r="R196" s="9" t="n">
        <f aca="false">IF(N196="",0,IFERROR(MATCH(ROW()-7,'Cash Book'!$U$8:$U$507,0),0))</f>
        <v>0</v>
      </c>
      <c r="V196" s="9" t="str">
        <f aca="false">IF(AND(N196&lt;&gt;"",R196=0),IF(M196="IN",3,4)*100000+ROW(),"")</f>
        <v/>
      </c>
      <c r="W196" s="9" t="n">
        <f aca="false">N(E196)+N(F196)</f>
        <v>0</v>
      </c>
    </row>
    <row r="197" customFormat="false" ht="15" hidden="false" customHeight="false" outlineLevel="0" collapsed="false">
      <c r="A197" s="37" t="str">
        <f aca="false">IF(M197="","",ROW()-7)</f>
        <v/>
      </c>
      <c r="B197" s="70"/>
      <c r="C197" s="72"/>
      <c r="D197" s="71"/>
      <c r="E197" s="73"/>
      <c r="F197" s="73"/>
      <c r="G197" s="73"/>
      <c r="H197" s="42" t="str">
        <f aca="false">IF(M197="","",IF(R197&gt;0,"✔ Matched",IF(M197="IN","Not in cash book (credit)","Not in cash book (debit)")))</f>
        <v/>
      </c>
      <c r="I197" s="43" t="str">
        <f aca="false">IF(N(R197)&gt;0,R197,"")</f>
        <v/>
      </c>
      <c r="J197" s="45" t="str">
        <f aca="false">IF(AND(M197="",B197="",C197=""),"",IF(AND(N(E197)&gt;0,N(F197)&gt;0),"⚠ Fill withdrawal OR deposit",IF(M197="","⚠ Enter amount",IF(B197="","⚠ Enter date",IF(NOT(OR(NOT(ISNUMBER(G197)),NOT(ISNUMBER(G196)),ABS(N(G197)-(N(G196)+N(F197)-N(E197)))&lt;=0.5)),"⚠ Balance does not follow previous row","✔")))))</f>
        <v/>
      </c>
      <c r="M197" s="9" t="str">
        <f aca="false">IF(N(F197)&gt;0,"IN",IF(N(E197)&gt;0,"OUT",""))</f>
        <v/>
      </c>
      <c r="N197" s="9" t="str">
        <f aca="false">IF(M197="","",M197&amp;"|"&amp;TEXT(ROUND(N(E197)+N(F197),2),"0.00"))</f>
        <v/>
      </c>
      <c r="O197" s="9" t="str">
        <f aca="false">IF(OR(N197="",TRIM(D197&amp;"")=""),"",N197&amp;"|"&amp;UPPER(TRIM(D197&amp;"")))</f>
        <v/>
      </c>
      <c r="P197" s="9" t="n">
        <f aca="false">IF(O197="",0,IF(COUNTIF('Cash Book'!$O$8:$O$507,O197)&gt;0,1,0))</f>
        <v>0</v>
      </c>
      <c r="Q197" s="9" t="str">
        <f aca="false">IF(OR(N197="",P197=1),"",N197&amp;"#"&amp;COUNTIFS($N$8:N197,N197,$P$8:P197,0))</f>
        <v/>
      </c>
      <c r="R197" s="9" t="n">
        <f aca="false">IF(N197="",0,IFERROR(MATCH(ROW()-7,'Cash Book'!$U$8:$U$507,0),0))</f>
        <v>0</v>
      </c>
      <c r="V197" s="9" t="str">
        <f aca="false">IF(AND(N197&lt;&gt;"",R197=0),IF(M197="IN",3,4)*100000+ROW(),"")</f>
        <v/>
      </c>
      <c r="W197" s="9" t="n">
        <f aca="false">N(E197)+N(F197)</f>
        <v>0</v>
      </c>
    </row>
    <row r="198" customFormat="false" ht="15" hidden="false" customHeight="false" outlineLevel="0" collapsed="false">
      <c r="A198" s="37" t="str">
        <f aca="false">IF(M198="","",ROW()-7)</f>
        <v/>
      </c>
      <c r="B198" s="70"/>
      <c r="C198" s="72"/>
      <c r="D198" s="71"/>
      <c r="E198" s="73"/>
      <c r="F198" s="73"/>
      <c r="G198" s="73"/>
      <c r="H198" s="42" t="str">
        <f aca="false">IF(M198="","",IF(R198&gt;0,"✔ Matched",IF(M198="IN","Not in cash book (credit)","Not in cash book (debit)")))</f>
        <v/>
      </c>
      <c r="I198" s="43" t="str">
        <f aca="false">IF(N(R198)&gt;0,R198,"")</f>
        <v/>
      </c>
      <c r="J198" s="45" t="str">
        <f aca="false">IF(AND(M198="",B198="",C198=""),"",IF(AND(N(E198)&gt;0,N(F198)&gt;0),"⚠ Fill withdrawal OR deposit",IF(M198="","⚠ Enter amount",IF(B198="","⚠ Enter date",IF(NOT(OR(NOT(ISNUMBER(G198)),NOT(ISNUMBER(G197)),ABS(N(G198)-(N(G197)+N(F198)-N(E198)))&lt;=0.5)),"⚠ Balance does not follow previous row","✔")))))</f>
        <v/>
      </c>
      <c r="M198" s="9" t="str">
        <f aca="false">IF(N(F198)&gt;0,"IN",IF(N(E198)&gt;0,"OUT",""))</f>
        <v/>
      </c>
      <c r="N198" s="9" t="str">
        <f aca="false">IF(M198="","",M198&amp;"|"&amp;TEXT(ROUND(N(E198)+N(F198),2),"0.00"))</f>
        <v/>
      </c>
      <c r="O198" s="9" t="str">
        <f aca="false">IF(OR(N198="",TRIM(D198&amp;"")=""),"",N198&amp;"|"&amp;UPPER(TRIM(D198&amp;"")))</f>
        <v/>
      </c>
      <c r="P198" s="9" t="n">
        <f aca="false">IF(O198="",0,IF(COUNTIF('Cash Book'!$O$8:$O$507,O198)&gt;0,1,0))</f>
        <v>0</v>
      </c>
      <c r="Q198" s="9" t="str">
        <f aca="false">IF(OR(N198="",P198=1),"",N198&amp;"#"&amp;COUNTIFS($N$8:N198,N198,$P$8:P198,0))</f>
        <v/>
      </c>
      <c r="R198" s="9" t="n">
        <f aca="false">IF(N198="",0,IFERROR(MATCH(ROW()-7,'Cash Book'!$U$8:$U$507,0),0))</f>
        <v>0</v>
      </c>
      <c r="V198" s="9" t="str">
        <f aca="false">IF(AND(N198&lt;&gt;"",R198=0),IF(M198="IN",3,4)*100000+ROW(),"")</f>
        <v/>
      </c>
      <c r="W198" s="9" t="n">
        <f aca="false">N(E198)+N(F198)</f>
        <v>0</v>
      </c>
    </row>
    <row r="199" customFormat="false" ht="15" hidden="false" customHeight="false" outlineLevel="0" collapsed="false">
      <c r="A199" s="37" t="str">
        <f aca="false">IF(M199="","",ROW()-7)</f>
        <v/>
      </c>
      <c r="B199" s="70"/>
      <c r="C199" s="72"/>
      <c r="D199" s="71"/>
      <c r="E199" s="73"/>
      <c r="F199" s="73"/>
      <c r="G199" s="73"/>
      <c r="H199" s="42" t="str">
        <f aca="false">IF(M199="","",IF(R199&gt;0,"✔ Matched",IF(M199="IN","Not in cash book (credit)","Not in cash book (debit)")))</f>
        <v/>
      </c>
      <c r="I199" s="43" t="str">
        <f aca="false">IF(N(R199)&gt;0,R199,"")</f>
        <v/>
      </c>
      <c r="J199" s="45" t="str">
        <f aca="false">IF(AND(M199="",B199="",C199=""),"",IF(AND(N(E199)&gt;0,N(F199)&gt;0),"⚠ Fill withdrawal OR deposit",IF(M199="","⚠ Enter amount",IF(B199="","⚠ Enter date",IF(NOT(OR(NOT(ISNUMBER(G199)),NOT(ISNUMBER(G198)),ABS(N(G199)-(N(G198)+N(F199)-N(E199)))&lt;=0.5)),"⚠ Balance does not follow previous row","✔")))))</f>
        <v/>
      </c>
      <c r="M199" s="9" t="str">
        <f aca="false">IF(N(F199)&gt;0,"IN",IF(N(E199)&gt;0,"OUT",""))</f>
        <v/>
      </c>
      <c r="N199" s="9" t="str">
        <f aca="false">IF(M199="","",M199&amp;"|"&amp;TEXT(ROUND(N(E199)+N(F199),2),"0.00"))</f>
        <v/>
      </c>
      <c r="O199" s="9" t="str">
        <f aca="false">IF(OR(N199="",TRIM(D199&amp;"")=""),"",N199&amp;"|"&amp;UPPER(TRIM(D199&amp;"")))</f>
        <v/>
      </c>
      <c r="P199" s="9" t="n">
        <f aca="false">IF(O199="",0,IF(COUNTIF('Cash Book'!$O$8:$O$507,O199)&gt;0,1,0))</f>
        <v>0</v>
      </c>
      <c r="Q199" s="9" t="str">
        <f aca="false">IF(OR(N199="",P199=1),"",N199&amp;"#"&amp;COUNTIFS($N$8:N199,N199,$P$8:P199,0))</f>
        <v/>
      </c>
      <c r="R199" s="9" t="n">
        <f aca="false">IF(N199="",0,IFERROR(MATCH(ROW()-7,'Cash Book'!$U$8:$U$507,0),0))</f>
        <v>0</v>
      </c>
      <c r="V199" s="9" t="str">
        <f aca="false">IF(AND(N199&lt;&gt;"",R199=0),IF(M199="IN",3,4)*100000+ROW(),"")</f>
        <v/>
      </c>
      <c r="W199" s="9" t="n">
        <f aca="false">N(E199)+N(F199)</f>
        <v>0</v>
      </c>
    </row>
    <row r="200" customFormat="false" ht="15" hidden="false" customHeight="false" outlineLevel="0" collapsed="false">
      <c r="A200" s="37" t="str">
        <f aca="false">IF(M200="","",ROW()-7)</f>
        <v/>
      </c>
      <c r="B200" s="70"/>
      <c r="C200" s="72"/>
      <c r="D200" s="71"/>
      <c r="E200" s="73"/>
      <c r="F200" s="73"/>
      <c r="G200" s="73"/>
      <c r="H200" s="42" t="str">
        <f aca="false">IF(M200="","",IF(R200&gt;0,"✔ Matched",IF(M200="IN","Not in cash book (credit)","Not in cash book (debit)")))</f>
        <v/>
      </c>
      <c r="I200" s="43" t="str">
        <f aca="false">IF(N(R200)&gt;0,R200,"")</f>
        <v/>
      </c>
      <c r="J200" s="45" t="str">
        <f aca="false">IF(AND(M200="",B200="",C200=""),"",IF(AND(N(E200)&gt;0,N(F200)&gt;0),"⚠ Fill withdrawal OR deposit",IF(M200="","⚠ Enter amount",IF(B200="","⚠ Enter date",IF(NOT(OR(NOT(ISNUMBER(G200)),NOT(ISNUMBER(G199)),ABS(N(G200)-(N(G199)+N(F200)-N(E200)))&lt;=0.5)),"⚠ Balance does not follow previous row","✔")))))</f>
        <v/>
      </c>
      <c r="M200" s="9" t="str">
        <f aca="false">IF(N(F200)&gt;0,"IN",IF(N(E200)&gt;0,"OUT",""))</f>
        <v/>
      </c>
      <c r="N200" s="9" t="str">
        <f aca="false">IF(M200="","",M200&amp;"|"&amp;TEXT(ROUND(N(E200)+N(F200),2),"0.00"))</f>
        <v/>
      </c>
      <c r="O200" s="9" t="str">
        <f aca="false">IF(OR(N200="",TRIM(D200&amp;"")=""),"",N200&amp;"|"&amp;UPPER(TRIM(D200&amp;"")))</f>
        <v/>
      </c>
      <c r="P200" s="9" t="n">
        <f aca="false">IF(O200="",0,IF(COUNTIF('Cash Book'!$O$8:$O$507,O200)&gt;0,1,0))</f>
        <v>0</v>
      </c>
      <c r="Q200" s="9" t="str">
        <f aca="false">IF(OR(N200="",P200=1),"",N200&amp;"#"&amp;COUNTIFS($N$8:N200,N200,$P$8:P200,0))</f>
        <v/>
      </c>
      <c r="R200" s="9" t="n">
        <f aca="false">IF(N200="",0,IFERROR(MATCH(ROW()-7,'Cash Book'!$U$8:$U$507,0),0))</f>
        <v>0</v>
      </c>
      <c r="V200" s="9" t="str">
        <f aca="false">IF(AND(N200&lt;&gt;"",R200=0),IF(M200="IN",3,4)*100000+ROW(),"")</f>
        <v/>
      </c>
      <c r="W200" s="9" t="n">
        <f aca="false">N(E200)+N(F200)</f>
        <v>0</v>
      </c>
    </row>
    <row r="201" customFormat="false" ht="15" hidden="false" customHeight="false" outlineLevel="0" collapsed="false">
      <c r="A201" s="37" t="str">
        <f aca="false">IF(M201="","",ROW()-7)</f>
        <v/>
      </c>
      <c r="B201" s="70"/>
      <c r="C201" s="72"/>
      <c r="D201" s="71"/>
      <c r="E201" s="73"/>
      <c r="F201" s="73"/>
      <c r="G201" s="73"/>
      <c r="H201" s="42" t="str">
        <f aca="false">IF(M201="","",IF(R201&gt;0,"✔ Matched",IF(M201="IN","Not in cash book (credit)","Not in cash book (debit)")))</f>
        <v/>
      </c>
      <c r="I201" s="43" t="str">
        <f aca="false">IF(N(R201)&gt;0,R201,"")</f>
        <v/>
      </c>
      <c r="J201" s="45" t="str">
        <f aca="false">IF(AND(M201="",B201="",C201=""),"",IF(AND(N(E201)&gt;0,N(F201)&gt;0),"⚠ Fill withdrawal OR deposit",IF(M201="","⚠ Enter amount",IF(B201="","⚠ Enter date",IF(NOT(OR(NOT(ISNUMBER(G201)),NOT(ISNUMBER(G200)),ABS(N(G201)-(N(G200)+N(F201)-N(E201)))&lt;=0.5)),"⚠ Balance does not follow previous row","✔")))))</f>
        <v/>
      </c>
      <c r="M201" s="9" t="str">
        <f aca="false">IF(N(F201)&gt;0,"IN",IF(N(E201)&gt;0,"OUT",""))</f>
        <v/>
      </c>
      <c r="N201" s="9" t="str">
        <f aca="false">IF(M201="","",M201&amp;"|"&amp;TEXT(ROUND(N(E201)+N(F201),2),"0.00"))</f>
        <v/>
      </c>
      <c r="O201" s="9" t="str">
        <f aca="false">IF(OR(N201="",TRIM(D201&amp;"")=""),"",N201&amp;"|"&amp;UPPER(TRIM(D201&amp;"")))</f>
        <v/>
      </c>
      <c r="P201" s="9" t="n">
        <f aca="false">IF(O201="",0,IF(COUNTIF('Cash Book'!$O$8:$O$507,O201)&gt;0,1,0))</f>
        <v>0</v>
      </c>
      <c r="Q201" s="9" t="str">
        <f aca="false">IF(OR(N201="",P201=1),"",N201&amp;"#"&amp;COUNTIFS($N$8:N201,N201,$P$8:P201,0))</f>
        <v/>
      </c>
      <c r="R201" s="9" t="n">
        <f aca="false">IF(N201="",0,IFERROR(MATCH(ROW()-7,'Cash Book'!$U$8:$U$507,0),0))</f>
        <v>0</v>
      </c>
      <c r="V201" s="9" t="str">
        <f aca="false">IF(AND(N201&lt;&gt;"",R201=0),IF(M201="IN",3,4)*100000+ROW(),"")</f>
        <v/>
      </c>
      <c r="W201" s="9" t="n">
        <f aca="false">N(E201)+N(F201)</f>
        <v>0</v>
      </c>
    </row>
    <row r="202" customFormat="false" ht="15" hidden="false" customHeight="false" outlineLevel="0" collapsed="false">
      <c r="A202" s="37" t="str">
        <f aca="false">IF(M202="","",ROW()-7)</f>
        <v/>
      </c>
      <c r="B202" s="70"/>
      <c r="C202" s="72"/>
      <c r="D202" s="71"/>
      <c r="E202" s="73"/>
      <c r="F202" s="73"/>
      <c r="G202" s="73"/>
      <c r="H202" s="42" t="str">
        <f aca="false">IF(M202="","",IF(R202&gt;0,"✔ Matched",IF(M202="IN","Not in cash book (credit)","Not in cash book (debit)")))</f>
        <v/>
      </c>
      <c r="I202" s="43" t="str">
        <f aca="false">IF(N(R202)&gt;0,R202,"")</f>
        <v/>
      </c>
      <c r="J202" s="45" t="str">
        <f aca="false">IF(AND(M202="",B202="",C202=""),"",IF(AND(N(E202)&gt;0,N(F202)&gt;0),"⚠ Fill withdrawal OR deposit",IF(M202="","⚠ Enter amount",IF(B202="","⚠ Enter date",IF(NOT(OR(NOT(ISNUMBER(G202)),NOT(ISNUMBER(G201)),ABS(N(G202)-(N(G201)+N(F202)-N(E202)))&lt;=0.5)),"⚠ Balance does not follow previous row","✔")))))</f>
        <v/>
      </c>
      <c r="M202" s="9" t="str">
        <f aca="false">IF(N(F202)&gt;0,"IN",IF(N(E202)&gt;0,"OUT",""))</f>
        <v/>
      </c>
      <c r="N202" s="9" t="str">
        <f aca="false">IF(M202="","",M202&amp;"|"&amp;TEXT(ROUND(N(E202)+N(F202),2),"0.00"))</f>
        <v/>
      </c>
      <c r="O202" s="9" t="str">
        <f aca="false">IF(OR(N202="",TRIM(D202&amp;"")=""),"",N202&amp;"|"&amp;UPPER(TRIM(D202&amp;"")))</f>
        <v/>
      </c>
      <c r="P202" s="9" t="n">
        <f aca="false">IF(O202="",0,IF(COUNTIF('Cash Book'!$O$8:$O$507,O202)&gt;0,1,0))</f>
        <v>0</v>
      </c>
      <c r="Q202" s="9" t="str">
        <f aca="false">IF(OR(N202="",P202=1),"",N202&amp;"#"&amp;COUNTIFS($N$8:N202,N202,$P$8:P202,0))</f>
        <v/>
      </c>
      <c r="R202" s="9" t="n">
        <f aca="false">IF(N202="",0,IFERROR(MATCH(ROW()-7,'Cash Book'!$U$8:$U$507,0),0))</f>
        <v>0</v>
      </c>
      <c r="V202" s="9" t="str">
        <f aca="false">IF(AND(N202&lt;&gt;"",R202=0),IF(M202="IN",3,4)*100000+ROW(),"")</f>
        <v/>
      </c>
      <c r="W202" s="9" t="n">
        <f aca="false">N(E202)+N(F202)</f>
        <v>0</v>
      </c>
    </row>
    <row r="203" customFormat="false" ht="15" hidden="false" customHeight="false" outlineLevel="0" collapsed="false">
      <c r="A203" s="37" t="str">
        <f aca="false">IF(M203="","",ROW()-7)</f>
        <v/>
      </c>
      <c r="B203" s="70"/>
      <c r="C203" s="72"/>
      <c r="D203" s="71"/>
      <c r="E203" s="73"/>
      <c r="F203" s="73"/>
      <c r="G203" s="73"/>
      <c r="H203" s="42" t="str">
        <f aca="false">IF(M203="","",IF(R203&gt;0,"✔ Matched",IF(M203="IN","Not in cash book (credit)","Not in cash book (debit)")))</f>
        <v/>
      </c>
      <c r="I203" s="43" t="str">
        <f aca="false">IF(N(R203)&gt;0,R203,"")</f>
        <v/>
      </c>
      <c r="J203" s="45" t="str">
        <f aca="false">IF(AND(M203="",B203="",C203=""),"",IF(AND(N(E203)&gt;0,N(F203)&gt;0),"⚠ Fill withdrawal OR deposit",IF(M203="","⚠ Enter amount",IF(B203="","⚠ Enter date",IF(NOT(OR(NOT(ISNUMBER(G203)),NOT(ISNUMBER(G202)),ABS(N(G203)-(N(G202)+N(F203)-N(E203)))&lt;=0.5)),"⚠ Balance does not follow previous row","✔")))))</f>
        <v/>
      </c>
      <c r="M203" s="9" t="str">
        <f aca="false">IF(N(F203)&gt;0,"IN",IF(N(E203)&gt;0,"OUT",""))</f>
        <v/>
      </c>
      <c r="N203" s="9" t="str">
        <f aca="false">IF(M203="","",M203&amp;"|"&amp;TEXT(ROUND(N(E203)+N(F203),2),"0.00"))</f>
        <v/>
      </c>
      <c r="O203" s="9" t="str">
        <f aca="false">IF(OR(N203="",TRIM(D203&amp;"")=""),"",N203&amp;"|"&amp;UPPER(TRIM(D203&amp;"")))</f>
        <v/>
      </c>
      <c r="P203" s="9" t="n">
        <f aca="false">IF(O203="",0,IF(COUNTIF('Cash Book'!$O$8:$O$507,O203)&gt;0,1,0))</f>
        <v>0</v>
      </c>
      <c r="Q203" s="9" t="str">
        <f aca="false">IF(OR(N203="",P203=1),"",N203&amp;"#"&amp;COUNTIFS($N$8:N203,N203,$P$8:P203,0))</f>
        <v/>
      </c>
      <c r="R203" s="9" t="n">
        <f aca="false">IF(N203="",0,IFERROR(MATCH(ROW()-7,'Cash Book'!$U$8:$U$507,0),0))</f>
        <v>0</v>
      </c>
      <c r="V203" s="9" t="str">
        <f aca="false">IF(AND(N203&lt;&gt;"",R203=0),IF(M203="IN",3,4)*100000+ROW(),"")</f>
        <v/>
      </c>
      <c r="W203" s="9" t="n">
        <f aca="false">N(E203)+N(F203)</f>
        <v>0</v>
      </c>
    </row>
    <row r="204" customFormat="false" ht="15" hidden="false" customHeight="false" outlineLevel="0" collapsed="false">
      <c r="A204" s="37" t="str">
        <f aca="false">IF(M204="","",ROW()-7)</f>
        <v/>
      </c>
      <c r="B204" s="70"/>
      <c r="C204" s="72"/>
      <c r="D204" s="71"/>
      <c r="E204" s="73"/>
      <c r="F204" s="73"/>
      <c r="G204" s="73"/>
      <c r="H204" s="42" t="str">
        <f aca="false">IF(M204="","",IF(R204&gt;0,"✔ Matched",IF(M204="IN","Not in cash book (credit)","Not in cash book (debit)")))</f>
        <v/>
      </c>
      <c r="I204" s="43" t="str">
        <f aca="false">IF(N(R204)&gt;0,R204,"")</f>
        <v/>
      </c>
      <c r="J204" s="45" t="str">
        <f aca="false">IF(AND(M204="",B204="",C204=""),"",IF(AND(N(E204)&gt;0,N(F204)&gt;0),"⚠ Fill withdrawal OR deposit",IF(M204="","⚠ Enter amount",IF(B204="","⚠ Enter date",IF(NOT(OR(NOT(ISNUMBER(G204)),NOT(ISNUMBER(G203)),ABS(N(G204)-(N(G203)+N(F204)-N(E204)))&lt;=0.5)),"⚠ Balance does not follow previous row","✔")))))</f>
        <v/>
      </c>
      <c r="M204" s="9" t="str">
        <f aca="false">IF(N(F204)&gt;0,"IN",IF(N(E204)&gt;0,"OUT",""))</f>
        <v/>
      </c>
      <c r="N204" s="9" t="str">
        <f aca="false">IF(M204="","",M204&amp;"|"&amp;TEXT(ROUND(N(E204)+N(F204),2),"0.00"))</f>
        <v/>
      </c>
      <c r="O204" s="9" t="str">
        <f aca="false">IF(OR(N204="",TRIM(D204&amp;"")=""),"",N204&amp;"|"&amp;UPPER(TRIM(D204&amp;"")))</f>
        <v/>
      </c>
      <c r="P204" s="9" t="n">
        <f aca="false">IF(O204="",0,IF(COUNTIF('Cash Book'!$O$8:$O$507,O204)&gt;0,1,0))</f>
        <v>0</v>
      </c>
      <c r="Q204" s="9" t="str">
        <f aca="false">IF(OR(N204="",P204=1),"",N204&amp;"#"&amp;COUNTIFS($N$8:N204,N204,$P$8:P204,0))</f>
        <v/>
      </c>
      <c r="R204" s="9" t="n">
        <f aca="false">IF(N204="",0,IFERROR(MATCH(ROW()-7,'Cash Book'!$U$8:$U$507,0),0))</f>
        <v>0</v>
      </c>
      <c r="V204" s="9" t="str">
        <f aca="false">IF(AND(N204&lt;&gt;"",R204=0),IF(M204="IN",3,4)*100000+ROW(),"")</f>
        <v/>
      </c>
      <c r="W204" s="9" t="n">
        <f aca="false">N(E204)+N(F204)</f>
        <v>0</v>
      </c>
    </row>
    <row r="205" customFormat="false" ht="15" hidden="false" customHeight="false" outlineLevel="0" collapsed="false">
      <c r="A205" s="37" t="str">
        <f aca="false">IF(M205="","",ROW()-7)</f>
        <v/>
      </c>
      <c r="B205" s="70"/>
      <c r="C205" s="72"/>
      <c r="D205" s="71"/>
      <c r="E205" s="73"/>
      <c r="F205" s="73"/>
      <c r="G205" s="73"/>
      <c r="H205" s="42" t="str">
        <f aca="false">IF(M205="","",IF(R205&gt;0,"✔ Matched",IF(M205="IN","Not in cash book (credit)","Not in cash book (debit)")))</f>
        <v/>
      </c>
      <c r="I205" s="43" t="str">
        <f aca="false">IF(N(R205)&gt;0,R205,"")</f>
        <v/>
      </c>
      <c r="J205" s="45" t="str">
        <f aca="false">IF(AND(M205="",B205="",C205=""),"",IF(AND(N(E205)&gt;0,N(F205)&gt;0),"⚠ Fill withdrawal OR deposit",IF(M205="","⚠ Enter amount",IF(B205="","⚠ Enter date",IF(NOT(OR(NOT(ISNUMBER(G205)),NOT(ISNUMBER(G204)),ABS(N(G205)-(N(G204)+N(F205)-N(E205)))&lt;=0.5)),"⚠ Balance does not follow previous row","✔")))))</f>
        <v/>
      </c>
      <c r="M205" s="9" t="str">
        <f aca="false">IF(N(F205)&gt;0,"IN",IF(N(E205)&gt;0,"OUT",""))</f>
        <v/>
      </c>
      <c r="N205" s="9" t="str">
        <f aca="false">IF(M205="","",M205&amp;"|"&amp;TEXT(ROUND(N(E205)+N(F205),2),"0.00"))</f>
        <v/>
      </c>
      <c r="O205" s="9" t="str">
        <f aca="false">IF(OR(N205="",TRIM(D205&amp;"")=""),"",N205&amp;"|"&amp;UPPER(TRIM(D205&amp;"")))</f>
        <v/>
      </c>
      <c r="P205" s="9" t="n">
        <f aca="false">IF(O205="",0,IF(COUNTIF('Cash Book'!$O$8:$O$507,O205)&gt;0,1,0))</f>
        <v>0</v>
      </c>
      <c r="Q205" s="9" t="str">
        <f aca="false">IF(OR(N205="",P205=1),"",N205&amp;"#"&amp;COUNTIFS($N$8:N205,N205,$P$8:P205,0))</f>
        <v/>
      </c>
      <c r="R205" s="9" t="n">
        <f aca="false">IF(N205="",0,IFERROR(MATCH(ROW()-7,'Cash Book'!$U$8:$U$507,0),0))</f>
        <v>0</v>
      </c>
      <c r="V205" s="9" t="str">
        <f aca="false">IF(AND(N205&lt;&gt;"",R205=0),IF(M205="IN",3,4)*100000+ROW(),"")</f>
        <v/>
      </c>
      <c r="W205" s="9" t="n">
        <f aca="false">N(E205)+N(F205)</f>
        <v>0</v>
      </c>
    </row>
    <row r="206" customFormat="false" ht="15" hidden="false" customHeight="false" outlineLevel="0" collapsed="false">
      <c r="A206" s="37" t="str">
        <f aca="false">IF(M206="","",ROW()-7)</f>
        <v/>
      </c>
      <c r="B206" s="70"/>
      <c r="C206" s="72"/>
      <c r="D206" s="71"/>
      <c r="E206" s="73"/>
      <c r="F206" s="73"/>
      <c r="G206" s="73"/>
      <c r="H206" s="42" t="str">
        <f aca="false">IF(M206="","",IF(R206&gt;0,"✔ Matched",IF(M206="IN","Not in cash book (credit)","Not in cash book (debit)")))</f>
        <v/>
      </c>
      <c r="I206" s="43" t="str">
        <f aca="false">IF(N(R206)&gt;0,R206,"")</f>
        <v/>
      </c>
      <c r="J206" s="45" t="str">
        <f aca="false">IF(AND(M206="",B206="",C206=""),"",IF(AND(N(E206)&gt;0,N(F206)&gt;0),"⚠ Fill withdrawal OR deposit",IF(M206="","⚠ Enter amount",IF(B206="","⚠ Enter date",IF(NOT(OR(NOT(ISNUMBER(G206)),NOT(ISNUMBER(G205)),ABS(N(G206)-(N(G205)+N(F206)-N(E206)))&lt;=0.5)),"⚠ Balance does not follow previous row","✔")))))</f>
        <v/>
      </c>
      <c r="M206" s="9" t="str">
        <f aca="false">IF(N(F206)&gt;0,"IN",IF(N(E206)&gt;0,"OUT",""))</f>
        <v/>
      </c>
      <c r="N206" s="9" t="str">
        <f aca="false">IF(M206="","",M206&amp;"|"&amp;TEXT(ROUND(N(E206)+N(F206),2),"0.00"))</f>
        <v/>
      </c>
      <c r="O206" s="9" t="str">
        <f aca="false">IF(OR(N206="",TRIM(D206&amp;"")=""),"",N206&amp;"|"&amp;UPPER(TRIM(D206&amp;"")))</f>
        <v/>
      </c>
      <c r="P206" s="9" t="n">
        <f aca="false">IF(O206="",0,IF(COUNTIF('Cash Book'!$O$8:$O$507,O206)&gt;0,1,0))</f>
        <v>0</v>
      </c>
      <c r="Q206" s="9" t="str">
        <f aca="false">IF(OR(N206="",P206=1),"",N206&amp;"#"&amp;COUNTIFS($N$8:N206,N206,$P$8:P206,0))</f>
        <v/>
      </c>
      <c r="R206" s="9" t="n">
        <f aca="false">IF(N206="",0,IFERROR(MATCH(ROW()-7,'Cash Book'!$U$8:$U$507,0),0))</f>
        <v>0</v>
      </c>
      <c r="V206" s="9" t="str">
        <f aca="false">IF(AND(N206&lt;&gt;"",R206=0),IF(M206="IN",3,4)*100000+ROW(),"")</f>
        <v/>
      </c>
      <c r="W206" s="9" t="n">
        <f aca="false">N(E206)+N(F206)</f>
        <v>0</v>
      </c>
    </row>
    <row r="207" customFormat="false" ht="15" hidden="false" customHeight="false" outlineLevel="0" collapsed="false">
      <c r="A207" s="37" t="str">
        <f aca="false">IF(M207="","",ROW()-7)</f>
        <v/>
      </c>
      <c r="B207" s="70"/>
      <c r="C207" s="72"/>
      <c r="D207" s="71"/>
      <c r="E207" s="73"/>
      <c r="F207" s="73"/>
      <c r="G207" s="73"/>
      <c r="H207" s="42" t="str">
        <f aca="false">IF(M207="","",IF(R207&gt;0,"✔ Matched",IF(M207="IN","Not in cash book (credit)","Not in cash book (debit)")))</f>
        <v/>
      </c>
      <c r="I207" s="43" t="str">
        <f aca="false">IF(N(R207)&gt;0,R207,"")</f>
        <v/>
      </c>
      <c r="J207" s="45" t="str">
        <f aca="false">IF(AND(M207="",B207="",C207=""),"",IF(AND(N(E207)&gt;0,N(F207)&gt;0),"⚠ Fill withdrawal OR deposit",IF(M207="","⚠ Enter amount",IF(B207="","⚠ Enter date",IF(NOT(OR(NOT(ISNUMBER(G207)),NOT(ISNUMBER(G206)),ABS(N(G207)-(N(G206)+N(F207)-N(E207)))&lt;=0.5)),"⚠ Balance does not follow previous row","✔")))))</f>
        <v/>
      </c>
      <c r="M207" s="9" t="str">
        <f aca="false">IF(N(F207)&gt;0,"IN",IF(N(E207)&gt;0,"OUT",""))</f>
        <v/>
      </c>
      <c r="N207" s="9" t="str">
        <f aca="false">IF(M207="","",M207&amp;"|"&amp;TEXT(ROUND(N(E207)+N(F207),2),"0.00"))</f>
        <v/>
      </c>
      <c r="O207" s="9" t="str">
        <f aca="false">IF(OR(N207="",TRIM(D207&amp;"")=""),"",N207&amp;"|"&amp;UPPER(TRIM(D207&amp;"")))</f>
        <v/>
      </c>
      <c r="P207" s="9" t="n">
        <f aca="false">IF(O207="",0,IF(COUNTIF('Cash Book'!$O$8:$O$507,O207)&gt;0,1,0))</f>
        <v>0</v>
      </c>
      <c r="Q207" s="9" t="str">
        <f aca="false">IF(OR(N207="",P207=1),"",N207&amp;"#"&amp;COUNTIFS($N$8:N207,N207,$P$8:P207,0))</f>
        <v/>
      </c>
      <c r="R207" s="9" t="n">
        <f aca="false">IF(N207="",0,IFERROR(MATCH(ROW()-7,'Cash Book'!$U$8:$U$507,0),0))</f>
        <v>0</v>
      </c>
      <c r="V207" s="9" t="str">
        <f aca="false">IF(AND(N207&lt;&gt;"",R207=0),IF(M207="IN",3,4)*100000+ROW(),"")</f>
        <v/>
      </c>
      <c r="W207" s="9" t="n">
        <f aca="false">N(E207)+N(F207)</f>
        <v>0</v>
      </c>
    </row>
    <row r="208" customFormat="false" ht="15" hidden="false" customHeight="false" outlineLevel="0" collapsed="false">
      <c r="A208" s="37" t="str">
        <f aca="false">IF(M208="","",ROW()-7)</f>
        <v/>
      </c>
      <c r="B208" s="70"/>
      <c r="C208" s="72"/>
      <c r="D208" s="71"/>
      <c r="E208" s="73"/>
      <c r="F208" s="73"/>
      <c r="G208" s="73"/>
      <c r="H208" s="42" t="str">
        <f aca="false">IF(M208="","",IF(R208&gt;0,"✔ Matched",IF(M208="IN","Not in cash book (credit)","Not in cash book (debit)")))</f>
        <v/>
      </c>
      <c r="I208" s="43" t="str">
        <f aca="false">IF(N(R208)&gt;0,R208,"")</f>
        <v/>
      </c>
      <c r="J208" s="45" t="str">
        <f aca="false">IF(AND(M208="",B208="",C208=""),"",IF(AND(N(E208)&gt;0,N(F208)&gt;0),"⚠ Fill withdrawal OR deposit",IF(M208="","⚠ Enter amount",IF(B208="","⚠ Enter date",IF(NOT(OR(NOT(ISNUMBER(G208)),NOT(ISNUMBER(G207)),ABS(N(G208)-(N(G207)+N(F208)-N(E208)))&lt;=0.5)),"⚠ Balance does not follow previous row","✔")))))</f>
        <v/>
      </c>
      <c r="M208" s="9" t="str">
        <f aca="false">IF(N(F208)&gt;0,"IN",IF(N(E208)&gt;0,"OUT",""))</f>
        <v/>
      </c>
      <c r="N208" s="9" t="str">
        <f aca="false">IF(M208="","",M208&amp;"|"&amp;TEXT(ROUND(N(E208)+N(F208),2),"0.00"))</f>
        <v/>
      </c>
      <c r="O208" s="9" t="str">
        <f aca="false">IF(OR(N208="",TRIM(D208&amp;"")=""),"",N208&amp;"|"&amp;UPPER(TRIM(D208&amp;"")))</f>
        <v/>
      </c>
      <c r="P208" s="9" t="n">
        <f aca="false">IF(O208="",0,IF(COUNTIF('Cash Book'!$O$8:$O$507,O208)&gt;0,1,0))</f>
        <v>0</v>
      </c>
      <c r="Q208" s="9" t="str">
        <f aca="false">IF(OR(N208="",P208=1),"",N208&amp;"#"&amp;COUNTIFS($N$8:N208,N208,$P$8:P208,0))</f>
        <v/>
      </c>
      <c r="R208" s="9" t="n">
        <f aca="false">IF(N208="",0,IFERROR(MATCH(ROW()-7,'Cash Book'!$U$8:$U$507,0),0))</f>
        <v>0</v>
      </c>
      <c r="V208" s="9" t="str">
        <f aca="false">IF(AND(N208&lt;&gt;"",R208=0),IF(M208="IN",3,4)*100000+ROW(),"")</f>
        <v/>
      </c>
      <c r="W208" s="9" t="n">
        <f aca="false">N(E208)+N(F208)</f>
        <v>0</v>
      </c>
    </row>
    <row r="209" customFormat="false" ht="15" hidden="false" customHeight="false" outlineLevel="0" collapsed="false">
      <c r="A209" s="37" t="str">
        <f aca="false">IF(M209="","",ROW()-7)</f>
        <v/>
      </c>
      <c r="B209" s="70"/>
      <c r="C209" s="72"/>
      <c r="D209" s="71"/>
      <c r="E209" s="73"/>
      <c r="F209" s="73"/>
      <c r="G209" s="73"/>
      <c r="H209" s="42" t="str">
        <f aca="false">IF(M209="","",IF(R209&gt;0,"✔ Matched",IF(M209="IN","Not in cash book (credit)","Not in cash book (debit)")))</f>
        <v/>
      </c>
      <c r="I209" s="43" t="str">
        <f aca="false">IF(N(R209)&gt;0,R209,"")</f>
        <v/>
      </c>
      <c r="J209" s="45" t="str">
        <f aca="false">IF(AND(M209="",B209="",C209=""),"",IF(AND(N(E209)&gt;0,N(F209)&gt;0),"⚠ Fill withdrawal OR deposit",IF(M209="","⚠ Enter amount",IF(B209="","⚠ Enter date",IF(NOT(OR(NOT(ISNUMBER(G209)),NOT(ISNUMBER(G208)),ABS(N(G209)-(N(G208)+N(F209)-N(E209)))&lt;=0.5)),"⚠ Balance does not follow previous row","✔")))))</f>
        <v/>
      </c>
      <c r="M209" s="9" t="str">
        <f aca="false">IF(N(F209)&gt;0,"IN",IF(N(E209)&gt;0,"OUT",""))</f>
        <v/>
      </c>
      <c r="N209" s="9" t="str">
        <f aca="false">IF(M209="","",M209&amp;"|"&amp;TEXT(ROUND(N(E209)+N(F209),2),"0.00"))</f>
        <v/>
      </c>
      <c r="O209" s="9" t="str">
        <f aca="false">IF(OR(N209="",TRIM(D209&amp;"")=""),"",N209&amp;"|"&amp;UPPER(TRIM(D209&amp;"")))</f>
        <v/>
      </c>
      <c r="P209" s="9" t="n">
        <f aca="false">IF(O209="",0,IF(COUNTIF('Cash Book'!$O$8:$O$507,O209)&gt;0,1,0))</f>
        <v>0</v>
      </c>
      <c r="Q209" s="9" t="str">
        <f aca="false">IF(OR(N209="",P209=1),"",N209&amp;"#"&amp;COUNTIFS($N$8:N209,N209,$P$8:P209,0))</f>
        <v/>
      </c>
      <c r="R209" s="9" t="n">
        <f aca="false">IF(N209="",0,IFERROR(MATCH(ROW()-7,'Cash Book'!$U$8:$U$507,0),0))</f>
        <v>0</v>
      </c>
      <c r="V209" s="9" t="str">
        <f aca="false">IF(AND(N209&lt;&gt;"",R209=0),IF(M209="IN",3,4)*100000+ROW(),"")</f>
        <v/>
      </c>
      <c r="W209" s="9" t="n">
        <f aca="false">N(E209)+N(F209)</f>
        <v>0</v>
      </c>
    </row>
    <row r="210" customFormat="false" ht="15" hidden="false" customHeight="false" outlineLevel="0" collapsed="false">
      <c r="A210" s="37" t="str">
        <f aca="false">IF(M210="","",ROW()-7)</f>
        <v/>
      </c>
      <c r="B210" s="70"/>
      <c r="C210" s="72"/>
      <c r="D210" s="71"/>
      <c r="E210" s="73"/>
      <c r="F210" s="73"/>
      <c r="G210" s="73"/>
      <c r="H210" s="42" t="str">
        <f aca="false">IF(M210="","",IF(R210&gt;0,"✔ Matched",IF(M210="IN","Not in cash book (credit)","Not in cash book (debit)")))</f>
        <v/>
      </c>
      <c r="I210" s="43" t="str">
        <f aca="false">IF(N(R210)&gt;0,R210,"")</f>
        <v/>
      </c>
      <c r="J210" s="45" t="str">
        <f aca="false">IF(AND(M210="",B210="",C210=""),"",IF(AND(N(E210)&gt;0,N(F210)&gt;0),"⚠ Fill withdrawal OR deposit",IF(M210="","⚠ Enter amount",IF(B210="","⚠ Enter date",IF(NOT(OR(NOT(ISNUMBER(G210)),NOT(ISNUMBER(G209)),ABS(N(G210)-(N(G209)+N(F210)-N(E210)))&lt;=0.5)),"⚠ Balance does not follow previous row","✔")))))</f>
        <v/>
      </c>
      <c r="M210" s="9" t="str">
        <f aca="false">IF(N(F210)&gt;0,"IN",IF(N(E210)&gt;0,"OUT",""))</f>
        <v/>
      </c>
      <c r="N210" s="9" t="str">
        <f aca="false">IF(M210="","",M210&amp;"|"&amp;TEXT(ROUND(N(E210)+N(F210),2),"0.00"))</f>
        <v/>
      </c>
      <c r="O210" s="9" t="str">
        <f aca="false">IF(OR(N210="",TRIM(D210&amp;"")=""),"",N210&amp;"|"&amp;UPPER(TRIM(D210&amp;"")))</f>
        <v/>
      </c>
      <c r="P210" s="9" t="n">
        <f aca="false">IF(O210="",0,IF(COUNTIF('Cash Book'!$O$8:$O$507,O210)&gt;0,1,0))</f>
        <v>0</v>
      </c>
      <c r="Q210" s="9" t="str">
        <f aca="false">IF(OR(N210="",P210=1),"",N210&amp;"#"&amp;COUNTIFS($N$8:N210,N210,$P$8:P210,0))</f>
        <v/>
      </c>
      <c r="R210" s="9" t="n">
        <f aca="false">IF(N210="",0,IFERROR(MATCH(ROW()-7,'Cash Book'!$U$8:$U$507,0),0))</f>
        <v>0</v>
      </c>
      <c r="V210" s="9" t="str">
        <f aca="false">IF(AND(N210&lt;&gt;"",R210=0),IF(M210="IN",3,4)*100000+ROW(),"")</f>
        <v/>
      </c>
      <c r="W210" s="9" t="n">
        <f aca="false">N(E210)+N(F210)</f>
        <v>0</v>
      </c>
    </row>
    <row r="211" customFormat="false" ht="15" hidden="false" customHeight="false" outlineLevel="0" collapsed="false">
      <c r="A211" s="37" t="str">
        <f aca="false">IF(M211="","",ROW()-7)</f>
        <v/>
      </c>
      <c r="B211" s="70"/>
      <c r="C211" s="72"/>
      <c r="D211" s="71"/>
      <c r="E211" s="73"/>
      <c r="F211" s="73"/>
      <c r="G211" s="73"/>
      <c r="H211" s="42" t="str">
        <f aca="false">IF(M211="","",IF(R211&gt;0,"✔ Matched",IF(M211="IN","Not in cash book (credit)","Not in cash book (debit)")))</f>
        <v/>
      </c>
      <c r="I211" s="43" t="str">
        <f aca="false">IF(N(R211)&gt;0,R211,"")</f>
        <v/>
      </c>
      <c r="J211" s="45" t="str">
        <f aca="false">IF(AND(M211="",B211="",C211=""),"",IF(AND(N(E211)&gt;0,N(F211)&gt;0),"⚠ Fill withdrawal OR deposit",IF(M211="","⚠ Enter amount",IF(B211="","⚠ Enter date",IF(NOT(OR(NOT(ISNUMBER(G211)),NOT(ISNUMBER(G210)),ABS(N(G211)-(N(G210)+N(F211)-N(E211)))&lt;=0.5)),"⚠ Balance does not follow previous row","✔")))))</f>
        <v/>
      </c>
      <c r="M211" s="9" t="str">
        <f aca="false">IF(N(F211)&gt;0,"IN",IF(N(E211)&gt;0,"OUT",""))</f>
        <v/>
      </c>
      <c r="N211" s="9" t="str">
        <f aca="false">IF(M211="","",M211&amp;"|"&amp;TEXT(ROUND(N(E211)+N(F211),2),"0.00"))</f>
        <v/>
      </c>
      <c r="O211" s="9" t="str">
        <f aca="false">IF(OR(N211="",TRIM(D211&amp;"")=""),"",N211&amp;"|"&amp;UPPER(TRIM(D211&amp;"")))</f>
        <v/>
      </c>
      <c r="P211" s="9" t="n">
        <f aca="false">IF(O211="",0,IF(COUNTIF('Cash Book'!$O$8:$O$507,O211)&gt;0,1,0))</f>
        <v>0</v>
      </c>
      <c r="Q211" s="9" t="str">
        <f aca="false">IF(OR(N211="",P211=1),"",N211&amp;"#"&amp;COUNTIFS($N$8:N211,N211,$P$8:P211,0))</f>
        <v/>
      </c>
      <c r="R211" s="9" t="n">
        <f aca="false">IF(N211="",0,IFERROR(MATCH(ROW()-7,'Cash Book'!$U$8:$U$507,0),0))</f>
        <v>0</v>
      </c>
      <c r="V211" s="9" t="str">
        <f aca="false">IF(AND(N211&lt;&gt;"",R211=0),IF(M211="IN",3,4)*100000+ROW(),"")</f>
        <v/>
      </c>
      <c r="W211" s="9" t="n">
        <f aca="false">N(E211)+N(F211)</f>
        <v>0</v>
      </c>
    </row>
    <row r="212" customFormat="false" ht="15" hidden="false" customHeight="false" outlineLevel="0" collapsed="false">
      <c r="A212" s="37" t="str">
        <f aca="false">IF(M212="","",ROW()-7)</f>
        <v/>
      </c>
      <c r="B212" s="70"/>
      <c r="C212" s="72"/>
      <c r="D212" s="71"/>
      <c r="E212" s="73"/>
      <c r="F212" s="73"/>
      <c r="G212" s="73"/>
      <c r="H212" s="42" t="str">
        <f aca="false">IF(M212="","",IF(R212&gt;0,"✔ Matched",IF(M212="IN","Not in cash book (credit)","Not in cash book (debit)")))</f>
        <v/>
      </c>
      <c r="I212" s="43" t="str">
        <f aca="false">IF(N(R212)&gt;0,R212,"")</f>
        <v/>
      </c>
      <c r="J212" s="45" t="str">
        <f aca="false">IF(AND(M212="",B212="",C212=""),"",IF(AND(N(E212)&gt;0,N(F212)&gt;0),"⚠ Fill withdrawal OR deposit",IF(M212="","⚠ Enter amount",IF(B212="","⚠ Enter date",IF(NOT(OR(NOT(ISNUMBER(G212)),NOT(ISNUMBER(G211)),ABS(N(G212)-(N(G211)+N(F212)-N(E212)))&lt;=0.5)),"⚠ Balance does not follow previous row","✔")))))</f>
        <v/>
      </c>
      <c r="M212" s="9" t="str">
        <f aca="false">IF(N(F212)&gt;0,"IN",IF(N(E212)&gt;0,"OUT",""))</f>
        <v/>
      </c>
      <c r="N212" s="9" t="str">
        <f aca="false">IF(M212="","",M212&amp;"|"&amp;TEXT(ROUND(N(E212)+N(F212),2),"0.00"))</f>
        <v/>
      </c>
      <c r="O212" s="9" t="str">
        <f aca="false">IF(OR(N212="",TRIM(D212&amp;"")=""),"",N212&amp;"|"&amp;UPPER(TRIM(D212&amp;"")))</f>
        <v/>
      </c>
      <c r="P212" s="9" t="n">
        <f aca="false">IF(O212="",0,IF(COUNTIF('Cash Book'!$O$8:$O$507,O212)&gt;0,1,0))</f>
        <v>0</v>
      </c>
      <c r="Q212" s="9" t="str">
        <f aca="false">IF(OR(N212="",P212=1),"",N212&amp;"#"&amp;COUNTIFS($N$8:N212,N212,$P$8:P212,0))</f>
        <v/>
      </c>
      <c r="R212" s="9" t="n">
        <f aca="false">IF(N212="",0,IFERROR(MATCH(ROW()-7,'Cash Book'!$U$8:$U$507,0),0))</f>
        <v>0</v>
      </c>
      <c r="V212" s="9" t="str">
        <f aca="false">IF(AND(N212&lt;&gt;"",R212=0),IF(M212="IN",3,4)*100000+ROW(),"")</f>
        <v/>
      </c>
      <c r="W212" s="9" t="n">
        <f aca="false">N(E212)+N(F212)</f>
        <v>0</v>
      </c>
    </row>
    <row r="213" customFormat="false" ht="15" hidden="false" customHeight="false" outlineLevel="0" collapsed="false">
      <c r="A213" s="37" t="str">
        <f aca="false">IF(M213="","",ROW()-7)</f>
        <v/>
      </c>
      <c r="B213" s="70"/>
      <c r="C213" s="72"/>
      <c r="D213" s="71"/>
      <c r="E213" s="73"/>
      <c r="F213" s="73"/>
      <c r="G213" s="73"/>
      <c r="H213" s="42" t="str">
        <f aca="false">IF(M213="","",IF(R213&gt;0,"✔ Matched",IF(M213="IN","Not in cash book (credit)","Not in cash book (debit)")))</f>
        <v/>
      </c>
      <c r="I213" s="43" t="str">
        <f aca="false">IF(N(R213)&gt;0,R213,"")</f>
        <v/>
      </c>
      <c r="J213" s="45" t="str">
        <f aca="false">IF(AND(M213="",B213="",C213=""),"",IF(AND(N(E213)&gt;0,N(F213)&gt;0),"⚠ Fill withdrawal OR deposit",IF(M213="","⚠ Enter amount",IF(B213="","⚠ Enter date",IF(NOT(OR(NOT(ISNUMBER(G213)),NOT(ISNUMBER(G212)),ABS(N(G213)-(N(G212)+N(F213)-N(E213)))&lt;=0.5)),"⚠ Balance does not follow previous row","✔")))))</f>
        <v/>
      </c>
      <c r="M213" s="9" t="str">
        <f aca="false">IF(N(F213)&gt;0,"IN",IF(N(E213)&gt;0,"OUT",""))</f>
        <v/>
      </c>
      <c r="N213" s="9" t="str">
        <f aca="false">IF(M213="","",M213&amp;"|"&amp;TEXT(ROUND(N(E213)+N(F213),2),"0.00"))</f>
        <v/>
      </c>
      <c r="O213" s="9" t="str">
        <f aca="false">IF(OR(N213="",TRIM(D213&amp;"")=""),"",N213&amp;"|"&amp;UPPER(TRIM(D213&amp;"")))</f>
        <v/>
      </c>
      <c r="P213" s="9" t="n">
        <f aca="false">IF(O213="",0,IF(COUNTIF('Cash Book'!$O$8:$O$507,O213)&gt;0,1,0))</f>
        <v>0</v>
      </c>
      <c r="Q213" s="9" t="str">
        <f aca="false">IF(OR(N213="",P213=1),"",N213&amp;"#"&amp;COUNTIFS($N$8:N213,N213,$P$8:P213,0))</f>
        <v/>
      </c>
      <c r="R213" s="9" t="n">
        <f aca="false">IF(N213="",0,IFERROR(MATCH(ROW()-7,'Cash Book'!$U$8:$U$507,0),0))</f>
        <v>0</v>
      </c>
      <c r="V213" s="9" t="str">
        <f aca="false">IF(AND(N213&lt;&gt;"",R213=0),IF(M213="IN",3,4)*100000+ROW(),"")</f>
        <v/>
      </c>
      <c r="W213" s="9" t="n">
        <f aca="false">N(E213)+N(F213)</f>
        <v>0</v>
      </c>
    </row>
    <row r="214" customFormat="false" ht="15" hidden="false" customHeight="false" outlineLevel="0" collapsed="false">
      <c r="A214" s="37" t="str">
        <f aca="false">IF(M214="","",ROW()-7)</f>
        <v/>
      </c>
      <c r="B214" s="70"/>
      <c r="C214" s="72"/>
      <c r="D214" s="71"/>
      <c r="E214" s="73"/>
      <c r="F214" s="73"/>
      <c r="G214" s="73"/>
      <c r="H214" s="42" t="str">
        <f aca="false">IF(M214="","",IF(R214&gt;0,"✔ Matched",IF(M214="IN","Not in cash book (credit)","Not in cash book (debit)")))</f>
        <v/>
      </c>
      <c r="I214" s="43" t="str">
        <f aca="false">IF(N(R214)&gt;0,R214,"")</f>
        <v/>
      </c>
      <c r="J214" s="45" t="str">
        <f aca="false">IF(AND(M214="",B214="",C214=""),"",IF(AND(N(E214)&gt;0,N(F214)&gt;0),"⚠ Fill withdrawal OR deposit",IF(M214="","⚠ Enter amount",IF(B214="","⚠ Enter date",IF(NOT(OR(NOT(ISNUMBER(G214)),NOT(ISNUMBER(G213)),ABS(N(G214)-(N(G213)+N(F214)-N(E214)))&lt;=0.5)),"⚠ Balance does not follow previous row","✔")))))</f>
        <v/>
      </c>
      <c r="M214" s="9" t="str">
        <f aca="false">IF(N(F214)&gt;0,"IN",IF(N(E214)&gt;0,"OUT",""))</f>
        <v/>
      </c>
      <c r="N214" s="9" t="str">
        <f aca="false">IF(M214="","",M214&amp;"|"&amp;TEXT(ROUND(N(E214)+N(F214),2),"0.00"))</f>
        <v/>
      </c>
      <c r="O214" s="9" t="str">
        <f aca="false">IF(OR(N214="",TRIM(D214&amp;"")=""),"",N214&amp;"|"&amp;UPPER(TRIM(D214&amp;"")))</f>
        <v/>
      </c>
      <c r="P214" s="9" t="n">
        <f aca="false">IF(O214="",0,IF(COUNTIF('Cash Book'!$O$8:$O$507,O214)&gt;0,1,0))</f>
        <v>0</v>
      </c>
      <c r="Q214" s="9" t="str">
        <f aca="false">IF(OR(N214="",P214=1),"",N214&amp;"#"&amp;COUNTIFS($N$8:N214,N214,$P$8:P214,0))</f>
        <v/>
      </c>
      <c r="R214" s="9" t="n">
        <f aca="false">IF(N214="",0,IFERROR(MATCH(ROW()-7,'Cash Book'!$U$8:$U$507,0),0))</f>
        <v>0</v>
      </c>
      <c r="V214" s="9" t="str">
        <f aca="false">IF(AND(N214&lt;&gt;"",R214=0),IF(M214="IN",3,4)*100000+ROW(),"")</f>
        <v/>
      </c>
      <c r="W214" s="9" t="n">
        <f aca="false">N(E214)+N(F214)</f>
        <v>0</v>
      </c>
    </row>
    <row r="215" customFormat="false" ht="15" hidden="false" customHeight="false" outlineLevel="0" collapsed="false">
      <c r="A215" s="37" t="str">
        <f aca="false">IF(M215="","",ROW()-7)</f>
        <v/>
      </c>
      <c r="B215" s="70"/>
      <c r="C215" s="72"/>
      <c r="D215" s="71"/>
      <c r="E215" s="73"/>
      <c r="F215" s="73"/>
      <c r="G215" s="73"/>
      <c r="H215" s="42" t="str">
        <f aca="false">IF(M215="","",IF(R215&gt;0,"✔ Matched",IF(M215="IN","Not in cash book (credit)","Not in cash book (debit)")))</f>
        <v/>
      </c>
      <c r="I215" s="43" t="str">
        <f aca="false">IF(N(R215)&gt;0,R215,"")</f>
        <v/>
      </c>
      <c r="J215" s="45" t="str">
        <f aca="false">IF(AND(M215="",B215="",C215=""),"",IF(AND(N(E215)&gt;0,N(F215)&gt;0),"⚠ Fill withdrawal OR deposit",IF(M215="","⚠ Enter amount",IF(B215="","⚠ Enter date",IF(NOT(OR(NOT(ISNUMBER(G215)),NOT(ISNUMBER(G214)),ABS(N(G215)-(N(G214)+N(F215)-N(E215)))&lt;=0.5)),"⚠ Balance does not follow previous row","✔")))))</f>
        <v/>
      </c>
      <c r="M215" s="9" t="str">
        <f aca="false">IF(N(F215)&gt;0,"IN",IF(N(E215)&gt;0,"OUT",""))</f>
        <v/>
      </c>
      <c r="N215" s="9" t="str">
        <f aca="false">IF(M215="","",M215&amp;"|"&amp;TEXT(ROUND(N(E215)+N(F215),2),"0.00"))</f>
        <v/>
      </c>
      <c r="O215" s="9" t="str">
        <f aca="false">IF(OR(N215="",TRIM(D215&amp;"")=""),"",N215&amp;"|"&amp;UPPER(TRIM(D215&amp;"")))</f>
        <v/>
      </c>
      <c r="P215" s="9" t="n">
        <f aca="false">IF(O215="",0,IF(COUNTIF('Cash Book'!$O$8:$O$507,O215)&gt;0,1,0))</f>
        <v>0</v>
      </c>
      <c r="Q215" s="9" t="str">
        <f aca="false">IF(OR(N215="",P215=1),"",N215&amp;"#"&amp;COUNTIFS($N$8:N215,N215,$P$8:P215,0))</f>
        <v/>
      </c>
      <c r="R215" s="9" t="n">
        <f aca="false">IF(N215="",0,IFERROR(MATCH(ROW()-7,'Cash Book'!$U$8:$U$507,0),0))</f>
        <v>0</v>
      </c>
      <c r="V215" s="9" t="str">
        <f aca="false">IF(AND(N215&lt;&gt;"",R215=0),IF(M215="IN",3,4)*100000+ROW(),"")</f>
        <v/>
      </c>
      <c r="W215" s="9" t="n">
        <f aca="false">N(E215)+N(F215)</f>
        <v>0</v>
      </c>
    </row>
    <row r="216" customFormat="false" ht="15" hidden="false" customHeight="false" outlineLevel="0" collapsed="false">
      <c r="A216" s="37" t="str">
        <f aca="false">IF(M216="","",ROW()-7)</f>
        <v/>
      </c>
      <c r="B216" s="70"/>
      <c r="C216" s="72"/>
      <c r="D216" s="71"/>
      <c r="E216" s="73"/>
      <c r="F216" s="73"/>
      <c r="G216" s="73"/>
      <c r="H216" s="42" t="str">
        <f aca="false">IF(M216="","",IF(R216&gt;0,"✔ Matched",IF(M216="IN","Not in cash book (credit)","Not in cash book (debit)")))</f>
        <v/>
      </c>
      <c r="I216" s="43" t="str">
        <f aca="false">IF(N(R216)&gt;0,R216,"")</f>
        <v/>
      </c>
      <c r="J216" s="45" t="str">
        <f aca="false">IF(AND(M216="",B216="",C216=""),"",IF(AND(N(E216)&gt;0,N(F216)&gt;0),"⚠ Fill withdrawal OR deposit",IF(M216="","⚠ Enter amount",IF(B216="","⚠ Enter date",IF(NOT(OR(NOT(ISNUMBER(G216)),NOT(ISNUMBER(G215)),ABS(N(G216)-(N(G215)+N(F216)-N(E216)))&lt;=0.5)),"⚠ Balance does not follow previous row","✔")))))</f>
        <v/>
      </c>
      <c r="M216" s="9" t="str">
        <f aca="false">IF(N(F216)&gt;0,"IN",IF(N(E216)&gt;0,"OUT",""))</f>
        <v/>
      </c>
      <c r="N216" s="9" t="str">
        <f aca="false">IF(M216="","",M216&amp;"|"&amp;TEXT(ROUND(N(E216)+N(F216),2),"0.00"))</f>
        <v/>
      </c>
      <c r="O216" s="9" t="str">
        <f aca="false">IF(OR(N216="",TRIM(D216&amp;"")=""),"",N216&amp;"|"&amp;UPPER(TRIM(D216&amp;"")))</f>
        <v/>
      </c>
      <c r="P216" s="9" t="n">
        <f aca="false">IF(O216="",0,IF(COUNTIF('Cash Book'!$O$8:$O$507,O216)&gt;0,1,0))</f>
        <v>0</v>
      </c>
      <c r="Q216" s="9" t="str">
        <f aca="false">IF(OR(N216="",P216=1),"",N216&amp;"#"&amp;COUNTIFS($N$8:N216,N216,$P$8:P216,0))</f>
        <v/>
      </c>
      <c r="R216" s="9" t="n">
        <f aca="false">IF(N216="",0,IFERROR(MATCH(ROW()-7,'Cash Book'!$U$8:$U$507,0),0))</f>
        <v>0</v>
      </c>
      <c r="V216" s="9" t="str">
        <f aca="false">IF(AND(N216&lt;&gt;"",R216=0),IF(M216="IN",3,4)*100000+ROW(),"")</f>
        <v/>
      </c>
      <c r="W216" s="9" t="n">
        <f aca="false">N(E216)+N(F216)</f>
        <v>0</v>
      </c>
    </row>
    <row r="217" customFormat="false" ht="15" hidden="false" customHeight="false" outlineLevel="0" collapsed="false">
      <c r="A217" s="37" t="str">
        <f aca="false">IF(M217="","",ROW()-7)</f>
        <v/>
      </c>
      <c r="B217" s="70"/>
      <c r="C217" s="72"/>
      <c r="D217" s="71"/>
      <c r="E217" s="73"/>
      <c r="F217" s="73"/>
      <c r="G217" s="73"/>
      <c r="H217" s="42" t="str">
        <f aca="false">IF(M217="","",IF(R217&gt;0,"✔ Matched",IF(M217="IN","Not in cash book (credit)","Not in cash book (debit)")))</f>
        <v/>
      </c>
      <c r="I217" s="43" t="str">
        <f aca="false">IF(N(R217)&gt;0,R217,"")</f>
        <v/>
      </c>
      <c r="J217" s="45" t="str">
        <f aca="false">IF(AND(M217="",B217="",C217=""),"",IF(AND(N(E217)&gt;0,N(F217)&gt;0),"⚠ Fill withdrawal OR deposit",IF(M217="","⚠ Enter amount",IF(B217="","⚠ Enter date",IF(NOT(OR(NOT(ISNUMBER(G217)),NOT(ISNUMBER(G216)),ABS(N(G217)-(N(G216)+N(F217)-N(E217)))&lt;=0.5)),"⚠ Balance does not follow previous row","✔")))))</f>
        <v/>
      </c>
      <c r="M217" s="9" t="str">
        <f aca="false">IF(N(F217)&gt;0,"IN",IF(N(E217)&gt;0,"OUT",""))</f>
        <v/>
      </c>
      <c r="N217" s="9" t="str">
        <f aca="false">IF(M217="","",M217&amp;"|"&amp;TEXT(ROUND(N(E217)+N(F217),2),"0.00"))</f>
        <v/>
      </c>
      <c r="O217" s="9" t="str">
        <f aca="false">IF(OR(N217="",TRIM(D217&amp;"")=""),"",N217&amp;"|"&amp;UPPER(TRIM(D217&amp;"")))</f>
        <v/>
      </c>
      <c r="P217" s="9" t="n">
        <f aca="false">IF(O217="",0,IF(COUNTIF('Cash Book'!$O$8:$O$507,O217)&gt;0,1,0))</f>
        <v>0</v>
      </c>
      <c r="Q217" s="9" t="str">
        <f aca="false">IF(OR(N217="",P217=1),"",N217&amp;"#"&amp;COUNTIFS($N$8:N217,N217,$P$8:P217,0))</f>
        <v/>
      </c>
      <c r="R217" s="9" t="n">
        <f aca="false">IF(N217="",0,IFERROR(MATCH(ROW()-7,'Cash Book'!$U$8:$U$507,0),0))</f>
        <v>0</v>
      </c>
      <c r="V217" s="9" t="str">
        <f aca="false">IF(AND(N217&lt;&gt;"",R217=0),IF(M217="IN",3,4)*100000+ROW(),"")</f>
        <v/>
      </c>
      <c r="W217" s="9" t="n">
        <f aca="false">N(E217)+N(F217)</f>
        <v>0</v>
      </c>
    </row>
    <row r="218" customFormat="false" ht="15" hidden="false" customHeight="false" outlineLevel="0" collapsed="false">
      <c r="A218" s="37" t="str">
        <f aca="false">IF(M218="","",ROW()-7)</f>
        <v/>
      </c>
      <c r="B218" s="70"/>
      <c r="C218" s="72"/>
      <c r="D218" s="71"/>
      <c r="E218" s="73"/>
      <c r="F218" s="73"/>
      <c r="G218" s="73"/>
      <c r="H218" s="42" t="str">
        <f aca="false">IF(M218="","",IF(R218&gt;0,"✔ Matched",IF(M218="IN","Not in cash book (credit)","Not in cash book (debit)")))</f>
        <v/>
      </c>
      <c r="I218" s="43" t="str">
        <f aca="false">IF(N(R218)&gt;0,R218,"")</f>
        <v/>
      </c>
      <c r="J218" s="45" t="str">
        <f aca="false">IF(AND(M218="",B218="",C218=""),"",IF(AND(N(E218)&gt;0,N(F218)&gt;0),"⚠ Fill withdrawal OR deposit",IF(M218="","⚠ Enter amount",IF(B218="","⚠ Enter date",IF(NOT(OR(NOT(ISNUMBER(G218)),NOT(ISNUMBER(G217)),ABS(N(G218)-(N(G217)+N(F218)-N(E218)))&lt;=0.5)),"⚠ Balance does not follow previous row","✔")))))</f>
        <v/>
      </c>
      <c r="M218" s="9" t="str">
        <f aca="false">IF(N(F218)&gt;0,"IN",IF(N(E218)&gt;0,"OUT",""))</f>
        <v/>
      </c>
      <c r="N218" s="9" t="str">
        <f aca="false">IF(M218="","",M218&amp;"|"&amp;TEXT(ROUND(N(E218)+N(F218),2),"0.00"))</f>
        <v/>
      </c>
      <c r="O218" s="9" t="str">
        <f aca="false">IF(OR(N218="",TRIM(D218&amp;"")=""),"",N218&amp;"|"&amp;UPPER(TRIM(D218&amp;"")))</f>
        <v/>
      </c>
      <c r="P218" s="9" t="n">
        <f aca="false">IF(O218="",0,IF(COUNTIF('Cash Book'!$O$8:$O$507,O218)&gt;0,1,0))</f>
        <v>0</v>
      </c>
      <c r="Q218" s="9" t="str">
        <f aca="false">IF(OR(N218="",P218=1),"",N218&amp;"#"&amp;COUNTIFS($N$8:N218,N218,$P$8:P218,0))</f>
        <v/>
      </c>
      <c r="R218" s="9" t="n">
        <f aca="false">IF(N218="",0,IFERROR(MATCH(ROW()-7,'Cash Book'!$U$8:$U$507,0),0))</f>
        <v>0</v>
      </c>
      <c r="V218" s="9" t="str">
        <f aca="false">IF(AND(N218&lt;&gt;"",R218=0),IF(M218="IN",3,4)*100000+ROW(),"")</f>
        <v/>
      </c>
      <c r="W218" s="9" t="n">
        <f aca="false">N(E218)+N(F218)</f>
        <v>0</v>
      </c>
    </row>
    <row r="219" customFormat="false" ht="15" hidden="false" customHeight="false" outlineLevel="0" collapsed="false">
      <c r="A219" s="37" t="str">
        <f aca="false">IF(M219="","",ROW()-7)</f>
        <v/>
      </c>
      <c r="B219" s="70"/>
      <c r="C219" s="72"/>
      <c r="D219" s="71"/>
      <c r="E219" s="73"/>
      <c r="F219" s="73"/>
      <c r="G219" s="73"/>
      <c r="H219" s="42" t="str">
        <f aca="false">IF(M219="","",IF(R219&gt;0,"✔ Matched",IF(M219="IN","Not in cash book (credit)","Not in cash book (debit)")))</f>
        <v/>
      </c>
      <c r="I219" s="43" t="str">
        <f aca="false">IF(N(R219)&gt;0,R219,"")</f>
        <v/>
      </c>
      <c r="J219" s="45" t="str">
        <f aca="false">IF(AND(M219="",B219="",C219=""),"",IF(AND(N(E219)&gt;0,N(F219)&gt;0),"⚠ Fill withdrawal OR deposit",IF(M219="","⚠ Enter amount",IF(B219="","⚠ Enter date",IF(NOT(OR(NOT(ISNUMBER(G219)),NOT(ISNUMBER(G218)),ABS(N(G219)-(N(G218)+N(F219)-N(E219)))&lt;=0.5)),"⚠ Balance does not follow previous row","✔")))))</f>
        <v/>
      </c>
      <c r="M219" s="9" t="str">
        <f aca="false">IF(N(F219)&gt;0,"IN",IF(N(E219)&gt;0,"OUT",""))</f>
        <v/>
      </c>
      <c r="N219" s="9" t="str">
        <f aca="false">IF(M219="","",M219&amp;"|"&amp;TEXT(ROUND(N(E219)+N(F219),2),"0.00"))</f>
        <v/>
      </c>
      <c r="O219" s="9" t="str">
        <f aca="false">IF(OR(N219="",TRIM(D219&amp;"")=""),"",N219&amp;"|"&amp;UPPER(TRIM(D219&amp;"")))</f>
        <v/>
      </c>
      <c r="P219" s="9" t="n">
        <f aca="false">IF(O219="",0,IF(COUNTIF('Cash Book'!$O$8:$O$507,O219)&gt;0,1,0))</f>
        <v>0</v>
      </c>
      <c r="Q219" s="9" t="str">
        <f aca="false">IF(OR(N219="",P219=1),"",N219&amp;"#"&amp;COUNTIFS($N$8:N219,N219,$P$8:P219,0))</f>
        <v/>
      </c>
      <c r="R219" s="9" t="n">
        <f aca="false">IF(N219="",0,IFERROR(MATCH(ROW()-7,'Cash Book'!$U$8:$U$507,0),0))</f>
        <v>0</v>
      </c>
      <c r="V219" s="9" t="str">
        <f aca="false">IF(AND(N219&lt;&gt;"",R219=0),IF(M219="IN",3,4)*100000+ROW(),"")</f>
        <v/>
      </c>
      <c r="W219" s="9" t="n">
        <f aca="false">N(E219)+N(F219)</f>
        <v>0</v>
      </c>
    </row>
    <row r="220" customFormat="false" ht="15" hidden="false" customHeight="false" outlineLevel="0" collapsed="false">
      <c r="A220" s="37" t="str">
        <f aca="false">IF(M220="","",ROW()-7)</f>
        <v/>
      </c>
      <c r="B220" s="70"/>
      <c r="C220" s="72"/>
      <c r="D220" s="71"/>
      <c r="E220" s="73"/>
      <c r="F220" s="73"/>
      <c r="G220" s="73"/>
      <c r="H220" s="42" t="str">
        <f aca="false">IF(M220="","",IF(R220&gt;0,"✔ Matched",IF(M220="IN","Not in cash book (credit)","Not in cash book (debit)")))</f>
        <v/>
      </c>
      <c r="I220" s="43" t="str">
        <f aca="false">IF(N(R220)&gt;0,R220,"")</f>
        <v/>
      </c>
      <c r="J220" s="45" t="str">
        <f aca="false">IF(AND(M220="",B220="",C220=""),"",IF(AND(N(E220)&gt;0,N(F220)&gt;0),"⚠ Fill withdrawal OR deposit",IF(M220="","⚠ Enter amount",IF(B220="","⚠ Enter date",IF(NOT(OR(NOT(ISNUMBER(G220)),NOT(ISNUMBER(G219)),ABS(N(G220)-(N(G219)+N(F220)-N(E220)))&lt;=0.5)),"⚠ Balance does not follow previous row","✔")))))</f>
        <v/>
      </c>
      <c r="M220" s="9" t="str">
        <f aca="false">IF(N(F220)&gt;0,"IN",IF(N(E220)&gt;0,"OUT",""))</f>
        <v/>
      </c>
      <c r="N220" s="9" t="str">
        <f aca="false">IF(M220="","",M220&amp;"|"&amp;TEXT(ROUND(N(E220)+N(F220),2),"0.00"))</f>
        <v/>
      </c>
      <c r="O220" s="9" t="str">
        <f aca="false">IF(OR(N220="",TRIM(D220&amp;"")=""),"",N220&amp;"|"&amp;UPPER(TRIM(D220&amp;"")))</f>
        <v/>
      </c>
      <c r="P220" s="9" t="n">
        <f aca="false">IF(O220="",0,IF(COUNTIF('Cash Book'!$O$8:$O$507,O220)&gt;0,1,0))</f>
        <v>0</v>
      </c>
      <c r="Q220" s="9" t="str">
        <f aca="false">IF(OR(N220="",P220=1),"",N220&amp;"#"&amp;COUNTIFS($N$8:N220,N220,$P$8:P220,0))</f>
        <v/>
      </c>
      <c r="R220" s="9" t="n">
        <f aca="false">IF(N220="",0,IFERROR(MATCH(ROW()-7,'Cash Book'!$U$8:$U$507,0),0))</f>
        <v>0</v>
      </c>
      <c r="V220" s="9" t="str">
        <f aca="false">IF(AND(N220&lt;&gt;"",R220=0),IF(M220="IN",3,4)*100000+ROW(),"")</f>
        <v/>
      </c>
      <c r="W220" s="9" t="n">
        <f aca="false">N(E220)+N(F220)</f>
        <v>0</v>
      </c>
    </row>
    <row r="221" customFormat="false" ht="15" hidden="false" customHeight="false" outlineLevel="0" collapsed="false">
      <c r="A221" s="37" t="str">
        <f aca="false">IF(M221="","",ROW()-7)</f>
        <v/>
      </c>
      <c r="B221" s="70"/>
      <c r="C221" s="72"/>
      <c r="D221" s="71"/>
      <c r="E221" s="73"/>
      <c r="F221" s="73"/>
      <c r="G221" s="73"/>
      <c r="H221" s="42" t="str">
        <f aca="false">IF(M221="","",IF(R221&gt;0,"✔ Matched",IF(M221="IN","Not in cash book (credit)","Not in cash book (debit)")))</f>
        <v/>
      </c>
      <c r="I221" s="43" t="str">
        <f aca="false">IF(N(R221)&gt;0,R221,"")</f>
        <v/>
      </c>
      <c r="J221" s="45" t="str">
        <f aca="false">IF(AND(M221="",B221="",C221=""),"",IF(AND(N(E221)&gt;0,N(F221)&gt;0),"⚠ Fill withdrawal OR deposit",IF(M221="","⚠ Enter amount",IF(B221="","⚠ Enter date",IF(NOT(OR(NOT(ISNUMBER(G221)),NOT(ISNUMBER(G220)),ABS(N(G221)-(N(G220)+N(F221)-N(E221)))&lt;=0.5)),"⚠ Balance does not follow previous row","✔")))))</f>
        <v/>
      </c>
      <c r="M221" s="9" t="str">
        <f aca="false">IF(N(F221)&gt;0,"IN",IF(N(E221)&gt;0,"OUT",""))</f>
        <v/>
      </c>
      <c r="N221" s="9" t="str">
        <f aca="false">IF(M221="","",M221&amp;"|"&amp;TEXT(ROUND(N(E221)+N(F221),2),"0.00"))</f>
        <v/>
      </c>
      <c r="O221" s="9" t="str">
        <f aca="false">IF(OR(N221="",TRIM(D221&amp;"")=""),"",N221&amp;"|"&amp;UPPER(TRIM(D221&amp;"")))</f>
        <v/>
      </c>
      <c r="P221" s="9" t="n">
        <f aca="false">IF(O221="",0,IF(COUNTIF('Cash Book'!$O$8:$O$507,O221)&gt;0,1,0))</f>
        <v>0</v>
      </c>
      <c r="Q221" s="9" t="str">
        <f aca="false">IF(OR(N221="",P221=1),"",N221&amp;"#"&amp;COUNTIFS($N$8:N221,N221,$P$8:P221,0))</f>
        <v/>
      </c>
      <c r="R221" s="9" t="n">
        <f aca="false">IF(N221="",0,IFERROR(MATCH(ROW()-7,'Cash Book'!$U$8:$U$507,0),0))</f>
        <v>0</v>
      </c>
      <c r="V221" s="9" t="str">
        <f aca="false">IF(AND(N221&lt;&gt;"",R221=0),IF(M221="IN",3,4)*100000+ROW(),"")</f>
        <v/>
      </c>
      <c r="W221" s="9" t="n">
        <f aca="false">N(E221)+N(F221)</f>
        <v>0</v>
      </c>
    </row>
    <row r="222" customFormat="false" ht="15" hidden="false" customHeight="false" outlineLevel="0" collapsed="false">
      <c r="A222" s="37" t="str">
        <f aca="false">IF(M222="","",ROW()-7)</f>
        <v/>
      </c>
      <c r="B222" s="70"/>
      <c r="C222" s="72"/>
      <c r="D222" s="71"/>
      <c r="E222" s="73"/>
      <c r="F222" s="73"/>
      <c r="G222" s="73"/>
      <c r="H222" s="42" t="str">
        <f aca="false">IF(M222="","",IF(R222&gt;0,"✔ Matched",IF(M222="IN","Not in cash book (credit)","Not in cash book (debit)")))</f>
        <v/>
      </c>
      <c r="I222" s="43" t="str">
        <f aca="false">IF(N(R222)&gt;0,R222,"")</f>
        <v/>
      </c>
      <c r="J222" s="45" t="str">
        <f aca="false">IF(AND(M222="",B222="",C222=""),"",IF(AND(N(E222)&gt;0,N(F222)&gt;0),"⚠ Fill withdrawal OR deposit",IF(M222="","⚠ Enter amount",IF(B222="","⚠ Enter date",IF(NOT(OR(NOT(ISNUMBER(G222)),NOT(ISNUMBER(G221)),ABS(N(G222)-(N(G221)+N(F222)-N(E222)))&lt;=0.5)),"⚠ Balance does not follow previous row","✔")))))</f>
        <v/>
      </c>
      <c r="M222" s="9" t="str">
        <f aca="false">IF(N(F222)&gt;0,"IN",IF(N(E222)&gt;0,"OUT",""))</f>
        <v/>
      </c>
      <c r="N222" s="9" t="str">
        <f aca="false">IF(M222="","",M222&amp;"|"&amp;TEXT(ROUND(N(E222)+N(F222),2),"0.00"))</f>
        <v/>
      </c>
      <c r="O222" s="9" t="str">
        <f aca="false">IF(OR(N222="",TRIM(D222&amp;"")=""),"",N222&amp;"|"&amp;UPPER(TRIM(D222&amp;"")))</f>
        <v/>
      </c>
      <c r="P222" s="9" t="n">
        <f aca="false">IF(O222="",0,IF(COUNTIF('Cash Book'!$O$8:$O$507,O222)&gt;0,1,0))</f>
        <v>0</v>
      </c>
      <c r="Q222" s="9" t="str">
        <f aca="false">IF(OR(N222="",P222=1),"",N222&amp;"#"&amp;COUNTIFS($N$8:N222,N222,$P$8:P222,0))</f>
        <v/>
      </c>
      <c r="R222" s="9" t="n">
        <f aca="false">IF(N222="",0,IFERROR(MATCH(ROW()-7,'Cash Book'!$U$8:$U$507,0),0))</f>
        <v>0</v>
      </c>
      <c r="V222" s="9" t="str">
        <f aca="false">IF(AND(N222&lt;&gt;"",R222=0),IF(M222="IN",3,4)*100000+ROW(),"")</f>
        <v/>
      </c>
      <c r="W222" s="9" t="n">
        <f aca="false">N(E222)+N(F222)</f>
        <v>0</v>
      </c>
    </row>
    <row r="223" customFormat="false" ht="15" hidden="false" customHeight="false" outlineLevel="0" collapsed="false">
      <c r="A223" s="37" t="str">
        <f aca="false">IF(M223="","",ROW()-7)</f>
        <v/>
      </c>
      <c r="B223" s="70"/>
      <c r="C223" s="72"/>
      <c r="D223" s="71"/>
      <c r="E223" s="73"/>
      <c r="F223" s="73"/>
      <c r="G223" s="73"/>
      <c r="H223" s="42" t="str">
        <f aca="false">IF(M223="","",IF(R223&gt;0,"✔ Matched",IF(M223="IN","Not in cash book (credit)","Not in cash book (debit)")))</f>
        <v/>
      </c>
      <c r="I223" s="43" t="str">
        <f aca="false">IF(N(R223)&gt;0,R223,"")</f>
        <v/>
      </c>
      <c r="J223" s="45" t="str">
        <f aca="false">IF(AND(M223="",B223="",C223=""),"",IF(AND(N(E223)&gt;0,N(F223)&gt;0),"⚠ Fill withdrawal OR deposit",IF(M223="","⚠ Enter amount",IF(B223="","⚠ Enter date",IF(NOT(OR(NOT(ISNUMBER(G223)),NOT(ISNUMBER(G222)),ABS(N(G223)-(N(G222)+N(F223)-N(E223)))&lt;=0.5)),"⚠ Balance does not follow previous row","✔")))))</f>
        <v/>
      </c>
      <c r="M223" s="9" t="str">
        <f aca="false">IF(N(F223)&gt;0,"IN",IF(N(E223)&gt;0,"OUT",""))</f>
        <v/>
      </c>
      <c r="N223" s="9" t="str">
        <f aca="false">IF(M223="","",M223&amp;"|"&amp;TEXT(ROUND(N(E223)+N(F223),2),"0.00"))</f>
        <v/>
      </c>
      <c r="O223" s="9" t="str">
        <f aca="false">IF(OR(N223="",TRIM(D223&amp;"")=""),"",N223&amp;"|"&amp;UPPER(TRIM(D223&amp;"")))</f>
        <v/>
      </c>
      <c r="P223" s="9" t="n">
        <f aca="false">IF(O223="",0,IF(COUNTIF('Cash Book'!$O$8:$O$507,O223)&gt;0,1,0))</f>
        <v>0</v>
      </c>
      <c r="Q223" s="9" t="str">
        <f aca="false">IF(OR(N223="",P223=1),"",N223&amp;"#"&amp;COUNTIFS($N$8:N223,N223,$P$8:P223,0))</f>
        <v/>
      </c>
      <c r="R223" s="9" t="n">
        <f aca="false">IF(N223="",0,IFERROR(MATCH(ROW()-7,'Cash Book'!$U$8:$U$507,0),0))</f>
        <v>0</v>
      </c>
      <c r="V223" s="9" t="str">
        <f aca="false">IF(AND(N223&lt;&gt;"",R223=0),IF(M223="IN",3,4)*100000+ROW(),"")</f>
        <v/>
      </c>
      <c r="W223" s="9" t="n">
        <f aca="false">N(E223)+N(F223)</f>
        <v>0</v>
      </c>
    </row>
    <row r="224" customFormat="false" ht="15" hidden="false" customHeight="false" outlineLevel="0" collapsed="false">
      <c r="A224" s="37" t="str">
        <f aca="false">IF(M224="","",ROW()-7)</f>
        <v/>
      </c>
      <c r="B224" s="70"/>
      <c r="C224" s="72"/>
      <c r="D224" s="71"/>
      <c r="E224" s="73"/>
      <c r="F224" s="73"/>
      <c r="G224" s="73"/>
      <c r="H224" s="42" t="str">
        <f aca="false">IF(M224="","",IF(R224&gt;0,"✔ Matched",IF(M224="IN","Not in cash book (credit)","Not in cash book (debit)")))</f>
        <v/>
      </c>
      <c r="I224" s="43" t="str">
        <f aca="false">IF(N(R224)&gt;0,R224,"")</f>
        <v/>
      </c>
      <c r="J224" s="45" t="str">
        <f aca="false">IF(AND(M224="",B224="",C224=""),"",IF(AND(N(E224)&gt;0,N(F224)&gt;0),"⚠ Fill withdrawal OR deposit",IF(M224="","⚠ Enter amount",IF(B224="","⚠ Enter date",IF(NOT(OR(NOT(ISNUMBER(G224)),NOT(ISNUMBER(G223)),ABS(N(G224)-(N(G223)+N(F224)-N(E224)))&lt;=0.5)),"⚠ Balance does not follow previous row","✔")))))</f>
        <v/>
      </c>
      <c r="M224" s="9" t="str">
        <f aca="false">IF(N(F224)&gt;0,"IN",IF(N(E224)&gt;0,"OUT",""))</f>
        <v/>
      </c>
      <c r="N224" s="9" t="str">
        <f aca="false">IF(M224="","",M224&amp;"|"&amp;TEXT(ROUND(N(E224)+N(F224),2),"0.00"))</f>
        <v/>
      </c>
      <c r="O224" s="9" t="str">
        <f aca="false">IF(OR(N224="",TRIM(D224&amp;"")=""),"",N224&amp;"|"&amp;UPPER(TRIM(D224&amp;"")))</f>
        <v/>
      </c>
      <c r="P224" s="9" t="n">
        <f aca="false">IF(O224="",0,IF(COUNTIF('Cash Book'!$O$8:$O$507,O224)&gt;0,1,0))</f>
        <v>0</v>
      </c>
      <c r="Q224" s="9" t="str">
        <f aca="false">IF(OR(N224="",P224=1),"",N224&amp;"#"&amp;COUNTIFS($N$8:N224,N224,$P$8:P224,0))</f>
        <v/>
      </c>
      <c r="R224" s="9" t="n">
        <f aca="false">IF(N224="",0,IFERROR(MATCH(ROW()-7,'Cash Book'!$U$8:$U$507,0),0))</f>
        <v>0</v>
      </c>
      <c r="V224" s="9" t="str">
        <f aca="false">IF(AND(N224&lt;&gt;"",R224=0),IF(M224="IN",3,4)*100000+ROW(),"")</f>
        <v/>
      </c>
      <c r="W224" s="9" t="n">
        <f aca="false">N(E224)+N(F224)</f>
        <v>0</v>
      </c>
    </row>
    <row r="225" customFormat="false" ht="15" hidden="false" customHeight="false" outlineLevel="0" collapsed="false">
      <c r="A225" s="37" t="str">
        <f aca="false">IF(M225="","",ROW()-7)</f>
        <v/>
      </c>
      <c r="B225" s="70"/>
      <c r="C225" s="72"/>
      <c r="D225" s="71"/>
      <c r="E225" s="73"/>
      <c r="F225" s="73"/>
      <c r="G225" s="73"/>
      <c r="H225" s="42" t="str">
        <f aca="false">IF(M225="","",IF(R225&gt;0,"✔ Matched",IF(M225="IN","Not in cash book (credit)","Not in cash book (debit)")))</f>
        <v/>
      </c>
      <c r="I225" s="43" t="str">
        <f aca="false">IF(N(R225)&gt;0,R225,"")</f>
        <v/>
      </c>
      <c r="J225" s="45" t="str">
        <f aca="false">IF(AND(M225="",B225="",C225=""),"",IF(AND(N(E225)&gt;0,N(F225)&gt;0),"⚠ Fill withdrawal OR deposit",IF(M225="","⚠ Enter amount",IF(B225="","⚠ Enter date",IF(NOT(OR(NOT(ISNUMBER(G225)),NOT(ISNUMBER(G224)),ABS(N(G225)-(N(G224)+N(F225)-N(E225)))&lt;=0.5)),"⚠ Balance does not follow previous row","✔")))))</f>
        <v/>
      </c>
      <c r="M225" s="9" t="str">
        <f aca="false">IF(N(F225)&gt;0,"IN",IF(N(E225)&gt;0,"OUT",""))</f>
        <v/>
      </c>
      <c r="N225" s="9" t="str">
        <f aca="false">IF(M225="","",M225&amp;"|"&amp;TEXT(ROUND(N(E225)+N(F225),2),"0.00"))</f>
        <v/>
      </c>
      <c r="O225" s="9" t="str">
        <f aca="false">IF(OR(N225="",TRIM(D225&amp;"")=""),"",N225&amp;"|"&amp;UPPER(TRIM(D225&amp;"")))</f>
        <v/>
      </c>
      <c r="P225" s="9" t="n">
        <f aca="false">IF(O225="",0,IF(COUNTIF('Cash Book'!$O$8:$O$507,O225)&gt;0,1,0))</f>
        <v>0</v>
      </c>
      <c r="Q225" s="9" t="str">
        <f aca="false">IF(OR(N225="",P225=1),"",N225&amp;"#"&amp;COUNTIFS($N$8:N225,N225,$P$8:P225,0))</f>
        <v/>
      </c>
      <c r="R225" s="9" t="n">
        <f aca="false">IF(N225="",0,IFERROR(MATCH(ROW()-7,'Cash Book'!$U$8:$U$507,0),0))</f>
        <v>0</v>
      </c>
      <c r="V225" s="9" t="str">
        <f aca="false">IF(AND(N225&lt;&gt;"",R225=0),IF(M225="IN",3,4)*100000+ROW(),"")</f>
        <v/>
      </c>
      <c r="W225" s="9" t="n">
        <f aca="false">N(E225)+N(F225)</f>
        <v>0</v>
      </c>
    </row>
    <row r="226" customFormat="false" ht="15" hidden="false" customHeight="false" outlineLevel="0" collapsed="false">
      <c r="A226" s="37" t="str">
        <f aca="false">IF(M226="","",ROW()-7)</f>
        <v/>
      </c>
      <c r="B226" s="70"/>
      <c r="C226" s="72"/>
      <c r="D226" s="71"/>
      <c r="E226" s="73"/>
      <c r="F226" s="73"/>
      <c r="G226" s="73"/>
      <c r="H226" s="42" t="str">
        <f aca="false">IF(M226="","",IF(R226&gt;0,"✔ Matched",IF(M226="IN","Not in cash book (credit)","Not in cash book (debit)")))</f>
        <v/>
      </c>
      <c r="I226" s="43" t="str">
        <f aca="false">IF(N(R226)&gt;0,R226,"")</f>
        <v/>
      </c>
      <c r="J226" s="45" t="str">
        <f aca="false">IF(AND(M226="",B226="",C226=""),"",IF(AND(N(E226)&gt;0,N(F226)&gt;0),"⚠ Fill withdrawal OR deposit",IF(M226="","⚠ Enter amount",IF(B226="","⚠ Enter date",IF(NOT(OR(NOT(ISNUMBER(G226)),NOT(ISNUMBER(G225)),ABS(N(G226)-(N(G225)+N(F226)-N(E226)))&lt;=0.5)),"⚠ Balance does not follow previous row","✔")))))</f>
        <v/>
      </c>
      <c r="M226" s="9" t="str">
        <f aca="false">IF(N(F226)&gt;0,"IN",IF(N(E226)&gt;0,"OUT",""))</f>
        <v/>
      </c>
      <c r="N226" s="9" t="str">
        <f aca="false">IF(M226="","",M226&amp;"|"&amp;TEXT(ROUND(N(E226)+N(F226),2),"0.00"))</f>
        <v/>
      </c>
      <c r="O226" s="9" t="str">
        <f aca="false">IF(OR(N226="",TRIM(D226&amp;"")=""),"",N226&amp;"|"&amp;UPPER(TRIM(D226&amp;"")))</f>
        <v/>
      </c>
      <c r="P226" s="9" t="n">
        <f aca="false">IF(O226="",0,IF(COUNTIF('Cash Book'!$O$8:$O$507,O226)&gt;0,1,0))</f>
        <v>0</v>
      </c>
      <c r="Q226" s="9" t="str">
        <f aca="false">IF(OR(N226="",P226=1),"",N226&amp;"#"&amp;COUNTIFS($N$8:N226,N226,$P$8:P226,0))</f>
        <v/>
      </c>
      <c r="R226" s="9" t="n">
        <f aca="false">IF(N226="",0,IFERROR(MATCH(ROW()-7,'Cash Book'!$U$8:$U$507,0),0))</f>
        <v>0</v>
      </c>
      <c r="V226" s="9" t="str">
        <f aca="false">IF(AND(N226&lt;&gt;"",R226=0),IF(M226="IN",3,4)*100000+ROW(),"")</f>
        <v/>
      </c>
      <c r="W226" s="9" t="n">
        <f aca="false">N(E226)+N(F226)</f>
        <v>0</v>
      </c>
    </row>
    <row r="227" customFormat="false" ht="15" hidden="false" customHeight="false" outlineLevel="0" collapsed="false">
      <c r="A227" s="37" t="str">
        <f aca="false">IF(M227="","",ROW()-7)</f>
        <v/>
      </c>
      <c r="B227" s="70"/>
      <c r="C227" s="72"/>
      <c r="D227" s="71"/>
      <c r="E227" s="73"/>
      <c r="F227" s="73"/>
      <c r="G227" s="73"/>
      <c r="H227" s="42" t="str">
        <f aca="false">IF(M227="","",IF(R227&gt;0,"✔ Matched",IF(M227="IN","Not in cash book (credit)","Not in cash book (debit)")))</f>
        <v/>
      </c>
      <c r="I227" s="43" t="str">
        <f aca="false">IF(N(R227)&gt;0,R227,"")</f>
        <v/>
      </c>
      <c r="J227" s="45" t="str">
        <f aca="false">IF(AND(M227="",B227="",C227=""),"",IF(AND(N(E227)&gt;0,N(F227)&gt;0),"⚠ Fill withdrawal OR deposit",IF(M227="","⚠ Enter amount",IF(B227="","⚠ Enter date",IF(NOT(OR(NOT(ISNUMBER(G227)),NOT(ISNUMBER(G226)),ABS(N(G227)-(N(G226)+N(F227)-N(E227)))&lt;=0.5)),"⚠ Balance does not follow previous row","✔")))))</f>
        <v/>
      </c>
      <c r="M227" s="9" t="str">
        <f aca="false">IF(N(F227)&gt;0,"IN",IF(N(E227)&gt;0,"OUT",""))</f>
        <v/>
      </c>
      <c r="N227" s="9" t="str">
        <f aca="false">IF(M227="","",M227&amp;"|"&amp;TEXT(ROUND(N(E227)+N(F227),2),"0.00"))</f>
        <v/>
      </c>
      <c r="O227" s="9" t="str">
        <f aca="false">IF(OR(N227="",TRIM(D227&amp;"")=""),"",N227&amp;"|"&amp;UPPER(TRIM(D227&amp;"")))</f>
        <v/>
      </c>
      <c r="P227" s="9" t="n">
        <f aca="false">IF(O227="",0,IF(COUNTIF('Cash Book'!$O$8:$O$507,O227)&gt;0,1,0))</f>
        <v>0</v>
      </c>
      <c r="Q227" s="9" t="str">
        <f aca="false">IF(OR(N227="",P227=1),"",N227&amp;"#"&amp;COUNTIFS($N$8:N227,N227,$P$8:P227,0))</f>
        <v/>
      </c>
      <c r="R227" s="9" t="n">
        <f aca="false">IF(N227="",0,IFERROR(MATCH(ROW()-7,'Cash Book'!$U$8:$U$507,0),0))</f>
        <v>0</v>
      </c>
      <c r="V227" s="9" t="str">
        <f aca="false">IF(AND(N227&lt;&gt;"",R227=0),IF(M227="IN",3,4)*100000+ROW(),"")</f>
        <v/>
      </c>
      <c r="W227" s="9" t="n">
        <f aca="false">N(E227)+N(F227)</f>
        <v>0</v>
      </c>
    </row>
    <row r="228" customFormat="false" ht="15" hidden="false" customHeight="false" outlineLevel="0" collapsed="false">
      <c r="A228" s="37" t="str">
        <f aca="false">IF(M228="","",ROW()-7)</f>
        <v/>
      </c>
      <c r="B228" s="70"/>
      <c r="C228" s="72"/>
      <c r="D228" s="71"/>
      <c r="E228" s="73"/>
      <c r="F228" s="73"/>
      <c r="G228" s="73"/>
      <c r="H228" s="42" t="str">
        <f aca="false">IF(M228="","",IF(R228&gt;0,"✔ Matched",IF(M228="IN","Not in cash book (credit)","Not in cash book (debit)")))</f>
        <v/>
      </c>
      <c r="I228" s="43" t="str">
        <f aca="false">IF(N(R228)&gt;0,R228,"")</f>
        <v/>
      </c>
      <c r="J228" s="45" t="str">
        <f aca="false">IF(AND(M228="",B228="",C228=""),"",IF(AND(N(E228)&gt;0,N(F228)&gt;0),"⚠ Fill withdrawal OR deposit",IF(M228="","⚠ Enter amount",IF(B228="","⚠ Enter date",IF(NOT(OR(NOT(ISNUMBER(G228)),NOT(ISNUMBER(G227)),ABS(N(G228)-(N(G227)+N(F228)-N(E228)))&lt;=0.5)),"⚠ Balance does not follow previous row","✔")))))</f>
        <v/>
      </c>
      <c r="M228" s="9" t="str">
        <f aca="false">IF(N(F228)&gt;0,"IN",IF(N(E228)&gt;0,"OUT",""))</f>
        <v/>
      </c>
      <c r="N228" s="9" t="str">
        <f aca="false">IF(M228="","",M228&amp;"|"&amp;TEXT(ROUND(N(E228)+N(F228),2),"0.00"))</f>
        <v/>
      </c>
      <c r="O228" s="9" t="str">
        <f aca="false">IF(OR(N228="",TRIM(D228&amp;"")=""),"",N228&amp;"|"&amp;UPPER(TRIM(D228&amp;"")))</f>
        <v/>
      </c>
      <c r="P228" s="9" t="n">
        <f aca="false">IF(O228="",0,IF(COUNTIF('Cash Book'!$O$8:$O$507,O228)&gt;0,1,0))</f>
        <v>0</v>
      </c>
      <c r="Q228" s="9" t="str">
        <f aca="false">IF(OR(N228="",P228=1),"",N228&amp;"#"&amp;COUNTIFS($N$8:N228,N228,$P$8:P228,0))</f>
        <v/>
      </c>
      <c r="R228" s="9" t="n">
        <f aca="false">IF(N228="",0,IFERROR(MATCH(ROW()-7,'Cash Book'!$U$8:$U$507,0),0))</f>
        <v>0</v>
      </c>
      <c r="V228" s="9" t="str">
        <f aca="false">IF(AND(N228&lt;&gt;"",R228=0),IF(M228="IN",3,4)*100000+ROW(),"")</f>
        <v/>
      </c>
      <c r="W228" s="9" t="n">
        <f aca="false">N(E228)+N(F228)</f>
        <v>0</v>
      </c>
    </row>
    <row r="229" customFormat="false" ht="15" hidden="false" customHeight="false" outlineLevel="0" collapsed="false">
      <c r="A229" s="37" t="str">
        <f aca="false">IF(M229="","",ROW()-7)</f>
        <v/>
      </c>
      <c r="B229" s="70"/>
      <c r="C229" s="72"/>
      <c r="D229" s="71"/>
      <c r="E229" s="73"/>
      <c r="F229" s="73"/>
      <c r="G229" s="73"/>
      <c r="H229" s="42" t="str">
        <f aca="false">IF(M229="","",IF(R229&gt;0,"✔ Matched",IF(M229="IN","Not in cash book (credit)","Not in cash book (debit)")))</f>
        <v/>
      </c>
      <c r="I229" s="43" t="str">
        <f aca="false">IF(N(R229)&gt;0,R229,"")</f>
        <v/>
      </c>
      <c r="J229" s="45" t="str">
        <f aca="false">IF(AND(M229="",B229="",C229=""),"",IF(AND(N(E229)&gt;0,N(F229)&gt;0),"⚠ Fill withdrawal OR deposit",IF(M229="","⚠ Enter amount",IF(B229="","⚠ Enter date",IF(NOT(OR(NOT(ISNUMBER(G229)),NOT(ISNUMBER(G228)),ABS(N(G229)-(N(G228)+N(F229)-N(E229)))&lt;=0.5)),"⚠ Balance does not follow previous row","✔")))))</f>
        <v/>
      </c>
      <c r="M229" s="9" t="str">
        <f aca="false">IF(N(F229)&gt;0,"IN",IF(N(E229)&gt;0,"OUT",""))</f>
        <v/>
      </c>
      <c r="N229" s="9" t="str">
        <f aca="false">IF(M229="","",M229&amp;"|"&amp;TEXT(ROUND(N(E229)+N(F229),2),"0.00"))</f>
        <v/>
      </c>
      <c r="O229" s="9" t="str">
        <f aca="false">IF(OR(N229="",TRIM(D229&amp;"")=""),"",N229&amp;"|"&amp;UPPER(TRIM(D229&amp;"")))</f>
        <v/>
      </c>
      <c r="P229" s="9" t="n">
        <f aca="false">IF(O229="",0,IF(COUNTIF('Cash Book'!$O$8:$O$507,O229)&gt;0,1,0))</f>
        <v>0</v>
      </c>
      <c r="Q229" s="9" t="str">
        <f aca="false">IF(OR(N229="",P229=1),"",N229&amp;"#"&amp;COUNTIFS($N$8:N229,N229,$P$8:P229,0))</f>
        <v/>
      </c>
      <c r="R229" s="9" t="n">
        <f aca="false">IF(N229="",0,IFERROR(MATCH(ROW()-7,'Cash Book'!$U$8:$U$507,0),0))</f>
        <v>0</v>
      </c>
      <c r="V229" s="9" t="str">
        <f aca="false">IF(AND(N229&lt;&gt;"",R229=0),IF(M229="IN",3,4)*100000+ROW(),"")</f>
        <v/>
      </c>
      <c r="W229" s="9" t="n">
        <f aca="false">N(E229)+N(F229)</f>
        <v>0</v>
      </c>
    </row>
    <row r="230" customFormat="false" ht="15" hidden="false" customHeight="false" outlineLevel="0" collapsed="false">
      <c r="A230" s="37" t="str">
        <f aca="false">IF(M230="","",ROW()-7)</f>
        <v/>
      </c>
      <c r="B230" s="70"/>
      <c r="C230" s="72"/>
      <c r="D230" s="71"/>
      <c r="E230" s="73"/>
      <c r="F230" s="73"/>
      <c r="G230" s="73"/>
      <c r="H230" s="42" t="str">
        <f aca="false">IF(M230="","",IF(R230&gt;0,"✔ Matched",IF(M230="IN","Not in cash book (credit)","Not in cash book (debit)")))</f>
        <v/>
      </c>
      <c r="I230" s="43" t="str">
        <f aca="false">IF(N(R230)&gt;0,R230,"")</f>
        <v/>
      </c>
      <c r="J230" s="45" t="str">
        <f aca="false">IF(AND(M230="",B230="",C230=""),"",IF(AND(N(E230)&gt;0,N(F230)&gt;0),"⚠ Fill withdrawal OR deposit",IF(M230="","⚠ Enter amount",IF(B230="","⚠ Enter date",IF(NOT(OR(NOT(ISNUMBER(G230)),NOT(ISNUMBER(G229)),ABS(N(G230)-(N(G229)+N(F230)-N(E230)))&lt;=0.5)),"⚠ Balance does not follow previous row","✔")))))</f>
        <v/>
      </c>
      <c r="M230" s="9" t="str">
        <f aca="false">IF(N(F230)&gt;0,"IN",IF(N(E230)&gt;0,"OUT",""))</f>
        <v/>
      </c>
      <c r="N230" s="9" t="str">
        <f aca="false">IF(M230="","",M230&amp;"|"&amp;TEXT(ROUND(N(E230)+N(F230),2),"0.00"))</f>
        <v/>
      </c>
      <c r="O230" s="9" t="str">
        <f aca="false">IF(OR(N230="",TRIM(D230&amp;"")=""),"",N230&amp;"|"&amp;UPPER(TRIM(D230&amp;"")))</f>
        <v/>
      </c>
      <c r="P230" s="9" t="n">
        <f aca="false">IF(O230="",0,IF(COUNTIF('Cash Book'!$O$8:$O$507,O230)&gt;0,1,0))</f>
        <v>0</v>
      </c>
      <c r="Q230" s="9" t="str">
        <f aca="false">IF(OR(N230="",P230=1),"",N230&amp;"#"&amp;COUNTIFS($N$8:N230,N230,$P$8:P230,0))</f>
        <v/>
      </c>
      <c r="R230" s="9" t="n">
        <f aca="false">IF(N230="",0,IFERROR(MATCH(ROW()-7,'Cash Book'!$U$8:$U$507,0),0))</f>
        <v>0</v>
      </c>
      <c r="V230" s="9" t="str">
        <f aca="false">IF(AND(N230&lt;&gt;"",R230=0),IF(M230="IN",3,4)*100000+ROW(),"")</f>
        <v/>
      </c>
      <c r="W230" s="9" t="n">
        <f aca="false">N(E230)+N(F230)</f>
        <v>0</v>
      </c>
    </row>
    <row r="231" customFormat="false" ht="15" hidden="false" customHeight="false" outlineLevel="0" collapsed="false">
      <c r="A231" s="37" t="str">
        <f aca="false">IF(M231="","",ROW()-7)</f>
        <v/>
      </c>
      <c r="B231" s="70"/>
      <c r="C231" s="72"/>
      <c r="D231" s="71"/>
      <c r="E231" s="73"/>
      <c r="F231" s="73"/>
      <c r="G231" s="73"/>
      <c r="H231" s="42" t="str">
        <f aca="false">IF(M231="","",IF(R231&gt;0,"✔ Matched",IF(M231="IN","Not in cash book (credit)","Not in cash book (debit)")))</f>
        <v/>
      </c>
      <c r="I231" s="43" t="str">
        <f aca="false">IF(N(R231)&gt;0,R231,"")</f>
        <v/>
      </c>
      <c r="J231" s="45" t="str">
        <f aca="false">IF(AND(M231="",B231="",C231=""),"",IF(AND(N(E231)&gt;0,N(F231)&gt;0),"⚠ Fill withdrawal OR deposit",IF(M231="","⚠ Enter amount",IF(B231="","⚠ Enter date",IF(NOT(OR(NOT(ISNUMBER(G231)),NOT(ISNUMBER(G230)),ABS(N(G231)-(N(G230)+N(F231)-N(E231)))&lt;=0.5)),"⚠ Balance does not follow previous row","✔")))))</f>
        <v/>
      </c>
      <c r="M231" s="9" t="str">
        <f aca="false">IF(N(F231)&gt;0,"IN",IF(N(E231)&gt;0,"OUT",""))</f>
        <v/>
      </c>
      <c r="N231" s="9" t="str">
        <f aca="false">IF(M231="","",M231&amp;"|"&amp;TEXT(ROUND(N(E231)+N(F231),2),"0.00"))</f>
        <v/>
      </c>
      <c r="O231" s="9" t="str">
        <f aca="false">IF(OR(N231="",TRIM(D231&amp;"")=""),"",N231&amp;"|"&amp;UPPER(TRIM(D231&amp;"")))</f>
        <v/>
      </c>
      <c r="P231" s="9" t="n">
        <f aca="false">IF(O231="",0,IF(COUNTIF('Cash Book'!$O$8:$O$507,O231)&gt;0,1,0))</f>
        <v>0</v>
      </c>
      <c r="Q231" s="9" t="str">
        <f aca="false">IF(OR(N231="",P231=1),"",N231&amp;"#"&amp;COUNTIFS($N$8:N231,N231,$P$8:P231,0))</f>
        <v/>
      </c>
      <c r="R231" s="9" t="n">
        <f aca="false">IF(N231="",0,IFERROR(MATCH(ROW()-7,'Cash Book'!$U$8:$U$507,0),0))</f>
        <v>0</v>
      </c>
      <c r="V231" s="9" t="str">
        <f aca="false">IF(AND(N231&lt;&gt;"",R231=0),IF(M231="IN",3,4)*100000+ROW(),"")</f>
        <v/>
      </c>
      <c r="W231" s="9" t="n">
        <f aca="false">N(E231)+N(F231)</f>
        <v>0</v>
      </c>
    </row>
    <row r="232" customFormat="false" ht="15" hidden="false" customHeight="false" outlineLevel="0" collapsed="false">
      <c r="A232" s="37" t="str">
        <f aca="false">IF(M232="","",ROW()-7)</f>
        <v/>
      </c>
      <c r="B232" s="70"/>
      <c r="C232" s="72"/>
      <c r="D232" s="71"/>
      <c r="E232" s="73"/>
      <c r="F232" s="73"/>
      <c r="G232" s="73"/>
      <c r="H232" s="42" t="str">
        <f aca="false">IF(M232="","",IF(R232&gt;0,"✔ Matched",IF(M232="IN","Not in cash book (credit)","Not in cash book (debit)")))</f>
        <v/>
      </c>
      <c r="I232" s="43" t="str">
        <f aca="false">IF(N(R232)&gt;0,R232,"")</f>
        <v/>
      </c>
      <c r="J232" s="45" t="str">
        <f aca="false">IF(AND(M232="",B232="",C232=""),"",IF(AND(N(E232)&gt;0,N(F232)&gt;0),"⚠ Fill withdrawal OR deposit",IF(M232="","⚠ Enter amount",IF(B232="","⚠ Enter date",IF(NOT(OR(NOT(ISNUMBER(G232)),NOT(ISNUMBER(G231)),ABS(N(G232)-(N(G231)+N(F232)-N(E232)))&lt;=0.5)),"⚠ Balance does not follow previous row","✔")))))</f>
        <v/>
      </c>
      <c r="M232" s="9" t="str">
        <f aca="false">IF(N(F232)&gt;0,"IN",IF(N(E232)&gt;0,"OUT",""))</f>
        <v/>
      </c>
      <c r="N232" s="9" t="str">
        <f aca="false">IF(M232="","",M232&amp;"|"&amp;TEXT(ROUND(N(E232)+N(F232),2),"0.00"))</f>
        <v/>
      </c>
      <c r="O232" s="9" t="str">
        <f aca="false">IF(OR(N232="",TRIM(D232&amp;"")=""),"",N232&amp;"|"&amp;UPPER(TRIM(D232&amp;"")))</f>
        <v/>
      </c>
      <c r="P232" s="9" t="n">
        <f aca="false">IF(O232="",0,IF(COUNTIF('Cash Book'!$O$8:$O$507,O232)&gt;0,1,0))</f>
        <v>0</v>
      </c>
      <c r="Q232" s="9" t="str">
        <f aca="false">IF(OR(N232="",P232=1),"",N232&amp;"#"&amp;COUNTIFS($N$8:N232,N232,$P$8:P232,0))</f>
        <v/>
      </c>
      <c r="R232" s="9" t="n">
        <f aca="false">IF(N232="",0,IFERROR(MATCH(ROW()-7,'Cash Book'!$U$8:$U$507,0),0))</f>
        <v>0</v>
      </c>
      <c r="V232" s="9" t="str">
        <f aca="false">IF(AND(N232&lt;&gt;"",R232=0),IF(M232="IN",3,4)*100000+ROW(),"")</f>
        <v/>
      </c>
      <c r="W232" s="9" t="n">
        <f aca="false">N(E232)+N(F232)</f>
        <v>0</v>
      </c>
    </row>
    <row r="233" customFormat="false" ht="15" hidden="false" customHeight="false" outlineLevel="0" collapsed="false">
      <c r="A233" s="37" t="str">
        <f aca="false">IF(M233="","",ROW()-7)</f>
        <v/>
      </c>
      <c r="B233" s="70"/>
      <c r="C233" s="72"/>
      <c r="D233" s="71"/>
      <c r="E233" s="73"/>
      <c r="F233" s="73"/>
      <c r="G233" s="73"/>
      <c r="H233" s="42" t="str">
        <f aca="false">IF(M233="","",IF(R233&gt;0,"✔ Matched",IF(M233="IN","Not in cash book (credit)","Not in cash book (debit)")))</f>
        <v/>
      </c>
      <c r="I233" s="43" t="str">
        <f aca="false">IF(N(R233)&gt;0,R233,"")</f>
        <v/>
      </c>
      <c r="J233" s="45" t="str">
        <f aca="false">IF(AND(M233="",B233="",C233=""),"",IF(AND(N(E233)&gt;0,N(F233)&gt;0),"⚠ Fill withdrawal OR deposit",IF(M233="","⚠ Enter amount",IF(B233="","⚠ Enter date",IF(NOT(OR(NOT(ISNUMBER(G233)),NOT(ISNUMBER(G232)),ABS(N(G233)-(N(G232)+N(F233)-N(E233)))&lt;=0.5)),"⚠ Balance does not follow previous row","✔")))))</f>
        <v/>
      </c>
      <c r="M233" s="9" t="str">
        <f aca="false">IF(N(F233)&gt;0,"IN",IF(N(E233)&gt;0,"OUT",""))</f>
        <v/>
      </c>
      <c r="N233" s="9" t="str">
        <f aca="false">IF(M233="","",M233&amp;"|"&amp;TEXT(ROUND(N(E233)+N(F233),2),"0.00"))</f>
        <v/>
      </c>
      <c r="O233" s="9" t="str">
        <f aca="false">IF(OR(N233="",TRIM(D233&amp;"")=""),"",N233&amp;"|"&amp;UPPER(TRIM(D233&amp;"")))</f>
        <v/>
      </c>
      <c r="P233" s="9" t="n">
        <f aca="false">IF(O233="",0,IF(COUNTIF('Cash Book'!$O$8:$O$507,O233)&gt;0,1,0))</f>
        <v>0</v>
      </c>
      <c r="Q233" s="9" t="str">
        <f aca="false">IF(OR(N233="",P233=1),"",N233&amp;"#"&amp;COUNTIFS($N$8:N233,N233,$P$8:P233,0))</f>
        <v/>
      </c>
      <c r="R233" s="9" t="n">
        <f aca="false">IF(N233="",0,IFERROR(MATCH(ROW()-7,'Cash Book'!$U$8:$U$507,0),0))</f>
        <v>0</v>
      </c>
      <c r="V233" s="9" t="str">
        <f aca="false">IF(AND(N233&lt;&gt;"",R233=0),IF(M233="IN",3,4)*100000+ROW(),"")</f>
        <v/>
      </c>
      <c r="W233" s="9" t="n">
        <f aca="false">N(E233)+N(F233)</f>
        <v>0</v>
      </c>
    </row>
    <row r="234" customFormat="false" ht="15" hidden="false" customHeight="false" outlineLevel="0" collapsed="false">
      <c r="A234" s="37" t="str">
        <f aca="false">IF(M234="","",ROW()-7)</f>
        <v/>
      </c>
      <c r="B234" s="70"/>
      <c r="C234" s="72"/>
      <c r="D234" s="71"/>
      <c r="E234" s="73"/>
      <c r="F234" s="73"/>
      <c r="G234" s="73"/>
      <c r="H234" s="42" t="str">
        <f aca="false">IF(M234="","",IF(R234&gt;0,"✔ Matched",IF(M234="IN","Not in cash book (credit)","Not in cash book (debit)")))</f>
        <v/>
      </c>
      <c r="I234" s="43" t="str">
        <f aca="false">IF(N(R234)&gt;0,R234,"")</f>
        <v/>
      </c>
      <c r="J234" s="45" t="str">
        <f aca="false">IF(AND(M234="",B234="",C234=""),"",IF(AND(N(E234)&gt;0,N(F234)&gt;0),"⚠ Fill withdrawal OR deposit",IF(M234="","⚠ Enter amount",IF(B234="","⚠ Enter date",IF(NOT(OR(NOT(ISNUMBER(G234)),NOT(ISNUMBER(G233)),ABS(N(G234)-(N(G233)+N(F234)-N(E234)))&lt;=0.5)),"⚠ Balance does not follow previous row","✔")))))</f>
        <v/>
      </c>
      <c r="M234" s="9" t="str">
        <f aca="false">IF(N(F234)&gt;0,"IN",IF(N(E234)&gt;0,"OUT",""))</f>
        <v/>
      </c>
      <c r="N234" s="9" t="str">
        <f aca="false">IF(M234="","",M234&amp;"|"&amp;TEXT(ROUND(N(E234)+N(F234),2),"0.00"))</f>
        <v/>
      </c>
      <c r="O234" s="9" t="str">
        <f aca="false">IF(OR(N234="",TRIM(D234&amp;"")=""),"",N234&amp;"|"&amp;UPPER(TRIM(D234&amp;"")))</f>
        <v/>
      </c>
      <c r="P234" s="9" t="n">
        <f aca="false">IF(O234="",0,IF(COUNTIF('Cash Book'!$O$8:$O$507,O234)&gt;0,1,0))</f>
        <v>0</v>
      </c>
      <c r="Q234" s="9" t="str">
        <f aca="false">IF(OR(N234="",P234=1),"",N234&amp;"#"&amp;COUNTIFS($N$8:N234,N234,$P$8:P234,0))</f>
        <v/>
      </c>
      <c r="R234" s="9" t="n">
        <f aca="false">IF(N234="",0,IFERROR(MATCH(ROW()-7,'Cash Book'!$U$8:$U$507,0),0))</f>
        <v>0</v>
      </c>
      <c r="V234" s="9" t="str">
        <f aca="false">IF(AND(N234&lt;&gt;"",R234=0),IF(M234="IN",3,4)*100000+ROW(),"")</f>
        <v/>
      </c>
      <c r="W234" s="9" t="n">
        <f aca="false">N(E234)+N(F234)</f>
        <v>0</v>
      </c>
    </row>
    <row r="235" customFormat="false" ht="15" hidden="false" customHeight="false" outlineLevel="0" collapsed="false">
      <c r="A235" s="37" t="str">
        <f aca="false">IF(M235="","",ROW()-7)</f>
        <v/>
      </c>
      <c r="B235" s="70"/>
      <c r="C235" s="72"/>
      <c r="D235" s="71"/>
      <c r="E235" s="73"/>
      <c r="F235" s="73"/>
      <c r="G235" s="73"/>
      <c r="H235" s="42" t="str">
        <f aca="false">IF(M235="","",IF(R235&gt;0,"✔ Matched",IF(M235="IN","Not in cash book (credit)","Not in cash book (debit)")))</f>
        <v/>
      </c>
      <c r="I235" s="43" t="str">
        <f aca="false">IF(N(R235)&gt;0,R235,"")</f>
        <v/>
      </c>
      <c r="J235" s="45" t="str">
        <f aca="false">IF(AND(M235="",B235="",C235=""),"",IF(AND(N(E235)&gt;0,N(F235)&gt;0),"⚠ Fill withdrawal OR deposit",IF(M235="","⚠ Enter amount",IF(B235="","⚠ Enter date",IF(NOT(OR(NOT(ISNUMBER(G235)),NOT(ISNUMBER(G234)),ABS(N(G235)-(N(G234)+N(F235)-N(E235)))&lt;=0.5)),"⚠ Balance does not follow previous row","✔")))))</f>
        <v/>
      </c>
      <c r="M235" s="9" t="str">
        <f aca="false">IF(N(F235)&gt;0,"IN",IF(N(E235)&gt;0,"OUT",""))</f>
        <v/>
      </c>
      <c r="N235" s="9" t="str">
        <f aca="false">IF(M235="","",M235&amp;"|"&amp;TEXT(ROUND(N(E235)+N(F235),2),"0.00"))</f>
        <v/>
      </c>
      <c r="O235" s="9" t="str">
        <f aca="false">IF(OR(N235="",TRIM(D235&amp;"")=""),"",N235&amp;"|"&amp;UPPER(TRIM(D235&amp;"")))</f>
        <v/>
      </c>
      <c r="P235" s="9" t="n">
        <f aca="false">IF(O235="",0,IF(COUNTIF('Cash Book'!$O$8:$O$507,O235)&gt;0,1,0))</f>
        <v>0</v>
      </c>
      <c r="Q235" s="9" t="str">
        <f aca="false">IF(OR(N235="",P235=1),"",N235&amp;"#"&amp;COUNTIFS($N$8:N235,N235,$P$8:P235,0))</f>
        <v/>
      </c>
      <c r="R235" s="9" t="n">
        <f aca="false">IF(N235="",0,IFERROR(MATCH(ROW()-7,'Cash Book'!$U$8:$U$507,0),0))</f>
        <v>0</v>
      </c>
      <c r="V235" s="9" t="str">
        <f aca="false">IF(AND(N235&lt;&gt;"",R235=0),IF(M235="IN",3,4)*100000+ROW(),"")</f>
        <v/>
      </c>
      <c r="W235" s="9" t="n">
        <f aca="false">N(E235)+N(F235)</f>
        <v>0</v>
      </c>
    </row>
    <row r="236" customFormat="false" ht="15" hidden="false" customHeight="false" outlineLevel="0" collapsed="false">
      <c r="A236" s="37" t="str">
        <f aca="false">IF(M236="","",ROW()-7)</f>
        <v/>
      </c>
      <c r="B236" s="70"/>
      <c r="C236" s="72"/>
      <c r="D236" s="71"/>
      <c r="E236" s="73"/>
      <c r="F236" s="73"/>
      <c r="G236" s="73"/>
      <c r="H236" s="42" t="str">
        <f aca="false">IF(M236="","",IF(R236&gt;0,"✔ Matched",IF(M236="IN","Not in cash book (credit)","Not in cash book (debit)")))</f>
        <v/>
      </c>
      <c r="I236" s="43" t="str">
        <f aca="false">IF(N(R236)&gt;0,R236,"")</f>
        <v/>
      </c>
      <c r="J236" s="45" t="str">
        <f aca="false">IF(AND(M236="",B236="",C236=""),"",IF(AND(N(E236)&gt;0,N(F236)&gt;0),"⚠ Fill withdrawal OR deposit",IF(M236="","⚠ Enter amount",IF(B236="","⚠ Enter date",IF(NOT(OR(NOT(ISNUMBER(G236)),NOT(ISNUMBER(G235)),ABS(N(G236)-(N(G235)+N(F236)-N(E236)))&lt;=0.5)),"⚠ Balance does not follow previous row","✔")))))</f>
        <v/>
      </c>
      <c r="M236" s="9" t="str">
        <f aca="false">IF(N(F236)&gt;0,"IN",IF(N(E236)&gt;0,"OUT",""))</f>
        <v/>
      </c>
      <c r="N236" s="9" t="str">
        <f aca="false">IF(M236="","",M236&amp;"|"&amp;TEXT(ROUND(N(E236)+N(F236),2),"0.00"))</f>
        <v/>
      </c>
      <c r="O236" s="9" t="str">
        <f aca="false">IF(OR(N236="",TRIM(D236&amp;"")=""),"",N236&amp;"|"&amp;UPPER(TRIM(D236&amp;"")))</f>
        <v/>
      </c>
      <c r="P236" s="9" t="n">
        <f aca="false">IF(O236="",0,IF(COUNTIF('Cash Book'!$O$8:$O$507,O236)&gt;0,1,0))</f>
        <v>0</v>
      </c>
      <c r="Q236" s="9" t="str">
        <f aca="false">IF(OR(N236="",P236=1),"",N236&amp;"#"&amp;COUNTIFS($N$8:N236,N236,$P$8:P236,0))</f>
        <v/>
      </c>
      <c r="R236" s="9" t="n">
        <f aca="false">IF(N236="",0,IFERROR(MATCH(ROW()-7,'Cash Book'!$U$8:$U$507,0),0))</f>
        <v>0</v>
      </c>
      <c r="V236" s="9" t="str">
        <f aca="false">IF(AND(N236&lt;&gt;"",R236=0),IF(M236="IN",3,4)*100000+ROW(),"")</f>
        <v/>
      </c>
      <c r="W236" s="9" t="n">
        <f aca="false">N(E236)+N(F236)</f>
        <v>0</v>
      </c>
    </row>
    <row r="237" customFormat="false" ht="15" hidden="false" customHeight="false" outlineLevel="0" collapsed="false">
      <c r="A237" s="37" t="str">
        <f aca="false">IF(M237="","",ROW()-7)</f>
        <v/>
      </c>
      <c r="B237" s="70"/>
      <c r="C237" s="72"/>
      <c r="D237" s="71"/>
      <c r="E237" s="73"/>
      <c r="F237" s="73"/>
      <c r="G237" s="73"/>
      <c r="H237" s="42" t="str">
        <f aca="false">IF(M237="","",IF(R237&gt;0,"✔ Matched",IF(M237="IN","Not in cash book (credit)","Not in cash book (debit)")))</f>
        <v/>
      </c>
      <c r="I237" s="43" t="str">
        <f aca="false">IF(N(R237)&gt;0,R237,"")</f>
        <v/>
      </c>
      <c r="J237" s="45" t="str">
        <f aca="false">IF(AND(M237="",B237="",C237=""),"",IF(AND(N(E237)&gt;0,N(F237)&gt;0),"⚠ Fill withdrawal OR deposit",IF(M237="","⚠ Enter amount",IF(B237="","⚠ Enter date",IF(NOT(OR(NOT(ISNUMBER(G237)),NOT(ISNUMBER(G236)),ABS(N(G237)-(N(G236)+N(F237)-N(E237)))&lt;=0.5)),"⚠ Balance does not follow previous row","✔")))))</f>
        <v/>
      </c>
      <c r="M237" s="9" t="str">
        <f aca="false">IF(N(F237)&gt;0,"IN",IF(N(E237)&gt;0,"OUT",""))</f>
        <v/>
      </c>
      <c r="N237" s="9" t="str">
        <f aca="false">IF(M237="","",M237&amp;"|"&amp;TEXT(ROUND(N(E237)+N(F237),2),"0.00"))</f>
        <v/>
      </c>
      <c r="O237" s="9" t="str">
        <f aca="false">IF(OR(N237="",TRIM(D237&amp;"")=""),"",N237&amp;"|"&amp;UPPER(TRIM(D237&amp;"")))</f>
        <v/>
      </c>
      <c r="P237" s="9" t="n">
        <f aca="false">IF(O237="",0,IF(COUNTIF('Cash Book'!$O$8:$O$507,O237)&gt;0,1,0))</f>
        <v>0</v>
      </c>
      <c r="Q237" s="9" t="str">
        <f aca="false">IF(OR(N237="",P237=1),"",N237&amp;"#"&amp;COUNTIFS($N$8:N237,N237,$P$8:P237,0))</f>
        <v/>
      </c>
      <c r="R237" s="9" t="n">
        <f aca="false">IF(N237="",0,IFERROR(MATCH(ROW()-7,'Cash Book'!$U$8:$U$507,0),0))</f>
        <v>0</v>
      </c>
      <c r="V237" s="9" t="str">
        <f aca="false">IF(AND(N237&lt;&gt;"",R237=0),IF(M237="IN",3,4)*100000+ROW(),"")</f>
        <v/>
      </c>
      <c r="W237" s="9" t="n">
        <f aca="false">N(E237)+N(F237)</f>
        <v>0</v>
      </c>
    </row>
    <row r="238" customFormat="false" ht="15" hidden="false" customHeight="false" outlineLevel="0" collapsed="false">
      <c r="A238" s="37" t="str">
        <f aca="false">IF(M238="","",ROW()-7)</f>
        <v/>
      </c>
      <c r="B238" s="70"/>
      <c r="C238" s="72"/>
      <c r="D238" s="71"/>
      <c r="E238" s="73"/>
      <c r="F238" s="73"/>
      <c r="G238" s="73"/>
      <c r="H238" s="42" t="str">
        <f aca="false">IF(M238="","",IF(R238&gt;0,"✔ Matched",IF(M238="IN","Not in cash book (credit)","Not in cash book (debit)")))</f>
        <v/>
      </c>
      <c r="I238" s="43" t="str">
        <f aca="false">IF(N(R238)&gt;0,R238,"")</f>
        <v/>
      </c>
      <c r="J238" s="45" t="str">
        <f aca="false">IF(AND(M238="",B238="",C238=""),"",IF(AND(N(E238)&gt;0,N(F238)&gt;0),"⚠ Fill withdrawal OR deposit",IF(M238="","⚠ Enter amount",IF(B238="","⚠ Enter date",IF(NOT(OR(NOT(ISNUMBER(G238)),NOT(ISNUMBER(G237)),ABS(N(G238)-(N(G237)+N(F238)-N(E238)))&lt;=0.5)),"⚠ Balance does not follow previous row","✔")))))</f>
        <v/>
      </c>
      <c r="M238" s="9" t="str">
        <f aca="false">IF(N(F238)&gt;0,"IN",IF(N(E238)&gt;0,"OUT",""))</f>
        <v/>
      </c>
      <c r="N238" s="9" t="str">
        <f aca="false">IF(M238="","",M238&amp;"|"&amp;TEXT(ROUND(N(E238)+N(F238),2),"0.00"))</f>
        <v/>
      </c>
      <c r="O238" s="9" t="str">
        <f aca="false">IF(OR(N238="",TRIM(D238&amp;"")=""),"",N238&amp;"|"&amp;UPPER(TRIM(D238&amp;"")))</f>
        <v/>
      </c>
      <c r="P238" s="9" t="n">
        <f aca="false">IF(O238="",0,IF(COUNTIF('Cash Book'!$O$8:$O$507,O238)&gt;0,1,0))</f>
        <v>0</v>
      </c>
      <c r="Q238" s="9" t="str">
        <f aca="false">IF(OR(N238="",P238=1),"",N238&amp;"#"&amp;COUNTIFS($N$8:N238,N238,$P$8:P238,0))</f>
        <v/>
      </c>
      <c r="R238" s="9" t="n">
        <f aca="false">IF(N238="",0,IFERROR(MATCH(ROW()-7,'Cash Book'!$U$8:$U$507,0),0))</f>
        <v>0</v>
      </c>
      <c r="V238" s="9" t="str">
        <f aca="false">IF(AND(N238&lt;&gt;"",R238=0),IF(M238="IN",3,4)*100000+ROW(),"")</f>
        <v/>
      </c>
      <c r="W238" s="9" t="n">
        <f aca="false">N(E238)+N(F238)</f>
        <v>0</v>
      </c>
    </row>
    <row r="239" customFormat="false" ht="15" hidden="false" customHeight="false" outlineLevel="0" collapsed="false">
      <c r="A239" s="37" t="str">
        <f aca="false">IF(M239="","",ROW()-7)</f>
        <v/>
      </c>
      <c r="B239" s="70"/>
      <c r="C239" s="72"/>
      <c r="D239" s="71"/>
      <c r="E239" s="73"/>
      <c r="F239" s="73"/>
      <c r="G239" s="73"/>
      <c r="H239" s="42" t="str">
        <f aca="false">IF(M239="","",IF(R239&gt;0,"✔ Matched",IF(M239="IN","Not in cash book (credit)","Not in cash book (debit)")))</f>
        <v/>
      </c>
      <c r="I239" s="43" t="str">
        <f aca="false">IF(N(R239)&gt;0,R239,"")</f>
        <v/>
      </c>
      <c r="J239" s="45" t="str">
        <f aca="false">IF(AND(M239="",B239="",C239=""),"",IF(AND(N(E239)&gt;0,N(F239)&gt;0),"⚠ Fill withdrawal OR deposit",IF(M239="","⚠ Enter amount",IF(B239="","⚠ Enter date",IF(NOT(OR(NOT(ISNUMBER(G239)),NOT(ISNUMBER(G238)),ABS(N(G239)-(N(G238)+N(F239)-N(E239)))&lt;=0.5)),"⚠ Balance does not follow previous row","✔")))))</f>
        <v/>
      </c>
      <c r="M239" s="9" t="str">
        <f aca="false">IF(N(F239)&gt;0,"IN",IF(N(E239)&gt;0,"OUT",""))</f>
        <v/>
      </c>
      <c r="N239" s="9" t="str">
        <f aca="false">IF(M239="","",M239&amp;"|"&amp;TEXT(ROUND(N(E239)+N(F239),2),"0.00"))</f>
        <v/>
      </c>
      <c r="O239" s="9" t="str">
        <f aca="false">IF(OR(N239="",TRIM(D239&amp;"")=""),"",N239&amp;"|"&amp;UPPER(TRIM(D239&amp;"")))</f>
        <v/>
      </c>
      <c r="P239" s="9" t="n">
        <f aca="false">IF(O239="",0,IF(COUNTIF('Cash Book'!$O$8:$O$507,O239)&gt;0,1,0))</f>
        <v>0</v>
      </c>
      <c r="Q239" s="9" t="str">
        <f aca="false">IF(OR(N239="",P239=1),"",N239&amp;"#"&amp;COUNTIFS($N$8:N239,N239,$P$8:P239,0))</f>
        <v/>
      </c>
      <c r="R239" s="9" t="n">
        <f aca="false">IF(N239="",0,IFERROR(MATCH(ROW()-7,'Cash Book'!$U$8:$U$507,0),0))</f>
        <v>0</v>
      </c>
      <c r="V239" s="9" t="str">
        <f aca="false">IF(AND(N239&lt;&gt;"",R239=0),IF(M239="IN",3,4)*100000+ROW(),"")</f>
        <v/>
      </c>
      <c r="W239" s="9" t="n">
        <f aca="false">N(E239)+N(F239)</f>
        <v>0</v>
      </c>
    </row>
    <row r="240" customFormat="false" ht="15" hidden="false" customHeight="false" outlineLevel="0" collapsed="false">
      <c r="A240" s="37" t="str">
        <f aca="false">IF(M240="","",ROW()-7)</f>
        <v/>
      </c>
      <c r="B240" s="70"/>
      <c r="C240" s="72"/>
      <c r="D240" s="71"/>
      <c r="E240" s="73"/>
      <c r="F240" s="73"/>
      <c r="G240" s="73"/>
      <c r="H240" s="42" t="str">
        <f aca="false">IF(M240="","",IF(R240&gt;0,"✔ Matched",IF(M240="IN","Not in cash book (credit)","Not in cash book (debit)")))</f>
        <v/>
      </c>
      <c r="I240" s="43" t="str">
        <f aca="false">IF(N(R240)&gt;0,R240,"")</f>
        <v/>
      </c>
      <c r="J240" s="45" t="str">
        <f aca="false">IF(AND(M240="",B240="",C240=""),"",IF(AND(N(E240)&gt;0,N(F240)&gt;0),"⚠ Fill withdrawal OR deposit",IF(M240="","⚠ Enter amount",IF(B240="","⚠ Enter date",IF(NOT(OR(NOT(ISNUMBER(G240)),NOT(ISNUMBER(G239)),ABS(N(G240)-(N(G239)+N(F240)-N(E240)))&lt;=0.5)),"⚠ Balance does not follow previous row","✔")))))</f>
        <v/>
      </c>
      <c r="M240" s="9" t="str">
        <f aca="false">IF(N(F240)&gt;0,"IN",IF(N(E240)&gt;0,"OUT",""))</f>
        <v/>
      </c>
      <c r="N240" s="9" t="str">
        <f aca="false">IF(M240="","",M240&amp;"|"&amp;TEXT(ROUND(N(E240)+N(F240),2),"0.00"))</f>
        <v/>
      </c>
      <c r="O240" s="9" t="str">
        <f aca="false">IF(OR(N240="",TRIM(D240&amp;"")=""),"",N240&amp;"|"&amp;UPPER(TRIM(D240&amp;"")))</f>
        <v/>
      </c>
      <c r="P240" s="9" t="n">
        <f aca="false">IF(O240="",0,IF(COUNTIF('Cash Book'!$O$8:$O$507,O240)&gt;0,1,0))</f>
        <v>0</v>
      </c>
      <c r="Q240" s="9" t="str">
        <f aca="false">IF(OR(N240="",P240=1),"",N240&amp;"#"&amp;COUNTIFS($N$8:N240,N240,$P$8:P240,0))</f>
        <v/>
      </c>
      <c r="R240" s="9" t="n">
        <f aca="false">IF(N240="",0,IFERROR(MATCH(ROW()-7,'Cash Book'!$U$8:$U$507,0),0))</f>
        <v>0</v>
      </c>
      <c r="V240" s="9" t="str">
        <f aca="false">IF(AND(N240&lt;&gt;"",R240=0),IF(M240="IN",3,4)*100000+ROW(),"")</f>
        <v/>
      </c>
      <c r="W240" s="9" t="n">
        <f aca="false">N(E240)+N(F240)</f>
        <v>0</v>
      </c>
    </row>
    <row r="241" customFormat="false" ht="15" hidden="false" customHeight="false" outlineLevel="0" collapsed="false">
      <c r="A241" s="37" t="str">
        <f aca="false">IF(M241="","",ROW()-7)</f>
        <v/>
      </c>
      <c r="B241" s="70"/>
      <c r="C241" s="72"/>
      <c r="D241" s="71"/>
      <c r="E241" s="73"/>
      <c r="F241" s="73"/>
      <c r="G241" s="73"/>
      <c r="H241" s="42" t="str">
        <f aca="false">IF(M241="","",IF(R241&gt;0,"✔ Matched",IF(M241="IN","Not in cash book (credit)","Not in cash book (debit)")))</f>
        <v/>
      </c>
      <c r="I241" s="43" t="str">
        <f aca="false">IF(N(R241)&gt;0,R241,"")</f>
        <v/>
      </c>
      <c r="J241" s="45" t="str">
        <f aca="false">IF(AND(M241="",B241="",C241=""),"",IF(AND(N(E241)&gt;0,N(F241)&gt;0),"⚠ Fill withdrawal OR deposit",IF(M241="","⚠ Enter amount",IF(B241="","⚠ Enter date",IF(NOT(OR(NOT(ISNUMBER(G241)),NOT(ISNUMBER(G240)),ABS(N(G241)-(N(G240)+N(F241)-N(E241)))&lt;=0.5)),"⚠ Balance does not follow previous row","✔")))))</f>
        <v/>
      </c>
      <c r="M241" s="9" t="str">
        <f aca="false">IF(N(F241)&gt;0,"IN",IF(N(E241)&gt;0,"OUT",""))</f>
        <v/>
      </c>
      <c r="N241" s="9" t="str">
        <f aca="false">IF(M241="","",M241&amp;"|"&amp;TEXT(ROUND(N(E241)+N(F241),2),"0.00"))</f>
        <v/>
      </c>
      <c r="O241" s="9" t="str">
        <f aca="false">IF(OR(N241="",TRIM(D241&amp;"")=""),"",N241&amp;"|"&amp;UPPER(TRIM(D241&amp;"")))</f>
        <v/>
      </c>
      <c r="P241" s="9" t="n">
        <f aca="false">IF(O241="",0,IF(COUNTIF('Cash Book'!$O$8:$O$507,O241)&gt;0,1,0))</f>
        <v>0</v>
      </c>
      <c r="Q241" s="9" t="str">
        <f aca="false">IF(OR(N241="",P241=1),"",N241&amp;"#"&amp;COUNTIFS($N$8:N241,N241,$P$8:P241,0))</f>
        <v/>
      </c>
      <c r="R241" s="9" t="n">
        <f aca="false">IF(N241="",0,IFERROR(MATCH(ROW()-7,'Cash Book'!$U$8:$U$507,0),0))</f>
        <v>0</v>
      </c>
      <c r="V241" s="9" t="str">
        <f aca="false">IF(AND(N241&lt;&gt;"",R241=0),IF(M241="IN",3,4)*100000+ROW(),"")</f>
        <v/>
      </c>
      <c r="W241" s="9" t="n">
        <f aca="false">N(E241)+N(F241)</f>
        <v>0</v>
      </c>
    </row>
    <row r="242" customFormat="false" ht="15" hidden="false" customHeight="false" outlineLevel="0" collapsed="false">
      <c r="A242" s="37" t="str">
        <f aca="false">IF(M242="","",ROW()-7)</f>
        <v/>
      </c>
      <c r="B242" s="70"/>
      <c r="C242" s="72"/>
      <c r="D242" s="71"/>
      <c r="E242" s="73"/>
      <c r="F242" s="73"/>
      <c r="G242" s="73"/>
      <c r="H242" s="42" t="str">
        <f aca="false">IF(M242="","",IF(R242&gt;0,"✔ Matched",IF(M242="IN","Not in cash book (credit)","Not in cash book (debit)")))</f>
        <v/>
      </c>
      <c r="I242" s="43" t="str">
        <f aca="false">IF(N(R242)&gt;0,R242,"")</f>
        <v/>
      </c>
      <c r="J242" s="45" t="str">
        <f aca="false">IF(AND(M242="",B242="",C242=""),"",IF(AND(N(E242)&gt;0,N(F242)&gt;0),"⚠ Fill withdrawal OR deposit",IF(M242="","⚠ Enter amount",IF(B242="","⚠ Enter date",IF(NOT(OR(NOT(ISNUMBER(G242)),NOT(ISNUMBER(G241)),ABS(N(G242)-(N(G241)+N(F242)-N(E242)))&lt;=0.5)),"⚠ Balance does not follow previous row","✔")))))</f>
        <v/>
      </c>
      <c r="M242" s="9" t="str">
        <f aca="false">IF(N(F242)&gt;0,"IN",IF(N(E242)&gt;0,"OUT",""))</f>
        <v/>
      </c>
      <c r="N242" s="9" t="str">
        <f aca="false">IF(M242="","",M242&amp;"|"&amp;TEXT(ROUND(N(E242)+N(F242),2),"0.00"))</f>
        <v/>
      </c>
      <c r="O242" s="9" t="str">
        <f aca="false">IF(OR(N242="",TRIM(D242&amp;"")=""),"",N242&amp;"|"&amp;UPPER(TRIM(D242&amp;"")))</f>
        <v/>
      </c>
      <c r="P242" s="9" t="n">
        <f aca="false">IF(O242="",0,IF(COUNTIF('Cash Book'!$O$8:$O$507,O242)&gt;0,1,0))</f>
        <v>0</v>
      </c>
      <c r="Q242" s="9" t="str">
        <f aca="false">IF(OR(N242="",P242=1),"",N242&amp;"#"&amp;COUNTIFS($N$8:N242,N242,$P$8:P242,0))</f>
        <v/>
      </c>
      <c r="R242" s="9" t="n">
        <f aca="false">IF(N242="",0,IFERROR(MATCH(ROW()-7,'Cash Book'!$U$8:$U$507,0),0))</f>
        <v>0</v>
      </c>
      <c r="V242" s="9" t="str">
        <f aca="false">IF(AND(N242&lt;&gt;"",R242=0),IF(M242="IN",3,4)*100000+ROW(),"")</f>
        <v/>
      </c>
      <c r="W242" s="9" t="n">
        <f aca="false">N(E242)+N(F242)</f>
        <v>0</v>
      </c>
    </row>
    <row r="243" customFormat="false" ht="15" hidden="false" customHeight="false" outlineLevel="0" collapsed="false">
      <c r="A243" s="37" t="str">
        <f aca="false">IF(M243="","",ROW()-7)</f>
        <v/>
      </c>
      <c r="B243" s="70"/>
      <c r="C243" s="72"/>
      <c r="D243" s="71"/>
      <c r="E243" s="73"/>
      <c r="F243" s="73"/>
      <c r="G243" s="73"/>
      <c r="H243" s="42" t="str">
        <f aca="false">IF(M243="","",IF(R243&gt;0,"✔ Matched",IF(M243="IN","Not in cash book (credit)","Not in cash book (debit)")))</f>
        <v/>
      </c>
      <c r="I243" s="43" t="str">
        <f aca="false">IF(N(R243)&gt;0,R243,"")</f>
        <v/>
      </c>
      <c r="J243" s="45" t="str">
        <f aca="false">IF(AND(M243="",B243="",C243=""),"",IF(AND(N(E243)&gt;0,N(F243)&gt;0),"⚠ Fill withdrawal OR deposit",IF(M243="","⚠ Enter amount",IF(B243="","⚠ Enter date",IF(NOT(OR(NOT(ISNUMBER(G243)),NOT(ISNUMBER(G242)),ABS(N(G243)-(N(G242)+N(F243)-N(E243)))&lt;=0.5)),"⚠ Balance does not follow previous row","✔")))))</f>
        <v/>
      </c>
      <c r="M243" s="9" t="str">
        <f aca="false">IF(N(F243)&gt;0,"IN",IF(N(E243)&gt;0,"OUT",""))</f>
        <v/>
      </c>
      <c r="N243" s="9" t="str">
        <f aca="false">IF(M243="","",M243&amp;"|"&amp;TEXT(ROUND(N(E243)+N(F243),2),"0.00"))</f>
        <v/>
      </c>
      <c r="O243" s="9" t="str">
        <f aca="false">IF(OR(N243="",TRIM(D243&amp;"")=""),"",N243&amp;"|"&amp;UPPER(TRIM(D243&amp;"")))</f>
        <v/>
      </c>
      <c r="P243" s="9" t="n">
        <f aca="false">IF(O243="",0,IF(COUNTIF('Cash Book'!$O$8:$O$507,O243)&gt;0,1,0))</f>
        <v>0</v>
      </c>
      <c r="Q243" s="9" t="str">
        <f aca="false">IF(OR(N243="",P243=1),"",N243&amp;"#"&amp;COUNTIFS($N$8:N243,N243,$P$8:P243,0))</f>
        <v/>
      </c>
      <c r="R243" s="9" t="n">
        <f aca="false">IF(N243="",0,IFERROR(MATCH(ROW()-7,'Cash Book'!$U$8:$U$507,0),0))</f>
        <v>0</v>
      </c>
      <c r="V243" s="9" t="str">
        <f aca="false">IF(AND(N243&lt;&gt;"",R243=0),IF(M243="IN",3,4)*100000+ROW(),"")</f>
        <v/>
      </c>
      <c r="W243" s="9" t="n">
        <f aca="false">N(E243)+N(F243)</f>
        <v>0</v>
      </c>
    </row>
    <row r="244" customFormat="false" ht="15" hidden="false" customHeight="false" outlineLevel="0" collapsed="false">
      <c r="A244" s="37" t="str">
        <f aca="false">IF(M244="","",ROW()-7)</f>
        <v/>
      </c>
      <c r="B244" s="70"/>
      <c r="C244" s="72"/>
      <c r="D244" s="71"/>
      <c r="E244" s="73"/>
      <c r="F244" s="73"/>
      <c r="G244" s="73"/>
      <c r="H244" s="42" t="str">
        <f aca="false">IF(M244="","",IF(R244&gt;0,"✔ Matched",IF(M244="IN","Not in cash book (credit)","Not in cash book (debit)")))</f>
        <v/>
      </c>
      <c r="I244" s="43" t="str">
        <f aca="false">IF(N(R244)&gt;0,R244,"")</f>
        <v/>
      </c>
      <c r="J244" s="45" t="str">
        <f aca="false">IF(AND(M244="",B244="",C244=""),"",IF(AND(N(E244)&gt;0,N(F244)&gt;0),"⚠ Fill withdrawal OR deposit",IF(M244="","⚠ Enter amount",IF(B244="","⚠ Enter date",IF(NOT(OR(NOT(ISNUMBER(G244)),NOT(ISNUMBER(G243)),ABS(N(G244)-(N(G243)+N(F244)-N(E244)))&lt;=0.5)),"⚠ Balance does not follow previous row","✔")))))</f>
        <v/>
      </c>
      <c r="M244" s="9" t="str">
        <f aca="false">IF(N(F244)&gt;0,"IN",IF(N(E244)&gt;0,"OUT",""))</f>
        <v/>
      </c>
      <c r="N244" s="9" t="str">
        <f aca="false">IF(M244="","",M244&amp;"|"&amp;TEXT(ROUND(N(E244)+N(F244),2),"0.00"))</f>
        <v/>
      </c>
      <c r="O244" s="9" t="str">
        <f aca="false">IF(OR(N244="",TRIM(D244&amp;"")=""),"",N244&amp;"|"&amp;UPPER(TRIM(D244&amp;"")))</f>
        <v/>
      </c>
      <c r="P244" s="9" t="n">
        <f aca="false">IF(O244="",0,IF(COUNTIF('Cash Book'!$O$8:$O$507,O244)&gt;0,1,0))</f>
        <v>0</v>
      </c>
      <c r="Q244" s="9" t="str">
        <f aca="false">IF(OR(N244="",P244=1),"",N244&amp;"#"&amp;COUNTIFS($N$8:N244,N244,$P$8:P244,0))</f>
        <v/>
      </c>
      <c r="R244" s="9" t="n">
        <f aca="false">IF(N244="",0,IFERROR(MATCH(ROW()-7,'Cash Book'!$U$8:$U$507,0),0))</f>
        <v>0</v>
      </c>
      <c r="V244" s="9" t="str">
        <f aca="false">IF(AND(N244&lt;&gt;"",R244=0),IF(M244="IN",3,4)*100000+ROW(),"")</f>
        <v/>
      </c>
      <c r="W244" s="9" t="n">
        <f aca="false">N(E244)+N(F244)</f>
        <v>0</v>
      </c>
    </row>
    <row r="245" customFormat="false" ht="15" hidden="false" customHeight="false" outlineLevel="0" collapsed="false">
      <c r="A245" s="37" t="str">
        <f aca="false">IF(M245="","",ROW()-7)</f>
        <v/>
      </c>
      <c r="B245" s="70"/>
      <c r="C245" s="72"/>
      <c r="D245" s="71"/>
      <c r="E245" s="73"/>
      <c r="F245" s="73"/>
      <c r="G245" s="73"/>
      <c r="H245" s="42" t="str">
        <f aca="false">IF(M245="","",IF(R245&gt;0,"✔ Matched",IF(M245="IN","Not in cash book (credit)","Not in cash book (debit)")))</f>
        <v/>
      </c>
      <c r="I245" s="43" t="str">
        <f aca="false">IF(N(R245)&gt;0,R245,"")</f>
        <v/>
      </c>
      <c r="J245" s="45" t="str">
        <f aca="false">IF(AND(M245="",B245="",C245=""),"",IF(AND(N(E245)&gt;0,N(F245)&gt;0),"⚠ Fill withdrawal OR deposit",IF(M245="","⚠ Enter amount",IF(B245="","⚠ Enter date",IF(NOT(OR(NOT(ISNUMBER(G245)),NOT(ISNUMBER(G244)),ABS(N(G245)-(N(G244)+N(F245)-N(E245)))&lt;=0.5)),"⚠ Balance does not follow previous row","✔")))))</f>
        <v/>
      </c>
      <c r="M245" s="9" t="str">
        <f aca="false">IF(N(F245)&gt;0,"IN",IF(N(E245)&gt;0,"OUT",""))</f>
        <v/>
      </c>
      <c r="N245" s="9" t="str">
        <f aca="false">IF(M245="","",M245&amp;"|"&amp;TEXT(ROUND(N(E245)+N(F245),2),"0.00"))</f>
        <v/>
      </c>
      <c r="O245" s="9" t="str">
        <f aca="false">IF(OR(N245="",TRIM(D245&amp;"")=""),"",N245&amp;"|"&amp;UPPER(TRIM(D245&amp;"")))</f>
        <v/>
      </c>
      <c r="P245" s="9" t="n">
        <f aca="false">IF(O245="",0,IF(COUNTIF('Cash Book'!$O$8:$O$507,O245)&gt;0,1,0))</f>
        <v>0</v>
      </c>
      <c r="Q245" s="9" t="str">
        <f aca="false">IF(OR(N245="",P245=1),"",N245&amp;"#"&amp;COUNTIFS($N$8:N245,N245,$P$8:P245,0))</f>
        <v/>
      </c>
      <c r="R245" s="9" t="n">
        <f aca="false">IF(N245="",0,IFERROR(MATCH(ROW()-7,'Cash Book'!$U$8:$U$507,0),0))</f>
        <v>0</v>
      </c>
      <c r="V245" s="9" t="str">
        <f aca="false">IF(AND(N245&lt;&gt;"",R245=0),IF(M245="IN",3,4)*100000+ROW(),"")</f>
        <v/>
      </c>
      <c r="W245" s="9" t="n">
        <f aca="false">N(E245)+N(F245)</f>
        <v>0</v>
      </c>
    </row>
    <row r="246" customFormat="false" ht="15" hidden="false" customHeight="false" outlineLevel="0" collapsed="false">
      <c r="A246" s="37" t="str">
        <f aca="false">IF(M246="","",ROW()-7)</f>
        <v/>
      </c>
      <c r="B246" s="70"/>
      <c r="C246" s="72"/>
      <c r="D246" s="71"/>
      <c r="E246" s="73"/>
      <c r="F246" s="73"/>
      <c r="G246" s="73"/>
      <c r="H246" s="42" t="str">
        <f aca="false">IF(M246="","",IF(R246&gt;0,"✔ Matched",IF(M246="IN","Not in cash book (credit)","Not in cash book (debit)")))</f>
        <v/>
      </c>
      <c r="I246" s="43" t="str">
        <f aca="false">IF(N(R246)&gt;0,R246,"")</f>
        <v/>
      </c>
      <c r="J246" s="45" t="str">
        <f aca="false">IF(AND(M246="",B246="",C246=""),"",IF(AND(N(E246)&gt;0,N(F246)&gt;0),"⚠ Fill withdrawal OR deposit",IF(M246="","⚠ Enter amount",IF(B246="","⚠ Enter date",IF(NOT(OR(NOT(ISNUMBER(G246)),NOT(ISNUMBER(G245)),ABS(N(G246)-(N(G245)+N(F246)-N(E246)))&lt;=0.5)),"⚠ Balance does not follow previous row","✔")))))</f>
        <v/>
      </c>
      <c r="M246" s="9" t="str">
        <f aca="false">IF(N(F246)&gt;0,"IN",IF(N(E246)&gt;0,"OUT",""))</f>
        <v/>
      </c>
      <c r="N246" s="9" t="str">
        <f aca="false">IF(M246="","",M246&amp;"|"&amp;TEXT(ROUND(N(E246)+N(F246),2),"0.00"))</f>
        <v/>
      </c>
      <c r="O246" s="9" t="str">
        <f aca="false">IF(OR(N246="",TRIM(D246&amp;"")=""),"",N246&amp;"|"&amp;UPPER(TRIM(D246&amp;"")))</f>
        <v/>
      </c>
      <c r="P246" s="9" t="n">
        <f aca="false">IF(O246="",0,IF(COUNTIF('Cash Book'!$O$8:$O$507,O246)&gt;0,1,0))</f>
        <v>0</v>
      </c>
      <c r="Q246" s="9" t="str">
        <f aca="false">IF(OR(N246="",P246=1),"",N246&amp;"#"&amp;COUNTIFS($N$8:N246,N246,$P$8:P246,0))</f>
        <v/>
      </c>
      <c r="R246" s="9" t="n">
        <f aca="false">IF(N246="",0,IFERROR(MATCH(ROW()-7,'Cash Book'!$U$8:$U$507,0),0))</f>
        <v>0</v>
      </c>
      <c r="V246" s="9" t="str">
        <f aca="false">IF(AND(N246&lt;&gt;"",R246=0),IF(M246="IN",3,4)*100000+ROW(),"")</f>
        <v/>
      </c>
      <c r="W246" s="9" t="n">
        <f aca="false">N(E246)+N(F246)</f>
        <v>0</v>
      </c>
    </row>
    <row r="247" customFormat="false" ht="15" hidden="false" customHeight="false" outlineLevel="0" collapsed="false">
      <c r="A247" s="37" t="str">
        <f aca="false">IF(M247="","",ROW()-7)</f>
        <v/>
      </c>
      <c r="B247" s="70"/>
      <c r="C247" s="72"/>
      <c r="D247" s="71"/>
      <c r="E247" s="73"/>
      <c r="F247" s="73"/>
      <c r="G247" s="73"/>
      <c r="H247" s="42" t="str">
        <f aca="false">IF(M247="","",IF(R247&gt;0,"✔ Matched",IF(M247="IN","Not in cash book (credit)","Not in cash book (debit)")))</f>
        <v/>
      </c>
      <c r="I247" s="43" t="str">
        <f aca="false">IF(N(R247)&gt;0,R247,"")</f>
        <v/>
      </c>
      <c r="J247" s="45" t="str">
        <f aca="false">IF(AND(M247="",B247="",C247=""),"",IF(AND(N(E247)&gt;0,N(F247)&gt;0),"⚠ Fill withdrawal OR deposit",IF(M247="","⚠ Enter amount",IF(B247="","⚠ Enter date",IF(NOT(OR(NOT(ISNUMBER(G247)),NOT(ISNUMBER(G246)),ABS(N(G247)-(N(G246)+N(F247)-N(E247)))&lt;=0.5)),"⚠ Balance does not follow previous row","✔")))))</f>
        <v/>
      </c>
      <c r="M247" s="9" t="str">
        <f aca="false">IF(N(F247)&gt;0,"IN",IF(N(E247)&gt;0,"OUT",""))</f>
        <v/>
      </c>
      <c r="N247" s="9" t="str">
        <f aca="false">IF(M247="","",M247&amp;"|"&amp;TEXT(ROUND(N(E247)+N(F247),2),"0.00"))</f>
        <v/>
      </c>
      <c r="O247" s="9" t="str">
        <f aca="false">IF(OR(N247="",TRIM(D247&amp;"")=""),"",N247&amp;"|"&amp;UPPER(TRIM(D247&amp;"")))</f>
        <v/>
      </c>
      <c r="P247" s="9" t="n">
        <f aca="false">IF(O247="",0,IF(COUNTIF('Cash Book'!$O$8:$O$507,O247)&gt;0,1,0))</f>
        <v>0</v>
      </c>
      <c r="Q247" s="9" t="str">
        <f aca="false">IF(OR(N247="",P247=1),"",N247&amp;"#"&amp;COUNTIFS($N$8:N247,N247,$P$8:P247,0))</f>
        <v/>
      </c>
      <c r="R247" s="9" t="n">
        <f aca="false">IF(N247="",0,IFERROR(MATCH(ROW()-7,'Cash Book'!$U$8:$U$507,0),0))</f>
        <v>0</v>
      </c>
      <c r="V247" s="9" t="str">
        <f aca="false">IF(AND(N247&lt;&gt;"",R247=0),IF(M247="IN",3,4)*100000+ROW(),"")</f>
        <v/>
      </c>
      <c r="W247" s="9" t="n">
        <f aca="false">N(E247)+N(F247)</f>
        <v>0</v>
      </c>
    </row>
    <row r="248" customFormat="false" ht="15" hidden="false" customHeight="false" outlineLevel="0" collapsed="false">
      <c r="A248" s="37" t="str">
        <f aca="false">IF(M248="","",ROW()-7)</f>
        <v/>
      </c>
      <c r="B248" s="70"/>
      <c r="C248" s="72"/>
      <c r="D248" s="71"/>
      <c r="E248" s="73"/>
      <c r="F248" s="73"/>
      <c r="G248" s="73"/>
      <c r="H248" s="42" t="str">
        <f aca="false">IF(M248="","",IF(R248&gt;0,"✔ Matched",IF(M248="IN","Not in cash book (credit)","Not in cash book (debit)")))</f>
        <v/>
      </c>
      <c r="I248" s="43" t="str">
        <f aca="false">IF(N(R248)&gt;0,R248,"")</f>
        <v/>
      </c>
      <c r="J248" s="45" t="str">
        <f aca="false">IF(AND(M248="",B248="",C248=""),"",IF(AND(N(E248)&gt;0,N(F248)&gt;0),"⚠ Fill withdrawal OR deposit",IF(M248="","⚠ Enter amount",IF(B248="","⚠ Enter date",IF(NOT(OR(NOT(ISNUMBER(G248)),NOT(ISNUMBER(G247)),ABS(N(G248)-(N(G247)+N(F248)-N(E248)))&lt;=0.5)),"⚠ Balance does not follow previous row","✔")))))</f>
        <v/>
      </c>
      <c r="M248" s="9" t="str">
        <f aca="false">IF(N(F248)&gt;0,"IN",IF(N(E248)&gt;0,"OUT",""))</f>
        <v/>
      </c>
      <c r="N248" s="9" t="str">
        <f aca="false">IF(M248="","",M248&amp;"|"&amp;TEXT(ROUND(N(E248)+N(F248),2),"0.00"))</f>
        <v/>
      </c>
      <c r="O248" s="9" t="str">
        <f aca="false">IF(OR(N248="",TRIM(D248&amp;"")=""),"",N248&amp;"|"&amp;UPPER(TRIM(D248&amp;"")))</f>
        <v/>
      </c>
      <c r="P248" s="9" t="n">
        <f aca="false">IF(O248="",0,IF(COUNTIF('Cash Book'!$O$8:$O$507,O248)&gt;0,1,0))</f>
        <v>0</v>
      </c>
      <c r="Q248" s="9" t="str">
        <f aca="false">IF(OR(N248="",P248=1),"",N248&amp;"#"&amp;COUNTIFS($N$8:N248,N248,$P$8:P248,0))</f>
        <v/>
      </c>
      <c r="R248" s="9" t="n">
        <f aca="false">IF(N248="",0,IFERROR(MATCH(ROW()-7,'Cash Book'!$U$8:$U$507,0),0))</f>
        <v>0</v>
      </c>
      <c r="V248" s="9" t="str">
        <f aca="false">IF(AND(N248&lt;&gt;"",R248=0),IF(M248="IN",3,4)*100000+ROW(),"")</f>
        <v/>
      </c>
      <c r="W248" s="9" t="n">
        <f aca="false">N(E248)+N(F248)</f>
        <v>0</v>
      </c>
    </row>
    <row r="249" customFormat="false" ht="15" hidden="false" customHeight="false" outlineLevel="0" collapsed="false">
      <c r="A249" s="37" t="str">
        <f aca="false">IF(M249="","",ROW()-7)</f>
        <v/>
      </c>
      <c r="B249" s="70"/>
      <c r="C249" s="72"/>
      <c r="D249" s="71"/>
      <c r="E249" s="73"/>
      <c r="F249" s="73"/>
      <c r="G249" s="73"/>
      <c r="H249" s="42" t="str">
        <f aca="false">IF(M249="","",IF(R249&gt;0,"✔ Matched",IF(M249="IN","Not in cash book (credit)","Not in cash book (debit)")))</f>
        <v/>
      </c>
      <c r="I249" s="43" t="str">
        <f aca="false">IF(N(R249)&gt;0,R249,"")</f>
        <v/>
      </c>
      <c r="J249" s="45" t="str">
        <f aca="false">IF(AND(M249="",B249="",C249=""),"",IF(AND(N(E249)&gt;0,N(F249)&gt;0),"⚠ Fill withdrawal OR deposit",IF(M249="","⚠ Enter amount",IF(B249="","⚠ Enter date",IF(NOT(OR(NOT(ISNUMBER(G249)),NOT(ISNUMBER(G248)),ABS(N(G249)-(N(G248)+N(F249)-N(E249)))&lt;=0.5)),"⚠ Balance does not follow previous row","✔")))))</f>
        <v/>
      </c>
      <c r="M249" s="9" t="str">
        <f aca="false">IF(N(F249)&gt;0,"IN",IF(N(E249)&gt;0,"OUT",""))</f>
        <v/>
      </c>
      <c r="N249" s="9" t="str">
        <f aca="false">IF(M249="","",M249&amp;"|"&amp;TEXT(ROUND(N(E249)+N(F249),2),"0.00"))</f>
        <v/>
      </c>
      <c r="O249" s="9" t="str">
        <f aca="false">IF(OR(N249="",TRIM(D249&amp;"")=""),"",N249&amp;"|"&amp;UPPER(TRIM(D249&amp;"")))</f>
        <v/>
      </c>
      <c r="P249" s="9" t="n">
        <f aca="false">IF(O249="",0,IF(COUNTIF('Cash Book'!$O$8:$O$507,O249)&gt;0,1,0))</f>
        <v>0</v>
      </c>
      <c r="Q249" s="9" t="str">
        <f aca="false">IF(OR(N249="",P249=1),"",N249&amp;"#"&amp;COUNTIFS($N$8:N249,N249,$P$8:P249,0))</f>
        <v/>
      </c>
      <c r="R249" s="9" t="n">
        <f aca="false">IF(N249="",0,IFERROR(MATCH(ROW()-7,'Cash Book'!$U$8:$U$507,0),0))</f>
        <v>0</v>
      </c>
      <c r="V249" s="9" t="str">
        <f aca="false">IF(AND(N249&lt;&gt;"",R249=0),IF(M249="IN",3,4)*100000+ROW(),"")</f>
        <v/>
      </c>
      <c r="W249" s="9" t="n">
        <f aca="false">N(E249)+N(F249)</f>
        <v>0</v>
      </c>
    </row>
    <row r="250" customFormat="false" ht="15" hidden="false" customHeight="false" outlineLevel="0" collapsed="false">
      <c r="A250" s="37" t="str">
        <f aca="false">IF(M250="","",ROW()-7)</f>
        <v/>
      </c>
      <c r="B250" s="70"/>
      <c r="C250" s="72"/>
      <c r="D250" s="71"/>
      <c r="E250" s="73"/>
      <c r="F250" s="73"/>
      <c r="G250" s="73"/>
      <c r="H250" s="42" t="str">
        <f aca="false">IF(M250="","",IF(R250&gt;0,"✔ Matched",IF(M250="IN","Not in cash book (credit)","Not in cash book (debit)")))</f>
        <v/>
      </c>
      <c r="I250" s="43" t="str">
        <f aca="false">IF(N(R250)&gt;0,R250,"")</f>
        <v/>
      </c>
      <c r="J250" s="45" t="str">
        <f aca="false">IF(AND(M250="",B250="",C250=""),"",IF(AND(N(E250)&gt;0,N(F250)&gt;0),"⚠ Fill withdrawal OR deposit",IF(M250="","⚠ Enter amount",IF(B250="","⚠ Enter date",IF(NOT(OR(NOT(ISNUMBER(G250)),NOT(ISNUMBER(G249)),ABS(N(G250)-(N(G249)+N(F250)-N(E250)))&lt;=0.5)),"⚠ Balance does not follow previous row","✔")))))</f>
        <v/>
      </c>
      <c r="M250" s="9" t="str">
        <f aca="false">IF(N(F250)&gt;0,"IN",IF(N(E250)&gt;0,"OUT",""))</f>
        <v/>
      </c>
      <c r="N250" s="9" t="str">
        <f aca="false">IF(M250="","",M250&amp;"|"&amp;TEXT(ROUND(N(E250)+N(F250),2),"0.00"))</f>
        <v/>
      </c>
      <c r="O250" s="9" t="str">
        <f aca="false">IF(OR(N250="",TRIM(D250&amp;"")=""),"",N250&amp;"|"&amp;UPPER(TRIM(D250&amp;"")))</f>
        <v/>
      </c>
      <c r="P250" s="9" t="n">
        <f aca="false">IF(O250="",0,IF(COUNTIF('Cash Book'!$O$8:$O$507,O250)&gt;0,1,0))</f>
        <v>0</v>
      </c>
      <c r="Q250" s="9" t="str">
        <f aca="false">IF(OR(N250="",P250=1),"",N250&amp;"#"&amp;COUNTIFS($N$8:N250,N250,$P$8:P250,0))</f>
        <v/>
      </c>
      <c r="R250" s="9" t="n">
        <f aca="false">IF(N250="",0,IFERROR(MATCH(ROW()-7,'Cash Book'!$U$8:$U$507,0),0))</f>
        <v>0</v>
      </c>
      <c r="V250" s="9" t="str">
        <f aca="false">IF(AND(N250&lt;&gt;"",R250=0),IF(M250="IN",3,4)*100000+ROW(),"")</f>
        <v/>
      </c>
      <c r="W250" s="9" t="n">
        <f aca="false">N(E250)+N(F250)</f>
        <v>0</v>
      </c>
    </row>
    <row r="251" customFormat="false" ht="15" hidden="false" customHeight="false" outlineLevel="0" collapsed="false">
      <c r="A251" s="37" t="str">
        <f aca="false">IF(M251="","",ROW()-7)</f>
        <v/>
      </c>
      <c r="B251" s="70"/>
      <c r="C251" s="72"/>
      <c r="D251" s="71"/>
      <c r="E251" s="73"/>
      <c r="F251" s="73"/>
      <c r="G251" s="73"/>
      <c r="H251" s="42" t="str">
        <f aca="false">IF(M251="","",IF(R251&gt;0,"✔ Matched",IF(M251="IN","Not in cash book (credit)","Not in cash book (debit)")))</f>
        <v/>
      </c>
      <c r="I251" s="43" t="str">
        <f aca="false">IF(N(R251)&gt;0,R251,"")</f>
        <v/>
      </c>
      <c r="J251" s="45" t="str">
        <f aca="false">IF(AND(M251="",B251="",C251=""),"",IF(AND(N(E251)&gt;0,N(F251)&gt;0),"⚠ Fill withdrawal OR deposit",IF(M251="","⚠ Enter amount",IF(B251="","⚠ Enter date",IF(NOT(OR(NOT(ISNUMBER(G251)),NOT(ISNUMBER(G250)),ABS(N(G251)-(N(G250)+N(F251)-N(E251)))&lt;=0.5)),"⚠ Balance does not follow previous row","✔")))))</f>
        <v/>
      </c>
      <c r="M251" s="9" t="str">
        <f aca="false">IF(N(F251)&gt;0,"IN",IF(N(E251)&gt;0,"OUT",""))</f>
        <v/>
      </c>
      <c r="N251" s="9" t="str">
        <f aca="false">IF(M251="","",M251&amp;"|"&amp;TEXT(ROUND(N(E251)+N(F251),2),"0.00"))</f>
        <v/>
      </c>
      <c r="O251" s="9" t="str">
        <f aca="false">IF(OR(N251="",TRIM(D251&amp;"")=""),"",N251&amp;"|"&amp;UPPER(TRIM(D251&amp;"")))</f>
        <v/>
      </c>
      <c r="P251" s="9" t="n">
        <f aca="false">IF(O251="",0,IF(COUNTIF('Cash Book'!$O$8:$O$507,O251)&gt;0,1,0))</f>
        <v>0</v>
      </c>
      <c r="Q251" s="9" t="str">
        <f aca="false">IF(OR(N251="",P251=1),"",N251&amp;"#"&amp;COUNTIFS($N$8:N251,N251,$P$8:P251,0))</f>
        <v/>
      </c>
      <c r="R251" s="9" t="n">
        <f aca="false">IF(N251="",0,IFERROR(MATCH(ROW()-7,'Cash Book'!$U$8:$U$507,0),0))</f>
        <v>0</v>
      </c>
      <c r="V251" s="9" t="str">
        <f aca="false">IF(AND(N251&lt;&gt;"",R251=0),IF(M251="IN",3,4)*100000+ROW(),"")</f>
        <v/>
      </c>
      <c r="W251" s="9" t="n">
        <f aca="false">N(E251)+N(F251)</f>
        <v>0</v>
      </c>
    </row>
    <row r="252" customFormat="false" ht="15" hidden="false" customHeight="false" outlineLevel="0" collapsed="false">
      <c r="A252" s="37" t="str">
        <f aca="false">IF(M252="","",ROW()-7)</f>
        <v/>
      </c>
      <c r="B252" s="70"/>
      <c r="C252" s="72"/>
      <c r="D252" s="71"/>
      <c r="E252" s="73"/>
      <c r="F252" s="73"/>
      <c r="G252" s="73"/>
      <c r="H252" s="42" t="str">
        <f aca="false">IF(M252="","",IF(R252&gt;0,"✔ Matched",IF(M252="IN","Not in cash book (credit)","Not in cash book (debit)")))</f>
        <v/>
      </c>
      <c r="I252" s="43" t="str">
        <f aca="false">IF(N(R252)&gt;0,R252,"")</f>
        <v/>
      </c>
      <c r="J252" s="45" t="str">
        <f aca="false">IF(AND(M252="",B252="",C252=""),"",IF(AND(N(E252)&gt;0,N(F252)&gt;0),"⚠ Fill withdrawal OR deposit",IF(M252="","⚠ Enter amount",IF(B252="","⚠ Enter date",IF(NOT(OR(NOT(ISNUMBER(G252)),NOT(ISNUMBER(G251)),ABS(N(G252)-(N(G251)+N(F252)-N(E252)))&lt;=0.5)),"⚠ Balance does not follow previous row","✔")))))</f>
        <v/>
      </c>
      <c r="M252" s="9" t="str">
        <f aca="false">IF(N(F252)&gt;0,"IN",IF(N(E252)&gt;0,"OUT",""))</f>
        <v/>
      </c>
      <c r="N252" s="9" t="str">
        <f aca="false">IF(M252="","",M252&amp;"|"&amp;TEXT(ROUND(N(E252)+N(F252),2),"0.00"))</f>
        <v/>
      </c>
      <c r="O252" s="9" t="str">
        <f aca="false">IF(OR(N252="",TRIM(D252&amp;"")=""),"",N252&amp;"|"&amp;UPPER(TRIM(D252&amp;"")))</f>
        <v/>
      </c>
      <c r="P252" s="9" t="n">
        <f aca="false">IF(O252="",0,IF(COUNTIF('Cash Book'!$O$8:$O$507,O252)&gt;0,1,0))</f>
        <v>0</v>
      </c>
      <c r="Q252" s="9" t="str">
        <f aca="false">IF(OR(N252="",P252=1),"",N252&amp;"#"&amp;COUNTIFS($N$8:N252,N252,$P$8:P252,0))</f>
        <v/>
      </c>
      <c r="R252" s="9" t="n">
        <f aca="false">IF(N252="",0,IFERROR(MATCH(ROW()-7,'Cash Book'!$U$8:$U$507,0),0))</f>
        <v>0</v>
      </c>
      <c r="V252" s="9" t="str">
        <f aca="false">IF(AND(N252&lt;&gt;"",R252=0),IF(M252="IN",3,4)*100000+ROW(),"")</f>
        <v/>
      </c>
      <c r="W252" s="9" t="n">
        <f aca="false">N(E252)+N(F252)</f>
        <v>0</v>
      </c>
    </row>
    <row r="253" customFormat="false" ht="15" hidden="false" customHeight="false" outlineLevel="0" collapsed="false">
      <c r="A253" s="37" t="str">
        <f aca="false">IF(M253="","",ROW()-7)</f>
        <v/>
      </c>
      <c r="B253" s="70"/>
      <c r="C253" s="72"/>
      <c r="D253" s="71"/>
      <c r="E253" s="73"/>
      <c r="F253" s="73"/>
      <c r="G253" s="73"/>
      <c r="H253" s="42" t="str">
        <f aca="false">IF(M253="","",IF(R253&gt;0,"✔ Matched",IF(M253="IN","Not in cash book (credit)","Not in cash book (debit)")))</f>
        <v/>
      </c>
      <c r="I253" s="43" t="str">
        <f aca="false">IF(N(R253)&gt;0,R253,"")</f>
        <v/>
      </c>
      <c r="J253" s="45" t="str">
        <f aca="false">IF(AND(M253="",B253="",C253=""),"",IF(AND(N(E253)&gt;0,N(F253)&gt;0),"⚠ Fill withdrawal OR deposit",IF(M253="","⚠ Enter amount",IF(B253="","⚠ Enter date",IF(NOT(OR(NOT(ISNUMBER(G253)),NOT(ISNUMBER(G252)),ABS(N(G253)-(N(G252)+N(F253)-N(E253)))&lt;=0.5)),"⚠ Balance does not follow previous row","✔")))))</f>
        <v/>
      </c>
      <c r="M253" s="9" t="str">
        <f aca="false">IF(N(F253)&gt;0,"IN",IF(N(E253)&gt;0,"OUT",""))</f>
        <v/>
      </c>
      <c r="N253" s="9" t="str">
        <f aca="false">IF(M253="","",M253&amp;"|"&amp;TEXT(ROUND(N(E253)+N(F253),2),"0.00"))</f>
        <v/>
      </c>
      <c r="O253" s="9" t="str">
        <f aca="false">IF(OR(N253="",TRIM(D253&amp;"")=""),"",N253&amp;"|"&amp;UPPER(TRIM(D253&amp;"")))</f>
        <v/>
      </c>
      <c r="P253" s="9" t="n">
        <f aca="false">IF(O253="",0,IF(COUNTIF('Cash Book'!$O$8:$O$507,O253)&gt;0,1,0))</f>
        <v>0</v>
      </c>
      <c r="Q253" s="9" t="str">
        <f aca="false">IF(OR(N253="",P253=1),"",N253&amp;"#"&amp;COUNTIFS($N$8:N253,N253,$P$8:P253,0))</f>
        <v/>
      </c>
      <c r="R253" s="9" t="n">
        <f aca="false">IF(N253="",0,IFERROR(MATCH(ROW()-7,'Cash Book'!$U$8:$U$507,0),0))</f>
        <v>0</v>
      </c>
      <c r="V253" s="9" t="str">
        <f aca="false">IF(AND(N253&lt;&gt;"",R253=0),IF(M253="IN",3,4)*100000+ROW(),"")</f>
        <v/>
      </c>
      <c r="W253" s="9" t="n">
        <f aca="false">N(E253)+N(F253)</f>
        <v>0</v>
      </c>
    </row>
    <row r="254" customFormat="false" ht="15" hidden="false" customHeight="false" outlineLevel="0" collapsed="false">
      <c r="A254" s="37" t="str">
        <f aca="false">IF(M254="","",ROW()-7)</f>
        <v/>
      </c>
      <c r="B254" s="70"/>
      <c r="C254" s="72"/>
      <c r="D254" s="71"/>
      <c r="E254" s="73"/>
      <c r="F254" s="73"/>
      <c r="G254" s="73"/>
      <c r="H254" s="42" t="str">
        <f aca="false">IF(M254="","",IF(R254&gt;0,"✔ Matched",IF(M254="IN","Not in cash book (credit)","Not in cash book (debit)")))</f>
        <v/>
      </c>
      <c r="I254" s="43" t="str">
        <f aca="false">IF(N(R254)&gt;0,R254,"")</f>
        <v/>
      </c>
      <c r="J254" s="45" t="str">
        <f aca="false">IF(AND(M254="",B254="",C254=""),"",IF(AND(N(E254)&gt;0,N(F254)&gt;0),"⚠ Fill withdrawal OR deposit",IF(M254="","⚠ Enter amount",IF(B254="","⚠ Enter date",IF(NOT(OR(NOT(ISNUMBER(G254)),NOT(ISNUMBER(G253)),ABS(N(G254)-(N(G253)+N(F254)-N(E254)))&lt;=0.5)),"⚠ Balance does not follow previous row","✔")))))</f>
        <v/>
      </c>
      <c r="M254" s="9" t="str">
        <f aca="false">IF(N(F254)&gt;0,"IN",IF(N(E254)&gt;0,"OUT",""))</f>
        <v/>
      </c>
      <c r="N254" s="9" t="str">
        <f aca="false">IF(M254="","",M254&amp;"|"&amp;TEXT(ROUND(N(E254)+N(F254),2),"0.00"))</f>
        <v/>
      </c>
      <c r="O254" s="9" t="str">
        <f aca="false">IF(OR(N254="",TRIM(D254&amp;"")=""),"",N254&amp;"|"&amp;UPPER(TRIM(D254&amp;"")))</f>
        <v/>
      </c>
      <c r="P254" s="9" t="n">
        <f aca="false">IF(O254="",0,IF(COUNTIF('Cash Book'!$O$8:$O$507,O254)&gt;0,1,0))</f>
        <v>0</v>
      </c>
      <c r="Q254" s="9" t="str">
        <f aca="false">IF(OR(N254="",P254=1),"",N254&amp;"#"&amp;COUNTIFS($N$8:N254,N254,$P$8:P254,0))</f>
        <v/>
      </c>
      <c r="R254" s="9" t="n">
        <f aca="false">IF(N254="",0,IFERROR(MATCH(ROW()-7,'Cash Book'!$U$8:$U$507,0),0))</f>
        <v>0</v>
      </c>
      <c r="V254" s="9" t="str">
        <f aca="false">IF(AND(N254&lt;&gt;"",R254=0),IF(M254="IN",3,4)*100000+ROW(),"")</f>
        <v/>
      </c>
      <c r="W254" s="9" t="n">
        <f aca="false">N(E254)+N(F254)</f>
        <v>0</v>
      </c>
    </row>
    <row r="255" customFormat="false" ht="15" hidden="false" customHeight="false" outlineLevel="0" collapsed="false">
      <c r="A255" s="37" t="str">
        <f aca="false">IF(M255="","",ROW()-7)</f>
        <v/>
      </c>
      <c r="B255" s="70"/>
      <c r="C255" s="72"/>
      <c r="D255" s="71"/>
      <c r="E255" s="73"/>
      <c r="F255" s="73"/>
      <c r="G255" s="73"/>
      <c r="H255" s="42" t="str">
        <f aca="false">IF(M255="","",IF(R255&gt;0,"✔ Matched",IF(M255="IN","Not in cash book (credit)","Not in cash book (debit)")))</f>
        <v/>
      </c>
      <c r="I255" s="43" t="str">
        <f aca="false">IF(N(R255)&gt;0,R255,"")</f>
        <v/>
      </c>
      <c r="J255" s="45" t="str">
        <f aca="false">IF(AND(M255="",B255="",C255=""),"",IF(AND(N(E255)&gt;0,N(F255)&gt;0),"⚠ Fill withdrawal OR deposit",IF(M255="","⚠ Enter amount",IF(B255="","⚠ Enter date",IF(NOT(OR(NOT(ISNUMBER(G255)),NOT(ISNUMBER(G254)),ABS(N(G255)-(N(G254)+N(F255)-N(E255)))&lt;=0.5)),"⚠ Balance does not follow previous row","✔")))))</f>
        <v/>
      </c>
      <c r="M255" s="9" t="str">
        <f aca="false">IF(N(F255)&gt;0,"IN",IF(N(E255)&gt;0,"OUT",""))</f>
        <v/>
      </c>
      <c r="N255" s="9" t="str">
        <f aca="false">IF(M255="","",M255&amp;"|"&amp;TEXT(ROUND(N(E255)+N(F255),2),"0.00"))</f>
        <v/>
      </c>
      <c r="O255" s="9" t="str">
        <f aca="false">IF(OR(N255="",TRIM(D255&amp;"")=""),"",N255&amp;"|"&amp;UPPER(TRIM(D255&amp;"")))</f>
        <v/>
      </c>
      <c r="P255" s="9" t="n">
        <f aca="false">IF(O255="",0,IF(COUNTIF('Cash Book'!$O$8:$O$507,O255)&gt;0,1,0))</f>
        <v>0</v>
      </c>
      <c r="Q255" s="9" t="str">
        <f aca="false">IF(OR(N255="",P255=1),"",N255&amp;"#"&amp;COUNTIFS($N$8:N255,N255,$P$8:P255,0))</f>
        <v/>
      </c>
      <c r="R255" s="9" t="n">
        <f aca="false">IF(N255="",0,IFERROR(MATCH(ROW()-7,'Cash Book'!$U$8:$U$507,0),0))</f>
        <v>0</v>
      </c>
      <c r="V255" s="9" t="str">
        <f aca="false">IF(AND(N255&lt;&gt;"",R255=0),IF(M255="IN",3,4)*100000+ROW(),"")</f>
        <v/>
      </c>
      <c r="W255" s="9" t="n">
        <f aca="false">N(E255)+N(F255)</f>
        <v>0</v>
      </c>
    </row>
    <row r="256" customFormat="false" ht="15" hidden="false" customHeight="false" outlineLevel="0" collapsed="false">
      <c r="A256" s="37" t="str">
        <f aca="false">IF(M256="","",ROW()-7)</f>
        <v/>
      </c>
      <c r="B256" s="70"/>
      <c r="C256" s="72"/>
      <c r="D256" s="71"/>
      <c r="E256" s="73"/>
      <c r="F256" s="73"/>
      <c r="G256" s="73"/>
      <c r="H256" s="42" t="str">
        <f aca="false">IF(M256="","",IF(R256&gt;0,"✔ Matched",IF(M256="IN","Not in cash book (credit)","Not in cash book (debit)")))</f>
        <v/>
      </c>
      <c r="I256" s="43" t="str">
        <f aca="false">IF(N(R256)&gt;0,R256,"")</f>
        <v/>
      </c>
      <c r="J256" s="45" t="str">
        <f aca="false">IF(AND(M256="",B256="",C256=""),"",IF(AND(N(E256)&gt;0,N(F256)&gt;0),"⚠ Fill withdrawal OR deposit",IF(M256="","⚠ Enter amount",IF(B256="","⚠ Enter date",IF(NOT(OR(NOT(ISNUMBER(G256)),NOT(ISNUMBER(G255)),ABS(N(G256)-(N(G255)+N(F256)-N(E256)))&lt;=0.5)),"⚠ Balance does not follow previous row","✔")))))</f>
        <v/>
      </c>
      <c r="M256" s="9" t="str">
        <f aca="false">IF(N(F256)&gt;0,"IN",IF(N(E256)&gt;0,"OUT",""))</f>
        <v/>
      </c>
      <c r="N256" s="9" t="str">
        <f aca="false">IF(M256="","",M256&amp;"|"&amp;TEXT(ROUND(N(E256)+N(F256),2),"0.00"))</f>
        <v/>
      </c>
      <c r="O256" s="9" t="str">
        <f aca="false">IF(OR(N256="",TRIM(D256&amp;"")=""),"",N256&amp;"|"&amp;UPPER(TRIM(D256&amp;"")))</f>
        <v/>
      </c>
      <c r="P256" s="9" t="n">
        <f aca="false">IF(O256="",0,IF(COUNTIF('Cash Book'!$O$8:$O$507,O256)&gt;0,1,0))</f>
        <v>0</v>
      </c>
      <c r="Q256" s="9" t="str">
        <f aca="false">IF(OR(N256="",P256=1),"",N256&amp;"#"&amp;COUNTIFS($N$8:N256,N256,$P$8:P256,0))</f>
        <v/>
      </c>
      <c r="R256" s="9" t="n">
        <f aca="false">IF(N256="",0,IFERROR(MATCH(ROW()-7,'Cash Book'!$U$8:$U$507,0),0))</f>
        <v>0</v>
      </c>
      <c r="V256" s="9" t="str">
        <f aca="false">IF(AND(N256&lt;&gt;"",R256=0),IF(M256="IN",3,4)*100000+ROW(),"")</f>
        <v/>
      </c>
      <c r="W256" s="9" t="n">
        <f aca="false">N(E256)+N(F256)</f>
        <v>0</v>
      </c>
    </row>
    <row r="257" customFormat="false" ht="15" hidden="false" customHeight="false" outlineLevel="0" collapsed="false">
      <c r="A257" s="37" t="str">
        <f aca="false">IF(M257="","",ROW()-7)</f>
        <v/>
      </c>
      <c r="B257" s="70"/>
      <c r="C257" s="72"/>
      <c r="D257" s="71"/>
      <c r="E257" s="73"/>
      <c r="F257" s="73"/>
      <c r="G257" s="73"/>
      <c r="H257" s="42" t="str">
        <f aca="false">IF(M257="","",IF(R257&gt;0,"✔ Matched",IF(M257="IN","Not in cash book (credit)","Not in cash book (debit)")))</f>
        <v/>
      </c>
      <c r="I257" s="43" t="str">
        <f aca="false">IF(N(R257)&gt;0,R257,"")</f>
        <v/>
      </c>
      <c r="J257" s="45" t="str">
        <f aca="false">IF(AND(M257="",B257="",C257=""),"",IF(AND(N(E257)&gt;0,N(F257)&gt;0),"⚠ Fill withdrawal OR deposit",IF(M257="","⚠ Enter amount",IF(B257="","⚠ Enter date",IF(NOT(OR(NOT(ISNUMBER(G257)),NOT(ISNUMBER(G256)),ABS(N(G257)-(N(G256)+N(F257)-N(E257)))&lt;=0.5)),"⚠ Balance does not follow previous row","✔")))))</f>
        <v/>
      </c>
      <c r="M257" s="9" t="str">
        <f aca="false">IF(N(F257)&gt;0,"IN",IF(N(E257)&gt;0,"OUT",""))</f>
        <v/>
      </c>
      <c r="N257" s="9" t="str">
        <f aca="false">IF(M257="","",M257&amp;"|"&amp;TEXT(ROUND(N(E257)+N(F257),2),"0.00"))</f>
        <v/>
      </c>
      <c r="O257" s="9" t="str">
        <f aca="false">IF(OR(N257="",TRIM(D257&amp;"")=""),"",N257&amp;"|"&amp;UPPER(TRIM(D257&amp;"")))</f>
        <v/>
      </c>
      <c r="P257" s="9" t="n">
        <f aca="false">IF(O257="",0,IF(COUNTIF('Cash Book'!$O$8:$O$507,O257)&gt;0,1,0))</f>
        <v>0</v>
      </c>
      <c r="Q257" s="9" t="str">
        <f aca="false">IF(OR(N257="",P257=1),"",N257&amp;"#"&amp;COUNTIFS($N$8:N257,N257,$P$8:P257,0))</f>
        <v/>
      </c>
      <c r="R257" s="9" t="n">
        <f aca="false">IF(N257="",0,IFERROR(MATCH(ROW()-7,'Cash Book'!$U$8:$U$507,0),0))</f>
        <v>0</v>
      </c>
      <c r="V257" s="9" t="str">
        <f aca="false">IF(AND(N257&lt;&gt;"",R257=0),IF(M257="IN",3,4)*100000+ROW(),"")</f>
        <v/>
      </c>
      <c r="W257" s="9" t="n">
        <f aca="false">N(E257)+N(F257)</f>
        <v>0</v>
      </c>
    </row>
    <row r="258" customFormat="false" ht="15" hidden="false" customHeight="false" outlineLevel="0" collapsed="false">
      <c r="A258" s="37" t="str">
        <f aca="false">IF(M258="","",ROW()-7)</f>
        <v/>
      </c>
      <c r="B258" s="70"/>
      <c r="C258" s="72"/>
      <c r="D258" s="71"/>
      <c r="E258" s="73"/>
      <c r="F258" s="73"/>
      <c r="G258" s="73"/>
      <c r="H258" s="42" t="str">
        <f aca="false">IF(M258="","",IF(R258&gt;0,"✔ Matched",IF(M258="IN","Not in cash book (credit)","Not in cash book (debit)")))</f>
        <v/>
      </c>
      <c r="I258" s="43" t="str">
        <f aca="false">IF(N(R258)&gt;0,R258,"")</f>
        <v/>
      </c>
      <c r="J258" s="45" t="str">
        <f aca="false">IF(AND(M258="",B258="",C258=""),"",IF(AND(N(E258)&gt;0,N(F258)&gt;0),"⚠ Fill withdrawal OR deposit",IF(M258="","⚠ Enter amount",IF(B258="","⚠ Enter date",IF(NOT(OR(NOT(ISNUMBER(G258)),NOT(ISNUMBER(G257)),ABS(N(G258)-(N(G257)+N(F258)-N(E258)))&lt;=0.5)),"⚠ Balance does not follow previous row","✔")))))</f>
        <v/>
      </c>
      <c r="M258" s="9" t="str">
        <f aca="false">IF(N(F258)&gt;0,"IN",IF(N(E258)&gt;0,"OUT",""))</f>
        <v/>
      </c>
      <c r="N258" s="9" t="str">
        <f aca="false">IF(M258="","",M258&amp;"|"&amp;TEXT(ROUND(N(E258)+N(F258),2),"0.00"))</f>
        <v/>
      </c>
      <c r="O258" s="9" t="str">
        <f aca="false">IF(OR(N258="",TRIM(D258&amp;"")=""),"",N258&amp;"|"&amp;UPPER(TRIM(D258&amp;"")))</f>
        <v/>
      </c>
      <c r="P258" s="9" t="n">
        <f aca="false">IF(O258="",0,IF(COUNTIF('Cash Book'!$O$8:$O$507,O258)&gt;0,1,0))</f>
        <v>0</v>
      </c>
      <c r="Q258" s="9" t="str">
        <f aca="false">IF(OR(N258="",P258=1),"",N258&amp;"#"&amp;COUNTIFS($N$8:N258,N258,$P$8:P258,0))</f>
        <v/>
      </c>
      <c r="R258" s="9" t="n">
        <f aca="false">IF(N258="",0,IFERROR(MATCH(ROW()-7,'Cash Book'!$U$8:$U$507,0),0))</f>
        <v>0</v>
      </c>
      <c r="V258" s="9" t="str">
        <f aca="false">IF(AND(N258&lt;&gt;"",R258=0),IF(M258="IN",3,4)*100000+ROW(),"")</f>
        <v/>
      </c>
      <c r="W258" s="9" t="n">
        <f aca="false">N(E258)+N(F258)</f>
        <v>0</v>
      </c>
    </row>
    <row r="259" customFormat="false" ht="15" hidden="false" customHeight="false" outlineLevel="0" collapsed="false">
      <c r="A259" s="37" t="str">
        <f aca="false">IF(M259="","",ROW()-7)</f>
        <v/>
      </c>
      <c r="B259" s="70"/>
      <c r="C259" s="72"/>
      <c r="D259" s="71"/>
      <c r="E259" s="73"/>
      <c r="F259" s="73"/>
      <c r="G259" s="73"/>
      <c r="H259" s="42" t="str">
        <f aca="false">IF(M259="","",IF(R259&gt;0,"✔ Matched",IF(M259="IN","Not in cash book (credit)","Not in cash book (debit)")))</f>
        <v/>
      </c>
      <c r="I259" s="43" t="str">
        <f aca="false">IF(N(R259)&gt;0,R259,"")</f>
        <v/>
      </c>
      <c r="J259" s="45" t="str">
        <f aca="false">IF(AND(M259="",B259="",C259=""),"",IF(AND(N(E259)&gt;0,N(F259)&gt;0),"⚠ Fill withdrawal OR deposit",IF(M259="","⚠ Enter amount",IF(B259="","⚠ Enter date",IF(NOT(OR(NOT(ISNUMBER(G259)),NOT(ISNUMBER(G258)),ABS(N(G259)-(N(G258)+N(F259)-N(E259)))&lt;=0.5)),"⚠ Balance does not follow previous row","✔")))))</f>
        <v/>
      </c>
      <c r="M259" s="9" t="str">
        <f aca="false">IF(N(F259)&gt;0,"IN",IF(N(E259)&gt;0,"OUT",""))</f>
        <v/>
      </c>
      <c r="N259" s="9" t="str">
        <f aca="false">IF(M259="","",M259&amp;"|"&amp;TEXT(ROUND(N(E259)+N(F259),2),"0.00"))</f>
        <v/>
      </c>
      <c r="O259" s="9" t="str">
        <f aca="false">IF(OR(N259="",TRIM(D259&amp;"")=""),"",N259&amp;"|"&amp;UPPER(TRIM(D259&amp;"")))</f>
        <v/>
      </c>
      <c r="P259" s="9" t="n">
        <f aca="false">IF(O259="",0,IF(COUNTIF('Cash Book'!$O$8:$O$507,O259)&gt;0,1,0))</f>
        <v>0</v>
      </c>
      <c r="Q259" s="9" t="str">
        <f aca="false">IF(OR(N259="",P259=1),"",N259&amp;"#"&amp;COUNTIFS($N$8:N259,N259,$P$8:P259,0))</f>
        <v/>
      </c>
      <c r="R259" s="9" t="n">
        <f aca="false">IF(N259="",0,IFERROR(MATCH(ROW()-7,'Cash Book'!$U$8:$U$507,0),0))</f>
        <v>0</v>
      </c>
      <c r="V259" s="9" t="str">
        <f aca="false">IF(AND(N259&lt;&gt;"",R259=0),IF(M259="IN",3,4)*100000+ROW(),"")</f>
        <v/>
      </c>
      <c r="W259" s="9" t="n">
        <f aca="false">N(E259)+N(F259)</f>
        <v>0</v>
      </c>
    </row>
    <row r="260" customFormat="false" ht="15" hidden="false" customHeight="false" outlineLevel="0" collapsed="false">
      <c r="A260" s="37" t="str">
        <f aca="false">IF(M260="","",ROW()-7)</f>
        <v/>
      </c>
      <c r="B260" s="70"/>
      <c r="C260" s="72"/>
      <c r="D260" s="71"/>
      <c r="E260" s="73"/>
      <c r="F260" s="73"/>
      <c r="G260" s="73"/>
      <c r="H260" s="42" t="str">
        <f aca="false">IF(M260="","",IF(R260&gt;0,"✔ Matched",IF(M260="IN","Not in cash book (credit)","Not in cash book (debit)")))</f>
        <v/>
      </c>
      <c r="I260" s="43" t="str">
        <f aca="false">IF(N(R260)&gt;0,R260,"")</f>
        <v/>
      </c>
      <c r="J260" s="45" t="str">
        <f aca="false">IF(AND(M260="",B260="",C260=""),"",IF(AND(N(E260)&gt;0,N(F260)&gt;0),"⚠ Fill withdrawal OR deposit",IF(M260="","⚠ Enter amount",IF(B260="","⚠ Enter date",IF(NOT(OR(NOT(ISNUMBER(G260)),NOT(ISNUMBER(G259)),ABS(N(G260)-(N(G259)+N(F260)-N(E260)))&lt;=0.5)),"⚠ Balance does not follow previous row","✔")))))</f>
        <v/>
      </c>
      <c r="M260" s="9" t="str">
        <f aca="false">IF(N(F260)&gt;0,"IN",IF(N(E260)&gt;0,"OUT",""))</f>
        <v/>
      </c>
      <c r="N260" s="9" t="str">
        <f aca="false">IF(M260="","",M260&amp;"|"&amp;TEXT(ROUND(N(E260)+N(F260),2),"0.00"))</f>
        <v/>
      </c>
      <c r="O260" s="9" t="str">
        <f aca="false">IF(OR(N260="",TRIM(D260&amp;"")=""),"",N260&amp;"|"&amp;UPPER(TRIM(D260&amp;"")))</f>
        <v/>
      </c>
      <c r="P260" s="9" t="n">
        <f aca="false">IF(O260="",0,IF(COUNTIF('Cash Book'!$O$8:$O$507,O260)&gt;0,1,0))</f>
        <v>0</v>
      </c>
      <c r="Q260" s="9" t="str">
        <f aca="false">IF(OR(N260="",P260=1),"",N260&amp;"#"&amp;COUNTIFS($N$8:N260,N260,$P$8:P260,0))</f>
        <v/>
      </c>
      <c r="R260" s="9" t="n">
        <f aca="false">IF(N260="",0,IFERROR(MATCH(ROW()-7,'Cash Book'!$U$8:$U$507,0),0))</f>
        <v>0</v>
      </c>
      <c r="V260" s="9" t="str">
        <f aca="false">IF(AND(N260&lt;&gt;"",R260=0),IF(M260="IN",3,4)*100000+ROW(),"")</f>
        <v/>
      </c>
      <c r="W260" s="9" t="n">
        <f aca="false">N(E260)+N(F260)</f>
        <v>0</v>
      </c>
    </row>
    <row r="261" customFormat="false" ht="15" hidden="false" customHeight="false" outlineLevel="0" collapsed="false">
      <c r="A261" s="37" t="str">
        <f aca="false">IF(M261="","",ROW()-7)</f>
        <v/>
      </c>
      <c r="B261" s="70"/>
      <c r="C261" s="72"/>
      <c r="D261" s="71"/>
      <c r="E261" s="73"/>
      <c r="F261" s="73"/>
      <c r="G261" s="73"/>
      <c r="H261" s="42" t="str">
        <f aca="false">IF(M261="","",IF(R261&gt;0,"✔ Matched",IF(M261="IN","Not in cash book (credit)","Not in cash book (debit)")))</f>
        <v/>
      </c>
      <c r="I261" s="43" t="str">
        <f aca="false">IF(N(R261)&gt;0,R261,"")</f>
        <v/>
      </c>
      <c r="J261" s="45" t="str">
        <f aca="false">IF(AND(M261="",B261="",C261=""),"",IF(AND(N(E261)&gt;0,N(F261)&gt;0),"⚠ Fill withdrawal OR deposit",IF(M261="","⚠ Enter amount",IF(B261="","⚠ Enter date",IF(NOT(OR(NOT(ISNUMBER(G261)),NOT(ISNUMBER(G260)),ABS(N(G261)-(N(G260)+N(F261)-N(E261)))&lt;=0.5)),"⚠ Balance does not follow previous row","✔")))))</f>
        <v/>
      </c>
      <c r="M261" s="9" t="str">
        <f aca="false">IF(N(F261)&gt;0,"IN",IF(N(E261)&gt;0,"OUT",""))</f>
        <v/>
      </c>
      <c r="N261" s="9" t="str">
        <f aca="false">IF(M261="","",M261&amp;"|"&amp;TEXT(ROUND(N(E261)+N(F261),2),"0.00"))</f>
        <v/>
      </c>
      <c r="O261" s="9" t="str">
        <f aca="false">IF(OR(N261="",TRIM(D261&amp;"")=""),"",N261&amp;"|"&amp;UPPER(TRIM(D261&amp;"")))</f>
        <v/>
      </c>
      <c r="P261" s="9" t="n">
        <f aca="false">IF(O261="",0,IF(COUNTIF('Cash Book'!$O$8:$O$507,O261)&gt;0,1,0))</f>
        <v>0</v>
      </c>
      <c r="Q261" s="9" t="str">
        <f aca="false">IF(OR(N261="",P261=1),"",N261&amp;"#"&amp;COUNTIFS($N$8:N261,N261,$P$8:P261,0))</f>
        <v/>
      </c>
      <c r="R261" s="9" t="n">
        <f aca="false">IF(N261="",0,IFERROR(MATCH(ROW()-7,'Cash Book'!$U$8:$U$507,0),0))</f>
        <v>0</v>
      </c>
      <c r="V261" s="9" t="str">
        <f aca="false">IF(AND(N261&lt;&gt;"",R261=0),IF(M261="IN",3,4)*100000+ROW(),"")</f>
        <v/>
      </c>
      <c r="W261" s="9" t="n">
        <f aca="false">N(E261)+N(F261)</f>
        <v>0</v>
      </c>
    </row>
    <row r="262" customFormat="false" ht="15" hidden="false" customHeight="false" outlineLevel="0" collapsed="false">
      <c r="A262" s="37" t="str">
        <f aca="false">IF(M262="","",ROW()-7)</f>
        <v/>
      </c>
      <c r="B262" s="70"/>
      <c r="C262" s="72"/>
      <c r="D262" s="71"/>
      <c r="E262" s="73"/>
      <c r="F262" s="73"/>
      <c r="G262" s="73"/>
      <c r="H262" s="42" t="str">
        <f aca="false">IF(M262="","",IF(R262&gt;0,"✔ Matched",IF(M262="IN","Not in cash book (credit)","Not in cash book (debit)")))</f>
        <v/>
      </c>
      <c r="I262" s="43" t="str">
        <f aca="false">IF(N(R262)&gt;0,R262,"")</f>
        <v/>
      </c>
      <c r="J262" s="45" t="str">
        <f aca="false">IF(AND(M262="",B262="",C262=""),"",IF(AND(N(E262)&gt;0,N(F262)&gt;0),"⚠ Fill withdrawal OR deposit",IF(M262="","⚠ Enter amount",IF(B262="","⚠ Enter date",IF(NOT(OR(NOT(ISNUMBER(G262)),NOT(ISNUMBER(G261)),ABS(N(G262)-(N(G261)+N(F262)-N(E262)))&lt;=0.5)),"⚠ Balance does not follow previous row","✔")))))</f>
        <v/>
      </c>
      <c r="M262" s="9" t="str">
        <f aca="false">IF(N(F262)&gt;0,"IN",IF(N(E262)&gt;0,"OUT",""))</f>
        <v/>
      </c>
      <c r="N262" s="9" t="str">
        <f aca="false">IF(M262="","",M262&amp;"|"&amp;TEXT(ROUND(N(E262)+N(F262),2),"0.00"))</f>
        <v/>
      </c>
      <c r="O262" s="9" t="str">
        <f aca="false">IF(OR(N262="",TRIM(D262&amp;"")=""),"",N262&amp;"|"&amp;UPPER(TRIM(D262&amp;"")))</f>
        <v/>
      </c>
      <c r="P262" s="9" t="n">
        <f aca="false">IF(O262="",0,IF(COUNTIF('Cash Book'!$O$8:$O$507,O262)&gt;0,1,0))</f>
        <v>0</v>
      </c>
      <c r="Q262" s="9" t="str">
        <f aca="false">IF(OR(N262="",P262=1),"",N262&amp;"#"&amp;COUNTIFS($N$8:N262,N262,$P$8:P262,0))</f>
        <v/>
      </c>
      <c r="R262" s="9" t="n">
        <f aca="false">IF(N262="",0,IFERROR(MATCH(ROW()-7,'Cash Book'!$U$8:$U$507,0),0))</f>
        <v>0</v>
      </c>
      <c r="V262" s="9" t="str">
        <f aca="false">IF(AND(N262&lt;&gt;"",R262=0),IF(M262="IN",3,4)*100000+ROW(),"")</f>
        <v/>
      </c>
      <c r="W262" s="9" t="n">
        <f aca="false">N(E262)+N(F262)</f>
        <v>0</v>
      </c>
    </row>
    <row r="263" customFormat="false" ht="15" hidden="false" customHeight="false" outlineLevel="0" collapsed="false">
      <c r="A263" s="37" t="str">
        <f aca="false">IF(M263="","",ROW()-7)</f>
        <v/>
      </c>
      <c r="B263" s="70"/>
      <c r="C263" s="72"/>
      <c r="D263" s="71"/>
      <c r="E263" s="73"/>
      <c r="F263" s="73"/>
      <c r="G263" s="73"/>
      <c r="H263" s="42" t="str">
        <f aca="false">IF(M263="","",IF(R263&gt;0,"✔ Matched",IF(M263="IN","Not in cash book (credit)","Not in cash book (debit)")))</f>
        <v/>
      </c>
      <c r="I263" s="43" t="str">
        <f aca="false">IF(N(R263)&gt;0,R263,"")</f>
        <v/>
      </c>
      <c r="J263" s="45" t="str">
        <f aca="false">IF(AND(M263="",B263="",C263=""),"",IF(AND(N(E263)&gt;0,N(F263)&gt;0),"⚠ Fill withdrawal OR deposit",IF(M263="","⚠ Enter amount",IF(B263="","⚠ Enter date",IF(NOT(OR(NOT(ISNUMBER(G263)),NOT(ISNUMBER(G262)),ABS(N(G263)-(N(G262)+N(F263)-N(E263)))&lt;=0.5)),"⚠ Balance does not follow previous row","✔")))))</f>
        <v/>
      </c>
      <c r="M263" s="9" t="str">
        <f aca="false">IF(N(F263)&gt;0,"IN",IF(N(E263)&gt;0,"OUT",""))</f>
        <v/>
      </c>
      <c r="N263" s="9" t="str">
        <f aca="false">IF(M263="","",M263&amp;"|"&amp;TEXT(ROUND(N(E263)+N(F263),2),"0.00"))</f>
        <v/>
      </c>
      <c r="O263" s="9" t="str">
        <f aca="false">IF(OR(N263="",TRIM(D263&amp;"")=""),"",N263&amp;"|"&amp;UPPER(TRIM(D263&amp;"")))</f>
        <v/>
      </c>
      <c r="P263" s="9" t="n">
        <f aca="false">IF(O263="",0,IF(COUNTIF('Cash Book'!$O$8:$O$507,O263)&gt;0,1,0))</f>
        <v>0</v>
      </c>
      <c r="Q263" s="9" t="str">
        <f aca="false">IF(OR(N263="",P263=1),"",N263&amp;"#"&amp;COUNTIFS($N$8:N263,N263,$P$8:P263,0))</f>
        <v/>
      </c>
      <c r="R263" s="9" t="n">
        <f aca="false">IF(N263="",0,IFERROR(MATCH(ROW()-7,'Cash Book'!$U$8:$U$507,0),0))</f>
        <v>0</v>
      </c>
      <c r="V263" s="9" t="str">
        <f aca="false">IF(AND(N263&lt;&gt;"",R263=0),IF(M263="IN",3,4)*100000+ROW(),"")</f>
        <v/>
      </c>
      <c r="W263" s="9" t="n">
        <f aca="false">N(E263)+N(F263)</f>
        <v>0</v>
      </c>
    </row>
    <row r="264" customFormat="false" ht="15" hidden="false" customHeight="false" outlineLevel="0" collapsed="false">
      <c r="A264" s="37" t="str">
        <f aca="false">IF(M264="","",ROW()-7)</f>
        <v/>
      </c>
      <c r="B264" s="70"/>
      <c r="C264" s="72"/>
      <c r="D264" s="71"/>
      <c r="E264" s="73"/>
      <c r="F264" s="73"/>
      <c r="G264" s="73"/>
      <c r="H264" s="42" t="str">
        <f aca="false">IF(M264="","",IF(R264&gt;0,"✔ Matched",IF(M264="IN","Not in cash book (credit)","Not in cash book (debit)")))</f>
        <v/>
      </c>
      <c r="I264" s="43" t="str">
        <f aca="false">IF(N(R264)&gt;0,R264,"")</f>
        <v/>
      </c>
      <c r="J264" s="45" t="str">
        <f aca="false">IF(AND(M264="",B264="",C264=""),"",IF(AND(N(E264)&gt;0,N(F264)&gt;0),"⚠ Fill withdrawal OR deposit",IF(M264="","⚠ Enter amount",IF(B264="","⚠ Enter date",IF(NOT(OR(NOT(ISNUMBER(G264)),NOT(ISNUMBER(G263)),ABS(N(G264)-(N(G263)+N(F264)-N(E264)))&lt;=0.5)),"⚠ Balance does not follow previous row","✔")))))</f>
        <v/>
      </c>
      <c r="M264" s="9" t="str">
        <f aca="false">IF(N(F264)&gt;0,"IN",IF(N(E264)&gt;0,"OUT",""))</f>
        <v/>
      </c>
      <c r="N264" s="9" t="str">
        <f aca="false">IF(M264="","",M264&amp;"|"&amp;TEXT(ROUND(N(E264)+N(F264),2),"0.00"))</f>
        <v/>
      </c>
      <c r="O264" s="9" t="str">
        <f aca="false">IF(OR(N264="",TRIM(D264&amp;"")=""),"",N264&amp;"|"&amp;UPPER(TRIM(D264&amp;"")))</f>
        <v/>
      </c>
      <c r="P264" s="9" t="n">
        <f aca="false">IF(O264="",0,IF(COUNTIF('Cash Book'!$O$8:$O$507,O264)&gt;0,1,0))</f>
        <v>0</v>
      </c>
      <c r="Q264" s="9" t="str">
        <f aca="false">IF(OR(N264="",P264=1),"",N264&amp;"#"&amp;COUNTIFS($N$8:N264,N264,$P$8:P264,0))</f>
        <v/>
      </c>
      <c r="R264" s="9" t="n">
        <f aca="false">IF(N264="",0,IFERROR(MATCH(ROW()-7,'Cash Book'!$U$8:$U$507,0),0))</f>
        <v>0</v>
      </c>
      <c r="V264" s="9" t="str">
        <f aca="false">IF(AND(N264&lt;&gt;"",R264=0),IF(M264="IN",3,4)*100000+ROW(),"")</f>
        <v/>
      </c>
      <c r="W264" s="9" t="n">
        <f aca="false">N(E264)+N(F264)</f>
        <v>0</v>
      </c>
    </row>
    <row r="265" customFormat="false" ht="15" hidden="false" customHeight="false" outlineLevel="0" collapsed="false">
      <c r="A265" s="37" t="str">
        <f aca="false">IF(M265="","",ROW()-7)</f>
        <v/>
      </c>
      <c r="B265" s="70"/>
      <c r="C265" s="72"/>
      <c r="D265" s="71"/>
      <c r="E265" s="73"/>
      <c r="F265" s="73"/>
      <c r="G265" s="73"/>
      <c r="H265" s="42" t="str">
        <f aca="false">IF(M265="","",IF(R265&gt;0,"✔ Matched",IF(M265="IN","Not in cash book (credit)","Not in cash book (debit)")))</f>
        <v/>
      </c>
      <c r="I265" s="43" t="str">
        <f aca="false">IF(N(R265)&gt;0,R265,"")</f>
        <v/>
      </c>
      <c r="J265" s="45" t="str">
        <f aca="false">IF(AND(M265="",B265="",C265=""),"",IF(AND(N(E265)&gt;0,N(F265)&gt;0),"⚠ Fill withdrawal OR deposit",IF(M265="","⚠ Enter amount",IF(B265="","⚠ Enter date",IF(NOT(OR(NOT(ISNUMBER(G265)),NOT(ISNUMBER(G264)),ABS(N(G265)-(N(G264)+N(F265)-N(E265)))&lt;=0.5)),"⚠ Balance does not follow previous row","✔")))))</f>
        <v/>
      </c>
      <c r="M265" s="9" t="str">
        <f aca="false">IF(N(F265)&gt;0,"IN",IF(N(E265)&gt;0,"OUT",""))</f>
        <v/>
      </c>
      <c r="N265" s="9" t="str">
        <f aca="false">IF(M265="","",M265&amp;"|"&amp;TEXT(ROUND(N(E265)+N(F265),2),"0.00"))</f>
        <v/>
      </c>
      <c r="O265" s="9" t="str">
        <f aca="false">IF(OR(N265="",TRIM(D265&amp;"")=""),"",N265&amp;"|"&amp;UPPER(TRIM(D265&amp;"")))</f>
        <v/>
      </c>
      <c r="P265" s="9" t="n">
        <f aca="false">IF(O265="",0,IF(COUNTIF('Cash Book'!$O$8:$O$507,O265)&gt;0,1,0))</f>
        <v>0</v>
      </c>
      <c r="Q265" s="9" t="str">
        <f aca="false">IF(OR(N265="",P265=1),"",N265&amp;"#"&amp;COUNTIFS($N$8:N265,N265,$P$8:P265,0))</f>
        <v/>
      </c>
      <c r="R265" s="9" t="n">
        <f aca="false">IF(N265="",0,IFERROR(MATCH(ROW()-7,'Cash Book'!$U$8:$U$507,0),0))</f>
        <v>0</v>
      </c>
      <c r="V265" s="9" t="str">
        <f aca="false">IF(AND(N265&lt;&gt;"",R265=0),IF(M265="IN",3,4)*100000+ROW(),"")</f>
        <v/>
      </c>
      <c r="W265" s="9" t="n">
        <f aca="false">N(E265)+N(F265)</f>
        <v>0</v>
      </c>
    </row>
    <row r="266" customFormat="false" ht="15" hidden="false" customHeight="false" outlineLevel="0" collapsed="false">
      <c r="A266" s="37" t="str">
        <f aca="false">IF(M266="","",ROW()-7)</f>
        <v/>
      </c>
      <c r="B266" s="70"/>
      <c r="C266" s="72"/>
      <c r="D266" s="71"/>
      <c r="E266" s="73"/>
      <c r="F266" s="73"/>
      <c r="G266" s="73"/>
      <c r="H266" s="42" t="str">
        <f aca="false">IF(M266="","",IF(R266&gt;0,"✔ Matched",IF(M266="IN","Not in cash book (credit)","Not in cash book (debit)")))</f>
        <v/>
      </c>
      <c r="I266" s="43" t="str">
        <f aca="false">IF(N(R266)&gt;0,R266,"")</f>
        <v/>
      </c>
      <c r="J266" s="45" t="str">
        <f aca="false">IF(AND(M266="",B266="",C266=""),"",IF(AND(N(E266)&gt;0,N(F266)&gt;0),"⚠ Fill withdrawal OR deposit",IF(M266="","⚠ Enter amount",IF(B266="","⚠ Enter date",IF(NOT(OR(NOT(ISNUMBER(G266)),NOT(ISNUMBER(G265)),ABS(N(G266)-(N(G265)+N(F266)-N(E266)))&lt;=0.5)),"⚠ Balance does not follow previous row","✔")))))</f>
        <v/>
      </c>
      <c r="M266" s="9" t="str">
        <f aca="false">IF(N(F266)&gt;0,"IN",IF(N(E266)&gt;0,"OUT",""))</f>
        <v/>
      </c>
      <c r="N266" s="9" t="str">
        <f aca="false">IF(M266="","",M266&amp;"|"&amp;TEXT(ROUND(N(E266)+N(F266),2),"0.00"))</f>
        <v/>
      </c>
      <c r="O266" s="9" t="str">
        <f aca="false">IF(OR(N266="",TRIM(D266&amp;"")=""),"",N266&amp;"|"&amp;UPPER(TRIM(D266&amp;"")))</f>
        <v/>
      </c>
      <c r="P266" s="9" t="n">
        <f aca="false">IF(O266="",0,IF(COUNTIF('Cash Book'!$O$8:$O$507,O266)&gt;0,1,0))</f>
        <v>0</v>
      </c>
      <c r="Q266" s="9" t="str">
        <f aca="false">IF(OR(N266="",P266=1),"",N266&amp;"#"&amp;COUNTIFS($N$8:N266,N266,$P$8:P266,0))</f>
        <v/>
      </c>
      <c r="R266" s="9" t="n">
        <f aca="false">IF(N266="",0,IFERROR(MATCH(ROW()-7,'Cash Book'!$U$8:$U$507,0),0))</f>
        <v>0</v>
      </c>
      <c r="V266" s="9" t="str">
        <f aca="false">IF(AND(N266&lt;&gt;"",R266=0),IF(M266="IN",3,4)*100000+ROW(),"")</f>
        <v/>
      </c>
      <c r="W266" s="9" t="n">
        <f aca="false">N(E266)+N(F266)</f>
        <v>0</v>
      </c>
    </row>
    <row r="267" customFormat="false" ht="15" hidden="false" customHeight="false" outlineLevel="0" collapsed="false">
      <c r="A267" s="37" t="str">
        <f aca="false">IF(M267="","",ROW()-7)</f>
        <v/>
      </c>
      <c r="B267" s="70"/>
      <c r="C267" s="72"/>
      <c r="D267" s="71"/>
      <c r="E267" s="73"/>
      <c r="F267" s="73"/>
      <c r="G267" s="73"/>
      <c r="H267" s="42" t="str">
        <f aca="false">IF(M267="","",IF(R267&gt;0,"✔ Matched",IF(M267="IN","Not in cash book (credit)","Not in cash book (debit)")))</f>
        <v/>
      </c>
      <c r="I267" s="43" t="str">
        <f aca="false">IF(N(R267)&gt;0,R267,"")</f>
        <v/>
      </c>
      <c r="J267" s="45" t="str">
        <f aca="false">IF(AND(M267="",B267="",C267=""),"",IF(AND(N(E267)&gt;0,N(F267)&gt;0),"⚠ Fill withdrawal OR deposit",IF(M267="","⚠ Enter amount",IF(B267="","⚠ Enter date",IF(NOT(OR(NOT(ISNUMBER(G267)),NOT(ISNUMBER(G266)),ABS(N(G267)-(N(G266)+N(F267)-N(E267)))&lt;=0.5)),"⚠ Balance does not follow previous row","✔")))))</f>
        <v/>
      </c>
      <c r="M267" s="9" t="str">
        <f aca="false">IF(N(F267)&gt;0,"IN",IF(N(E267)&gt;0,"OUT",""))</f>
        <v/>
      </c>
      <c r="N267" s="9" t="str">
        <f aca="false">IF(M267="","",M267&amp;"|"&amp;TEXT(ROUND(N(E267)+N(F267),2),"0.00"))</f>
        <v/>
      </c>
      <c r="O267" s="9" t="str">
        <f aca="false">IF(OR(N267="",TRIM(D267&amp;"")=""),"",N267&amp;"|"&amp;UPPER(TRIM(D267&amp;"")))</f>
        <v/>
      </c>
      <c r="P267" s="9" t="n">
        <f aca="false">IF(O267="",0,IF(COUNTIF('Cash Book'!$O$8:$O$507,O267)&gt;0,1,0))</f>
        <v>0</v>
      </c>
      <c r="Q267" s="9" t="str">
        <f aca="false">IF(OR(N267="",P267=1),"",N267&amp;"#"&amp;COUNTIFS($N$8:N267,N267,$P$8:P267,0))</f>
        <v/>
      </c>
      <c r="R267" s="9" t="n">
        <f aca="false">IF(N267="",0,IFERROR(MATCH(ROW()-7,'Cash Book'!$U$8:$U$507,0),0))</f>
        <v>0</v>
      </c>
      <c r="V267" s="9" t="str">
        <f aca="false">IF(AND(N267&lt;&gt;"",R267=0),IF(M267="IN",3,4)*100000+ROW(),"")</f>
        <v/>
      </c>
      <c r="W267" s="9" t="n">
        <f aca="false">N(E267)+N(F267)</f>
        <v>0</v>
      </c>
    </row>
    <row r="268" customFormat="false" ht="15" hidden="false" customHeight="false" outlineLevel="0" collapsed="false">
      <c r="A268" s="37" t="str">
        <f aca="false">IF(M268="","",ROW()-7)</f>
        <v/>
      </c>
      <c r="B268" s="70"/>
      <c r="C268" s="72"/>
      <c r="D268" s="71"/>
      <c r="E268" s="73"/>
      <c r="F268" s="73"/>
      <c r="G268" s="73"/>
      <c r="H268" s="42" t="str">
        <f aca="false">IF(M268="","",IF(R268&gt;0,"✔ Matched",IF(M268="IN","Not in cash book (credit)","Not in cash book (debit)")))</f>
        <v/>
      </c>
      <c r="I268" s="43" t="str">
        <f aca="false">IF(N(R268)&gt;0,R268,"")</f>
        <v/>
      </c>
      <c r="J268" s="45" t="str">
        <f aca="false">IF(AND(M268="",B268="",C268=""),"",IF(AND(N(E268)&gt;0,N(F268)&gt;0),"⚠ Fill withdrawal OR deposit",IF(M268="","⚠ Enter amount",IF(B268="","⚠ Enter date",IF(NOT(OR(NOT(ISNUMBER(G268)),NOT(ISNUMBER(G267)),ABS(N(G268)-(N(G267)+N(F268)-N(E268)))&lt;=0.5)),"⚠ Balance does not follow previous row","✔")))))</f>
        <v/>
      </c>
      <c r="M268" s="9" t="str">
        <f aca="false">IF(N(F268)&gt;0,"IN",IF(N(E268)&gt;0,"OUT",""))</f>
        <v/>
      </c>
      <c r="N268" s="9" t="str">
        <f aca="false">IF(M268="","",M268&amp;"|"&amp;TEXT(ROUND(N(E268)+N(F268),2),"0.00"))</f>
        <v/>
      </c>
      <c r="O268" s="9" t="str">
        <f aca="false">IF(OR(N268="",TRIM(D268&amp;"")=""),"",N268&amp;"|"&amp;UPPER(TRIM(D268&amp;"")))</f>
        <v/>
      </c>
      <c r="P268" s="9" t="n">
        <f aca="false">IF(O268="",0,IF(COUNTIF('Cash Book'!$O$8:$O$507,O268)&gt;0,1,0))</f>
        <v>0</v>
      </c>
      <c r="Q268" s="9" t="str">
        <f aca="false">IF(OR(N268="",P268=1),"",N268&amp;"#"&amp;COUNTIFS($N$8:N268,N268,$P$8:P268,0))</f>
        <v/>
      </c>
      <c r="R268" s="9" t="n">
        <f aca="false">IF(N268="",0,IFERROR(MATCH(ROW()-7,'Cash Book'!$U$8:$U$507,0),0))</f>
        <v>0</v>
      </c>
      <c r="V268" s="9" t="str">
        <f aca="false">IF(AND(N268&lt;&gt;"",R268=0),IF(M268="IN",3,4)*100000+ROW(),"")</f>
        <v/>
      </c>
      <c r="W268" s="9" t="n">
        <f aca="false">N(E268)+N(F268)</f>
        <v>0</v>
      </c>
    </row>
    <row r="269" customFormat="false" ht="15" hidden="false" customHeight="false" outlineLevel="0" collapsed="false">
      <c r="A269" s="37" t="str">
        <f aca="false">IF(M269="","",ROW()-7)</f>
        <v/>
      </c>
      <c r="B269" s="70"/>
      <c r="C269" s="72"/>
      <c r="D269" s="71"/>
      <c r="E269" s="73"/>
      <c r="F269" s="73"/>
      <c r="G269" s="73"/>
      <c r="H269" s="42" t="str">
        <f aca="false">IF(M269="","",IF(R269&gt;0,"✔ Matched",IF(M269="IN","Not in cash book (credit)","Not in cash book (debit)")))</f>
        <v/>
      </c>
      <c r="I269" s="43" t="str">
        <f aca="false">IF(N(R269)&gt;0,R269,"")</f>
        <v/>
      </c>
      <c r="J269" s="45" t="str">
        <f aca="false">IF(AND(M269="",B269="",C269=""),"",IF(AND(N(E269)&gt;0,N(F269)&gt;0),"⚠ Fill withdrawal OR deposit",IF(M269="","⚠ Enter amount",IF(B269="","⚠ Enter date",IF(NOT(OR(NOT(ISNUMBER(G269)),NOT(ISNUMBER(G268)),ABS(N(G269)-(N(G268)+N(F269)-N(E269)))&lt;=0.5)),"⚠ Balance does not follow previous row","✔")))))</f>
        <v/>
      </c>
      <c r="M269" s="9" t="str">
        <f aca="false">IF(N(F269)&gt;0,"IN",IF(N(E269)&gt;0,"OUT",""))</f>
        <v/>
      </c>
      <c r="N269" s="9" t="str">
        <f aca="false">IF(M269="","",M269&amp;"|"&amp;TEXT(ROUND(N(E269)+N(F269),2),"0.00"))</f>
        <v/>
      </c>
      <c r="O269" s="9" t="str">
        <f aca="false">IF(OR(N269="",TRIM(D269&amp;"")=""),"",N269&amp;"|"&amp;UPPER(TRIM(D269&amp;"")))</f>
        <v/>
      </c>
      <c r="P269" s="9" t="n">
        <f aca="false">IF(O269="",0,IF(COUNTIF('Cash Book'!$O$8:$O$507,O269)&gt;0,1,0))</f>
        <v>0</v>
      </c>
      <c r="Q269" s="9" t="str">
        <f aca="false">IF(OR(N269="",P269=1),"",N269&amp;"#"&amp;COUNTIFS($N$8:N269,N269,$P$8:P269,0))</f>
        <v/>
      </c>
      <c r="R269" s="9" t="n">
        <f aca="false">IF(N269="",0,IFERROR(MATCH(ROW()-7,'Cash Book'!$U$8:$U$507,0),0))</f>
        <v>0</v>
      </c>
      <c r="V269" s="9" t="str">
        <f aca="false">IF(AND(N269&lt;&gt;"",R269=0),IF(M269="IN",3,4)*100000+ROW(),"")</f>
        <v/>
      </c>
      <c r="W269" s="9" t="n">
        <f aca="false">N(E269)+N(F269)</f>
        <v>0</v>
      </c>
    </row>
    <row r="270" customFormat="false" ht="15" hidden="false" customHeight="false" outlineLevel="0" collapsed="false">
      <c r="A270" s="37" t="str">
        <f aca="false">IF(M270="","",ROW()-7)</f>
        <v/>
      </c>
      <c r="B270" s="70"/>
      <c r="C270" s="72"/>
      <c r="D270" s="71"/>
      <c r="E270" s="73"/>
      <c r="F270" s="73"/>
      <c r="G270" s="73"/>
      <c r="H270" s="42" t="str">
        <f aca="false">IF(M270="","",IF(R270&gt;0,"✔ Matched",IF(M270="IN","Not in cash book (credit)","Not in cash book (debit)")))</f>
        <v/>
      </c>
      <c r="I270" s="43" t="str">
        <f aca="false">IF(N(R270)&gt;0,R270,"")</f>
        <v/>
      </c>
      <c r="J270" s="45" t="str">
        <f aca="false">IF(AND(M270="",B270="",C270=""),"",IF(AND(N(E270)&gt;0,N(F270)&gt;0),"⚠ Fill withdrawal OR deposit",IF(M270="","⚠ Enter amount",IF(B270="","⚠ Enter date",IF(NOT(OR(NOT(ISNUMBER(G270)),NOT(ISNUMBER(G269)),ABS(N(G270)-(N(G269)+N(F270)-N(E270)))&lt;=0.5)),"⚠ Balance does not follow previous row","✔")))))</f>
        <v/>
      </c>
      <c r="M270" s="9" t="str">
        <f aca="false">IF(N(F270)&gt;0,"IN",IF(N(E270)&gt;0,"OUT",""))</f>
        <v/>
      </c>
      <c r="N270" s="9" t="str">
        <f aca="false">IF(M270="","",M270&amp;"|"&amp;TEXT(ROUND(N(E270)+N(F270),2),"0.00"))</f>
        <v/>
      </c>
      <c r="O270" s="9" t="str">
        <f aca="false">IF(OR(N270="",TRIM(D270&amp;"")=""),"",N270&amp;"|"&amp;UPPER(TRIM(D270&amp;"")))</f>
        <v/>
      </c>
      <c r="P270" s="9" t="n">
        <f aca="false">IF(O270="",0,IF(COUNTIF('Cash Book'!$O$8:$O$507,O270)&gt;0,1,0))</f>
        <v>0</v>
      </c>
      <c r="Q270" s="9" t="str">
        <f aca="false">IF(OR(N270="",P270=1),"",N270&amp;"#"&amp;COUNTIFS($N$8:N270,N270,$P$8:P270,0))</f>
        <v/>
      </c>
      <c r="R270" s="9" t="n">
        <f aca="false">IF(N270="",0,IFERROR(MATCH(ROW()-7,'Cash Book'!$U$8:$U$507,0),0))</f>
        <v>0</v>
      </c>
      <c r="V270" s="9" t="str">
        <f aca="false">IF(AND(N270&lt;&gt;"",R270=0),IF(M270="IN",3,4)*100000+ROW(),"")</f>
        <v/>
      </c>
      <c r="W270" s="9" t="n">
        <f aca="false">N(E270)+N(F270)</f>
        <v>0</v>
      </c>
    </row>
    <row r="271" customFormat="false" ht="15" hidden="false" customHeight="false" outlineLevel="0" collapsed="false">
      <c r="A271" s="37" t="str">
        <f aca="false">IF(M271="","",ROW()-7)</f>
        <v/>
      </c>
      <c r="B271" s="70"/>
      <c r="C271" s="72"/>
      <c r="D271" s="71"/>
      <c r="E271" s="73"/>
      <c r="F271" s="73"/>
      <c r="G271" s="73"/>
      <c r="H271" s="42" t="str">
        <f aca="false">IF(M271="","",IF(R271&gt;0,"✔ Matched",IF(M271="IN","Not in cash book (credit)","Not in cash book (debit)")))</f>
        <v/>
      </c>
      <c r="I271" s="43" t="str">
        <f aca="false">IF(N(R271)&gt;0,R271,"")</f>
        <v/>
      </c>
      <c r="J271" s="45" t="str">
        <f aca="false">IF(AND(M271="",B271="",C271=""),"",IF(AND(N(E271)&gt;0,N(F271)&gt;0),"⚠ Fill withdrawal OR deposit",IF(M271="","⚠ Enter amount",IF(B271="","⚠ Enter date",IF(NOT(OR(NOT(ISNUMBER(G271)),NOT(ISNUMBER(G270)),ABS(N(G271)-(N(G270)+N(F271)-N(E271)))&lt;=0.5)),"⚠ Balance does not follow previous row","✔")))))</f>
        <v/>
      </c>
      <c r="M271" s="9" t="str">
        <f aca="false">IF(N(F271)&gt;0,"IN",IF(N(E271)&gt;0,"OUT",""))</f>
        <v/>
      </c>
      <c r="N271" s="9" t="str">
        <f aca="false">IF(M271="","",M271&amp;"|"&amp;TEXT(ROUND(N(E271)+N(F271),2),"0.00"))</f>
        <v/>
      </c>
      <c r="O271" s="9" t="str">
        <f aca="false">IF(OR(N271="",TRIM(D271&amp;"")=""),"",N271&amp;"|"&amp;UPPER(TRIM(D271&amp;"")))</f>
        <v/>
      </c>
      <c r="P271" s="9" t="n">
        <f aca="false">IF(O271="",0,IF(COUNTIF('Cash Book'!$O$8:$O$507,O271)&gt;0,1,0))</f>
        <v>0</v>
      </c>
      <c r="Q271" s="9" t="str">
        <f aca="false">IF(OR(N271="",P271=1),"",N271&amp;"#"&amp;COUNTIFS($N$8:N271,N271,$P$8:P271,0))</f>
        <v/>
      </c>
      <c r="R271" s="9" t="n">
        <f aca="false">IF(N271="",0,IFERROR(MATCH(ROW()-7,'Cash Book'!$U$8:$U$507,0),0))</f>
        <v>0</v>
      </c>
      <c r="V271" s="9" t="str">
        <f aca="false">IF(AND(N271&lt;&gt;"",R271=0),IF(M271="IN",3,4)*100000+ROW(),"")</f>
        <v/>
      </c>
      <c r="W271" s="9" t="n">
        <f aca="false">N(E271)+N(F271)</f>
        <v>0</v>
      </c>
    </row>
    <row r="272" customFormat="false" ht="15" hidden="false" customHeight="false" outlineLevel="0" collapsed="false">
      <c r="A272" s="37" t="str">
        <f aca="false">IF(M272="","",ROW()-7)</f>
        <v/>
      </c>
      <c r="B272" s="70"/>
      <c r="C272" s="72"/>
      <c r="D272" s="71"/>
      <c r="E272" s="73"/>
      <c r="F272" s="73"/>
      <c r="G272" s="73"/>
      <c r="H272" s="42" t="str">
        <f aca="false">IF(M272="","",IF(R272&gt;0,"✔ Matched",IF(M272="IN","Not in cash book (credit)","Not in cash book (debit)")))</f>
        <v/>
      </c>
      <c r="I272" s="43" t="str">
        <f aca="false">IF(N(R272)&gt;0,R272,"")</f>
        <v/>
      </c>
      <c r="J272" s="45" t="str">
        <f aca="false">IF(AND(M272="",B272="",C272=""),"",IF(AND(N(E272)&gt;0,N(F272)&gt;0),"⚠ Fill withdrawal OR deposit",IF(M272="","⚠ Enter amount",IF(B272="","⚠ Enter date",IF(NOT(OR(NOT(ISNUMBER(G272)),NOT(ISNUMBER(G271)),ABS(N(G272)-(N(G271)+N(F272)-N(E272)))&lt;=0.5)),"⚠ Balance does not follow previous row","✔")))))</f>
        <v/>
      </c>
      <c r="M272" s="9" t="str">
        <f aca="false">IF(N(F272)&gt;0,"IN",IF(N(E272)&gt;0,"OUT",""))</f>
        <v/>
      </c>
      <c r="N272" s="9" t="str">
        <f aca="false">IF(M272="","",M272&amp;"|"&amp;TEXT(ROUND(N(E272)+N(F272),2),"0.00"))</f>
        <v/>
      </c>
      <c r="O272" s="9" t="str">
        <f aca="false">IF(OR(N272="",TRIM(D272&amp;"")=""),"",N272&amp;"|"&amp;UPPER(TRIM(D272&amp;"")))</f>
        <v/>
      </c>
      <c r="P272" s="9" t="n">
        <f aca="false">IF(O272="",0,IF(COUNTIF('Cash Book'!$O$8:$O$507,O272)&gt;0,1,0))</f>
        <v>0</v>
      </c>
      <c r="Q272" s="9" t="str">
        <f aca="false">IF(OR(N272="",P272=1),"",N272&amp;"#"&amp;COUNTIFS($N$8:N272,N272,$P$8:P272,0))</f>
        <v/>
      </c>
      <c r="R272" s="9" t="n">
        <f aca="false">IF(N272="",0,IFERROR(MATCH(ROW()-7,'Cash Book'!$U$8:$U$507,0),0))</f>
        <v>0</v>
      </c>
      <c r="V272" s="9" t="str">
        <f aca="false">IF(AND(N272&lt;&gt;"",R272=0),IF(M272="IN",3,4)*100000+ROW(),"")</f>
        <v/>
      </c>
      <c r="W272" s="9" t="n">
        <f aca="false">N(E272)+N(F272)</f>
        <v>0</v>
      </c>
    </row>
    <row r="273" customFormat="false" ht="15" hidden="false" customHeight="false" outlineLevel="0" collapsed="false">
      <c r="A273" s="37" t="str">
        <f aca="false">IF(M273="","",ROW()-7)</f>
        <v/>
      </c>
      <c r="B273" s="70"/>
      <c r="C273" s="72"/>
      <c r="D273" s="71"/>
      <c r="E273" s="73"/>
      <c r="F273" s="73"/>
      <c r="G273" s="73"/>
      <c r="H273" s="42" t="str">
        <f aca="false">IF(M273="","",IF(R273&gt;0,"✔ Matched",IF(M273="IN","Not in cash book (credit)","Not in cash book (debit)")))</f>
        <v/>
      </c>
      <c r="I273" s="43" t="str">
        <f aca="false">IF(N(R273)&gt;0,R273,"")</f>
        <v/>
      </c>
      <c r="J273" s="45" t="str">
        <f aca="false">IF(AND(M273="",B273="",C273=""),"",IF(AND(N(E273)&gt;0,N(F273)&gt;0),"⚠ Fill withdrawal OR deposit",IF(M273="","⚠ Enter amount",IF(B273="","⚠ Enter date",IF(NOT(OR(NOT(ISNUMBER(G273)),NOT(ISNUMBER(G272)),ABS(N(G273)-(N(G272)+N(F273)-N(E273)))&lt;=0.5)),"⚠ Balance does not follow previous row","✔")))))</f>
        <v/>
      </c>
      <c r="M273" s="9" t="str">
        <f aca="false">IF(N(F273)&gt;0,"IN",IF(N(E273)&gt;0,"OUT",""))</f>
        <v/>
      </c>
      <c r="N273" s="9" t="str">
        <f aca="false">IF(M273="","",M273&amp;"|"&amp;TEXT(ROUND(N(E273)+N(F273),2),"0.00"))</f>
        <v/>
      </c>
      <c r="O273" s="9" t="str">
        <f aca="false">IF(OR(N273="",TRIM(D273&amp;"")=""),"",N273&amp;"|"&amp;UPPER(TRIM(D273&amp;"")))</f>
        <v/>
      </c>
      <c r="P273" s="9" t="n">
        <f aca="false">IF(O273="",0,IF(COUNTIF('Cash Book'!$O$8:$O$507,O273)&gt;0,1,0))</f>
        <v>0</v>
      </c>
      <c r="Q273" s="9" t="str">
        <f aca="false">IF(OR(N273="",P273=1),"",N273&amp;"#"&amp;COUNTIFS($N$8:N273,N273,$P$8:P273,0))</f>
        <v/>
      </c>
      <c r="R273" s="9" t="n">
        <f aca="false">IF(N273="",0,IFERROR(MATCH(ROW()-7,'Cash Book'!$U$8:$U$507,0),0))</f>
        <v>0</v>
      </c>
      <c r="V273" s="9" t="str">
        <f aca="false">IF(AND(N273&lt;&gt;"",R273=0),IF(M273="IN",3,4)*100000+ROW(),"")</f>
        <v/>
      </c>
      <c r="W273" s="9" t="n">
        <f aca="false">N(E273)+N(F273)</f>
        <v>0</v>
      </c>
    </row>
    <row r="274" customFormat="false" ht="15" hidden="false" customHeight="false" outlineLevel="0" collapsed="false">
      <c r="A274" s="37" t="str">
        <f aca="false">IF(M274="","",ROW()-7)</f>
        <v/>
      </c>
      <c r="B274" s="70"/>
      <c r="C274" s="72"/>
      <c r="D274" s="71"/>
      <c r="E274" s="73"/>
      <c r="F274" s="73"/>
      <c r="G274" s="73"/>
      <c r="H274" s="42" t="str">
        <f aca="false">IF(M274="","",IF(R274&gt;0,"✔ Matched",IF(M274="IN","Not in cash book (credit)","Not in cash book (debit)")))</f>
        <v/>
      </c>
      <c r="I274" s="43" t="str">
        <f aca="false">IF(N(R274)&gt;0,R274,"")</f>
        <v/>
      </c>
      <c r="J274" s="45" t="str">
        <f aca="false">IF(AND(M274="",B274="",C274=""),"",IF(AND(N(E274)&gt;0,N(F274)&gt;0),"⚠ Fill withdrawal OR deposit",IF(M274="","⚠ Enter amount",IF(B274="","⚠ Enter date",IF(NOT(OR(NOT(ISNUMBER(G274)),NOT(ISNUMBER(G273)),ABS(N(G274)-(N(G273)+N(F274)-N(E274)))&lt;=0.5)),"⚠ Balance does not follow previous row","✔")))))</f>
        <v/>
      </c>
      <c r="M274" s="9" t="str">
        <f aca="false">IF(N(F274)&gt;0,"IN",IF(N(E274)&gt;0,"OUT",""))</f>
        <v/>
      </c>
      <c r="N274" s="9" t="str">
        <f aca="false">IF(M274="","",M274&amp;"|"&amp;TEXT(ROUND(N(E274)+N(F274),2),"0.00"))</f>
        <v/>
      </c>
      <c r="O274" s="9" t="str">
        <f aca="false">IF(OR(N274="",TRIM(D274&amp;"")=""),"",N274&amp;"|"&amp;UPPER(TRIM(D274&amp;"")))</f>
        <v/>
      </c>
      <c r="P274" s="9" t="n">
        <f aca="false">IF(O274="",0,IF(COUNTIF('Cash Book'!$O$8:$O$507,O274)&gt;0,1,0))</f>
        <v>0</v>
      </c>
      <c r="Q274" s="9" t="str">
        <f aca="false">IF(OR(N274="",P274=1),"",N274&amp;"#"&amp;COUNTIFS($N$8:N274,N274,$P$8:P274,0))</f>
        <v/>
      </c>
      <c r="R274" s="9" t="n">
        <f aca="false">IF(N274="",0,IFERROR(MATCH(ROW()-7,'Cash Book'!$U$8:$U$507,0),0))</f>
        <v>0</v>
      </c>
      <c r="V274" s="9" t="str">
        <f aca="false">IF(AND(N274&lt;&gt;"",R274=0),IF(M274="IN",3,4)*100000+ROW(),"")</f>
        <v/>
      </c>
      <c r="W274" s="9" t="n">
        <f aca="false">N(E274)+N(F274)</f>
        <v>0</v>
      </c>
    </row>
    <row r="275" customFormat="false" ht="15" hidden="false" customHeight="false" outlineLevel="0" collapsed="false">
      <c r="A275" s="37" t="str">
        <f aca="false">IF(M275="","",ROW()-7)</f>
        <v/>
      </c>
      <c r="B275" s="70"/>
      <c r="C275" s="72"/>
      <c r="D275" s="71"/>
      <c r="E275" s="73"/>
      <c r="F275" s="73"/>
      <c r="G275" s="73"/>
      <c r="H275" s="42" t="str">
        <f aca="false">IF(M275="","",IF(R275&gt;0,"✔ Matched",IF(M275="IN","Not in cash book (credit)","Not in cash book (debit)")))</f>
        <v/>
      </c>
      <c r="I275" s="43" t="str">
        <f aca="false">IF(N(R275)&gt;0,R275,"")</f>
        <v/>
      </c>
      <c r="J275" s="45" t="str">
        <f aca="false">IF(AND(M275="",B275="",C275=""),"",IF(AND(N(E275)&gt;0,N(F275)&gt;0),"⚠ Fill withdrawal OR deposit",IF(M275="","⚠ Enter amount",IF(B275="","⚠ Enter date",IF(NOT(OR(NOT(ISNUMBER(G275)),NOT(ISNUMBER(G274)),ABS(N(G275)-(N(G274)+N(F275)-N(E275)))&lt;=0.5)),"⚠ Balance does not follow previous row","✔")))))</f>
        <v/>
      </c>
      <c r="M275" s="9" t="str">
        <f aca="false">IF(N(F275)&gt;0,"IN",IF(N(E275)&gt;0,"OUT",""))</f>
        <v/>
      </c>
      <c r="N275" s="9" t="str">
        <f aca="false">IF(M275="","",M275&amp;"|"&amp;TEXT(ROUND(N(E275)+N(F275),2),"0.00"))</f>
        <v/>
      </c>
      <c r="O275" s="9" t="str">
        <f aca="false">IF(OR(N275="",TRIM(D275&amp;"")=""),"",N275&amp;"|"&amp;UPPER(TRIM(D275&amp;"")))</f>
        <v/>
      </c>
      <c r="P275" s="9" t="n">
        <f aca="false">IF(O275="",0,IF(COUNTIF('Cash Book'!$O$8:$O$507,O275)&gt;0,1,0))</f>
        <v>0</v>
      </c>
      <c r="Q275" s="9" t="str">
        <f aca="false">IF(OR(N275="",P275=1),"",N275&amp;"#"&amp;COUNTIFS($N$8:N275,N275,$P$8:P275,0))</f>
        <v/>
      </c>
      <c r="R275" s="9" t="n">
        <f aca="false">IF(N275="",0,IFERROR(MATCH(ROW()-7,'Cash Book'!$U$8:$U$507,0),0))</f>
        <v>0</v>
      </c>
      <c r="V275" s="9" t="str">
        <f aca="false">IF(AND(N275&lt;&gt;"",R275=0),IF(M275="IN",3,4)*100000+ROW(),"")</f>
        <v/>
      </c>
      <c r="W275" s="9" t="n">
        <f aca="false">N(E275)+N(F275)</f>
        <v>0</v>
      </c>
    </row>
    <row r="276" customFormat="false" ht="15" hidden="false" customHeight="false" outlineLevel="0" collapsed="false">
      <c r="A276" s="37" t="str">
        <f aca="false">IF(M276="","",ROW()-7)</f>
        <v/>
      </c>
      <c r="B276" s="70"/>
      <c r="C276" s="72"/>
      <c r="D276" s="71"/>
      <c r="E276" s="73"/>
      <c r="F276" s="73"/>
      <c r="G276" s="73"/>
      <c r="H276" s="42" t="str">
        <f aca="false">IF(M276="","",IF(R276&gt;0,"✔ Matched",IF(M276="IN","Not in cash book (credit)","Not in cash book (debit)")))</f>
        <v/>
      </c>
      <c r="I276" s="43" t="str">
        <f aca="false">IF(N(R276)&gt;0,R276,"")</f>
        <v/>
      </c>
      <c r="J276" s="45" t="str">
        <f aca="false">IF(AND(M276="",B276="",C276=""),"",IF(AND(N(E276)&gt;0,N(F276)&gt;0),"⚠ Fill withdrawal OR deposit",IF(M276="","⚠ Enter amount",IF(B276="","⚠ Enter date",IF(NOT(OR(NOT(ISNUMBER(G276)),NOT(ISNUMBER(G275)),ABS(N(G276)-(N(G275)+N(F276)-N(E276)))&lt;=0.5)),"⚠ Balance does not follow previous row","✔")))))</f>
        <v/>
      </c>
      <c r="M276" s="9" t="str">
        <f aca="false">IF(N(F276)&gt;0,"IN",IF(N(E276)&gt;0,"OUT",""))</f>
        <v/>
      </c>
      <c r="N276" s="9" t="str">
        <f aca="false">IF(M276="","",M276&amp;"|"&amp;TEXT(ROUND(N(E276)+N(F276),2),"0.00"))</f>
        <v/>
      </c>
      <c r="O276" s="9" t="str">
        <f aca="false">IF(OR(N276="",TRIM(D276&amp;"")=""),"",N276&amp;"|"&amp;UPPER(TRIM(D276&amp;"")))</f>
        <v/>
      </c>
      <c r="P276" s="9" t="n">
        <f aca="false">IF(O276="",0,IF(COUNTIF('Cash Book'!$O$8:$O$507,O276)&gt;0,1,0))</f>
        <v>0</v>
      </c>
      <c r="Q276" s="9" t="str">
        <f aca="false">IF(OR(N276="",P276=1),"",N276&amp;"#"&amp;COUNTIFS($N$8:N276,N276,$P$8:P276,0))</f>
        <v/>
      </c>
      <c r="R276" s="9" t="n">
        <f aca="false">IF(N276="",0,IFERROR(MATCH(ROW()-7,'Cash Book'!$U$8:$U$507,0),0))</f>
        <v>0</v>
      </c>
      <c r="V276" s="9" t="str">
        <f aca="false">IF(AND(N276&lt;&gt;"",R276=0),IF(M276="IN",3,4)*100000+ROW(),"")</f>
        <v/>
      </c>
      <c r="W276" s="9" t="n">
        <f aca="false">N(E276)+N(F276)</f>
        <v>0</v>
      </c>
    </row>
    <row r="277" customFormat="false" ht="15" hidden="false" customHeight="false" outlineLevel="0" collapsed="false">
      <c r="A277" s="37" t="str">
        <f aca="false">IF(M277="","",ROW()-7)</f>
        <v/>
      </c>
      <c r="B277" s="70"/>
      <c r="C277" s="72"/>
      <c r="D277" s="71"/>
      <c r="E277" s="73"/>
      <c r="F277" s="73"/>
      <c r="G277" s="73"/>
      <c r="H277" s="42" t="str">
        <f aca="false">IF(M277="","",IF(R277&gt;0,"✔ Matched",IF(M277="IN","Not in cash book (credit)","Not in cash book (debit)")))</f>
        <v/>
      </c>
      <c r="I277" s="43" t="str">
        <f aca="false">IF(N(R277)&gt;0,R277,"")</f>
        <v/>
      </c>
      <c r="J277" s="45" t="str">
        <f aca="false">IF(AND(M277="",B277="",C277=""),"",IF(AND(N(E277)&gt;0,N(F277)&gt;0),"⚠ Fill withdrawal OR deposit",IF(M277="","⚠ Enter amount",IF(B277="","⚠ Enter date",IF(NOT(OR(NOT(ISNUMBER(G277)),NOT(ISNUMBER(G276)),ABS(N(G277)-(N(G276)+N(F277)-N(E277)))&lt;=0.5)),"⚠ Balance does not follow previous row","✔")))))</f>
        <v/>
      </c>
      <c r="M277" s="9" t="str">
        <f aca="false">IF(N(F277)&gt;0,"IN",IF(N(E277)&gt;0,"OUT",""))</f>
        <v/>
      </c>
      <c r="N277" s="9" t="str">
        <f aca="false">IF(M277="","",M277&amp;"|"&amp;TEXT(ROUND(N(E277)+N(F277),2),"0.00"))</f>
        <v/>
      </c>
      <c r="O277" s="9" t="str">
        <f aca="false">IF(OR(N277="",TRIM(D277&amp;"")=""),"",N277&amp;"|"&amp;UPPER(TRIM(D277&amp;"")))</f>
        <v/>
      </c>
      <c r="P277" s="9" t="n">
        <f aca="false">IF(O277="",0,IF(COUNTIF('Cash Book'!$O$8:$O$507,O277)&gt;0,1,0))</f>
        <v>0</v>
      </c>
      <c r="Q277" s="9" t="str">
        <f aca="false">IF(OR(N277="",P277=1),"",N277&amp;"#"&amp;COUNTIFS($N$8:N277,N277,$P$8:P277,0))</f>
        <v/>
      </c>
      <c r="R277" s="9" t="n">
        <f aca="false">IF(N277="",0,IFERROR(MATCH(ROW()-7,'Cash Book'!$U$8:$U$507,0),0))</f>
        <v>0</v>
      </c>
      <c r="V277" s="9" t="str">
        <f aca="false">IF(AND(N277&lt;&gt;"",R277=0),IF(M277="IN",3,4)*100000+ROW(),"")</f>
        <v/>
      </c>
      <c r="W277" s="9" t="n">
        <f aca="false">N(E277)+N(F277)</f>
        <v>0</v>
      </c>
    </row>
    <row r="278" customFormat="false" ht="15" hidden="false" customHeight="false" outlineLevel="0" collapsed="false">
      <c r="A278" s="37" t="str">
        <f aca="false">IF(M278="","",ROW()-7)</f>
        <v/>
      </c>
      <c r="B278" s="70"/>
      <c r="C278" s="72"/>
      <c r="D278" s="71"/>
      <c r="E278" s="73"/>
      <c r="F278" s="73"/>
      <c r="G278" s="73"/>
      <c r="H278" s="42" t="str">
        <f aca="false">IF(M278="","",IF(R278&gt;0,"✔ Matched",IF(M278="IN","Not in cash book (credit)","Not in cash book (debit)")))</f>
        <v/>
      </c>
      <c r="I278" s="43" t="str">
        <f aca="false">IF(N(R278)&gt;0,R278,"")</f>
        <v/>
      </c>
      <c r="J278" s="45" t="str">
        <f aca="false">IF(AND(M278="",B278="",C278=""),"",IF(AND(N(E278)&gt;0,N(F278)&gt;0),"⚠ Fill withdrawal OR deposit",IF(M278="","⚠ Enter amount",IF(B278="","⚠ Enter date",IF(NOT(OR(NOT(ISNUMBER(G278)),NOT(ISNUMBER(G277)),ABS(N(G278)-(N(G277)+N(F278)-N(E278)))&lt;=0.5)),"⚠ Balance does not follow previous row","✔")))))</f>
        <v/>
      </c>
      <c r="M278" s="9" t="str">
        <f aca="false">IF(N(F278)&gt;0,"IN",IF(N(E278)&gt;0,"OUT",""))</f>
        <v/>
      </c>
      <c r="N278" s="9" t="str">
        <f aca="false">IF(M278="","",M278&amp;"|"&amp;TEXT(ROUND(N(E278)+N(F278),2),"0.00"))</f>
        <v/>
      </c>
      <c r="O278" s="9" t="str">
        <f aca="false">IF(OR(N278="",TRIM(D278&amp;"")=""),"",N278&amp;"|"&amp;UPPER(TRIM(D278&amp;"")))</f>
        <v/>
      </c>
      <c r="P278" s="9" t="n">
        <f aca="false">IF(O278="",0,IF(COUNTIF('Cash Book'!$O$8:$O$507,O278)&gt;0,1,0))</f>
        <v>0</v>
      </c>
      <c r="Q278" s="9" t="str">
        <f aca="false">IF(OR(N278="",P278=1),"",N278&amp;"#"&amp;COUNTIFS($N$8:N278,N278,$P$8:P278,0))</f>
        <v/>
      </c>
      <c r="R278" s="9" t="n">
        <f aca="false">IF(N278="",0,IFERROR(MATCH(ROW()-7,'Cash Book'!$U$8:$U$507,0),0))</f>
        <v>0</v>
      </c>
      <c r="V278" s="9" t="str">
        <f aca="false">IF(AND(N278&lt;&gt;"",R278=0),IF(M278="IN",3,4)*100000+ROW(),"")</f>
        <v/>
      </c>
      <c r="W278" s="9" t="n">
        <f aca="false">N(E278)+N(F278)</f>
        <v>0</v>
      </c>
    </row>
    <row r="279" customFormat="false" ht="15" hidden="false" customHeight="false" outlineLevel="0" collapsed="false">
      <c r="A279" s="37" t="str">
        <f aca="false">IF(M279="","",ROW()-7)</f>
        <v/>
      </c>
      <c r="B279" s="70"/>
      <c r="C279" s="72"/>
      <c r="D279" s="71"/>
      <c r="E279" s="73"/>
      <c r="F279" s="73"/>
      <c r="G279" s="73"/>
      <c r="H279" s="42" t="str">
        <f aca="false">IF(M279="","",IF(R279&gt;0,"✔ Matched",IF(M279="IN","Not in cash book (credit)","Not in cash book (debit)")))</f>
        <v/>
      </c>
      <c r="I279" s="43" t="str">
        <f aca="false">IF(N(R279)&gt;0,R279,"")</f>
        <v/>
      </c>
      <c r="J279" s="45" t="str">
        <f aca="false">IF(AND(M279="",B279="",C279=""),"",IF(AND(N(E279)&gt;0,N(F279)&gt;0),"⚠ Fill withdrawal OR deposit",IF(M279="","⚠ Enter amount",IF(B279="","⚠ Enter date",IF(NOT(OR(NOT(ISNUMBER(G279)),NOT(ISNUMBER(G278)),ABS(N(G279)-(N(G278)+N(F279)-N(E279)))&lt;=0.5)),"⚠ Balance does not follow previous row","✔")))))</f>
        <v/>
      </c>
      <c r="M279" s="9" t="str">
        <f aca="false">IF(N(F279)&gt;0,"IN",IF(N(E279)&gt;0,"OUT",""))</f>
        <v/>
      </c>
      <c r="N279" s="9" t="str">
        <f aca="false">IF(M279="","",M279&amp;"|"&amp;TEXT(ROUND(N(E279)+N(F279),2),"0.00"))</f>
        <v/>
      </c>
      <c r="O279" s="9" t="str">
        <f aca="false">IF(OR(N279="",TRIM(D279&amp;"")=""),"",N279&amp;"|"&amp;UPPER(TRIM(D279&amp;"")))</f>
        <v/>
      </c>
      <c r="P279" s="9" t="n">
        <f aca="false">IF(O279="",0,IF(COUNTIF('Cash Book'!$O$8:$O$507,O279)&gt;0,1,0))</f>
        <v>0</v>
      </c>
      <c r="Q279" s="9" t="str">
        <f aca="false">IF(OR(N279="",P279=1),"",N279&amp;"#"&amp;COUNTIFS($N$8:N279,N279,$P$8:P279,0))</f>
        <v/>
      </c>
      <c r="R279" s="9" t="n">
        <f aca="false">IF(N279="",0,IFERROR(MATCH(ROW()-7,'Cash Book'!$U$8:$U$507,0),0))</f>
        <v>0</v>
      </c>
      <c r="V279" s="9" t="str">
        <f aca="false">IF(AND(N279&lt;&gt;"",R279=0),IF(M279="IN",3,4)*100000+ROW(),"")</f>
        <v/>
      </c>
      <c r="W279" s="9" t="n">
        <f aca="false">N(E279)+N(F279)</f>
        <v>0</v>
      </c>
    </row>
    <row r="280" customFormat="false" ht="15" hidden="false" customHeight="false" outlineLevel="0" collapsed="false">
      <c r="A280" s="37" t="str">
        <f aca="false">IF(M280="","",ROW()-7)</f>
        <v/>
      </c>
      <c r="B280" s="70"/>
      <c r="C280" s="72"/>
      <c r="D280" s="71"/>
      <c r="E280" s="73"/>
      <c r="F280" s="73"/>
      <c r="G280" s="73"/>
      <c r="H280" s="42" t="str">
        <f aca="false">IF(M280="","",IF(R280&gt;0,"✔ Matched",IF(M280="IN","Not in cash book (credit)","Not in cash book (debit)")))</f>
        <v/>
      </c>
      <c r="I280" s="43" t="str">
        <f aca="false">IF(N(R280)&gt;0,R280,"")</f>
        <v/>
      </c>
      <c r="J280" s="45" t="str">
        <f aca="false">IF(AND(M280="",B280="",C280=""),"",IF(AND(N(E280)&gt;0,N(F280)&gt;0),"⚠ Fill withdrawal OR deposit",IF(M280="","⚠ Enter amount",IF(B280="","⚠ Enter date",IF(NOT(OR(NOT(ISNUMBER(G280)),NOT(ISNUMBER(G279)),ABS(N(G280)-(N(G279)+N(F280)-N(E280)))&lt;=0.5)),"⚠ Balance does not follow previous row","✔")))))</f>
        <v/>
      </c>
      <c r="M280" s="9" t="str">
        <f aca="false">IF(N(F280)&gt;0,"IN",IF(N(E280)&gt;0,"OUT",""))</f>
        <v/>
      </c>
      <c r="N280" s="9" t="str">
        <f aca="false">IF(M280="","",M280&amp;"|"&amp;TEXT(ROUND(N(E280)+N(F280),2),"0.00"))</f>
        <v/>
      </c>
      <c r="O280" s="9" t="str">
        <f aca="false">IF(OR(N280="",TRIM(D280&amp;"")=""),"",N280&amp;"|"&amp;UPPER(TRIM(D280&amp;"")))</f>
        <v/>
      </c>
      <c r="P280" s="9" t="n">
        <f aca="false">IF(O280="",0,IF(COUNTIF('Cash Book'!$O$8:$O$507,O280)&gt;0,1,0))</f>
        <v>0</v>
      </c>
      <c r="Q280" s="9" t="str">
        <f aca="false">IF(OR(N280="",P280=1),"",N280&amp;"#"&amp;COUNTIFS($N$8:N280,N280,$P$8:P280,0))</f>
        <v/>
      </c>
      <c r="R280" s="9" t="n">
        <f aca="false">IF(N280="",0,IFERROR(MATCH(ROW()-7,'Cash Book'!$U$8:$U$507,0),0))</f>
        <v>0</v>
      </c>
      <c r="V280" s="9" t="str">
        <f aca="false">IF(AND(N280&lt;&gt;"",R280=0),IF(M280="IN",3,4)*100000+ROW(),"")</f>
        <v/>
      </c>
      <c r="W280" s="9" t="n">
        <f aca="false">N(E280)+N(F280)</f>
        <v>0</v>
      </c>
    </row>
    <row r="281" customFormat="false" ht="15" hidden="false" customHeight="false" outlineLevel="0" collapsed="false">
      <c r="A281" s="37" t="str">
        <f aca="false">IF(M281="","",ROW()-7)</f>
        <v/>
      </c>
      <c r="B281" s="70"/>
      <c r="C281" s="72"/>
      <c r="D281" s="71"/>
      <c r="E281" s="73"/>
      <c r="F281" s="73"/>
      <c r="G281" s="73"/>
      <c r="H281" s="42" t="str">
        <f aca="false">IF(M281="","",IF(R281&gt;0,"✔ Matched",IF(M281="IN","Not in cash book (credit)","Not in cash book (debit)")))</f>
        <v/>
      </c>
      <c r="I281" s="43" t="str">
        <f aca="false">IF(N(R281)&gt;0,R281,"")</f>
        <v/>
      </c>
      <c r="J281" s="45" t="str">
        <f aca="false">IF(AND(M281="",B281="",C281=""),"",IF(AND(N(E281)&gt;0,N(F281)&gt;0),"⚠ Fill withdrawal OR deposit",IF(M281="","⚠ Enter amount",IF(B281="","⚠ Enter date",IF(NOT(OR(NOT(ISNUMBER(G281)),NOT(ISNUMBER(G280)),ABS(N(G281)-(N(G280)+N(F281)-N(E281)))&lt;=0.5)),"⚠ Balance does not follow previous row","✔")))))</f>
        <v/>
      </c>
      <c r="M281" s="9" t="str">
        <f aca="false">IF(N(F281)&gt;0,"IN",IF(N(E281)&gt;0,"OUT",""))</f>
        <v/>
      </c>
      <c r="N281" s="9" t="str">
        <f aca="false">IF(M281="","",M281&amp;"|"&amp;TEXT(ROUND(N(E281)+N(F281),2),"0.00"))</f>
        <v/>
      </c>
      <c r="O281" s="9" t="str">
        <f aca="false">IF(OR(N281="",TRIM(D281&amp;"")=""),"",N281&amp;"|"&amp;UPPER(TRIM(D281&amp;"")))</f>
        <v/>
      </c>
      <c r="P281" s="9" t="n">
        <f aca="false">IF(O281="",0,IF(COUNTIF('Cash Book'!$O$8:$O$507,O281)&gt;0,1,0))</f>
        <v>0</v>
      </c>
      <c r="Q281" s="9" t="str">
        <f aca="false">IF(OR(N281="",P281=1),"",N281&amp;"#"&amp;COUNTIFS($N$8:N281,N281,$P$8:P281,0))</f>
        <v/>
      </c>
      <c r="R281" s="9" t="n">
        <f aca="false">IF(N281="",0,IFERROR(MATCH(ROW()-7,'Cash Book'!$U$8:$U$507,0),0))</f>
        <v>0</v>
      </c>
      <c r="V281" s="9" t="str">
        <f aca="false">IF(AND(N281&lt;&gt;"",R281=0),IF(M281="IN",3,4)*100000+ROW(),"")</f>
        <v/>
      </c>
      <c r="W281" s="9" t="n">
        <f aca="false">N(E281)+N(F281)</f>
        <v>0</v>
      </c>
    </row>
    <row r="282" customFormat="false" ht="15" hidden="false" customHeight="false" outlineLevel="0" collapsed="false">
      <c r="A282" s="37" t="str">
        <f aca="false">IF(M282="","",ROW()-7)</f>
        <v/>
      </c>
      <c r="B282" s="70"/>
      <c r="C282" s="72"/>
      <c r="D282" s="71"/>
      <c r="E282" s="73"/>
      <c r="F282" s="73"/>
      <c r="G282" s="73"/>
      <c r="H282" s="42" t="str">
        <f aca="false">IF(M282="","",IF(R282&gt;0,"✔ Matched",IF(M282="IN","Not in cash book (credit)","Not in cash book (debit)")))</f>
        <v/>
      </c>
      <c r="I282" s="43" t="str">
        <f aca="false">IF(N(R282)&gt;0,R282,"")</f>
        <v/>
      </c>
      <c r="J282" s="45" t="str">
        <f aca="false">IF(AND(M282="",B282="",C282=""),"",IF(AND(N(E282)&gt;0,N(F282)&gt;0),"⚠ Fill withdrawal OR deposit",IF(M282="","⚠ Enter amount",IF(B282="","⚠ Enter date",IF(NOT(OR(NOT(ISNUMBER(G282)),NOT(ISNUMBER(G281)),ABS(N(G282)-(N(G281)+N(F282)-N(E282)))&lt;=0.5)),"⚠ Balance does not follow previous row","✔")))))</f>
        <v/>
      </c>
      <c r="M282" s="9" t="str">
        <f aca="false">IF(N(F282)&gt;0,"IN",IF(N(E282)&gt;0,"OUT",""))</f>
        <v/>
      </c>
      <c r="N282" s="9" t="str">
        <f aca="false">IF(M282="","",M282&amp;"|"&amp;TEXT(ROUND(N(E282)+N(F282),2),"0.00"))</f>
        <v/>
      </c>
      <c r="O282" s="9" t="str">
        <f aca="false">IF(OR(N282="",TRIM(D282&amp;"")=""),"",N282&amp;"|"&amp;UPPER(TRIM(D282&amp;"")))</f>
        <v/>
      </c>
      <c r="P282" s="9" t="n">
        <f aca="false">IF(O282="",0,IF(COUNTIF('Cash Book'!$O$8:$O$507,O282)&gt;0,1,0))</f>
        <v>0</v>
      </c>
      <c r="Q282" s="9" t="str">
        <f aca="false">IF(OR(N282="",P282=1),"",N282&amp;"#"&amp;COUNTIFS($N$8:N282,N282,$P$8:P282,0))</f>
        <v/>
      </c>
      <c r="R282" s="9" t="n">
        <f aca="false">IF(N282="",0,IFERROR(MATCH(ROW()-7,'Cash Book'!$U$8:$U$507,0),0))</f>
        <v>0</v>
      </c>
      <c r="V282" s="9" t="str">
        <f aca="false">IF(AND(N282&lt;&gt;"",R282=0),IF(M282="IN",3,4)*100000+ROW(),"")</f>
        <v/>
      </c>
      <c r="W282" s="9" t="n">
        <f aca="false">N(E282)+N(F282)</f>
        <v>0</v>
      </c>
    </row>
    <row r="283" customFormat="false" ht="15" hidden="false" customHeight="false" outlineLevel="0" collapsed="false">
      <c r="A283" s="37" t="str">
        <f aca="false">IF(M283="","",ROW()-7)</f>
        <v/>
      </c>
      <c r="B283" s="70"/>
      <c r="C283" s="72"/>
      <c r="D283" s="71"/>
      <c r="E283" s="73"/>
      <c r="F283" s="73"/>
      <c r="G283" s="73"/>
      <c r="H283" s="42" t="str">
        <f aca="false">IF(M283="","",IF(R283&gt;0,"✔ Matched",IF(M283="IN","Not in cash book (credit)","Not in cash book (debit)")))</f>
        <v/>
      </c>
      <c r="I283" s="43" t="str">
        <f aca="false">IF(N(R283)&gt;0,R283,"")</f>
        <v/>
      </c>
      <c r="J283" s="45" t="str">
        <f aca="false">IF(AND(M283="",B283="",C283=""),"",IF(AND(N(E283)&gt;0,N(F283)&gt;0),"⚠ Fill withdrawal OR deposit",IF(M283="","⚠ Enter amount",IF(B283="","⚠ Enter date",IF(NOT(OR(NOT(ISNUMBER(G283)),NOT(ISNUMBER(G282)),ABS(N(G283)-(N(G282)+N(F283)-N(E283)))&lt;=0.5)),"⚠ Balance does not follow previous row","✔")))))</f>
        <v/>
      </c>
      <c r="M283" s="9" t="str">
        <f aca="false">IF(N(F283)&gt;0,"IN",IF(N(E283)&gt;0,"OUT",""))</f>
        <v/>
      </c>
      <c r="N283" s="9" t="str">
        <f aca="false">IF(M283="","",M283&amp;"|"&amp;TEXT(ROUND(N(E283)+N(F283),2),"0.00"))</f>
        <v/>
      </c>
      <c r="O283" s="9" t="str">
        <f aca="false">IF(OR(N283="",TRIM(D283&amp;"")=""),"",N283&amp;"|"&amp;UPPER(TRIM(D283&amp;"")))</f>
        <v/>
      </c>
      <c r="P283" s="9" t="n">
        <f aca="false">IF(O283="",0,IF(COUNTIF('Cash Book'!$O$8:$O$507,O283)&gt;0,1,0))</f>
        <v>0</v>
      </c>
      <c r="Q283" s="9" t="str">
        <f aca="false">IF(OR(N283="",P283=1),"",N283&amp;"#"&amp;COUNTIFS($N$8:N283,N283,$P$8:P283,0))</f>
        <v/>
      </c>
      <c r="R283" s="9" t="n">
        <f aca="false">IF(N283="",0,IFERROR(MATCH(ROW()-7,'Cash Book'!$U$8:$U$507,0),0))</f>
        <v>0</v>
      </c>
      <c r="V283" s="9" t="str">
        <f aca="false">IF(AND(N283&lt;&gt;"",R283=0),IF(M283="IN",3,4)*100000+ROW(),"")</f>
        <v/>
      </c>
      <c r="W283" s="9" t="n">
        <f aca="false">N(E283)+N(F283)</f>
        <v>0</v>
      </c>
    </row>
    <row r="284" customFormat="false" ht="15" hidden="false" customHeight="false" outlineLevel="0" collapsed="false">
      <c r="A284" s="37" t="str">
        <f aca="false">IF(M284="","",ROW()-7)</f>
        <v/>
      </c>
      <c r="B284" s="70"/>
      <c r="C284" s="72"/>
      <c r="D284" s="71"/>
      <c r="E284" s="73"/>
      <c r="F284" s="73"/>
      <c r="G284" s="73"/>
      <c r="H284" s="42" t="str">
        <f aca="false">IF(M284="","",IF(R284&gt;0,"✔ Matched",IF(M284="IN","Not in cash book (credit)","Not in cash book (debit)")))</f>
        <v/>
      </c>
      <c r="I284" s="43" t="str">
        <f aca="false">IF(N(R284)&gt;0,R284,"")</f>
        <v/>
      </c>
      <c r="J284" s="45" t="str">
        <f aca="false">IF(AND(M284="",B284="",C284=""),"",IF(AND(N(E284)&gt;0,N(F284)&gt;0),"⚠ Fill withdrawal OR deposit",IF(M284="","⚠ Enter amount",IF(B284="","⚠ Enter date",IF(NOT(OR(NOT(ISNUMBER(G284)),NOT(ISNUMBER(G283)),ABS(N(G284)-(N(G283)+N(F284)-N(E284)))&lt;=0.5)),"⚠ Balance does not follow previous row","✔")))))</f>
        <v/>
      </c>
      <c r="M284" s="9" t="str">
        <f aca="false">IF(N(F284)&gt;0,"IN",IF(N(E284)&gt;0,"OUT",""))</f>
        <v/>
      </c>
      <c r="N284" s="9" t="str">
        <f aca="false">IF(M284="","",M284&amp;"|"&amp;TEXT(ROUND(N(E284)+N(F284),2),"0.00"))</f>
        <v/>
      </c>
      <c r="O284" s="9" t="str">
        <f aca="false">IF(OR(N284="",TRIM(D284&amp;"")=""),"",N284&amp;"|"&amp;UPPER(TRIM(D284&amp;"")))</f>
        <v/>
      </c>
      <c r="P284" s="9" t="n">
        <f aca="false">IF(O284="",0,IF(COUNTIF('Cash Book'!$O$8:$O$507,O284)&gt;0,1,0))</f>
        <v>0</v>
      </c>
      <c r="Q284" s="9" t="str">
        <f aca="false">IF(OR(N284="",P284=1),"",N284&amp;"#"&amp;COUNTIFS($N$8:N284,N284,$P$8:P284,0))</f>
        <v/>
      </c>
      <c r="R284" s="9" t="n">
        <f aca="false">IF(N284="",0,IFERROR(MATCH(ROW()-7,'Cash Book'!$U$8:$U$507,0),0))</f>
        <v>0</v>
      </c>
      <c r="V284" s="9" t="str">
        <f aca="false">IF(AND(N284&lt;&gt;"",R284=0),IF(M284="IN",3,4)*100000+ROW(),"")</f>
        <v/>
      </c>
      <c r="W284" s="9" t="n">
        <f aca="false">N(E284)+N(F284)</f>
        <v>0</v>
      </c>
    </row>
    <row r="285" customFormat="false" ht="15" hidden="false" customHeight="false" outlineLevel="0" collapsed="false">
      <c r="A285" s="37" t="str">
        <f aca="false">IF(M285="","",ROW()-7)</f>
        <v/>
      </c>
      <c r="B285" s="70"/>
      <c r="C285" s="72"/>
      <c r="D285" s="71"/>
      <c r="E285" s="73"/>
      <c r="F285" s="73"/>
      <c r="G285" s="73"/>
      <c r="H285" s="42" t="str">
        <f aca="false">IF(M285="","",IF(R285&gt;0,"✔ Matched",IF(M285="IN","Not in cash book (credit)","Not in cash book (debit)")))</f>
        <v/>
      </c>
      <c r="I285" s="43" t="str">
        <f aca="false">IF(N(R285)&gt;0,R285,"")</f>
        <v/>
      </c>
      <c r="J285" s="45" t="str">
        <f aca="false">IF(AND(M285="",B285="",C285=""),"",IF(AND(N(E285)&gt;0,N(F285)&gt;0),"⚠ Fill withdrawal OR deposit",IF(M285="","⚠ Enter amount",IF(B285="","⚠ Enter date",IF(NOT(OR(NOT(ISNUMBER(G285)),NOT(ISNUMBER(G284)),ABS(N(G285)-(N(G284)+N(F285)-N(E285)))&lt;=0.5)),"⚠ Balance does not follow previous row","✔")))))</f>
        <v/>
      </c>
      <c r="M285" s="9" t="str">
        <f aca="false">IF(N(F285)&gt;0,"IN",IF(N(E285)&gt;0,"OUT",""))</f>
        <v/>
      </c>
      <c r="N285" s="9" t="str">
        <f aca="false">IF(M285="","",M285&amp;"|"&amp;TEXT(ROUND(N(E285)+N(F285),2),"0.00"))</f>
        <v/>
      </c>
      <c r="O285" s="9" t="str">
        <f aca="false">IF(OR(N285="",TRIM(D285&amp;"")=""),"",N285&amp;"|"&amp;UPPER(TRIM(D285&amp;"")))</f>
        <v/>
      </c>
      <c r="P285" s="9" t="n">
        <f aca="false">IF(O285="",0,IF(COUNTIF('Cash Book'!$O$8:$O$507,O285)&gt;0,1,0))</f>
        <v>0</v>
      </c>
      <c r="Q285" s="9" t="str">
        <f aca="false">IF(OR(N285="",P285=1),"",N285&amp;"#"&amp;COUNTIFS($N$8:N285,N285,$P$8:P285,0))</f>
        <v/>
      </c>
      <c r="R285" s="9" t="n">
        <f aca="false">IF(N285="",0,IFERROR(MATCH(ROW()-7,'Cash Book'!$U$8:$U$507,0),0))</f>
        <v>0</v>
      </c>
      <c r="V285" s="9" t="str">
        <f aca="false">IF(AND(N285&lt;&gt;"",R285=0),IF(M285="IN",3,4)*100000+ROW(),"")</f>
        <v/>
      </c>
      <c r="W285" s="9" t="n">
        <f aca="false">N(E285)+N(F285)</f>
        <v>0</v>
      </c>
    </row>
    <row r="286" customFormat="false" ht="15" hidden="false" customHeight="false" outlineLevel="0" collapsed="false">
      <c r="A286" s="37" t="str">
        <f aca="false">IF(M286="","",ROW()-7)</f>
        <v/>
      </c>
      <c r="B286" s="70"/>
      <c r="C286" s="72"/>
      <c r="D286" s="71"/>
      <c r="E286" s="73"/>
      <c r="F286" s="73"/>
      <c r="G286" s="73"/>
      <c r="H286" s="42" t="str">
        <f aca="false">IF(M286="","",IF(R286&gt;0,"✔ Matched",IF(M286="IN","Not in cash book (credit)","Not in cash book (debit)")))</f>
        <v/>
      </c>
      <c r="I286" s="43" t="str">
        <f aca="false">IF(N(R286)&gt;0,R286,"")</f>
        <v/>
      </c>
      <c r="J286" s="45" t="str">
        <f aca="false">IF(AND(M286="",B286="",C286=""),"",IF(AND(N(E286)&gt;0,N(F286)&gt;0),"⚠ Fill withdrawal OR deposit",IF(M286="","⚠ Enter amount",IF(B286="","⚠ Enter date",IF(NOT(OR(NOT(ISNUMBER(G286)),NOT(ISNUMBER(G285)),ABS(N(G286)-(N(G285)+N(F286)-N(E286)))&lt;=0.5)),"⚠ Balance does not follow previous row","✔")))))</f>
        <v/>
      </c>
      <c r="M286" s="9" t="str">
        <f aca="false">IF(N(F286)&gt;0,"IN",IF(N(E286)&gt;0,"OUT",""))</f>
        <v/>
      </c>
      <c r="N286" s="9" t="str">
        <f aca="false">IF(M286="","",M286&amp;"|"&amp;TEXT(ROUND(N(E286)+N(F286),2),"0.00"))</f>
        <v/>
      </c>
      <c r="O286" s="9" t="str">
        <f aca="false">IF(OR(N286="",TRIM(D286&amp;"")=""),"",N286&amp;"|"&amp;UPPER(TRIM(D286&amp;"")))</f>
        <v/>
      </c>
      <c r="P286" s="9" t="n">
        <f aca="false">IF(O286="",0,IF(COUNTIF('Cash Book'!$O$8:$O$507,O286)&gt;0,1,0))</f>
        <v>0</v>
      </c>
      <c r="Q286" s="9" t="str">
        <f aca="false">IF(OR(N286="",P286=1),"",N286&amp;"#"&amp;COUNTIFS($N$8:N286,N286,$P$8:P286,0))</f>
        <v/>
      </c>
      <c r="R286" s="9" t="n">
        <f aca="false">IF(N286="",0,IFERROR(MATCH(ROW()-7,'Cash Book'!$U$8:$U$507,0),0))</f>
        <v>0</v>
      </c>
      <c r="V286" s="9" t="str">
        <f aca="false">IF(AND(N286&lt;&gt;"",R286=0),IF(M286="IN",3,4)*100000+ROW(),"")</f>
        <v/>
      </c>
      <c r="W286" s="9" t="n">
        <f aca="false">N(E286)+N(F286)</f>
        <v>0</v>
      </c>
    </row>
    <row r="287" customFormat="false" ht="15" hidden="false" customHeight="false" outlineLevel="0" collapsed="false">
      <c r="A287" s="37" t="str">
        <f aca="false">IF(M287="","",ROW()-7)</f>
        <v/>
      </c>
      <c r="B287" s="70"/>
      <c r="C287" s="72"/>
      <c r="D287" s="71"/>
      <c r="E287" s="73"/>
      <c r="F287" s="73"/>
      <c r="G287" s="73"/>
      <c r="H287" s="42" t="str">
        <f aca="false">IF(M287="","",IF(R287&gt;0,"✔ Matched",IF(M287="IN","Not in cash book (credit)","Not in cash book (debit)")))</f>
        <v/>
      </c>
      <c r="I287" s="43" t="str">
        <f aca="false">IF(N(R287)&gt;0,R287,"")</f>
        <v/>
      </c>
      <c r="J287" s="45" t="str">
        <f aca="false">IF(AND(M287="",B287="",C287=""),"",IF(AND(N(E287)&gt;0,N(F287)&gt;0),"⚠ Fill withdrawal OR deposit",IF(M287="","⚠ Enter amount",IF(B287="","⚠ Enter date",IF(NOT(OR(NOT(ISNUMBER(G287)),NOT(ISNUMBER(G286)),ABS(N(G287)-(N(G286)+N(F287)-N(E287)))&lt;=0.5)),"⚠ Balance does not follow previous row","✔")))))</f>
        <v/>
      </c>
      <c r="M287" s="9" t="str">
        <f aca="false">IF(N(F287)&gt;0,"IN",IF(N(E287)&gt;0,"OUT",""))</f>
        <v/>
      </c>
      <c r="N287" s="9" t="str">
        <f aca="false">IF(M287="","",M287&amp;"|"&amp;TEXT(ROUND(N(E287)+N(F287),2),"0.00"))</f>
        <v/>
      </c>
      <c r="O287" s="9" t="str">
        <f aca="false">IF(OR(N287="",TRIM(D287&amp;"")=""),"",N287&amp;"|"&amp;UPPER(TRIM(D287&amp;"")))</f>
        <v/>
      </c>
      <c r="P287" s="9" t="n">
        <f aca="false">IF(O287="",0,IF(COUNTIF('Cash Book'!$O$8:$O$507,O287)&gt;0,1,0))</f>
        <v>0</v>
      </c>
      <c r="Q287" s="9" t="str">
        <f aca="false">IF(OR(N287="",P287=1),"",N287&amp;"#"&amp;COUNTIFS($N$8:N287,N287,$P$8:P287,0))</f>
        <v/>
      </c>
      <c r="R287" s="9" t="n">
        <f aca="false">IF(N287="",0,IFERROR(MATCH(ROW()-7,'Cash Book'!$U$8:$U$507,0),0))</f>
        <v>0</v>
      </c>
      <c r="V287" s="9" t="str">
        <f aca="false">IF(AND(N287&lt;&gt;"",R287=0),IF(M287="IN",3,4)*100000+ROW(),"")</f>
        <v/>
      </c>
      <c r="W287" s="9" t="n">
        <f aca="false">N(E287)+N(F287)</f>
        <v>0</v>
      </c>
    </row>
    <row r="288" customFormat="false" ht="15" hidden="false" customHeight="false" outlineLevel="0" collapsed="false">
      <c r="A288" s="37" t="str">
        <f aca="false">IF(M288="","",ROW()-7)</f>
        <v/>
      </c>
      <c r="B288" s="70"/>
      <c r="C288" s="72"/>
      <c r="D288" s="71"/>
      <c r="E288" s="73"/>
      <c r="F288" s="73"/>
      <c r="G288" s="73"/>
      <c r="H288" s="42" t="str">
        <f aca="false">IF(M288="","",IF(R288&gt;0,"✔ Matched",IF(M288="IN","Not in cash book (credit)","Not in cash book (debit)")))</f>
        <v/>
      </c>
      <c r="I288" s="43" t="str">
        <f aca="false">IF(N(R288)&gt;0,R288,"")</f>
        <v/>
      </c>
      <c r="J288" s="45" t="str">
        <f aca="false">IF(AND(M288="",B288="",C288=""),"",IF(AND(N(E288)&gt;0,N(F288)&gt;0),"⚠ Fill withdrawal OR deposit",IF(M288="","⚠ Enter amount",IF(B288="","⚠ Enter date",IF(NOT(OR(NOT(ISNUMBER(G288)),NOT(ISNUMBER(G287)),ABS(N(G288)-(N(G287)+N(F288)-N(E288)))&lt;=0.5)),"⚠ Balance does not follow previous row","✔")))))</f>
        <v/>
      </c>
      <c r="M288" s="9" t="str">
        <f aca="false">IF(N(F288)&gt;0,"IN",IF(N(E288)&gt;0,"OUT",""))</f>
        <v/>
      </c>
      <c r="N288" s="9" t="str">
        <f aca="false">IF(M288="","",M288&amp;"|"&amp;TEXT(ROUND(N(E288)+N(F288),2),"0.00"))</f>
        <v/>
      </c>
      <c r="O288" s="9" t="str">
        <f aca="false">IF(OR(N288="",TRIM(D288&amp;"")=""),"",N288&amp;"|"&amp;UPPER(TRIM(D288&amp;"")))</f>
        <v/>
      </c>
      <c r="P288" s="9" t="n">
        <f aca="false">IF(O288="",0,IF(COUNTIF('Cash Book'!$O$8:$O$507,O288)&gt;0,1,0))</f>
        <v>0</v>
      </c>
      <c r="Q288" s="9" t="str">
        <f aca="false">IF(OR(N288="",P288=1),"",N288&amp;"#"&amp;COUNTIFS($N$8:N288,N288,$P$8:P288,0))</f>
        <v/>
      </c>
      <c r="R288" s="9" t="n">
        <f aca="false">IF(N288="",0,IFERROR(MATCH(ROW()-7,'Cash Book'!$U$8:$U$507,0),0))</f>
        <v>0</v>
      </c>
      <c r="V288" s="9" t="str">
        <f aca="false">IF(AND(N288&lt;&gt;"",R288=0),IF(M288="IN",3,4)*100000+ROW(),"")</f>
        <v/>
      </c>
      <c r="W288" s="9" t="n">
        <f aca="false">N(E288)+N(F288)</f>
        <v>0</v>
      </c>
    </row>
    <row r="289" customFormat="false" ht="15" hidden="false" customHeight="false" outlineLevel="0" collapsed="false">
      <c r="A289" s="37" t="str">
        <f aca="false">IF(M289="","",ROW()-7)</f>
        <v/>
      </c>
      <c r="B289" s="70"/>
      <c r="C289" s="72"/>
      <c r="D289" s="71"/>
      <c r="E289" s="73"/>
      <c r="F289" s="73"/>
      <c r="G289" s="73"/>
      <c r="H289" s="42" t="str">
        <f aca="false">IF(M289="","",IF(R289&gt;0,"✔ Matched",IF(M289="IN","Not in cash book (credit)","Not in cash book (debit)")))</f>
        <v/>
      </c>
      <c r="I289" s="43" t="str">
        <f aca="false">IF(N(R289)&gt;0,R289,"")</f>
        <v/>
      </c>
      <c r="J289" s="45" t="str">
        <f aca="false">IF(AND(M289="",B289="",C289=""),"",IF(AND(N(E289)&gt;0,N(F289)&gt;0),"⚠ Fill withdrawal OR deposit",IF(M289="","⚠ Enter amount",IF(B289="","⚠ Enter date",IF(NOT(OR(NOT(ISNUMBER(G289)),NOT(ISNUMBER(G288)),ABS(N(G289)-(N(G288)+N(F289)-N(E289)))&lt;=0.5)),"⚠ Balance does not follow previous row","✔")))))</f>
        <v/>
      </c>
      <c r="M289" s="9" t="str">
        <f aca="false">IF(N(F289)&gt;0,"IN",IF(N(E289)&gt;0,"OUT",""))</f>
        <v/>
      </c>
      <c r="N289" s="9" t="str">
        <f aca="false">IF(M289="","",M289&amp;"|"&amp;TEXT(ROUND(N(E289)+N(F289),2),"0.00"))</f>
        <v/>
      </c>
      <c r="O289" s="9" t="str">
        <f aca="false">IF(OR(N289="",TRIM(D289&amp;"")=""),"",N289&amp;"|"&amp;UPPER(TRIM(D289&amp;"")))</f>
        <v/>
      </c>
      <c r="P289" s="9" t="n">
        <f aca="false">IF(O289="",0,IF(COUNTIF('Cash Book'!$O$8:$O$507,O289)&gt;0,1,0))</f>
        <v>0</v>
      </c>
      <c r="Q289" s="9" t="str">
        <f aca="false">IF(OR(N289="",P289=1),"",N289&amp;"#"&amp;COUNTIFS($N$8:N289,N289,$P$8:P289,0))</f>
        <v/>
      </c>
      <c r="R289" s="9" t="n">
        <f aca="false">IF(N289="",0,IFERROR(MATCH(ROW()-7,'Cash Book'!$U$8:$U$507,0),0))</f>
        <v>0</v>
      </c>
      <c r="V289" s="9" t="str">
        <f aca="false">IF(AND(N289&lt;&gt;"",R289=0),IF(M289="IN",3,4)*100000+ROW(),"")</f>
        <v/>
      </c>
      <c r="W289" s="9" t="n">
        <f aca="false">N(E289)+N(F289)</f>
        <v>0</v>
      </c>
    </row>
    <row r="290" customFormat="false" ht="15" hidden="false" customHeight="false" outlineLevel="0" collapsed="false">
      <c r="A290" s="37" t="str">
        <f aca="false">IF(M290="","",ROW()-7)</f>
        <v/>
      </c>
      <c r="B290" s="70"/>
      <c r="C290" s="72"/>
      <c r="D290" s="71"/>
      <c r="E290" s="73"/>
      <c r="F290" s="73"/>
      <c r="G290" s="73"/>
      <c r="H290" s="42" t="str">
        <f aca="false">IF(M290="","",IF(R290&gt;0,"✔ Matched",IF(M290="IN","Not in cash book (credit)","Not in cash book (debit)")))</f>
        <v/>
      </c>
      <c r="I290" s="43" t="str">
        <f aca="false">IF(N(R290)&gt;0,R290,"")</f>
        <v/>
      </c>
      <c r="J290" s="45" t="str">
        <f aca="false">IF(AND(M290="",B290="",C290=""),"",IF(AND(N(E290)&gt;0,N(F290)&gt;0),"⚠ Fill withdrawal OR deposit",IF(M290="","⚠ Enter amount",IF(B290="","⚠ Enter date",IF(NOT(OR(NOT(ISNUMBER(G290)),NOT(ISNUMBER(G289)),ABS(N(G290)-(N(G289)+N(F290)-N(E290)))&lt;=0.5)),"⚠ Balance does not follow previous row","✔")))))</f>
        <v/>
      </c>
      <c r="M290" s="9" t="str">
        <f aca="false">IF(N(F290)&gt;0,"IN",IF(N(E290)&gt;0,"OUT",""))</f>
        <v/>
      </c>
      <c r="N290" s="9" t="str">
        <f aca="false">IF(M290="","",M290&amp;"|"&amp;TEXT(ROUND(N(E290)+N(F290),2),"0.00"))</f>
        <v/>
      </c>
      <c r="O290" s="9" t="str">
        <f aca="false">IF(OR(N290="",TRIM(D290&amp;"")=""),"",N290&amp;"|"&amp;UPPER(TRIM(D290&amp;"")))</f>
        <v/>
      </c>
      <c r="P290" s="9" t="n">
        <f aca="false">IF(O290="",0,IF(COUNTIF('Cash Book'!$O$8:$O$507,O290)&gt;0,1,0))</f>
        <v>0</v>
      </c>
      <c r="Q290" s="9" t="str">
        <f aca="false">IF(OR(N290="",P290=1),"",N290&amp;"#"&amp;COUNTIFS($N$8:N290,N290,$P$8:P290,0))</f>
        <v/>
      </c>
      <c r="R290" s="9" t="n">
        <f aca="false">IF(N290="",0,IFERROR(MATCH(ROW()-7,'Cash Book'!$U$8:$U$507,0),0))</f>
        <v>0</v>
      </c>
      <c r="V290" s="9" t="str">
        <f aca="false">IF(AND(N290&lt;&gt;"",R290=0),IF(M290="IN",3,4)*100000+ROW(),"")</f>
        <v/>
      </c>
      <c r="W290" s="9" t="n">
        <f aca="false">N(E290)+N(F290)</f>
        <v>0</v>
      </c>
    </row>
    <row r="291" customFormat="false" ht="15" hidden="false" customHeight="false" outlineLevel="0" collapsed="false">
      <c r="A291" s="37" t="str">
        <f aca="false">IF(M291="","",ROW()-7)</f>
        <v/>
      </c>
      <c r="B291" s="70"/>
      <c r="C291" s="72"/>
      <c r="D291" s="71"/>
      <c r="E291" s="73"/>
      <c r="F291" s="73"/>
      <c r="G291" s="73"/>
      <c r="H291" s="42" t="str">
        <f aca="false">IF(M291="","",IF(R291&gt;0,"✔ Matched",IF(M291="IN","Not in cash book (credit)","Not in cash book (debit)")))</f>
        <v/>
      </c>
      <c r="I291" s="43" t="str">
        <f aca="false">IF(N(R291)&gt;0,R291,"")</f>
        <v/>
      </c>
      <c r="J291" s="45" t="str">
        <f aca="false">IF(AND(M291="",B291="",C291=""),"",IF(AND(N(E291)&gt;0,N(F291)&gt;0),"⚠ Fill withdrawal OR deposit",IF(M291="","⚠ Enter amount",IF(B291="","⚠ Enter date",IF(NOT(OR(NOT(ISNUMBER(G291)),NOT(ISNUMBER(G290)),ABS(N(G291)-(N(G290)+N(F291)-N(E291)))&lt;=0.5)),"⚠ Balance does not follow previous row","✔")))))</f>
        <v/>
      </c>
      <c r="M291" s="9" t="str">
        <f aca="false">IF(N(F291)&gt;0,"IN",IF(N(E291)&gt;0,"OUT",""))</f>
        <v/>
      </c>
      <c r="N291" s="9" t="str">
        <f aca="false">IF(M291="","",M291&amp;"|"&amp;TEXT(ROUND(N(E291)+N(F291),2),"0.00"))</f>
        <v/>
      </c>
      <c r="O291" s="9" t="str">
        <f aca="false">IF(OR(N291="",TRIM(D291&amp;"")=""),"",N291&amp;"|"&amp;UPPER(TRIM(D291&amp;"")))</f>
        <v/>
      </c>
      <c r="P291" s="9" t="n">
        <f aca="false">IF(O291="",0,IF(COUNTIF('Cash Book'!$O$8:$O$507,O291)&gt;0,1,0))</f>
        <v>0</v>
      </c>
      <c r="Q291" s="9" t="str">
        <f aca="false">IF(OR(N291="",P291=1),"",N291&amp;"#"&amp;COUNTIFS($N$8:N291,N291,$P$8:P291,0))</f>
        <v/>
      </c>
      <c r="R291" s="9" t="n">
        <f aca="false">IF(N291="",0,IFERROR(MATCH(ROW()-7,'Cash Book'!$U$8:$U$507,0),0))</f>
        <v>0</v>
      </c>
      <c r="V291" s="9" t="str">
        <f aca="false">IF(AND(N291&lt;&gt;"",R291=0),IF(M291="IN",3,4)*100000+ROW(),"")</f>
        <v/>
      </c>
      <c r="W291" s="9" t="n">
        <f aca="false">N(E291)+N(F291)</f>
        <v>0</v>
      </c>
    </row>
    <row r="292" customFormat="false" ht="15" hidden="false" customHeight="false" outlineLevel="0" collapsed="false">
      <c r="A292" s="37" t="str">
        <f aca="false">IF(M292="","",ROW()-7)</f>
        <v/>
      </c>
      <c r="B292" s="70"/>
      <c r="C292" s="72"/>
      <c r="D292" s="71"/>
      <c r="E292" s="73"/>
      <c r="F292" s="73"/>
      <c r="G292" s="73"/>
      <c r="H292" s="42" t="str">
        <f aca="false">IF(M292="","",IF(R292&gt;0,"✔ Matched",IF(M292="IN","Not in cash book (credit)","Not in cash book (debit)")))</f>
        <v/>
      </c>
      <c r="I292" s="43" t="str">
        <f aca="false">IF(N(R292)&gt;0,R292,"")</f>
        <v/>
      </c>
      <c r="J292" s="45" t="str">
        <f aca="false">IF(AND(M292="",B292="",C292=""),"",IF(AND(N(E292)&gt;0,N(F292)&gt;0),"⚠ Fill withdrawal OR deposit",IF(M292="","⚠ Enter amount",IF(B292="","⚠ Enter date",IF(NOT(OR(NOT(ISNUMBER(G292)),NOT(ISNUMBER(G291)),ABS(N(G292)-(N(G291)+N(F292)-N(E292)))&lt;=0.5)),"⚠ Balance does not follow previous row","✔")))))</f>
        <v/>
      </c>
      <c r="M292" s="9" t="str">
        <f aca="false">IF(N(F292)&gt;0,"IN",IF(N(E292)&gt;0,"OUT",""))</f>
        <v/>
      </c>
      <c r="N292" s="9" t="str">
        <f aca="false">IF(M292="","",M292&amp;"|"&amp;TEXT(ROUND(N(E292)+N(F292),2),"0.00"))</f>
        <v/>
      </c>
      <c r="O292" s="9" t="str">
        <f aca="false">IF(OR(N292="",TRIM(D292&amp;"")=""),"",N292&amp;"|"&amp;UPPER(TRIM(D292&amp;"")))</f>
        <v/>
      </c>
      <c r="P292" s="9" t="n">
        <f aca="false">IF(O292="",0,IF(COUNTIF('Cash Book'!$O$8:$O$507,O292)&gt;0,1,0))</f>
        <v>0</v>
      </c>
      <c r="Q292" s="9" t="str">
        <f aca="false">IF(OR(N292="",P292=1),"",N292&amp;"#"&amp;COUNTIFS($N$8:N292,N292,$P$8:P292,0))</f>
        <v/>
      </c>
      <c r="R292" s="9" t="n">
        <f aca="false">IF(N292="",0,IFERROR(MATCH(ROW()-7,'Cash Book'!$U$8:$U$507,0),0))</f>
        <v>0</v>
      </c>
      <c r="V292" s="9" t="str">
        <f aca="false">IF(AND(N292&lt;&gt;"",R292=0),IF(M292="IN",3,4)*100000+ROW(),"")</f>
        <v/>
      </c>
      <c r="W292" s="9" t="n">
        <f aca="false">N(E292)+N(F292)</f>
        <v>0</v>
      </c>
    </row>
    <row r="293" customFormat="false" ht="15" hidden="false" customHeight="false" outlineLevel="0" collapsed="false">
      <c r="A293" s="37" t="str">
        <f aca="false">IF(M293="","",ROW()-7)</f>
        <v/>
      </c>
      <c r="B293" s="70"/>
      <c r="C293" s="72"/>
      <c r="D293" s="71"/>
      <c r="E293" s="73"/>
      <c r="F293" s="73"/>
      <c r="G293" s="73"/>
      <c r="H293" s="42" t="str">
        <f aca="false">IF(M293="","",IF(R293&gt;0,"✔ Matched",IF(M293="IN","Not in cash book (credit)","Not in cash book (debit)")))</f>
        <v/>
      </c>
      <c r="I293" s="43" t="str">
        <f aca="false">IF(N(R293)&gt;0,R293,"")</f>
        <v/>
      </c>
      <c r="J293" s="45" t="str">
        <f aca="false">IF(AND(M293="",B293="",C293=""),"",IF(AND(N(E293)&gt;0,N(F293)&gt;0),"⚠ Fill withdrawal OR deposit",IF(M293="","⚠ Enter amount",IF(B293="","⚠ Enter date",IF(NOT(OR(NOT(ISNUMBER(G293)),NOT(ISNUMBER(G292)),ABS(N(G293)-(N(G292)+N(F293)-N(E293)))&lt;=0.5)),"⚠ Balance does not follow previous row","✔")))))</f>
        <v/>
      </c>
      <c r="M293" s="9" t="str">
        <f aca="false">IF(N(F293)&gt;0,"IN",IF(N(E293)&gt;0,"OUT",""))</f>
        <v/>
      </c>
      <c r="N293" s="9" t="str">
        <f aca="false">IF(M293="","",M293&amp;"|"&amp;TEXT(ROUND(N(E293)+N(F293),2),"0.00"))</f>
        <v/>
      </c>
      <c r="O293" s="9" t="str">
        <f aca="false">IF(OR(N293="",TRIM(D293&amp;"")=""),"",N293&amp;"|"&amp;UPPER(TRIM(D293&amp;"")))</f>
        <v/>
      </c>
      <c r="P293" s="9" t="n">
        <f aca="false">IF(O293="",0,IF(COUNTIF('Cash Book'!$O$8:$O$507,O293)&gt;0,1,0))</f>
        <v>0</v>
      </c>
      <c r="Q293" s="9" t="str">
        <f aca="false">IF(OR(N293="",P293=1),"",N293&amp;"#"&amp;COUNTIFS($N$8:N293,N293,$P$8:P293,0))</f>
        <v/>
      </c>
      <c r="R293" s="9" t="n">
        <f aca="false">IF(N293="",0,IFERROR(MATCH(ROW()-7,'Cash Book'!$U$8:$U$507,0),0))</f>
        <v>0</v>
      </c>
      <c r="V293" s="9" t="str">
        <f aca="false">IF(AND(N293&lt;&gt;"",R293=0),IF(M293="IN",3,4)*100000+ROW(),"")</f>
        <v/>
      </c>
      <c r="W293" s="9" t="n">
        <f aca="false">N(E293)+N(F293)</f>
        <v>0</v>
      </c>
    </row>
    <row r="294" customFormat="false" ht="15" hidden="false" customHeight="false" outlineLevel="0" collapsed="false">
      <c r="A294" s="37" t="str">
        <f aca="false">IF(M294="","",ROW()-7)</f>
        <v/>
      </c>
      <c r="B294" s="70"/>
      <c r="C294" s="72"/>
      <c r="D294" s="71"/>
      <c r="E294" s="73"/>
      <c r="F294" s="73"/>
      <c r="G294" s="73"/>
      <c r="H294" s="42" t="str">
        <f aca="false">IF(M294="","",IF(R294&gt;0,"✔ Matched",IF(M294="IN","Not in cash book (credit)","Not in cash book (debit)")))</f>
        <v/>
      </c>
      <c r="I294" s="43" t="str">
        <f aca="false">IF(N(R294)&gt;0,R294,"")</f>
        <v/>
      </c>
      <c r="J294" s="45" t="str">
        <f aca="false">IF(AND(M294="",B294="",C294=""),"",IF(AND(N(E294)&gt;0,N(F294)&gt;0),"⚠ Fill withdrawal OR deposit",IF(M294="","⚠ Enter amount",IF(B294="","⚠ Enter date",IF(NOT(OR(NOT(ISNUMBER(G294)),NOT(ISNUMBER(G293)),ABS(N(G294)-(N(G293)+N(F294)-N(E294)))&lt;=0.5)),"⚠ Balance does not follow previous row","✔")))))</f>
        <v/>
      </c>
      <c r="M294" s="9" t="str">
        <f aca="false">IF(N(F294)&gt;0,"IN",IF(N(E294)&gt;0,"OUT",""))</f>
        <v/>
      </c>
      <c r="N294" s="9" t="str">
        <f aca="false">IF(M294="","",M294&amp;"|"&amp;TEXT(ROUND(N(E294)+N(F294),2),"0.00"))</f>
        <v/>
      </c>
      <c r="O294" s="9" t="str">
        <f aca="false">IF(OR(N294="",TRIM(D294&amp;"")=""),"",N294&amp;"|"&amp;UPPER(TRIM(D294&amp;"")))</f>
        <v/>
      </c>
      <c r="P294" s="9" t="n">
        <f aca="false">IF(O294="",0,IF(COUNTIF('Cash Book'!$O$8:$O$507,O294)&gt;0,1,0))</f>
        <v>0</v>
      </c>
      <c r="Q294" s="9" t="str">
        <f aca="false">IF(OR(N294="",P294=1),"",N294&amp;"#"&amp;COUNTIFS($N$8:N294,N294,$P$8:P294,0))</f>
        <v/>
      </c>
      <c r="R294" s="9" t="n">
        <f aca="false">IF(N294="",0,IFERROR(MATCH(ROW()-7,'Cash Book'!$U$8:$U$507,0),0))</f>
        <v>0</v>
      </c>
      <c r="V294" s="9" t="str">
        <f aca="false">IF(AND(N294&lt;&gt;"",R294=0),IF(M294="IN",3,4)*100000+ROW(),"")</f>
        <v/>
      </c>
      <c r="W294" s="9" t="n">
        <f aca="false">N(E294)+N(F294)</f>
        <v>0</v>
      </c>
    </row>
    <row r="295" customFormat="false" ht="15" hidden="false" customHeight="false" outlineLevel="0" collapsed="false">
      <c r="A295" s="37" t="str">
        <f aca="false">IF(M295="","",ROW()-7)</f>
        <v/>
      </c>
      <c r="B295" s="70"/>
      <c r="C295" s="72"/>
      <c r="D295" s="71"/>
      <c r="E295" s="73"/>
      <c r="F295" s="73"/>
      <c r="G295" s="73"/>
      <c r="H295" s="42" t="str">
        <f aca="false">IF(M295="","",IF(R295&gt;0,"✔ Matched",IF(M295="IN","Not in cash book (credit)","Not in cash book (debit)")))</f>
        <v/>
      </c>
      <c r="I295" s="43" t="str">
        <f aca="false">IF(N(R295)&gt;0,R295,"")</f>
        <v/>
      </c>
      <c r="J295" s="45" t="str">
        <f aca="false">IF(AND(M295="",B295="",C295=""),"",IF(AND(N(E295)&gt;0,N(F295)&gt;0),"⚠ Fill withdrawal OR deposit",IF(M295="","⚠ Enter amount",IF(B295="","⚠ Enter date",IF(NOT(OR(NOT(ISNUMBER(G295)),NOT(ISNUMBER(G294)),ABS(N(G295)-(N(G294)+N(F295)-N(E295)))&lt;=0.5)),"⚠ Balance does not follow previous row","✔")))))</f>
        <v/>
      </c>
      <c r="M295" s="9" t="str">
        <f aca="false">IF(N(F295)&gt;0,"IN",IF(N(E295)&gt;0,"OUT",""))</f>
        <v/>
      </c>
      <c r="N295" s="9" t="str">
        <f aca="false">IF(M295="","",M295&amp;"|"&amp;TEXT(ROUND(N(E295)+N(F295),2),"0.00"))</f>
        <v/>
      </c>
      <c r="O295" s="9" t="str">
        <f aca="false">IF(OR(N295="",TRIM(D295&amp;"")=""),"",N295&amp;"|"&amp;UPPER(TRIM(D295&amp;"")))</f>
        <v/>
      </c>
      <c r="P295" s="9" t="n">
        <f aca="false">IF(O295="",0,IF(COUNTIF('Cash Book'!$O$8:$O$507,O295)&gt;0,1,0))</f>
        <v>0</v>
      </c>
      <c r="Q295" s="9" t="str">
        <f aca="false">IF(OR(N295="",P295=1),"",N295&amp;"#"&amp;COUNTIFS($N$8:N295,N295,$P$8:P295,0))</f>
        <v/>
      </c>
      <c r="R295" s="9" t="n">
        <f aca="false">IF(N295="",0,IFERROR(MATCH(ROW()-7,'Cash Book'!$U$8:$U$507,0),0))</f>
        <v>0</v>
      </c>
      <c r="V295" s="9" t="str">
        <f aca="false">IF(AND(N295&lt;&gt;"",R295=0),IF(M295="IN",3,4)*100000+ROW(),"")</f>
        <v/>
      </c>
      <c r="W295" s="9" t="n">
        <f aca="false">N(E295)+N(F295)</f>
        <v>0</v>
      </c>
    </row>
    <row r="296" customFormat="false" ht="15" hidden="false" customHeight="false" outlineLevel="0" collapsed="false">
      <c r="A296" s="37" t="str">
        <f aca="false">IF(M296="","",ROW()-7)</f>
        <v/>
      </c>
      <c r="B296" s="70"/>
      <c r="C296" s="72"/>
      <c r="D296" s="71"/>
      <c r="E296" s="73"/>
      <c r="F296" s="73"/>
      <c r="G296" s="73"/>
      <c r="H296" s="42" t="str">
        <f aca="false">IF(M296="","",IF(R296&gt;0,"✔ Matched",IF(M296="IN","Not in cash book (credit)","Not in cash book (debit)")))</f>
        <v/>
      </c>
      <c r="I296" s="43" t="str">
        <f aca="false">IF(N(R296)&gt;0,R296,"")</f>
        <v/>
      </c>
      <c r="J296" s="45" t="str">
        <f aca="false">IF(AND(M296="",B296="",C296=""),"",IF(AND(N(E296)&gt;0,N(F296)&gt;0),"⚠ Fill withdrawal OR deposit",IF(M296="","⚠ Enter amount",IF(B296="","⚠ Enter date",IF(NOT(OR(NOT(ISNUMBER(G296)),NOT(ISNUMBER(G295)),ABS(N(G296)-(N(G295)+N(F296)-N(E296)))&lt;=0.5)),"⚠ Balance does not follow previous row","✔")))))</f>
        <v/>
      </c>
      <c r="M296" s="9" t="str">
        <f aca="false">IF(N(F296)&gt;0,"IN",IF(N(E296)&gt;0,"OUT",""))</f>
        <v/>
      </c>
      <c r="N296" s="9" t="str">
        <f aca="false">IF(M296="","",M296&amp;"|"&amp;TEXT(ROUND(N(E296)+N(F296),2),"0.00"))</f>
        <v/>
      </c>
      <c r="O296" s="9" t="str">
        <f aca="false">IF(OR(N296="",TRIM(D296&amp;"")=""),"",N296&amp;"|"&amp;UPPER(TRIM(D296&amp;"")))</f>
        <v/>
      </c>
      <c r="P296" s="9" t="n">
        <f aca="false">IF(O296="",0,IF(COUNTIF('Cash Book'!$O$8:$O$507,O296)&gt;0,1,0))</f>
        <v>0</v>
      </c>
      <c r="Q296" s="9" t="str">
        <f aca="false">IF(OR(N296="",P296=1),"",N296&amp;"#"&amp;COUNTIFS($N$8:N296,N296,$P$8:P296,0))</f>
        <v/>
      </c>
      <c r="R296" s="9" t="n">
        <f aca="false">IF(N296="",0,IFERROR(MATCH(ROW()-7,'Cash Book'!$U$8:$U$507,0),0))</f>
        <v>0</v>
      </c>
      <c r="V296" s="9" t="str">
        <f aca="false">IF(AND(N296&lt;&gt;"",R296=0),IF(M296="IN",3,4)*100000+ROW(),"")</f>
        <v/>
      </c>
      <c r="W296" s="9" t="n">
        <f aca="false">N(E296)+N(F296)</f>
        <v>0</v>
      </c>
    </row>
    <row r="297" customFormat="false" ht="15" hidden="false" customHeight="false" outlineLevel="0" collapsed="false">
      <c r="A297" s="37" t="str">
        <f aca="false">IF(M297="","",ROW()-7)</f>
        <v/>
      </c>
      <c r="B297" s="70"/>
      <c r="C297" s="72"/>
      <c r="D297" s="71"/>
      <c r="E297" s="73"/>
      <c r="F297" s="73"/>
      <c r="G297" s="73"/>
      <c r="H297" s="42" t="str">
        <f aca="false">IF(M297="","",IF(R297&gt;0,"✔ Matched",IF(M297="IN","Not in cash book (credit)","Not in cash book (debit)")))</f>
        <v/>
      </c>
      <c r="I297" s="43" t="str">
        <f aca="false">IF(N(R297)&gt;0,R297,"")</f>
        <v/>
      </c>
      <c r="J297" s="45" t="str">
        <f aca="false">IF(AND(M297="",B297="",C297=""),"",IF(AND(N(E297)&gt;0,N(F297)&gt;0),"⚠ Fill withdrawal OR deposit",IF(M297="","⚠ Enter amount",IF(B297="","⚠ Enter date",IF(NOT(OR(NOT(ISNUMBER(G297)),NOT(ISNUMBER(G296)),ABS(N(G297)-(N(G296)+N(F297)-N(E297)))&lt;=0.5)),"⚠ Balance does not follow previous row","✔")))))</f>
        <v/>
      </c>
      <c r="M297" s="9" t="str">
        <f aca="false">IF(N(F297)&gt;0,"IN",IF(N(E297)&gt;0,"OUT",""))</f>
        <v/>
      </c>
      <c r="N297" s="9" t="str">
        <f aca="false">IF(M297="","",M297&amp;"|"&amp;TEXT(ROUND(N(E297)+N(F297),2),"0.00"))</f>
        <v/>
      </c>
      <c r="O297" s="9" t="str">
        <f aca="false">IF(OR(N297="",TRIM(D297&amp;"")=""),"",N297&amp;"|"&amp;UPPER(TRIM(D297&amp;"")))</f>
        <v/>
      </c>
      <c r="P297" s="9" t="n">
        <f aca="false">IF(O297="",0,IF(COUNTIF('Cash Book'!$O$8:$O$507,O297)&gt;0,1,0))</f>
        <v>0</v>
      </c>
      <c r="Q297" s="9" t="str">
        <f aca="false">IF(OR(N297="",P297=1),"",N297&amp;"#"&amp;COUNTIFS($N$8:N297,N297,$P$8:P297,0))</f>
        <v/>
      </c>
      <c r="R297" s="9" t="n">
        <f aca="false">IF(N297="",0,IFERROR(MATCH(ROW()-7,'Cash Book'!$U$8:$U$507,0),0))</f>
        <v>0</v>
      </c>
      <c r="V297" s="9" t="str">
        <f aca="false">IF(AND(N297&lt;&gt;"",R297=0),IF(M297="IN",3,4)*100000+ROW(),"")</f>
        <v/>
      </c>
      <c r="W297" s="9" t="n">
        <f aca="false">N(E297)+N(F297)</f>
        <v>0</v>
      </c>
    </row>
    <row r="298" customFormat="false" ht="15" hidden="false" customHeight="false" outlineLevel="0" collapsed="false">
      <c r="A298" s="37" t="str">
        <f aca="false">IF(M298="","",ROW()-7)</f>
        <v/>
      </c>
      <c r="B298" s="70"/>
      <c r="C298" s="72"/>
      <c r="D298" s="71"/>
      <c r="E298" s="73"/>
      <c r="F298" s="73"/>
      <c r="G298" s="73"/>
      <c r="H298" s="42" t="str">
        <f aca="false">IF(M298="","",IF(R298&gt;0,"✔ Matched",IF(M298="IN","Not in cash book (credit)","Not in cash book (debit)")))</f>
        <v/>
      </c>
      <c r="I298" s="43" t="str">
        <f aca="false">IF(N(R298)&gt;0,R298,"")</f>
        <v/>
      </c>
      <c r="J298" s="45" t="str">
        <f aca="false">IF(AND(M298="",B298="",C298=""),"",IF(AND(N(E298)&gt;0,N(F298)&gt;0),"⚠ Fill withdrawal OR deposit",IF(M298="","⚠ Enter amount",IF(B298="","⚠ Enter date",IF(NOT(OR(NOT(ISNUMBER(G298)),NOT(ISNUMBER(G297)),ABS(N(G298)-(N(G297)+N(F298)-N(E298)))&lt;=0.5)),"⚠ Balance does not follow previous row","✔")))))</f>
        <v/>
      </c>
      <c r="M298" s="9" t="str">
        <f aca="false">IF(N(F298)&gt;0,"IN",IF(N(E298)&gt;0,"OUT",""))</f>
        <v/>
      </c>
      <c r="N298" s="9" t="str">
        <f aca="false">IF(M298="","",M298&amp;"|"&amp;TEXT(ROUND(N(E298)+N(F298),2),"0.00"))</f>
        <v/>
      </c>
      <c r="O298" s="9" t="str">
        <f aca="false">IF(OR(N298="",TRIM(D298&amp;"")=""),"",N298&amp;"|"&amp;UPPER(TRIM(D298&amp;"")))</f>
        <v/>
      </c>
      <c r="P298" s="9" t="n">
        <f aca="false">IF(O298="",0,IF(COUNTIF('Cash Book'!$O$8:$O$507,O298)&gt;0,1,0))</f>
        <v>0</v>
      </c>
      <c r="Q298" s="9" t="str">
        <f aca="false">IF(OR(N298="",P298=1),"",N298&amp;"#"&amp;COUNTIFS($N$8:N298,N298,$P$8:P298,0))</f>
        <v/>
      </c>
      <c r="R298" s="9" t="n">
        <f aca="false">IF(N298="",0,IFERROR(MATCH(ROW()-7,'Cash Book'!$U$8:$U$507,0),0))</f>
        <v>0</v>
      </c>
      <c r="V298" s="9" t="str">
        <f aca="false">IF(AND(N298&lt;&gt;"",R298=0),IF(M298="IN",3,4)*100000+ROW(),"")</f>
        <v/>
      </c>
      <c r="W298" s="9" t="n">
        <f aca="false">N(E298)+N(F298)</f>
        <v>0</v>
      </c>
    </row>
    <row r="299" customFormat="false" ht="15" hidden="false" customHeight="false" outlineLevel="0" collapsed="false">
      <c r="A299" s="37" t="str">
        <f aca="false">IF(M299="","",ROW()-7)</f>
        <v/>
      </c>
      <c r="B299" s="70"/>
      <c r="C299" s="72"/>
      <c r="D299" s="71"/>
      <c r="E299" s="73"/>
      <c r="F299" s="73"/>
      <c r="G299" s="73"/>
      <c r="H299" s="42" t="str">
        <f aca="false">IF(M299="","",IF(R299&gt;0,"✔ Matched",IF(M299="IN","Not in cash book (credit)","Not in cash book (debit)")))</f>
        <v/>
      </c>
      <c r="I299" s="43" t="str">
        <f aca="false">IF(N(R299)&gt;0,R299,"")</f>
        <v/>
      </c>
      <c r="J299" s="45" t="str">
        <f aca="false">IF(AND(M299="",B299="",C299=""),"",IF(AND(N(E299)&gt;0,N(F299)&gt;0),"⚠ Fill withdrawal OR deposit",IF(M299="","⚠ Enter amount",IF(B299="","⚠ Enter date",IF(NOT(OR(NOT(ISNUMBER(G299)),NOT(ISNUMBER(G298)),ABS(N(G299)-(N(G298)+N(F299)-N(E299)))&lt;=0.5)),"⚠ Balance does not follow previous row","✔")))))</f>
        <v/>
      </c>
      <c r="M299" s="9" t="str">
        <f aca="false">IF(N(F299)&gt;0,"IN",IF(N(E299)&gt;0,"OUT",""))</f>
        <v/>
      </c>
      <c r="N299" s="9" t="str">
        <f aca="false">IF(M299="","",M299&amp;"|"&amp;TEXT(ROUND(N(E299)+N(F299),2),"0.00"))</f>
        <v/>
      </c>
      <c r="O299" s="9" t="str">
        <f aca="false">IF(OR(N299="",TRIM(D299&amp;"")=""),"",N299&amp;"|"&amp;UPPER(TRIM(D299&amp;"")))</f>
        <v/>
      </c>
      <c r="P299" s="9" t="n">
        <f aca="false">IF(O299="",0,IF(COUNTIF('Cash Book'!$O$8:$O$507,O299)&gt;0,1,0))</f>
        <v>0</v>
      </c>
      <c r="Q299" s="9" t="str">
        <f aca="false">IF(OR(N299="",P299=1),"",N299&amp;"#"&amp;COUNTIFS($N$8:N299,N299,$P$8:P299,0))</f>
        <v/>
      </c>
      <c r="R299" s="9" t="n">
        <f aca="false">IF(N299="",0,IFERROR(MATCH(ROW()-7,'Cash Book'!$U$8:$U$507,0),0))</f>
        <v>0</v>
      </c>
      <c r="V299" s="9" t="str">
        <f aca="false">IF(AND(N299&lt;&gt;"",R299=0),IF(M299="IN",3,4)*100000+ROW(),"")</f>
        <v/>
      </c>
      <c r="W299" s="9" t="n">
        <f aca="false">N(E299)+N(F299)</f>
        <v>0</v>
      </c>
    </row>
    <row r="300" customFormat="false" ht="15" hidden="false" customHeight="false" outlineLevel="0" collapsed="false">
      <c r="A300" s="37" t="str">
        <f aca="false">IF(M300="","",ROW()-7)</f>
        <v/>
      </c>
      <c r="B300" s="70"/>
      <c r="C300" s="72"/>
      <c r="D300" s="71"/>
      <c r="E300" s="73"/>
      <c r="F300" s="73"/>
      <c r="G300" s="73"/>
      <c r="H300" s="42" t="str">
        <f aca="false">IF(M300="","",IF(R300&gt;0,"✔ Matched",IF(M300="IN","Not in cash book (credit)","Not in cash book (debit)")))</f>
        <v/>
      </c>
      <c r="I300" s="43" t="str">
        <f aca="false">IF(N(R300)&gt;0,R300,"")</f>
        <v/>
      </c>
      <c r="J300" s="45" t="str">
        <f aca="false">IF(AND(M300="",B300="",C300=""),"",IF(AND(N(E300)&gt;0,N(F300)&gt;0),"⚠ Fill withdrawal OR deposit",IF(M300="","⚠ Enter amount",IF(B300="","⚠ Enter date",IF(NOT(OR(NOT(ISNUMBER(G300)),NOT(ISNUMBER(G299)),ABS(N(G300)-(N(G299)+N(F300)-N(E300)))&lt;=0.5)),"⚠ Balance does not follow previous row","✔")))))</f>
        <v/>
      </c>
      <c r="M300" s="9" t="str">
        <f aca="false">IF(N(F300)&gt;0,"IN",IF(N(E300)&gt;0,"OUT",""))</f>
        <v/>
      </c>
      <c r="N300" s="9" t="str">
        <f aca="false">IF(M300="","",M300&amp;"|"&amp;TEXT(ROUND(N(E300)+N(F300),2),"0.00"))</f>
        <v/>
      </c>
      <c r="O300" s="9" t="str">
        <f aca="false">IF(OR(N300="",TRIM(D300&amp;"")=""),"",N300&amp;"|"&amp;UPPER(TRIM(D300&amp;"")))</f>
        <v/>
      </c>
      <c r="P300" s="9" t="n">
        <f aca="false">IF(O300="",0,IF(COUNTIF('Cash Book'!$O$8:$O$507,O300)&gt;0,1,0))</f>
        <v>0</v>
      </c>
      <c r="Q300" s="9" t="str">
        <f aca="false">IF(OR(N300="",P300=1),"",N300&amp;"#"&amp;COUNTIFS($N$8:N300,N300,$P$8:P300,0))</f>
        <v/>
      </c>
      <c r="R300" s="9" t="n">
        <f aca="false">IF(N300="",0,IFERROR(MATCH(ROW()-7,'Cash Book'!$U$8:$U$507,0),0))</f>
        <v>0</v>
      </c>
      <c r="V300" s="9" t="str">
        <f aca="false">IF(AND(N300&lt;&gt;"",R300=0),IF(M300="IN",3,4)*100000+ROW(),"")</f>
        <v/>
      </c>
      <c r="W300" s="9" t="n">
        <f aca="false">N(E300)+N(F300)</f>
        <v>0</v>
      </c>
    </row>
    <row r="301" customFormat="false" ht="15" hidden="false" customHeight="false" outlineLevel="0" collapsed="false">
      <c r="A301" s="37" t="str">
        <f aca="false">IF(M301="","",ROW()-7)</f>
        <v/>
      </c>
      <c r="B301" s="70"/>
      <c r="C301" s="72"/>
      <c r="D301" s="71"/>
      <c r="E301" s="73"/>
      <c r="F301" s="73"/>
      <c r="G301" s="73"/>
      <c r="H301" s="42" t="str">
        <f aca="false">IF(M301="","",IF(R301&gt;0,"✔ Matched",IF(M301="IN","Not in cash book (credit)","Not in cash book (debit)")))</f>
        <v/>
      </c>
      <c r="I301" s="43" t="str">
        <f aca="false">IF(N(R301)&gt;0,R301,"")</f>
        <v/>
      </c>
      <c r="J301" s="45" t="str">
        <f aca="false">IF(AND(M301="",B301="",C301=""),"",IF(AND(N(E301)&gt;0,N(F301)&gt;0),"⚠ Fill withdrawal OR deposit",IF(M301="","⚠ Enter amount",IF(B301="","⚠ Enter date",IF(NOT(OR(NOT(ISNUMBER(G301)),NOT(ISNUMBER(G300)),ABS(N(G301)-(N(G300)+N(F301)-N(E301)))&lt;=0.5)),"⚠ Balance does not follow previous row","✔")))))</f>
        <v/>
      </c>
      <c r="M301" s="9" t="str">
        <f aca="false">IF(N(F301)&gt;0,"IN",IF(N(E301)&gt;0,"OUT",""))</f>
        <v/>
      </c>
      <c r="N301" s="9" t="str">
        <f aca="false">IF(M301="","",M301&amp;"|"&amp;TEXT(ROUND(N(E301)+N(F301),2),"0.00"))</f>
        <v/>
      </c>
      <c r="O301" s="9" t="str">
        <f aca="false">IF(OR(N301="",TRIM(D301&amp;"")=""),"",N301&amp;"|"&amp;UPPER(TRIM(D301&amp;"")))</f>
        <v/>
      </c>
      <c r="P301" s="9" t="n">
        <f aca="false">IF(O301="",0,IF(COUNTIF('Cash Book'!$O$8:$O$507,O301)&gt;0,1,0))</f>
        <v>0</v>
      </c>
      <c r="Q301" s="9" t="str">
        <f aca="false">IF(OR(N301="",P301=1),"",N301&amp;"#"&amp;COUNTIFS($N$8:N301,N301,$P$8:P301,0))</f>
        <v/>
      </c>
      <c r="R301" s="9" t="n">
        <f aca="false">IF(N301="",0,IFERROR(MATCH(ROW()-7,'Cash Book'!$U$8:$U$507,0),0))</f>
        <v>0</v>
      </c>
      <c r="V301" s="9" t="str">
        <f aca="false">IF(AND(N301&lt;&gt;"",R301=0),IF(M301="IN",3,4)*100000+ROW(),"")</f>
        <v/>
      </c>
      <c r="W301" s="9" t="n">
        <f aca="false">N(E301)+N(F301)</f>
        <v>0</v>
      </c>
    </row>
    <row r="302" customFormat="false" ht="15" hidden="false" customHeight="false" outlineLevel="0" collapsed="false">
      <c r="A302" s="37" t="str">
        <f aca="false">IF(M302="","",ROW()-7)</f>
        <v/>
      </c>
      <c r="B302" s="70"/>
      <c r="C302" s="72"/>
      <c r="D302" s="71"/>
      <c r="E302" s="73"/>
      <c r="F302" s="73"/>
      <c r="G302" s="73"/>
      <c r="H302" s="42" t="str">
        <f aca="false">IF(M302="","",IF(R302&gt;0,"✔ Matched",IF(M302="IN","Not in cash book (credit)","Not in cash book (debit)")))</f>
        <v/>
      </c>
      <c r="I302" s="43" t="str">
        <f aca="false">IF(N(R302)&gt;0,R302,"")</f>
        <v/>
      </c>
      <c r="J302" s="45" t="str">
        <f aca="false">IF(AND(M302="",B302="",C302=""),"",IF(AND(N(E302)&gt;0,N(F302)&gt;0),"⚠ Fill withdrawal OR deposit",IF(M302="","⚠ Enter amount",IF(B302="","⚠ Enter date",IF(NOT(OR(NOT(ISNUMBER(G302)),NOT(ISNUMBER(G301)),ABS(N(G302)-(N(G301)+N(F302)-N(E302)))&lt;=0.5)),"⚠ Balance does not follow previous row","✔")))))</f>
        <v/>
      </c>
      <c r="M302" s="9" t="str">
        <f aca="false">IF(N(F302)&gt;0,"IN",IF(N(E302)&gt;0,"OUT",""))</f>
        <v/>
      </c>
      <c r="N302" s="9" t="str">
        <f aca="false">IF(M302="","",M302&amp;"|"&amp;TEXT(ROUND(N(E302)+N(F302),2),"0.00"))</f>
        <v/>
      </c>
      <c r="O302" s="9" t="str">
        <f aca="false">IF(OR(N302="",TRIM(D302&amp;"")=""),"",N302&amp;"|"&amp;UPPER(TRIM(D302&amp;"")))</f>
        <v/>
      </c>
      <c r="P302" s="9" t="n">
        <f aca="false">IF(O302="",0,IF(COUNTIF('Cash Book'!$O$8:$O$507,O302)&gt;0,1,0))</f>
        <v>0</v>
      </c>
      <c r="Q302" s="9" t="str">
        <f aca="false">IF(OR(N302="",P302=1),"",N302&amp;"#"&amp;COUNTIFS($N$8:N302,N302,$P$8:P302,0))</f>
        <v/>
      </c>
      <c r="R302" s="9" t="n">
        <f aca="false">IF(N302="",0,IFERROR(MATCH(ROW()-7,'Cash Book'!$U$8:$U$507,0),0))</f>
        <v>0</v>
      </c>
      <c r="V302" s="9" t="str">
        <f aca="false">IF(AND(N302&lt;&gt;"",R302=0),IF(M302="IN",3,4)*100000+ROW(),"")</f>
        <v/>
      </c>
      <c r="W302" s="9" t="n">
        <f aca="false">N(E302)+N(F302)</f>
        <v>0</v>
      </c>
    </row>
    <row r="303" customFormat="false" ht="15" hidden="false" customHeight="false" outlineLevel="0" collapsed="false">
      <c r="A303" s="37" t="str">
        <f aca="false">IF(M303="","",ROW()-7)</f>
        <v/>
      </c>
      <c r="B303" s="70"/>
      <c r="C303" s="72"/>
      <c r="D303" s="71"/>
      <c r="E303" s="73"/>
      <c r="F303" s="73"/>
      <c r="G303" s="73"/>
      <c r="H303" s="42" t="str">
        <f aca="false">IF(M303="","",IF(R303&gt;0,"✔ Matched",IF(M303="IN","Not in cash book (credit)","Not in cash book (debit)")))</f>
        <v/>
      </c>
      <c r="I303" s="43" t="str">
        <f aca="false">IF(N(R303)&gt;0,R303,"")</f>
        <v/>
      </c>
      <c r="J303" s="45" t="str">
        <f aca="false">IF(AND(M303="",B303="",C303=""),"",IF(AND(N(E303)&gt;0,N(F303)&gt;0),"⚠ Fill withdrawal OR deposit",IF(M303="","⚠ Enter amount",IF(B303="","⚠ Enter date",IF(NOT(OR(NOT(ISNUMBER(G303)),NOT(ISNUMBER(G302)),ABS(N(G303)-(N(G302)+N(F303)-N(E303)))&lt;=0.5)),"⚠ Balance does not follow previous row","✔")))))</f>
        <v/>
      </c>
      <c r="M303" s="9" t="str">
        <f aca="false">IF(N(F303)&gt;0,"IN",IF(N(E303)&gt;0,"OUT",""))</f>
        <v/>
      </c>
      <c r="N303" s="9" t="str">
        <f aca="false">IF(M303="","",M303&amp;"|"&amp;TEXT(ROUND(N(E303)+N(F303),2),"0.00"))</f>
        <v/>
      </c>
      <c r="O303" s="9" t="str">
        <f aca="false">IF(OR(N303="",TRIM(D303&amp;"")=""),"",N303&amp;"|"&amp;UPPER(TRIM(D303&amp;"")))</f>
        <v/>
      </c>
      <c r="P303" s="9" t="n">
        <f aca="false">IF(O303="",0,IF(COUNTIF('Cash Book'!$O$8:$O$507,O303)&gt;0,1,0))</f>
        <v>0</v>
      </c>
      <c r="Q303" s="9" t="str">
        <f aca="false">IF(OR(N303="",P303=1),"",N303&amp;"#"&amp;COUNTIFS($N$8:N303,N303,$P$8:P303,0))</f>
        <v/>
      </c>
      <c r="R303" s="9" t="n">
        <f aca="false">IF(N303="",0,IFERROR(MATCH(ROW()-7,'Cash Book'!$U$8:$U$507,0),0))</f>
        <v>0</v>
      </c>
      <c r="V303" s="9" t="str">
        <f aca="false">IF(AND(N303&lt;&gt;"",R303=0),IF(M303="IN",3,4)*100000+ROW(),"")</f>
        <v/>
      </c>
      <c r="W303" s="9" t="n">
        <f aca="false">N(E303)+N(F303)</f>
        <v>0</v>
      </c>
    </row>
    <row r="304" customFormat="false" ht="15" hidden="false" customHeight="false" outlineLevel="0" collapsed="false">
      <c r="A304" s="37" t="str">
        <f aca="false">IF(M304="","",ROW()-7)</f>
        <v/>
      </c>
      <c r="B304" s="70"/>
      <c r="C304" s="72"/>
      <c r="D304" s="71"/>
      <c r="E304" s="73"/>
      <c r="F304" s="73"/>
      <c r="G304" s="73"/>
      <c r="H304" s="42" t="str">
        <f aca="false">IF(M304="","",IF(R304&gt;0,"✔ Matched",IF(M304="IN","Not in cash book (credit)","Not in cash book (debit)")))</f>
        <v/>
      </c>
      <c r="I304" s="43" t="str">
        <f aca="false">IF(N(R304)&gt;0,R304,"")</f>
        <v/>
      </c>
      <c r="J304" s="45" t="str">
        <f aca="false">IF(AND(M304="",B304="",C304=""),"",IF(AND(N(E304)&gt;0,N(F304)&gt;0),"⚠ Fill withdrawal OR deposit",IF(M304="","⚠ Enter amount",IF(B304="","⚠ Enter date",IF(NOT(OR(NOT(ISNUMBER(G304)),NOT(ISNUMBER(G303)),ABS(N(G304)-(N(G303)+N(F304)-N(E304)))&lt;=0.5)),"⚠ Balance does not follow previous row","✔")))))</f>
        <v/>
      </c>
      <c r="M304" s="9" t="str">
        <f aca="false">IF(N(F304)&gt;0,"IN",IF(N(E304)&gt;0,"OUT",""))</f>
        <v/>
      </c>
      <c r="N304" s="9" t="str">
        <f aca="false">IF(M304="","",M304&amp;"|"&amp;TEXT(ROUND(N(E304)+N(F304),2),"0.00"))</f>
        <v/>
      </c>
      <c r="O304" s="9" t="str">
        <f aca="false">IF(OR(N304="",TRIM(D304&amp;"")=""),"",N304&amp;"|"&amp;UPPER(TRIM(D304&amp;"")))</f>
        <v/>
      </c>
      <c r="P304" s="9" t="n">
        <f aca="false">IF(O304="",0,IF(COUNTIF('Cash Book'!$O$8:$O$507,O304)&gt;0,1,0))</f>
        <v>0</v>
      </c>
      <c r="Q304" s="9" t="str">
        <f aca="false">IF(OR(N304="",P304=1),"",N304&amp;"#"&amp;COUNTIFS($N$8:N304,N304,$P$8:P304,0))</f>
        <v/>
      </c>
      <c r="R304" s="9" t="n">
        <f aca="false">IF(N304="",0,IFERROR(MATCH(ROW()-7,'Cash Book'!$U$8:$U$507,0),0))</f>
        <v>0</v>
      </c>
      <c r="V304" s="9" t="str">
        <f aca="false">IF(AND(N304&lt;&gt;"",R304=0),IF(M304="IN",3,4)*100000+ROW(),"")</f>
        <v/>
      </c>
      <c r="W304" s="9" t="n">
        <f aca="false">N(E304)+N(F304)</f>
        <v>0</v>
      </c>
    </row>
    <row r="305" customFormat="false" ht="15" hidden="false" customHeight="false" outlineLevel="0" collapsed="false">
      <c r="A305" s="37" t="str">
        <f aca="false">IF(M305="","",ROW()-7)</f>
        <v/>
      </c>
      <c r="B305" s="70"/>
      <c r="C305" s="72"/>
      <c r="D305" s="71"/>
      <c r="E305" s="73"/>
      <c r="F305" s="73"/>
      <c r="G305" s="73"/>
      <c r="H305" s="42" t="str">
        <f aca="false">IF(M305="","",IF(R305&gt;0,"✔ Matched",IF(M305="IN","Not in cash book (credit)","Not in cash book (debit)")))</f>
        <v/>
      </c>
      <c r="I305" s="43" t="str">
        <f aca="false">IF(N(R305)&gt;0,R305,"")</f>
        <v/>
      </c>
      <c r="J305" s="45" t="str">
        <f aca="false">IF(AND(M305="",B305="",C305=""),"",IF(AND(N(E305)&gt;0,N(F305)&gt;0),"⚠ Fill withdrawal OR deposit",IF(M305="","⚠ Enter amount",IF(B305="","⚠ Enter date",IF(NOT(OR(NOT(ISNUMBER(G305)),NOT(ISNUMBER(G304)),ABS(N(G305)-(N(G304)+N(F305)-N(E305)))&lt;=0.5)),"⚠ Balance does not follow previous row","✔")))))</f>
        <v/>
      </c>
      <c r="M305" s="9" t="str">
        <f aca="false">IF(N(F305)&gt;0,"IN",IF(N(E305)&gt;0,"OUT",""))</f>
        <v/>
      </c>
      <c r="N305" s="9" t="str">
        <f aca="false">IF(M305="","",M305&amp;"|"&amp;TEXT(ROUND(N(E305)+N(F305),2),"0.00"))</f>
        <v/>
      </c>
      <c r="O305" s="9" t="str">
        <f aca="false">IF(OR(N305="",TRIM(D305&amp;"")=""),"",N305&amp;"|"&amp;UPPER(TRIM(D305&amp;"")))</f>
        <v/>
      </c>
      <c r="P305" s="9" t="n">
        <f aca="false">IF(O305="",0,IF(COUNTIF('Cash Book'!$O$8:$O$507,O305)&gt;0,1,0))</f>
        <v>0</v>
      </c>
      <c r="Q305" s="9" t="str">
        <f aca="false">IF(OR(N305="",P305=1),"",N305&amp;"#"&amp;COUNTIFS($N$8:N305,N305,$P$8:P305,0))</f>
        <v/>
      </c>
      <c r="R305" s="9" t="n">
        <f aca="false">IF(N305="",0,IFERROR(MATCH(ROW()-7,'Cash Book'!$U$8:$U$507,0),0))</f>
        <v>0</v>
      </c>
      <c r="V305" s="9" t="str">
        <f aca="false">IF(AND(N305&lt;&gt;"",R305=0),IF(M305="IN",3,4)*100000+ROW(),"")</f>
        <v/>
      </c>
      <c r="W305" s="9" t="n">
        <f aca="false">N(E305)+N(F305)</f>
        <v>0</v>
      </c>
    </row>
    <row r="306" customFormat="false" ht="15" hidden="false" customHeight="false" outlineLevel="0" collapsed="false">
      <c r="A306" s="37" t="str">
        <f aca="false">IF(M306="","",ROW()-7)</f>
        <v/>
      </c>
      <c r="B306" s="70"/>
      <c r="C306" s="72"/>
      <c r="D306" s="71"/>
      <c r="E306" s="73"/>
      <c r="F306" s="73"/>
      <c r="G306" s="73"/>
      <c r="H306" s="42" t="str">
        <f aca="false">IF(M306="","",IF(R306&gt;0,"✔ Matched",IF(M306="IN","Not in cash book (credit)","Not in cash book (debit)")))</f>
        <v/>
      </c>
      <c r="I306" s="43" t="str">
        <f aca="false">IF(N(R306)&gt;0,R306,"")</f>
        <v/>
      </c>
      <c r="J306" s="45" t="str">
        <f aca="false">IF(AND(M306="",B306="",C306=""),"",IF(AND(N(E306)&gt;0,N(F306)&gt;0),"⚠ Fill withdrawal OR deposit",IF(M306="","⚠ Enter amount",IF(B306="","⚠ Enter date",IF(NOT(OR(NOT(ISNUMBER(G306)),NOT(ISNUMBER(G305)),ABS(N(G306)-(N(G305)+N(F306)-N(E306)))&lt;=0.5)),"⚠ Balance does not follow previous row","✔")))))</f>
        <v/>
      </c>
      <c r="M306" s="9" t="str">
        <f aca="false">IF(N(F306)&gt;0,"IN",IF(N(E306)&gt;0,"OUT",""))</f>
        <v/>
      </c>
      <c r="N306" s="9" t="str">
        <f aca="false">IF(M306="","",M306&amp;"|"&amp;TEXT(ROUND(N(E306)+N(F306),2),"0.00"))</f>
        <v/>
      </c>
      <c r="O306" s="9" t="str">
        <f aca="false">IF(OR(N306="",TRIM(D306&amp;"")=""),"",N306&amp;"|"&amp;UPPER(TRIM(D306&amp;"")))</f>
        <v/>
      </c>
      <c r="P306" s="9" t="n">
        <f aca="false">IF(O306="",0,IF(COUNTIF('Cash Book'!$O$8:$O$507,O306)&gt;0,1,0))</f>
        <v>0</v>
      </c>
      <c r="Q306" s="9" t="str">
        <f aca="false">IF(OR(N306="",P306=1),"",N306&amp;"#"&amp;COUNTIFS($N$8:N306,N306,$P$8:P306,0))</f>
        <v/>
      </c>
      <c r="R306" s="9" t="n">
        <f aca="false">IF(N306="",0,IFERROR(MATCH(ROW()-7,'Cash Book'!$U$8:$U$507,0),0))</f>
        <v>0</v>
      </c>
      <c r="V306" s="9" t="str">
        <f aca="false">IF(AND(N306&lt;&gt;"",R306=0),IF(M306="IN",3,4)*100000+ROW(),"")</f>
        <v/>
      </c>
      <c r="W306" s="9" t="n">
        <f aca="false">N(E306)+N(F306)</f>
        <v>0</v>
      </c>
    </row>
    <row r="307" customFormat="false" ht="15" hidden="false" customHeight="false" outlineLevel="0" collapsed="false">
      <c r="A307" s="37" t="str">
        <f aca="false">IF(M307="","",ROW()-7)</f>
        <v/>
      </c>
      <c r="B307" s="70"/>
      <c r="C307" s="72"/>
      <c r="D307" s="71"/>
      <c r="E307" s="73"/>
      <c r="F307" s="73"/>
      <c r="G307" s="73"/>
      <c r="H307" s="42" t="str">
        <f aca="false">IF(M307="","",IF(R307&gt;0,"✔ Matched",IF(M307="IN","Not in cash book (credit)","Not in cash book (debit)")))</f>
        <v/>
      </c>
      <c r="I307" s="43" t="str">
        <f aca="false">IF(N(R307)&gt;0,R307,"")</f>
        <v/>
      </c>
      <c r="J307" s="45" t="str">
        <f aca="false">IF(AND(M307="",B307="",C307=""),"",IF(AND(N(E307)&gt;0,N(F307)&gt;0),"⚠ Fill withdrawal OR deposit",IF(M307="","⚠ Enter amount",IF(B307="","⚠ Enter date",IF(NOT(OR(NOT(ISNUMBER(G307)),NOT(ISNUMBER(G306)),ABS(N(G307)-(N(G306)+N(F307)-N(E307)))&lt;=0.5)),"⚠ Balance does not follow previous row","✔")))))</f>
        <v/>
      </c>
      <c r="M307" s="9" t="str">
        <f aca="false">IF(N(F307)&gt;0,"IN",IF(N(E307)&gt;0,"OUT",""))</f>
        <v/>
      </c>
      <c r="N307" s="9" t="str">
        <f aca="false">IF(M307="","",M307&amp;"|"&amp;TEXT(ROUND(N(E307)+N(F307),2),"0.00"))</f>
        <v/>
      </c>
      <c r="O307" s="9" t="str">
        <f aca="false">IF(OR(N307="",TRIM(D307&amp;"")=""),"",N307&amp;"|"&amp;UPPER(TRIM(D307&amp;"")))</f>
        <v/>
      </c>
      <c r="P307" s="9" t="n">
        <f aca="false">IF(O307="",0,IF(COUNTIF('Cash Book'!$O$8:$O$507,O307)&gt;0,1,0))</f>
        <v>0</v>
      </c>
      <c r="Q307" s="9" t="str">
        <f aca="false">IF(OR(N307="",P307=1),"",N307&amp;"#"&amp;COUNTIFS($N$8:N307,N307,$P$8:P307,0))</f>
        <v/>
      </c>
      <c r="R307" s="9" t="n">
        <f aca="false">IF(N307="",0,IFERROR(MATCH(ROW()-7,'Cash Book'!$U$8:$U$507,0),0))</f>
        <v>0</v>
      </c>
      <c r="V307" s="9" t="str">
        <f aca="false">IF(AND(N307&lt;&gt;"",R307=0),IF(M307="IN",3,4)*100000+ROW(),"")</f>
        <v/>
      </c>
      <c r="W307" s="9" t="n">
        <f aca="false">N(E307)+N(F307)</f>
        <v>0</v>
      </c>
    </row>
    <row r="308" customFormat="false" ht="15" hidden="false" customHeight="false" outlineLevel="0" collapsed="false">
      <c r="A308" s="37" t="str">
        <f aca="false">IF(M308="","",ROW()-7)</f>
        <v/>
      </c>
      <c r="B308" s="70"/>
      <c r="C308" s="72"/>
      <c r="D308" s="71"/>
      <c r="E308" s="73"/>
      <c r="F308" s="73"/>
      <c r="G308" s="73"/>
      <c r="H308" s="42" t="str">
        <f aca="false">IF(M308="","",IF(R308&gt;0,"✔ Matched",IF(M308="IN","Not in cash book (credit)","Not in cash book (debit)")))</f>
        <v/>
      </c>
      <c r="I308" s="43" t="str">
        <f aca="false">IF(N(R308)&gt;0,R308,"")</f>
        <v/>
      </c>
      <c r="J308" s="45" t="str">
        <f aca="false">IF(AND(M308="",B308="",C308=""),"",IF(AND(N(E308)&gt;0,N(F308)&gt;0),"⚠ Fill withdrawal OR deposit",IF(M308="","⚠ Enter amount",IF(B308="","⚠ Enter date",IF(NOT(OR(NOT(ISNUMBER(G308)),NOT(ISNUMBER(G307)),ABS(N(G308)-(N(G307)+N(F308)-N(E308)))&lt;=0.5)),"⚠ Balance does not follow previous row","✔")))))</f>
        <v/>
      </c>
      <c r="M308" s="9" t="str">
        <f aca="false">IF(N(F308)&gt;0,"IN",IF(N(E308)&gt;0,"OUT",""))</f>
        <v/>
      </c>
      <c r="N308" s="9" t="str">
        <f aca="false">IF(M308="","",M308&amp;"|"&amp;TEXT(ROUND(N(E308)+N(F308),2),"0.00"))</f>
        <v/>
      </c>
      <c r="O308" s="9" t="str">
        <f aca="false">IF(OR(N308="",TRIM(D308&amp;"")=""),"",N308&amp;"|"&amp;UPPER(TRIM(D308&amp;"")))</f>
        <v/>
      </c>
      <c r="P308" s="9" t="n">
        <f aca="false">IF(O308="",0,IF(COUNTIF('Cash Book'!$O$8:$O$507,O308)&gt;0,1,0))</f>
        <v>0</v>
      </c>
      <c r="Q308" s="9" t="str">
        <f aca="false">IF(OR(N308="",P308=1),"",N308&amp;"#"&amp;COUNTIFS($N$8:N308,N308,$P$8:P308,0))</f>
        <v/>
      </c>
      <c r="R308" s="9" t="n">
        <f aca="false">IF(N308="",0,IFERROR(MATCH(ROW()-7,'Cash Book'!$U$8:$U$507,0),0))</f>
        <v>0</v>
      </c>
      <c r="V308" s="9" t="str">
        <f aca="false">IF(AND(N308&lt;&gt;"",R308=0),IF(M308="IN",3,4)*100000+ROW(),"")</f>
        <v/>
      </c>
      <c r="W308" s="9" t="n">
        <f aca="false">N(E308)+N(F308)</f>
        <v>0</v>
      </c>
    </row>
    <row r="309" customFormat="false" ht="15" hidden="false" customHeight="false" outlineLevel="0" collapsed="false">
      <c r="A309" s="37" t="str">
        <f aca="false">IF(M309="","",ROW()-7)</f>
        <v/>
      </c>
      <c r="B309" s="70"/>
      <c r="C309" s="72"/>
      <c r="D309" s="71"/>
      <c r="E309" s="73"/>
      <c r="F309" s="73"/>
      <c r="G309" s="73"/>
      <c r="H309" s="42" t="str">
        <f aca="false">IF(M309="","",IF(R309&gt;0,"✔ Matched",IF(M309="IN","Not in cash book (credit)","Not in cash book (debit)")))</f>
        <v/>
      </c>
      <c r="I309" s="43" t="str">
        <f aca="false">IF(N(R309)&gt;0,R309,"")</f>
        <v/>
      </c>
      <c r="J309" s="45" t="str">
        <f aca="false">IF(AND(M309="",B309="",C309=""),"",IF(AND(N(E309)&gt;0,N(F309)&gt;0),"⚠ Fill withdrawal OR deposit",IF(M309="","⚠ Enter amount",IF(B309="","⚠ Enter date",IF(NOT(OR(NOT(ISNUMBER(G309)),NOT(ISNUMBER(G308)),ABS(N(G309)-(N(G308)+N(F309)-N(E309)))&lt;=0.5)),"⚠ Balance does not follow previous row","✔")))))</f>
        <v/>
      </c>
      <c r="M309" s="9" t="str">
        <f aca="false">IF(N(F309)&gt;0,"IN",IF(N(E309)&gt;0,"OUT",""))</f>
        <v/>
      </c>
      <c r="N309" s="9" t="str">
        <f aca="false">IF(M309="","",M309&amp;"|"&amp;TEXT(ROUND(N(E309)+N(F309),2),"0.00"))</f>
        <v/>
      </c>
      <c r="O309" s="9" t="str">
        <f aca="false">IF(OR(N309="",TRIM(D309&amp;"")=""),"",N309&amp;"|"&amp;UPPER(TRIM(D309&amp;"")))</f>
        <v/>
      </c>
      <c r="P309" s="9" t="n">
        <f aca="false">IF(O309="",0,IF(COUNTIF('Cash Book'!$O$8:$O$507,O309)&gt;0,1,0))</f>
        <v>0</v>
      </c>
      <c r="Q309" s="9" t="str">
        <f aca="false">IF(OR(N309="",P309=1),"",N309&amp;"#"&amp;COUNTIFS($N$8:N309,N309,$P$8:P309,0))</f>
        <v/>
      </c>
      <c r="R309" s="9" t="n">
        <f aca="false">IF(N309="",0,IFERROR(MATCH(ROW()-7,'Cash Book'!$U$8:$U$507,0),0))</f>
        <v>0</v>
      </c>
      <c r="V309" s="9" t="str">
        <f aca="false">IF(AND(N309&lt;&gt;"",R309=0),IF(M309="IN",3,4)*100000+ROW(),"")</f>
        <v/>
      </c>
      <c r="W309" s="9" t="n">
        <f aca="false">N(E309)+N(F309)</f>
        <v>0</v>
      </c>
    </row>
    <row r="310" customFormat="false" ht="15" hidden="false" customHeight="false" outlineLevel="0" collapsed="false">
      <c r="A310" s="37" t="str">
        <f aca="false">IF(M310="","",ROW()-7)</f>
        <v/>
      </c>
      <c r="B310" s="70"/>
      <c r="C310" s="72"/>
      <c r="D310" s="71"/>
      <c r="E310" s="73"/>
      <c r="F310" s="73"/>
      <c r="G310" s="73"/>
      <c r="H310" s="42" t="str">
        <f aca="false">IF(M310="","",IF(R310&gt;0,"✔ Matched",IF(M310="IN","Not in cash book (credit)","Not in cash book (debit)")))</f>
        <v/>
      </c>
      <c r="I310" s="43" t="str">
        <f aca="false">IF(N(R310)&gt;0,R310,"")</f>
        <v/>
      </c>
      <c r="J310" s="45" t="str">
        <f aca="false">IF(AND(M310="",B310="",C310=""),"",IF(AND(N(E310)&gt;0,N(F310)&gt;0),"⚠ Fill withdrawal OR deposit",IF(M310="","⚠ Enter amount",IF(B310="","⚠ Enter date",IF(NOT(OR(NOT(ISNUMBER(G310)),NOT(ISNUMBER(G309)),ABS(N(G310)-(N(G309)+N(F310)-N(E310)))&lt;=0.5)),"⚠ Balance does not follow previous row","✔")))))</f>
        <v/>
      </c>
      <c r="M310" s="9" t="str">
        <f aca="false">IF(N(F310)&gt;0,"IN",IF(N(E310)&gt;0,"OUT",""))</f>
        <v/>
      </c>
      <c r="N310" s="9" t="str">
        <f aca="false">IF(M310="","",M310&amp;"|"&amp;TEXT(ROUND(N(E310)+N(F310),2),"0.00"))</f>
        <v/>
      </c>
      <c r="O310" s="9" t="str">
        <f aca="false">IF(OR(N310="",TRIM(D310&amp;"")=""),"",N310&amp;"|"&amp;UPPER(TRIM(D310&amp;"")))</f>
        <v/>
      </c>
      <c r="P310" s="9" t="n">
        <f aca="false">IF(O310="",0,IF(COUNTIF('Cash Book'!$O$8:$O$507,O310)&gt;0,1,0))</f>
        <v>0</v>
      </c>
      <c r="Q310" s="9" t="str">
        <f aca="false">IF(OR(N310="",P310=1),"",N310&amp;"#"&amp;COUNTIFS($N$8:N310,N310,$P$8:P310,0))</f>
        <v/>
      </c>
      <c r="R310" s="9" t="n">
        <f aca="false">IF(N310="",0,IFERROR(MATCH(ROW()-7,'Cash Book'!$U$8:$U$507,0),0))</f>
        <v>0</v>
      </c>
      <c r="V310" s="9" t="str">
        <f aca="false">IF(AND(N310&lt;&gt;"",R310=0),IF(M310="IN",3,4)*100000+ROW(),"")</f>
        <v/>
      </c>
      <c r="W310" s="9" t="n">
        <f aca="false">N(E310)+N(F310)</f>
        <v>0</v>
      </c>
    </row>
    <row r="311" customFormat="false" ht="15" hidden="false" customHeight="false" outlineLevel="0" collapsed="false">
      <c r="A311" s="37" t="str">
        <f aca="false">IF(M311="","",ROW()-7)</f>
        <v/>
      </c>
      <c r="B311" s="70"/>
      <c r="C311" s="72"/>
      <c r="D311" s="71"/>
      <c r="E311" s="73"/>
      <c r="F311" s="73"/>
      <c r="G311" s="73"/>
      <c r="H311" s="42" t="str">
        <f aca="false">IF(M311="","",IF(R311&gt;0,"✔ Matched",IF(M311="IN","Not in cash book (credit)","Not in cash book (debit)")))</f>
        <v/>
      </c>
      <c r="I311" s="43" t="str">
        <f aca="false">IF(N(R311)&gt;0,R311,"")</f>
        <v/>
      </c>
      <c r="J311" s="45" t="str">
        <f aca="false">IF(AND(M311="",B311="",C311=""),"",IF(AND(N(E311)&gt;0,N(F311)&gt;0),"⚠ Fill withdrawal OR deposit",IF(M311="","⚠ Enter amount",IF(B311="","⚠ Enter date",IF(NOT(OR(NOT(ISNUMBER(G311)),NOT(ISNUMBER(G310)),ABS(N(G311)-(N(G310)+N(F311)-N(E311)))&lt;=0.5)),"⚠ Balance does not follow previous row","✔")))))</f>
        <v/>
      </c>
      <c r="M311" s="9" t="str">
        <f aca="false">IF(N(F311)&gt;0,"IN",IF(N(E311)&gt;0,"OUT",""))</f>
        <v/>
      </c>
      <c r="N311" s="9" t="str">
        <f aca="false">IF(M311="","",M311&amp;"|"&amp;TEXT(ROUND(N(E311)+N(F311),2),"0.00"))</f>
        <v/>
      </c>
      <c r="O311" s="9" t="str">
        <f aca="false">IF(OR(N311="",TRIM(D311&amp;"")=""),"",N311&amp;"|"&amp;UPPER(TRIM(D311&amp;"")))</f>
        <v/>
      </c>
      <c r="P311" s="9" t="n">
        <f aca="false">IF(O311="",0,IF(COUNTIF('Cash Book'!$O$8:$O$507,O311)&gt;0,1,0))</f>
        <v>0</v>
      </c>
      <c r="Q311" s="9" t="str">
        <f aca="false">IF(OR(N311="",P311=1),"",N311&amp;"#"&amp;COUNTIFS($N$8:N311,N311,$P$8:P311,0))</f>
        <v/>
      </c>
      <c r="R311" s="9" t="n">
        <f aca="false">IF(N311="",0,IFERROR(MATCH(ROW()-7,'Cash Book'!$U$8:$U$507,0),0))</f>
        <v>0</v>
      </c>
      <c r="V311" s="9" t="str">
        <f aca="false">IF(AND(N311&lt;&gt;"",R311=0),IF(M311="IN",3,4)*100000+ROW(),"")</f>
        <v/>
      </c>
      <c r="W311" s="9" t="n">
        <f aca="false">N(E311)+N(F311)</f>
        <v>0</v>
      </c>
    </row>
    <row r="312" customFormat="false" ht="15" hidden="false" customHeight="false" outlineLevel="0" collapsed="false">
      <c r="A312" s="37" t="str">
        <f aca="false">IF(M312="","",ROW()-7)</f>
        <v/>
      </c>
      <c r="B312" s="70"/>
      <c r="C312" s="72"/>
      <c r="D312" s="71"/>
      <c r="E312" s="73"/>
      <c r="F312" s="73"/>
      <c r="G312" s="73"/>
      <c r="H312" s="42" t="str">
        <f aca="false">IF(M312="","",IF(R312&gt;0,"✔ Matched",IF(M312="IN","Not in cash book (credit)","Not in cash book (debit)")))</f>
        <v/>
      </c>
      <c r="I312" s="43" t="str">
        <f aca="false">IF(N(R312)&gt;0,R312,"")</f>
        <v/>
      </c>
      <c r="J312" s="45" t="str">
        <f aca="false">IF(AND(M312="",B312="",C312=""),"",IF(AND(N(E312)&gt;0,N(F312)&gt;0),"⚠ Fill withdrawal OR deposit",IF(M312="","⚠ Enter amount",IF(B312="","⚠ Enter date",IF(NOT(OR(NOT(ISNUMBER(G312)),NOT(ISNUMBER(G311)),ABS(N(G312)-(N(G311)+N(F312)-N(E312)))&lt;=0.5)),"⚠ Balance does not follow previous row","✔")))))</f>
        <v/>
      </c>
      <c r="M312" s="9" t="str">
        <f aca="false">IF(N(F312)&gt;0,"IN",IF(N(E312)&gt;0,"OUT",""))</f>
        <v/>
      </c>
      <c r="N312" s="9" t="str">
        <f aca="false">IF(M312="","",M312&amp;"|"&amp;TEXT(ROUND(N(E312)+N(F312),2),"0.00"))</f>
        <v/>
      </c>
      <c r="O312" s="9" t="str">
        <f aca="false">IF(OR(N312="",TRIM(D312&amp;"")=""),"",N312&amp;"|"&amp;UPPER(TRIM(D312&amp;"")))</f>
        <v/>
      </c>
      <c r="P312" s="9" t="n">
        <f aca="false">IF(O312="",0,IF(COUNTIF('Cash Book'!$O$8:$O$507,O312)&gt;0,1,0))</f>
        <v>0</v>
      </c>
      <c r="Q312" s="9" t="str">
        <f aca="false">IF(OR(N312="",P312=1),"",N312&amp;"#"&amp;COUNTIFS($N$8:N312,N312,$P$8:P312,0))</f>
        <v/>
      </c>
      <c r="R312" s="9" t="n">
        <f aca="false">IF(N312="",0,IFERROR(MATCH(ROW()-7,'Cash Book'!$U$8:$U$507,0),0))</f>
        <v>0</v>
      </c>
      <c r="V312" s="9" t="str">
        <f aca="false">IF(AND(N312&lt;&gt;"",R312=0),IF(M312="IN",3,4)*100000+ROW(),"")</f>
        <v/>
      </c>
      <c r="W312" s="9" t="n">
        <f aca="false">N(E312)+N(F312)</f>
        <v>0</v>
      </c>
    </row>
    <row r="313" customFormat="false" ht="15" hidden="false" customHeight="false" outlineLevel="0" collapsed="false">
      <c r="A313" s="37" t="str">
        <f aca="false">IF(M313="","",ROW()-7)</f>
        <v/>
      </c>
      <c r="B313" s="70"/>
      <c r="C313" s="72"/>
      <c r="D313" s="71"/>
      <c r="E313" s="73"/>
      <c r="F313" s="73"/>
      <c r="G313" s="73"/>
      <c r="H313" s="42" t="str">
        <f aca="false">IF(M313="","",IF(R313&gt;0,"✔ Matched",IF(M313="IN","Not in cash book (credit)","Not in cash book (debit)")))</f>
        <v/>
      </c>
      <c r="I313" s="43" t="str">
        <f aca="false">IF(N(R313)&gt;0,R313,"")</f>
        <v/>
      </c>
      <c r="J313" s="45" t="str">
        <f aca="false">IF(AND(M313="",B313="",C313=""),"",IF(AND(N(E313)&gt;0,N(F313)&gt;0),"⚠ Fill withdrawal OR deposit",IF(M313="","⚠ Enter amount",IF(B313="","⚠ Enter date",IF(NOT(OR(NOT(ISNUMBER(G313)),NOT(ISNUMBER(G312)),ABS(N(G313)-(N(G312)+N(F313)-N(E313)))&lt;=0.5)),"⚠ Balance does not follow previous row","✔")))))</f>
        <v/>
      </c>
      <c r="M313" s="9" t="str">
        <f aca="false">IF(N(F313)&gt;0,"IN",IF(N(E313)&gt;0,"OUT",""))</f>
        <v/>
      </c>
      <c r="N313" s="9" t="str">
        <f aca="false">IF(M313="","",M313&amp;"|"&amp;TEXT(ROUND(N(E313)+N(F313),2),"0.00"))</f>
        <v/>
      </c>
      <c r="O313" s="9" t="str">
        <f aca="false">IF(OR(N313="",TRIM(D313&amp;"")=""),"",N313&amp;"|"&amp;UPPER(TRIM(D313&amp;"")))</f>
        <v/>
      </c>
      <c r="P313" s="9" t="n">
        <f aca="false">IF(O313="",0,IF(COUNTIF('Cash Book'!$O$8:$O$507,O313)&gt;0,1,0))</f>
        <v>0</v>
      </c>
      <c r="Q313" s="9" t="str">
        <f aca="false">IF(OR(N313="",P313=1),"",N313&amp;"#"&amp;COUNTIFS($N$8:N313,N313,$P$8:P313,0))</f>
        <v/>
      </c>
      <c r="R313" s="9" t="n">
        <f aca="false">IF(N313="",0,IFERROR(MATCH(ROW()-7,'Cash Book'!$U$8:$U$507,0),0))</f>
        <v>0</v>
      </c>
      <c r="V313" s="9" t="str">
        <f aca="false">IF(AND(N313&lt;&gt;"",R313=0),IF(M313="IN",3,4)*100000+ROW(),"")</f>
        <v/>
      </c>
      <c r="W313" s="9" t="n">
        <f aca="false">N(E313)+N(F313)</f>
        <v>0</v>
      </c>
    </row>
    <row r="314" customFormat="false" ht="15" hidden="false" customHeight="false" outlineLevel="0" collapsed="false">
      <c r="A314" s="37" t="str">
        <f aca="false">IF(M314="","",ROW()-7)</f>
        <v/>
      </c>
      <c r="B314" s="70"/>
      <c r="C314" s="72"/>
      <c r="D314" s="71"/>
      <c r="E314" s="73"/>
      <c r="F314" s="73"/>
      <c r="G314" s="73"/>
      <c r="H314" s="42" t="str">
        <f aca="false">IF(M314="","",IF(R314&gt;0,"✔ Matched",IF(M314="IN","Not in cash book (credit)","Not in cash book (debit)")))</f>
        <v/>
      </c>
      <c r="I314" s="43" t="str">
        <f aca="false">IF(N(R314)&gt;0,R314,"")</f>
        <v/>
      </c>
      <c r="J314" s="45" t="str">
        <f aca="false">IF(AND(M314="",B314="",C314=""),"",IF(AND(N(E314)&gt;0,N(F314)&gt;0),"⚠ Fill withdrawal OR deposit",IF(M314="","⚠ Enter amount",IF(B314="","⚠ Enter date",IF(NOT(OR(NOT(ISNUMBER(G314)),NOT(ISNUMBER(G313)),ABS(N(G314)-(N(G313)+N(F314)-N(E314)))&lt;=0.5)),"⚠ Balance does not follow previous row","✔")))))</f>
        <v/>
      </c>
      <c r="M314" s="9" t="str">
        <f aca="false">IF(N(F314)&gt;0,"IN",IF(N(E314)&gt;0,"OUT",""))</f>
        <v/>
      </c>
      <c r="N314" s="9" t="str">
        <f aca="false">IF(M314="","",M314&amp;"|"&amp;TEXT(ROUND(N(E314)+N(F314),2),"0.00"))</f>
        <v/>
      </c>
      <c r="O314" s="9" t="str">
        <f aca="false">IF(OR(N314="",TRIM(D314&amp;"")=""),"",N314&amp;"|"&amp;UPPER(TRIM(D314&amp;"")))</f>
        <v/>
      </c>
      <c r="P314" s="9" t="n">
        <f aca="false">IF(O314="",0,IF(COUNTIF('Cash Book'!$O$8:$O$507,O314)&gt;0,1,0))</f>
        <v>0</v>
      </c>
      <c r="Q314" s="9" t="str">
        <f aca="false">IF(OR(N314="",P314=1),"",N314&amp;"#"&amp;COUNTIFS($N$8:N314,N314,$P$8:P314,0))</f>
        <v/>
      </c>
      <c r="R314" s="9" t="n">
        <f aca="false">IF(N314="",0,IFERROR(MATCH(ROW()-7,'Cash Book'!$U$8:$U$507,0),0))</f>
        <v>0</v>
      </c>
      <c r="V314" s="9" t="str">
        <f aca="false">IF(AND(N314&lt;&gt;"",R314=0),IF(M314="IN",3,4)*100000+ROW(),"")</f>
        <v/>
      </c>
      <c r="W314" s="9" t="n">
        <f aca="false">N(E314)+N(F314)</f>
        <v>0</v>
      </c>
    </row>
    <row r="315" customFormat="false" ht="15" hidden="false" customHeight="false" outlineLevel="0" collapsed="false">
      <c r="A315" s="37" t="str">
        <f aca="false">IF(M315="","",ROW()-7)</f>
        <v/>
      </c>
      <c r="B315" s="70"/>
      <c r="C315" s="72"/>
      <c r="D315" s="71"/>
      <c r="E315" s="73"/>
      <c r="F315" s="73"/>
      <c r="G315" s="73"/>
      <c r="H315" s="42" t="str">
        <f aca="false">IF(M315="","",IF(R315&gt;0,"✔ Matched",IF(M315="IN","Not in cash book (credit)","Not in cash book (debit)")))</f>
        <v/>
      </c>
      <c r="I315" s="43" t="str">
        <f aca="false">IF(N(R315)&gt;0,R315,"")</f>
        <v/>
      </c>
      <c r="J315" s="45" t="str">
        <f aca="false">IF(AND(M315="",B315="",C315=""),"",IF(AND(N(E315)&gt;0,N(F315)&gt;0),"⚠ Fill withdrawal OR deposit",IF(M315="","⚠ Enter amount",IF(B315="","⚠ Enter date",IF(NOT(OR(NOT(ISNUMBER(G315)),NOT(ISNUMBER(G314)),ABS(N(G315)-(N(G314)+N(F315)-N(E315)))&lt;=0.5)),"⚠ Balance does not follow previous row","✔")))))</f>
        <v/>
      </c>
      <c r="M315" s="9" t="str">
        <f aca="false">IF(N(F315)&gt;0,"IN",IF(N(E315)&gt;0,"OUT",""))</f>
        <v/>
      </c>
      <c r="N315" s="9" t="str">
        <f aca="false">IF(M315="","",M315&amp;"|"&amp;TEXT(ROUND(N(E315)+N(F315),2),"0.00"))</f>
        <v/>
      </c>
      <c r="O315" s="9" t="str">
        <f aca="false">IF(OR(N315="",TRIM(D315&amp;"")=""),"",N315&amp;"|"&amp;UPPER(TRIM(D315&amp;"")))</f>
        <v/>
      </c>
      <c r="P315" s="9" t="n">
        <f aca="false">IF(O315="",0,IF(COUNTIF('Cash Book'!$O$8:$O$507,O315)&gt;0,1,0))</f>
        <v>0</v>
      </c>
      <c r="Q315" s="9" t="str">
        <f aca="false">IF(OR(N315="",P315=1),"",N315&amp;"#"&amp;COUNTIFS($N$8:N315,N315,$P$8:P315,0))</f>
        <v/>
      </c>
      <c r="R315" s="9" t="n">
        <f aca="false">IF(N315="",0,IFERROR(MATCH(ROW()-7,'Cash Book'!$U$8:$U$507,0),0))</f>
        <v>0</v>
      </c>
      <c r="V315" s="9" t="str">
        <f aca="false">IF(AND(N315&lt;&gt;"",R315=0),IF(M315="IN",3,4)*100000+ROW(),"")</f>
        <v/>
      </c>
      <c r="W315" s="9" t="n">
        <f aca="false">N(E315)+N(F315)</f>
        <v>0</v>
      </c>
    </row>
    <row r="316" customFormat="false" ht="15" hidden="false" customHeight="false" outlineLevel="0" collapsed="false">
      <c r="A316" s="37" t="str">
        <f aca="false">IF(M316="","",ROW()-7)</f>
        <v/>
      </c>
      <c r="B316" s="70"/>
      <c r="C316" s="72"/>
      <c r="D316" s="71"/>
      <c r="E316" s="73"/>
      <c r="F316" s="73"/>
      <c r="G316" s="73"/>
      <c r="H316" s="42" t="str">
        <f aca="false">IF(M316="","",IF(R316&gt;0,"✔ Matched",IF(M316="IN","Not in cash book (credit)","Not in cash book (debit)")))</f>
        <v/>
      </c>
      <c r="I316" s="43" t="str">
        <f aca="false">IF(N(R316)&gt;0,R316,"")</f>
        <v/>
      </c>
      <c r="J316" s="45" t="str">
        <f aca="false">IF(AND(M316="",B316="",C316=""),"",IF(AND(N(E316)&gt;0,N(F316)&gt;0),"⚠ Fill withdrawal OR deposit",IF(M316="","⚠ Enter amount",IF(B316="","⚠ Enter date",IF(NOT(OR(NOT(ISNUMBER(G316)),NOT(ISNUMBER(G315)),ABS(N(G316)-(N(G315)+N(F316)-N(E316)))&lt;=0.5)),"⚠ Balance does not follow previous row","✔")))))</f>
        <v/>
      </c>
      <c r="M316" s="9" t="str">
        <f aca="false">IF(N(F316)&gt;0,"IN",IF(N(E316)&gt;0,"OUT",""))</f>
        <v/>
      </c>
      <c r="N316" s="9" t="str">
        <f aca="false">IF(M316="","",M316&amp;"|"&amp;TEXT(ROUND(N(E316)+N(F316),2),"0.00"))</f>
        <v/>
      </c>
      <c r="O316" s="9" t="str">
        <f aca="false">IF(OR(N316="",TRIM(D316&amp;"")=""),"",N316&amp;"|"&amp;UPPER(TRIM(D316&amp;"")))</f>
        <v/>
      </c>
      <c r="P316" s="9" t="n">
        <f aca="false">IF(O316="",0,IF(COUNTIF('Cash Book'!$O$8:$O$507,O316)&gt;0,1,0))</f>
        <v>0</v>
      </c>
      <c r="Q316" s="9" t="str">
        <f aca="false">IF(OR(N316="",P316=1),"",N316&amp;"#"&amp;COUNTIFS($N$8:N316,N316,$P$8:P316,0))</f>
        <v/>
      </c>
      <c r="R316" s="9" t="n">
        <f aca="false">IF(N316="",0,IFERROR(MATCH(ROW()-7,'Cash Book'!$U$8:$U$507,0),0))</f>
        <v>0</v>
      </c>
      <c r="V316" s="9" t="str">
        <f aca="false">IF(AND(N316&lt;&gt;"",R316=0),IF(M316="IN",3,4)*100000+ROW(),"")</f>
        <v/>
      </c>
      <c r="W316" s="9" t="n">
        <f aca="false">N(E316)+N(F316)</f>
        <v>0</v>
      </c>
    </row>
    <row r="317" customFormat="false" ht="15" hidden="false" customHeight="false" outlineLevel="0" collapsed="false">
      <c r="A317" s="37" t="str">
        <f aca="false">IF(M317="","",ROW()-7)</f>
        <v/>
      </c>
      <c r="B317" s="70"/>
      <c r="C317" s="72"/>
      <c r="D317" s="71"/>
      <c r="E317" s="73"/>
      <c r="F317" s="73"/>
      <c r="G317" s="73"/>
      <c r="H317" s="42" t="str">
        <f aca="false">IF(M317="","",IF(R317&gt;0,"✔ Matched",IF(M317="IN","Not in cash book (credit)","Not in cash book (debit)")))</f>
        <v/>
      </c>
      <c r="I317" s="43" t="str">
        <f aca="false">IF(N(R317)&gt;0,R317,"")</f>
        <v/>
      </c>
      <c r="J317" s="45" t="str">
        <f aca="false">IF(AND(M317="",B317="",C317=""),"",IF(AND(N(E317)&gt;0,N(F317)&gt;0),"⚠ Fill withdrawal OR deposit",IF(M317="","⚠ Enter amount",IF(B317="","⚠ Enter date",IF(NOT(OR(NOT(ISNUMBER(G317)),NOT(ISNUMBER(G316)),ABS(N(G317)-(N(G316)+N(F317)-N(E317)))&lt;=0.5)),"⚠ Balance does not follow previous row","✔")))))</f>
        <v/>
      </c>
      <c r="M317" s="9" t="str">
        <f aca="false">IF(N(F317)&gt;0,"IN",IF(N(E317)&gt;0,"OUT",""))</f>
        <v/>
      </c>
      <c r="N317" s="9" t="str">
        <f aca="false">IF(M317="","",M317&amp;"|"&amp;TEXT(ROUND(N(E317)+N(F317),2),"0.00"))</f>
        <v/>
      </c>
      <c r="O317" s="9" t="str">
        <f aca="false">IF(OR(N317="",TRIM(D317&amp;"")=""),"",N317&amp;"|"&amp;UPPER(TRIM(D317&amp;"")))</f>
        <v/>
      </c>
      <c r="P317" s="9" t="n">
        <f aca="false">IF(O317="",0,IF(COUNTIF('Cash Book'!$O$8:$O$507,O317)&gt;0,1,0))</f>
        <v>0</v>
      </c>
      <c r="Q317" s="9" t="str">
        <f aca="false">IF(OR(N317="",P317=1),"",N317&amp;"#"&amp;COUNTIFS($N$8:N317,N317,$P$8:P317,0))</f>
        <v/>
      </c>
      <c r="R317" s="9" t="n">
        <f aca="false">IF(N317="",0,IFERROR(MATCH(ROW()-7,'Cash Book'!$U$8:$U$507,0),0))</f>
        <v>0</v>
      </c>
      <c r="V317" s="9" t="str">
        <f aca="false">IF(AND(N317&lt;&gt;"",R317=0),IF(M317="IN",3,4)*100000+ROW(),"")</f>
        <v/>
      </c>
      <c r="W317" s="9" t="n">
        <f aca="false">N(E317)+N(F317)</f>
        <v>0</v>
      </c>
    </row>
    <row r="318" customFormat="false" ht="15" hidden="false" customHeight="false" outlineLevel="0" collapsed="false">
      <c r="A318" s="37" t="str">
        <f aca="false">IF(M318="","",ROW()-7)</f>
        <v/>
      </c>
      <c r="B318" s="70"/>
      <c r="C318" s="72"/>
      <c r="D318" s="71"/>
      <c r="E318" s="73"/>
      <c r="F318" s="73"/>
      <c r="G318" s="73"/>
      <c r="H318" s="42" t="str">
        <f aca="false">IF(M318="","",IF(R318&gt;0,"✔ Matched",IF(M318="IN","Not in cash book (credit)","Not in cash book (debit)")))</f>
        <v/>
      </c>
      <c r="I318" s="43" t="str">
        <f aca="false">IF(N(R318)&gt;0,R318,"")</f>
        <v/>
      </c>
      <c r="J318" s="45" t="str">
        <f aca="false">IF(AND(M318="",B318="",C318=""),"",IF(AND(N(E318)&gt;0,N(F318)&gt;0),"⚠ Fill withdrawal OR deposit",IF(M318="","⚠ Enter amount",IF(B318="","⚠ Enter date",IF(NOT(OR(NOT(ISNUMBER(G318)),NOT(ISNUMBER(G317)),ABS(N(G318)-(N(G317)+N(F318)-N(E318)))&lt;=0.5)),"⚠ Balance does not follow previous row","✔")))))</f>
        <v/>
      </c>
      <c r="M318" s="9" t="str">
        <f aca="false">IF(N(F318)&gt;0,"IN",IF(N(E318)&gt;0,"OUT",""))</f>
        <v/>
      </c>
      <c r="N318" s="9" t="str">
        <f aca="false">IF(M318="","",M318&amp;"|"&amp;TEXT(ROUND(N(E318)+N(F318),2),"0.00"))</f>
        <v/>
      </c>
      <c r="O318" s="9" t="str">
        <f aca="false">IF(OR(N318="",TRIM(D318&amp;"")=""),"",N318&amp;"|"&amp;UPPER(TRIM(D318&amp;"")))</f>
        <v/>
      </c>
      <c r="P318" s="9" t="n">
        <f aca="false">IF(O318="",0,IF(COUNTIF('Cash Book'!$O$8:$O$507,O318)&gt;0,1,0))</f>
        <v>0</v>
      </c>
      <c r="Q318" s="9" t="str">
        <f aca="false">IF(OR(N318="",P318=1),"",N318&amp;"#"&amp;COUNTIFS($N$8:N318,N318,$P$8:P318,0))</f>
        <v/>
      </c>
      <c r="R318" s="9" t="n">
        <f aca="false">IF(N318="",0,IFERROR(MATCH(ROW()-7,'Cash Book'!$U$8:$U$507,0),0))</f>
        <v>0</v>
      </c>
      <c r="V318" s="9" t="str">
        <f aca="false">IF(AND(N318&lt;&gt;"",R318=0),IF(M318="IN",3,4)*100000+ROW(),"")</f>
        <v/>
      </c>
      <c r="W318" s="9" t="n">
        <f aca="false">N(E318)+N(F318)</f>
        <v>0</v>
      </c>
    </row>
    <row r="319" customFormat="false" ht="15" hidden="false" customHeight="false" outlineLevel="0" collapsed="false">
      <c r="A319" s="37" t="str">
        <f aca="false">IF(M319="","",ROW()-7)</f>
        <v/>
      </c>
      <c r="B319" s="70"/>
      <c r="C319" s="72"/>
      <c r="D319" s="71"/>
      <c r="E319" s="73"/>
      <c r="F319" s="73"/>
      <c r="G319" s="73"/>
      <c r="H319" s="42" t="str">
        <f aca="false">IF(M319="","",IF(R319&gt;0,"✔ Matched",IF(M319="IN","Not in cash book (credit)","Not in cash book (debit)")))</f>
        <v/>
      </c>
      <c r="I319" s="43" t="str">
        <f aca="false">IF(N(R319)&gt;0,R319,"")</f>
        <v/>
      </c>
      <c r="J319" s="45" t="str">
        <f aca="false">IF(AND(M319="",B319="",C319=""),"",IF(AND(N(E319)&gt;0,N(F319)&gt;0),"⚠ Fill withdrawal OR deposit",IF(M319="","⚠ Enter amount",IF(B319="","⚠ Enter date",IF(NOT(OR(NOT(ISNUMBER(G319)),NOT(ISNUMBER(G318)),ABS(N(G319)-(N(G318)+N(F319)-N(E319)))&lt;=0.5)),"⚠ Balance does not follow previous row","✔")))))</f>
        <v/>
      </c>
      <c r="M319" s="9" t="str">
        <f aca="false">IF(N(F319)&gt;0,"IN",IF(N(E319)&gt;0,"OUT",""))</f>
        <v/>
      </c>
      <c r="N319" s="9" t="str">
        <f aca="false">IF(M319="","",M319&amp;"|"&amp;TEXT(ROUND(N(E319)+N(F319),2),"0.00"))</f>
        <v/>
      </c>
      <c r="O319" s="9" t="str">
        <f aca="false">IF(OR(N319="",TRIM(D319&amp;"")=""),"",N319&amp;"|"&amp;UPPER(TRIM(D319&amp;"")))</f>
        <v/>
      </c>
      <c r="P319" s="9" t="n">
        <f aca="false">IF(O319="",0,IF(COUNTIF('Cash Book'!$O$8:$O$507,O319)&gt;0,1,0))</f>
        <v>0</v>
      </c>
      <c r="Q319" s="9" t="str">
        <f aca="false">IF(OR(N319="",P319=1),"",N319&amp;"#"&amp;COUNTIFS($N$8:N319,N319,$P$8:P319,0))</f>
        <v/>
      </c>
      <c r="R319" s="9" t="n">
        <f aca="false">IF(N319="",0,IFERROR(MATCH(ROW()-7,'Cash Book'!$U$8:$U$507,0),0))</f>
        <v>0</v>
      </c>
      <c r="V319" s="9" t="str">
        <f aca="false">IF(AND(N319&lt;&gt;"",R319=0),IF(M319="IN",3,4)*100000+ROW(),"")</f>
        <v/>
      </c>
      <c r="W319" s="9" t="n">
        <f aca="false">N(E319)+N(F319)</f>
        <v>0</v>
      </c>
    </row>
    <row r="320" customFormat="false" ht="15" hidden="false" customHeight="false" outlineLevel="0" collapsed="false">
      <c r="A320" s="37" t="str">
        <f aca="false">IF(M320="","",ROW()-7)</f>
        <v/>
      </c>
      <c r="B320" s="70"/>
      <c r="C320" s="72"/>
      <c r="D320" s="71"/>
      <c r="E320" s="73"/>
      <c r="F320" s="73"/>
      <c r="G320" s="73"/>
      <c r="H320" s="42" t="str">
        <f aca="false">IF(M320="","",IF(R320&gt;0,"✔ Matched",IF(M320="IN","Not in cash book (credit)","Not in cash book (debit)")))</f>
        <v/>
      </c>
      <c r="I320" s="43" t="str">
        <f aca="false">IF(N(R320)&gt;0,R320,"")</f>
        <v/>
      </c>
      <c r="J320" s="45" t="str">
        <f aca="false">IF(AND(M320="",B320="",C320=""),"",IF(AND(N(E320)&gt;0,N(F320)&gt;0),"⚠ Fill withdrawal OR deposit",IF(M320="","⚠ Enter amount",IF(B320="","⚠ Enter date",IF(NOT(OR(NOT(ISNUMBER(G320)),NOT(ISNUMBER(G319)),ABS(N(G320)-(N(G319)+N(F320)-N(E320)))&lt;=0.5)),"⚠ Balance does not follow previous row","✔")))))</f>
        <v/>
      </c>
      <c r="M320" s="9" t="str">
        <f aca="false">IF(N(F320)&gt;0,"IN",IF(N(E320)&gt;0,"OUT",""))</f>
        <v/>
      </c>
      <c r="N320" s="9" t="str">
        <f aca="false">IF(M320="","",M320&amp;"|"&amp;TEXT(ROUND(N(E320)+N(F320),2),"0.00"))</f>
        <v/>
      </c>
      <c r="O320" s="9" t="str">
        <f aca="false">IF(OR(N320="",TRIM(D320&amp;"")=""),"",N320&amp;"|"&amp;UPPER(TRIM(D320&amp;"")))</f>
        <v/>
      </c>
      <c r="P320" s="9" t="n">
        <f aca="false">IF(O320="",0,IF(COUNTIF('Cash Book'!$O$8:$O$507,O320)&gt;0,1,0))</f>
        <v>0</v>
      </c>
      <c r="Q320" s="9" t="str">
        <f aca="false">IF(OR(N320="",P320=1),"",N320&amp;"#"&amp;COUNTIFS($N$8:N320,N320,$P$8:P320,0))</f>
        <v/>
      </c>
      <c r="R320" s="9" t="n">
        <f aca="false">IF(N320="",0,IFERROR(MATCH(ROW()-7,'Cash Book'!$U$8:$U$507,0),0))</f>
        <v>0</v>
      </c>
      <c r="V320" s="9" t="str">
        <f aca="false">IF(AND(N320&lt;&gt;"",R320=0),IF(M320="IN",3,4)*100000+ROW(),"")</f>
        <v/>
      </c>
      <c r="W320" s="9" t="n">
        <f aca="false">N(E320)+N(F320)</f>
        <v>0</v>
      </c>
    </row>
    <row r="321" customFormat="false" ht="15" hidden="false" customHeight="false" outlineLevel="0" collapsed="false">
      <c r="A321" s="37" t="str">
        <f aca="false">IF(M321="","",ROW()-7)</f>
        <v/>
      </c>
      <c r="B321" s="70"/>
      <c r="C321" s="72"/>
      <c r="D321" s="71"/>
      <c r="E321" s="73"/>
      <c r="F321" s="73"/>
      <c r="G321" s="73"/>
      <c r="H321" s="42" t="str">
        <f aca="false">IF(M321="","",IF(R321&gt;0,"✔ Matched",IF(M321="IN","Not in cash book (credit)","Not in cash book (debit)")))</f>
        <v/>
      </c>
      <c r="I321" s="43" t="str">
        <f aca="false">IF(N(R321)&gt;0,R321,"")</f>
        <v/>
      </c>
      <c r="J321" s="45" t="str">
        <f aca="false">IF(AND(M321="",B321="",C321=""),"",IF(AND(N(E321)&gt;0,N(F321)&gt;0),"⚠ Fill withdrawal OR deposit",IF(M321="","⚠ Enter amount",IF(B321="","⚠ Enter date",IF(NOT(OR(NOT(ISNUMBER(G321)),NOT(ISNUMBER(G320)),ABS(N(G321)-(N(G320)+N(F321)-N(E321)))&lt;=0.5)),"⚠ Balance does not follow previous row","✔")))))</f>
        <v/>
      </c>
      <c r="M321" s="9" t="str">
        <f aca="false">IF(N(F321)&gt;0,"IN",IF(N(E321)&gt;0,"OUT",""))</f>
        <v/>
      </c>
      <c r="N321" s="9" t="str">
        <f aca="false">IF(M321="","",M321&amp;"|"&amp;TEXT(ROUND(N(E321)+N(F321),2),"0.00"))</f>
        <v/>
      </c>
      <c r="O321" s="9" t="str">
        <f aca="false">IF(OR(N321="",TRIM(D321&amp;"")=""),"",N321&amp;"|"&amp;UPPER(TRIM(D321&amp;"")))</f>
        <v/>
      </c>
      <c r="P321" s="9" t="n">
        <f aca="false">IF(O321="",0,IF(COUNTIF('Cash Book'!$O$8:$O$507,O321)&gt;0,1,0))</f>
        <v>0</v>
      </c>
      <c r="Q321" s="9" t="str">
        <f aca="false">IF(OR(N321="",P321=1),"",N321&amp;"#"&amp;COUNTIFS($N$8:N321,N321,$P$8:P321,0))</f>
        <v/>
      </c>
      <c r="R321" s="9" t="n">
        <f aca="false">IF(N321="",0,IFERROR(MATCH(ROW()-7,'Cash Book'!$U$8:$U$507,0),0))</f>
        <v>0</v>
      </c>
      <c r="V321" s="9" t="str">
        <f aca="false">IF(AND(N321&lt;&gt;"",R321=0),IF(M321="IN",3,4)*100000+ROW(),"")</f>
        <v/>
      </c>
      <c r="W321" s="9" t="n">
        <f aca="false">N(E321)+N(F321)</f>
        <v>0</v>
      </c>
    </row>
    <row r="322" customFormat="false" ht="15" hidden="false" customHeight="false" outlineLevel="0" collapsed="false">
      <c r="A322" s="37" t="str">
        <f aca="false">IF(M322="","",ROW()-7)</f>
        <v/>
      </c>
      <c r="B322" s="70"/>
      <c r="C322" s="72"/>
      <c r="D322" s="71"/>
      <c r="E322" s="73"/>
      <c r="F322" s="73"/>
      <c r="G322" s="73"/>
      <c r="H322" s="42" t="str">
        <f aca="false">IF(M322="","",IF(R322&gt;0,"✔ Matched",IF(M322="IN","Not in cash book (credit)","Not in cash book (debit)")))</f>
        <v/>
      </c>
      <c r="I322" s="43" t="str">
        <f aca="false">IF(N(R322)&gt;0,R322,"")</f>
        <v/>
      </c>
      <c r="J322" s="45" t="str">
        <f aca="false">IF(AND(M322="",B322="",C322=""),"",IF(AND(N(E322)&gt;0,N(F322)&gt;0),"⚠ Fill withdrawal OR deposit",IF(M322="","⚠ Enter amount",IF(B322="","⚠ Enter date",IF(NOT(OR(NOT(ISNUMBER(G322)),NOT(ISNUMBER(G321)),ABS(N(G322)-(N(G321)+N(F322)-N(E322)))&lt;=0.5)),"⚠ Balance does not follow previous row","✔")))))</f>
        <v/>
      </c>
      <c r="M322" s="9" t="str">
        <f aca="false">IF(N(F322)&gt;0,"IN",IF(N(E322)&gt;0,"OUT",""))</f>
        <v/>
      </c>
      <c r="N322" s="9" t="str">
        <f aca="false">IF(M322="","",M322&amp;"|"&amp;TEXT(ROUND(N(E322)+N(F322),2),"0.00"))</f>
        <v/>
      </c>
      <c r="O322" s="9" t="str">
        <f aca="false">IF(OR(N322="",TRIM(D322&amp;"")=""),"",N322&amp;"|"&amp;UPPER(TRIM(D322&amp;"")))</f>
        <v/>
      </c>
      <c r="P322" s="9" t="n">
        <f aca="false">IF(O322="",0,IF(COUNTIF('Cash Book'!$O$8:$O$507,O322)&gt;0,1,0))</f>
        <v>0</v>
      </c>
      <c r="Q322" s="9" t="str">
        <f aca="false">IF(OR(N322="",P322=1),"",N322&amp;"#"&amp;COUNTIFS($N$8:N322,N322,$P$8:P322,0))</f>
        <v/>
      </c>
      <c r="R322" s="9" t="n">
        <f aca="false">IF(N322="",0,IFERROR(MATCH(ROW()-7,'Cash Book'!$U$8:$U$507,0),0))</f>
        <v>0</v>
      </c>
      <c r="V322" s="9" t="str">
        <f aca="false">IF(AND(N322&lt;&gt;"",R322=0),IF(M322="IN",3,4)*100000+ROW(),"")</f>
        <v/>
      </c>
      <c r="W322" s="9" t="n">
        <f aca="false">N(E322)+N(F322)</f>
        <v>0</v>
      </c>
    </row>
    <row r="323" customFormat="false" ht="15" hidden="false" customHeight="false" outlineLevel="0" collapsed="false">
      <c r="A323" s="37" t="str">
        <f aca="false">IF(M323="","",ROW()-7)</f>
        <v/>
      </c>
      <c r="B323" s="70"/>
      <c r="C323" s="72"/>
      <c r="D323" s="71"/>
      <c r="E323" s="73"/>
      <c r="F323" s="73"/>
      <c r="G323" s="73"/>
      <c r="H323" s="42" t="str">
        <f aca="false">IF(M323="","",IF(R323&gt;0,"✔ Matched",IF(M323="IN","Not in cash book (credit)","Not in cash book (debit)")))</f>
        <v/>
      </c>
      <c r="I323" s="43" t="str">
        <f aca="false">IF(N(R323)&gt;0,R323,"")</f>
        <v/>
      </c>
      <c r="J323" s="45" t="str">
        <f aca="false">IF(AND(M323="",B323="",C323=""),"",IF(AND(N(E323)&gt;0,N(F323)&gt;0),"⚠ Fill withdrawal OR deposit",IF(M323="","⚠ Enter amount",IF(B323="","⚠ Enter date",IF(NOT(OR(NOT(ISNUMBER(G323)),NOT(ISNUMBER(G322)),ABS(N(G323)-(N(G322)+N(F323)-N(E323)))&lt;=0.5)),"⚠ Balance does not follow previous row","✔")))))</f>
        <v/>
      </c>
      <c r="M323" s="9" t="str">
        <f aca="false">IF(N(F323)&gt;0,"IN",IF(N(E323)&gt;0,"OUT",""))</f>
        <v/>
      </c>
      <c r="N323" s="9" t="str">
        <f aca="false">IF(M323="","",M323&amp;"|"&amp;TEXT(ROUND(N(E323)+N(F323),2),"0.00"))</f>
        <v/>
      </c>
      <c r="O323" s="9" t="str">
        <f aca="false">IF(OR(N323="",TRIM(D323&amp;"")=""),"",N323&amp;"|"&amp;UPPER(TRIM(D323&amp;"")))</f>
        <v/>
      </c>
      <c r="P323" s="9" t="n">
        <f aca="false">IF(O323="",0,IF(COUNTIF('Cash Book'!$O$8:$O$507,O323)&gt;0,1,0))</f>
        <v>0</v>
      </c>
      <c r="Q323" s="9" t="str">
        <f aca="false">IF(OR(N323="",P323=1),"",N323&amp;"#"&amp;COUNTIFS($N$8:N323,N323,$P$8:P323,0))</f>
        <v/>
      </c>
      <c r="R323" s="9" t="n">
        <f aca="false">IF(N323="",0,IFERROR(MATCH(ROW()-7,'Cash Book'!$U$8:$U$507,0),0))</f>
        <v>0</v>
      </c>
      <c r="V323" s="9" t="str">
        <f aca="false">IF(AND(N323&lt;&gt;"",R323=0),IF(M323="IN",3,4)*100000+ROW(),"")</f>
        <v/>
      </c>
      <c r="W323" s="9" t="n">
        <f aca="false">N(E323)+N(F323)</f>
        <v>0</v>
      </c>
    </row>
    <row r="324" customFormat="false" ht="15" hidden="false" customHeight="false" outlineLevel="0" collapsed="false">
      <c r="A324" s="37" t="str">
        <f aca="false">IF(M324="","",ROW()-7)</f>
        <v/>
      </c>
      <c r="B324" s="70"/>
      <c r="C324" s="72"/>
      <c r="D324" s="71"/>
      <c r="E324" s="73"/>
      <c r="F324" s="73"/>
      <c r="G324" s="73"/>
      <c r="H324" s="42" t="str">
        <f aca="false">IF(M324="","",IF(R324&gt;0,"✔ Matched",IF(M324="IN","Not in cash book (credit)","Not in cash book (debit)")))</f>
        <v/>
      </c>
      <c r="I324" s="43" t="str">
        <f aca="false">IF(N(R324)&gt;0,R324,"")</f>
        <v/>
      </c>
      <c r="J324" s="45" t="str">
        <f aca="false">IF(AND(M324="",B324="",C324=""),"",IF(AND(N(E324)&gt;0,N(F324)&gt;0),"⚠ Fill withdrawal OR deposit",IF(M324="","⚠ Enter amount",IF(B324="","⚠ Enter date",IF(NOT(OR(NOT(ISNUMBER(G324)),NOT(ISNUMBER(G323)),ABS(N(G324)-(N(G323)+N(F324)-N(E324)))&lt;=0.5)),"⚠ Balance does not follow previous row","✔")))))</f>
        <v/>
      </c>
      <c r="M324" s="9" t="str">
        <f aca="false">IF(N(F324)&gt;0,"IN",IF(N(E324)&gt;0,"OUT",""))</f>
        <v/>
      </c>
      <c r="N324" s="9" t="str">
        <f aca="false">IF(M324="","",M324&amp;"|"&amp;TEXT(ROUND(N(E324)+N(F324),2),"0.00"))</f>
        <v/>
      </c>
      <c r="O324" s="9" t="str">
        <f aca="false">IF(OR(N324="",TRIM(D324&amp;"")=""),"",N324&amp;"|"&amp;UPPER(TRIM(D324&amp;"")))</f>
        <v/>
      </c>
      <c r="P324" s="9" t="n">
        <f aca="false">IF(O324="",0,IF(COUNTIF('Cash Book'!$O$8:$O$507,O324)&gt;0,1,0))</f>
        <v>0</v>
      </c>
      <c r="Q324" s="9" t="str">
        <f aca="false">IF(OR(N324="",P324=1),"",N324&amp;"#"&amp;COUNTIFS($N$8:N324,N324,$P$8:P324,0))</f>
        <v/>
      </c>
      <c r="R324" s="9" t="n">
        <f aca="false">IF(N324="",0,IFERROR(MATCH(ROW()-7,'Cash Book'!$U$8:$U$507,0),0))</f>
        <v>0</v>
      </c>
      <c r="V324" s="9" t="str">
        <f aca="false">IF(AND(N324&lt;&gt;"",R324=0),IF(M324="IN",3,4)*100000+ROW(),"")</f>
        <v/>
      </c>
      <c r="W324" s="9" t="n">
        <f aca="false">N(E324)+N(F324)</f>
        <v>0</v>
      </c>
    </row>
    <row r="325" customFormat="false" ht="15" hidden="false" customHeight="false" outlineLevel="0" collapsed="false">
      <c r="A325" s="37" t="str">
        <f aca="false">IF(M325="","",ROW()-7)</f>
        <v/>
      </c>
      <c r="B325" s="70"/>
      <c r="C325" s="72"/>
      <c r="D325" s="71"/>
      <c r="E325" s="73"/>
      <c r="F325" s="73"/>
      <c r="G325" s="73"/>
      <c r="H325" s="42" t="str">
        <f aca="false">IF(M325="","",IF(R325&gt;0,"✔ Matched",IF(M325="IN","Not in cash book (credit)","Not in cash book (debit)")))</f>
        <v/>
      </c>
      <c r="I325" s="43" t="str">
        <f aca="false">IF(N(R325)&gt;0,R325,"")</f>
        <v/>
      </c>
      <c r="J325" s="45" t="str">
        <f aca="false">IF(AND(M325="",B325="",C325=""),"",IF(AND(N(E325)&gt;0,N(F325)&gt;0),"⚠ Fill withdrawal OR deposit",IF(M325="","⚠ Enter amount",IF(B325="","⚠ Enter date",IF(NOT(OR(NOT(ISNUMBER(G325)),NOT(ISNUMBER(G324)),ABS(N(G325)-(N(G324)+N(F325)-N(E325)))&lt;=0.5)),"⚠ Balance does not follow previous row","✔")))))</f>
        <v/>
      </c>
      <c r="M325" s="9" t="str">
        <f aca="false">IF(N(F325)&gt;0,"IN",IF(N(E325)&gt;0,"OUT",""))</f>
        <v/>
      </c>
      <c r="N325" s="9" t="str">
        <f aca="false">IF(M325="","",M325&amp;"|"&amp;TEXT(ROUND(N(E325)+N(F325),2),"0.00"))</f>
        <v/>
      </c>
      <c r="O325" s="9" t="str">
        <f aca="false">IF(OR(N325="",TRIM(D325&amp;"")=""),"",N325&amp;"|"&amp;UPPER(TRIM(D325&amp;"")))</f>
        <v/>
      </c>
      <c r="P325" s="9" t="n">
        <f aca="false">IF(O325="",0,IF(COUNTIF('Cash Book'!$O$8:$O$507,O325)&gt;0,1,0))</f>
        <v>0</v>
      </c>
      <c r="Q325" s="9" t="str">
        <f aca="false">IF(OR(N325="",P325=1),"",N325&amp;"#"&amp;COUNTIFS($N$8:N325,N325,$P$8:P325,0))</f>
        <v/>
      </c>
      <c r="R325" s="9" t="n">
        <f aca="false">IF(N325="",0,IFERROR(MATCH(ROW()-7,'Cash Book'!$U$8:$U$507,0),0))</f>
        <v>0</v>
      </c>
      <c r="V325" s="9" t="str">
        <f aca="false">IF(AND(N325&lt;&gt;"",R325=0),IF(M325="IN",3,4)*100000+ROW(),"")</f>
        <v/>
      </c>
      <c r="W325" s="9" t="n">
        <f aca="false">N(E325)+N(F325)</f>
        <v>0</v>
      </c>
    </row>
    <row r="326" customFormat="false" ht="15" hidden="false" customHeight="false" outlineLevel="0" collapsed="false">
      <c r="A326" s="37" t="str">
        <f aca="false">IF(M326="","",ROW()-7)</f>
        <v/>
      </c>
      <c r="B326" s="70"/>
      <c r="C326" s="72"/>
      <c r="D326" s="71"/>
      <c r="E326" s="73"/>
      <c r="F326" s="73"/>
      <c r="G326" s="73"/>
      <c r="H326" s="42" t="str">
        <f aca="false">IF(M326="","",IF(R326&gt;0,"✔ Matched",IF(M326="IN","Not in cash book (credit)","Not in cash book (debit)")))</f>
        <v/>
      </c>
      <c r="I326" s="43" t="str">
        <f aca="false">IF(N(R326)&gt;0,R326,"")</f>
        <v/>
      </c>
      <c r="J326" s="45" t="str">
        <f aca="false">IF(AND(M326="",B326="",C326=""),"",IF(AND(N(E326)&gt;0,N(F326)&gt;0),"⚠ Fill withdrawal OR deposit",IF(M326="","⚠ Enter amount",IF(B326="","⚠ Enter date",IF(NOT(OR(NOT(ISNUMBER(G326)),NOT(ISNUMBER(G325)),ABS(N(G326)-(N(G325)+N(F326)-N(E326)))&lt;=0.5)),"⚠ Balance does not follow previous row","✔")))))</f>
        <v/>
      </c>
      <c r="M326" s="9" t="str">
        <f aca="false">IF(N(F326)&gt;0,"IN",IF(N(E326)&gt;0,"OUT",""))</f>
        <v/>
      </c>
      <c r="N326" s="9" t="str">
        <f aca="false">IF(M326="","",M326&amp;"|"&amp;TEXT(ROUND(N(E326)+N(F326),2),"0.00"))</f>
        <v/>
      </c>
      <c r="O326" s="9" t="str">
        <f aca="false">IF(OR(N326="",TRIM(D326&amp;"")=""),"",N326&amp;"|"&amp;UPPER(TRIM(D326&amp;"")))</f>
        <v/>
      </c>
      <c r="P326" s="9" t="n">
        <f aca="false">IF(O326="",0,IF(COUNTIF('Cash Book'!$O$8:$O$507,O326)&gt;0,1,0))</f>
        <v>0</v>
      </c>
      <c r="Q326" s="9" t="str">
        <f aca="false">IF(OR(N326="",P326=1),"",N326&amp;"#"&amp;COUNTIFS($N$8:N326,N326,$P$8:P326,0))</f>
        <v/>
      </c>
      <c r="R326" s="9" t="n">
        <f aca="false">IF(N326="",0,IFERROR(MATCH(ROW()-7,'Cash Book'!$U$8:$U$507,0),0))</f>
        <v>0</v>
      </c>
      <c r="V326" s="9" t="str">
        <f aca="false">IF(AND(N326&lt;&gt;"",R326=0),IF(M326="IN",3,4)*100000+ROW(),"")</f>
        <v/>
      </c>
      <c r="W326" s="9" t="n">
        <f aca="false">N(E326)+N(F326)</f>
        <v>0</v>
      </c>
    </row>
    <row r="327" customFormat="false" ht="15" hidden="false" customHeight="false" outlineLevel="0" collapsed="false">
      <c r="A327" s="37" t="str">
        <f aca="false">IF(M327="","",ROW()-7)</f>
        <v/>
      </c>
      <c r="B327" s="70"/>
      <c r="C327" s="72"/>
      <c r="D327" s="71"/>
      <c r="E327" s="73"/>
      <c r="F327" s="73"/>
      <c r="G327" s="73"/>
      <c r="H327" s="42" t="str">
        <f aca="false">IF(M327="","",IF(R327&gt;0,"✔ Matched",IF(M327="IN","Not in cash book (credit)","Not in cash book (debit)")))</f>
        <v/>
      </c>
      <c r="I327" s="43" t="str">
        <f aca="false">IF(N(R327)&gt;0,R327,"")</f>
        <v/>
      </c>
      <c r="J327" s="45" t="str">
        <f aca="false">IF(AND(M327="",B327="",C327=""),"",IF(AND(N(E327)&gt;0,N(F327)&gt;0),"⚠ Fill withdrawal OR deposit",IF(M327="","⚠ Enter amount",IF(B327="","⚠ Enter date",IF(NOT(OR(NOT(ISNUMBER(G327)),NOT(ISNUMBER(G326)),ABS(N(G327)-(N(G326)+N(F327)-N(E327)))&lt;=0.5)),"⚠ Balance does not follow previous row","✔")))))</f>
        <v/>
      </c>
      <c r="M327" s="9" t="str">
        <f aca="false">IF(N(F327)&gt;0,"IN",IF(N(E327)&gt;0,"OUT",""))</f>
        <v/>
      </c>
      <c r="N327" s="9" t="str">
        <f aca="false">IF(M327="","",M327&amp;"|"&amp;TEXT(ROUND(N(E327)+N(F327),2),"0.00"))</f>
        <v/>
      </c>
      <c r="O327" s="9" t="str">
        <f aca="false">IF(OR(N327="",TRIM(D327&amp;"")=""),"",N327&amp;"|"&amp;UPPER(TRIM(D327&amp;"")))</f>
        <v/>
      </c>
      <c r="P327" s="9" t="n">
        <f aca="false">IF(O327="",0,IF(COUNTIF('Cash Book'!$O$8:$O$507,O327)&gt;0,1,0))</f>
        <v>0</v>
      </c>
      <c r="Q327" s="9" t="str">
        <f aca="false">IF(OR(N327="",P327=1),"",N327&amp;"#"&amp;COUNTIFS($N$8:N327,N327,$P$8:P327,0))</f>
        <v/>
      </c>
      <c r="R327" s="9" t="n">
        <f aca="false">IF(N327="",0,IFERROR(MATCH(ROW()-7,'Cash Book'!$U$8:$U$507,0),0))</f>
        <v>0</v>
      </c>
      <c r="V327" s="9" t="str">
        <f aca="false">IF(AND(N327&lt;&gt;"",R327=0),IF(M327="IN",3,4)*100000+ROW(),"")</f>
        <v/>
      </c>
      <c r="W327" s="9" t="n">
        <f aca="false">N(E327)+N(F327)</f>
        <v>0</v>
      </c>
    </row>
    <row r="328" customFormat="false" ht="15" hidden="false" customHeight="false" outlineLevel="0" collapsed="false">
      <c r="A328" s="37" t="str">
        <f aca="false">IF(M328="","",ROW()-7)</f>
        <v/>
      </c>
      <c r="B328" s="70"/>
      <c r="C328" s="72"/>
      <c r="D328" s="71"/>
      <c r="E328" s="73"/>
      <c r="F328" s="73"/>
      <c r="G328" s="73"/>
      <c r="H328" s="42" t="str">
        <f aca="false">IF(M328="","",IF(R328&gt;0,"✔ Matched",IF(M328="IN","Not in cash book (credit)","Not in cash book (debit)")))</f>
        <v/>
      </c>
      <c r="I328" s="43" t="str">
        <f aca="false">IF(N(R328)&gt;0,R328,"")</f>
        <v/>
      </c>
      <c r="J328" s="45" t="str">
        <f aca="false">IF(AND(M328="",B328="",C328=""),"",IF(AND(N(E328)&gt;0,N(F328)&gt;0),"⚠ Fill withdrawal OR deposit",IF(M328="","⚠ Enter amount",IF(B328="","⚠ Enter date",IF(NOT(OR(NOT(ISNUMBER(G328)),NOT(ISNUMBER(G327)),ABS(N(G328)-(N(G327)+N(F328)-N(E328)))&lt;=0.5)),"⚠ Balance does not follow previous row","✔")))))</f>
        <v/>
      </c>
      <c r="M328" s="9" t="str">
        <f aca="false">IF(N(F328)&gt;0,"IN",IF(N(E328)&gt;0,"OUT",""))</f>
        <v/>
      </c>
      <c r="N328" s="9" t="str">
        <f aca="false">IF(M328="","",M328&amp;"|"&amp;TEXT(ROUND(N(E328)+N(F328),2),"0.00"))</f>
        <v/>
      </c>
      <c r="O328" s="9" t="str">
        <f aca="false">IF(OR(N328="",TRIM(D328&amp;"")=""),"",N328&amp;"|"&amp;UPPER(TRIM(D328&amp;"")))</f>
        <v/>
      </c>
      <c r="P328" s="9" t="n">
        <f aca="false">IF(O328="",0,IF(COUNTIF('Cash Book'!$O$8:$O$507,O328)&gt;0,1,0))</f>
        <v>0</v>
      </c>
      <c r="Q328" s="9" t="str">
        <f aca="false">IF(OR(N328="",P328=1),"",N328&amp;"#"&amp;COUNTIFS($N$8:N328,N328,$P$8:P328,0))</f>
        <v/>
      </c>
      <c r="R328" s="9" t="n">
        <f aca="false">IF(N328="",0,IFERROR(MATCH(ROW()-7,'Cash Book'!$U$8:$U$507,0),0))</f>
        <v>0</v>
      </c>
      <c r="V328" s="9" t="str">
        <f aca="false">IF(AND(N328&lt;&gt;"",R328=0),IF(M328="IN",3,4)*100000+ROW(),"")</f>
        <v/>
      </c>
      <c r="W328" s="9" t="n">
        <f aca="false">N(E328)+N(F328)</f>
        <v>0</v>
      </c>
    </row>
    <row r="329" customFormat="false" ht="15" hidden="false" customHeight="false" outlineLevel="0" collapsed="false">
      <c r="A329" s="37" t="str">
        <f aca="false">IF(M329="","",ROW()-7)</f>
        <v/>
      </c>
      <c r="B329" s="70"/>
      <c r="C329" s="72"/>
      <c r="D329" s="71"/>
      <c r="E329" s="73"/>
      <c r="F329" s="73"/>
      <c r="G329" s="73"/>
      <c r="H329" s="42" t="str">
        <f aca="false">IF(M329="","",IF(R329&gt;0,"✔ Matched",IF(M329="IN","Not in cash book (credit)","Not in cash book (debit)")))</f>
        <v/>
      </c>
      <c r="I329" s="43" t="str">
        <f aca="false">IF(N(R329)&gt;0,R329,"")</f>
        <v/>
      </c>
      <c r="J329" s="45" t="str">
        <f aca="false">IF(AND(M329="",B329="",C329=""),"",IF(AND(N(E329)&gt;0,N(F329)&gt;0),"⚠ Fill withdrawal OR deposit",IF(M329="","⚠ Enter amount",IF(B329="","⚠ Enter date",IF(NOT(OR(NOT(ISNUMBER(G329)),NOT(ISNUMBER(G328)),ABS(N(G329)-(N(G328)+N(F329)-N(E329)))&lt;=0.5)),"⚠ Balance does not follow previous row","✔")))))</f>
        <v/>
      </c>
      <c r="M329" s="9" t="str">
        <f aca="false">IF(N(F329)&gt;0,"IN",IF(N(E329)&gt;0,"OUT",""))</f>
        <v/>
      </c>
      <c r="N329" s="9" t="str">
        <f aca="false">IF(M329="","",M329&amp;"|"&amp;TEXT(ROUND(N(E329)+N(F329),2),"0.00"))</f>
        <v/>
      </c>
      <c r="O329" s="9" t="str">
        <f aca="false">IF(OR(N329="",TRIM(D329&amp;"")=""),"",N329&amp;"|"&amp;UPPER(TRIM(D329&amp;"")))</f>
        <v/>
      </c>
      <c r="P329" s="9" t="n">
        <f aca="false">IF(O329="",0,IF(COUNTIF('Cash Book'!$O$8:$O$507,O329)&gt;0,1,0))</f>
        <v>0</v>
      </c>
      <c r="Q329" s="9" t="str">
        <f aca="false">IF(OR(N329="",P329=1),"",N329&amp;"#"&amp;COUNTIFS($N$8:N329,N329,$P$8:P329,0))</f>
        <v/>
      </c>
      <c r="R329" s="9" t="n">
        <f aca="false">IF(N329="",0,IFERROR(MATCH(ROW()-7,'Cash Book'!$U$8:$U$507,0),0))</f>
        <v>0</v>
      </c>
      <c r="V329" s="9" t="str">
        <f aca="false">IF(AND(N329&lt;&gt;"",R329=0),IF(M329="IN",3,4)*100000+ROW(),"")</f>
        <v/>
      </c>
      <c r="W329" s="9" t="n">
        <f aca="false">N(E329)+N(F329)</f>
        <v>0</v>
      </c>
    </row>
    <row r="330" customFormat="false" ht="15" hidden="false" customHeight="false" outlineLevel="0" collapsed="false">
      <c r="A330" s="37" t="str">
        <f aca="false">IF(M330="","",ROW()-7)</f>
        <v/>
      </c>
      <c r="B330" s="70"/>
      <c r="C330" s="72"/>
      <c r="D330" s="71"/>
      <c r="E330" s="73"/>
      <c r="F330" s="73"/>
      <c r="G330" s="73"/>
      <c r="H330" s="42" t="str">
        <f aca="false">IF(M330="","",IF(R330&gt;0,"✔ Matched",IF(M330="IN","Not in cash book (credit)","Not in cash book (debit)")))</f>
        <v/>
      </c>
      <c r="I330" s="43" t="str">
        <f aca="false">IF(N(R330)&gt;0,R330,"")</f>
        <v/>
      </c>
      <c r="J330" s="45" t="str">
        <f aca="false">IF(AND(M330="",B330="",C330=""),"",IF(AND(N(E330)&gt;0,N(F330)&gt;0),"⚠ Fill withdrawal OR deposit",IF(M330="","⚠ Enter amount",IF(B330="","⚠ Enter date",IF(NOT(OR(NOT(ISNUMBER(G330)),NOT(ISNUMBER(G329)),ABS(N(G330)-(N(G329)+N(F330)-N(E330)))&lt;=0.5)),"⚠ Balance does not follow previous row","✔")))))</f>
        <v/>
      </c>
      <c r="M330" s="9" t="str">
        <f aca="false">IF(N(F330)&gt;0,"IN",IF(N(E330)&gt;0,"OUT",""))</f>
        <v/>
      </c>
      <c r="N330" s="9" t="str">
        <f aca="false">IF(M330="","",M330&amp;"|"&amp;TEXT(ROUND(N(E330)+N(F330),2),"0.00"))</f>
        <v/>
      </c>
      <c r="O330" s="9" t="str">
        <f aca="false">IF(OR(N330="",TRIM(D330&amp;"")=""),"",N330&amp;"|"&amp;UPPER(TRIM(D330&amp;"")))</f>
        <v/>
      </c>
      <c r="P330" s="9" t="n">
        <f aca="false">IF(O330="",0,IF(COUNTIF('Cash Book'!$O$8:$O$507,O330)&gt;0,1,0))</f>
        <v>0</v>
      </c>
      <c r="Q330" s="9" t="str">
        <f aca="false">IF(OR(N330="",P330=1),"",N330&amp;"#"&amp;COUNTIFS($N$8:N330,N330,$P$8:P330,0))</f>
        <v/>
      </c>
      <c r="R330" s="9" t="n">
        <f aca="false">IF(N330="",0,IFERROR(MATCH(ROW()-7,'Cash Book'!$U$8:$U$507,0),0))</f>
        <v>0</v>
      </c>
      <c r="V330" s="9" t="str">
        <f aca="false">IF(AND(N330&lt;&gt;"",R330=0),IF(M330="IN",3,4)*100000+ROW(),"")</f>
        <v/>
      </c>
      <c r="W330" s="9" t="n">
        <f aca="false">N(E330)+N(F330)</f>
        <v>0</v>
      </c>
    </row>
    <row r="331" customFormat="false" ht="15" hidden="false" customHeight="false" outlineLevel="0" collapsed="false">
      <c r="A331" s="37" t="str">
        <f aca="false">IF(M331="","",ROW()-7)</f>
        <v/>
      </c>
      <c r="B331" s="70"/>
      <c r="C331" s="72"/>
      <c r="D331" s="71"/>
      <c r="E331" s="73"/>
      <c r="F331" s="73"/>
      <c r="G331" s="73"/>
      <c r="H331" s="42" t="str">
        <f aca="false">IF(M331="","",IF(R331&gt;0,"✔ Matched",IF(M331="IN","Not in cash book (credit)","Not in cash book (debit)")))</f>
        <v/>
      </c>
      <c r="I331" s="43" t="str">
        <f aca="false">IF(N(R331)&gt;0,R331,"")</f>
        <v/>
      </c>
      <c r="J331" s="45" t="str">
        <f aca="false">IF(AND(M331="",B331="",C331=""),"",IF(AND(N(E331)&gt;0,N(F331)&gt;0),"⚠ Fill withdrawal OR deposit",IF(M331="","⚠ Enter amount",IF(B331="","⚠ Enter date",IF(NOT(OR(NOT(ISNUMBER(G331)),NOT(ISNUMBER(G330)),ABS(N(G331)-(N(G330)+N(F331)-N(E331)))&lt;=0.5)),"⚠ Balance does not follow previous row","✔")))))</f>
        <v/>
      </c>
      <c r="M331" s="9" t="str">
        <f aca="false">IF(N(F331)&gt;0,"IN",IF(N(E331)&gt;0,"OUT",""))</f>
        <v/>
      </c>
      <c r="N331" s="9" t="str">
        <f aca="false">IF(M331="","",M331&amp;"|"&amp;TEXT(ROUND(N(E331)+N(F331),2),"0.00"))</f>
        <v/>
      </c>
      <c r="O331" s="9" t="str">
        <f aca="false">IF(OR(N331="",TRIM(D331&amp;"")=""),"",N331&amp;"|"&amp;UPPER(TRIM(D331&amp;"")))</f>
        <v/>
      </c>
      <c r="P331" s="9" t="n">
        <f aca="false">IF(O331="",0,IF(COUNTIF('Cash Book'!$O$8:$O$507,O331)&gt;0,1,0))</f>
        <v>0</v>
      </c>
      <c r="Q331" s="9" t="str">
        <f aca="false">IF(OR(N331="",P331=1),"",N331&amp;"#"&amp;COUNTIFS($N$8:N331,N331,$P$8:P331,0))</f>
        <v/>
      </c>
      <c r="R331" s="9" t="n">
        <f aca="false">IF(N331="",0,IFERROR(MATCH(ROW()-7,'Cash Book'!$U$8:$U$507,0),0))</f>
        <v>0</v>
      </c>
      <c r="V331" s="9" t="str">
        <f aca="false">IF(AND(N331&lt;&gt;"",R331=0),IF(M331="IN",3,4)*100000+ROW(),"")</f>
        <v/>
      </c>
      <c r="W331" s="9" t="n">
        <f aca="false">N(E331)+N(F331)</f>
        <v>0</v>
      </c>
    </row>
    <row r="332" customFormat="false" ht="15" hidden="false" customHeight="false" outlineLevel="0" collapsed="false">
      <c r="A332" s="37" t="str">
        <f aca="false">IF(M332="","",ROW()-7)</f>
        <v/>
      </c>
      <c r="B332" s="70"/>
      <c r="C332" s="72"/>
      <c r="D332" s="71"/>
      <c r="E332" s="73"/>
      <c r="F332" s="73"/>
      <c r="G332" s="73"/>
      <c r="H332" s="42" t="str">
        <f aca="false">IF(M332="","",IF(R332&gt;0,"✔ Matched",IF(M332="IN","Not in cash book (credit)","Not in cash book (debit)")))</f>
        <v/>
      </c>
      <c r="I332" s="43" t="str">
        <f aca="false">IF(N(R332)&gt;0,R332,"")</f>
        <v/>
      </c>
      <c r="J332" s="45" t="str">
        <f aca="false">IF(AND(M332="",B332="",C332=""),"",IF(AND(N(E332)&gt;0,N(F332)&gt;0),"⚠ Fill withdrawal OR deposit",IF(M332="","⚠ Enter amount",IF(B332="","⚠ Enter date",IF(NOT(OR(NOT(ISNUMBER(G332)),NOT(ISNUMBER(G331)),ABS(N(G332)-(N(G331)+N(F332)-N(E332)))&lt;=0.5)),"⚠ Balance does not follow previous row","✔")))))</f>
        <v/>
      </c>
      <c r="M332" s="9" t="str">
        <f aca="false">IF(N(F332)&gt;0,"IN",IF(N(E332)&gt;0,"OUT",""))</f>
        <v/>
      </c>
      <c r="N332" s="9" t="str">
        <f aca="false">IF(M332="","",M332&amp;"|"&amp;TEXT(ROUND(N(E332)+N(F332),2),"0.00"))</f>
        <v/>
      </c>
      <c r="O332" s="9" t="str">
        <f aca="false">IF(OR(N332="",TRIM(D332&amp;"")=""),"",N332&amp;"|"&amp;UPPER(TRIM(D332&amp;"")))</f>
        <v/>
      </c>
      <c r="P332" s="9" t="n">
        <f aca="false">IF(O332="",0,IF(COUNTIF('Cash Book'!$O$8:$O$507,O332)&gt;0,1,0))</f>
        <v>0</v>
      </c>
      <c r="Q332" s="9" t="str">
        <f aca="false">IF(OR(N332="",P332=1),"",N332&amp;"#"&amp;COUNTIFS($N$8:N332,N332,$P$8:P332,0))</f>
        <v/>
      </c>
      <c r="R332" s="9" t="n">
        <f aca="false">IF(N332="",0,IFERROR(MATCH(ROW()-7,'Cash Book'!$U$8:$U$507,0),0))</f>
        <v>0</v>
      </c>
      <c r="V332" s="9" t="str">
        <f aca="false">IF(AND(N332&lt;&gt;"",R332=0),IF(M332="IN",3,4)*100000+ROW(),"")</f>
        <v/>
      </c>
      <c r="W332" s="9" t="n">
        <f aca="false">N(E332)+N(F332)</f>
        <v>0</v>
      </c>
    </row>
    <row r="333" customFormat="false" ht="15" hidden="false" customHeight="false" outlineLevel="0" collapsed="false">
      <c r="A333" s="37" t="str">
        <f aca="false">IF(M333="","",ROW()-7)</f>
        <v/>
      </c>
      <c r="B333" s="70"/>
      <c r="C333" s="72"/>
      <c r="D333" s="71"/>
      <c r="E333" s="73"/>
      <c r="F333" s="73"/>
      <c r="G333" s="73"/>
      <c r="H333" s="42" t="str">
        <f aca="false">IF(M333="","",IF(R333&gt;0,"✔ Matched",IF(M333="IN","Not in cash book (credit)","Not in cash book (debit)")))</f>
        <v/>
      </c>
      <c r="I333" s="43" t="str">
        <f aca="false">IF(N(R333)&gt;0,R333,"")</f>
        <v/>
      </c>
      <c r="J333" s="45" t="str">
        <f aca="false">IF(AND(M333="",B333="",C333=""),"",IF(AND(N(E333)&gt;0,N(F333)&gt;0),"⚠ Fill withdrawal OR deposit",IF(M333="","⚠ Enter amount",IF(B333="","⚠ Enter date",IF(NOT(OR(NOT(ISNUMBER(G333)),NOT(ISNUMBER(G332)),ABS(N(G333)-(N(G332)+N(F333)-N(E333)))&lt;=0.5)),"⚠ Balance does not follow previous row","✔")))))</f>
        <v/>
      </c>
      <c r="M333" s="9" t="str">
        <f aca="false">IF(N(F333)&gt;0,"IN",IF(N(E333)&gt;0,"OUT",""))</f>
        <v/>
      </c>
      <c r="N333" s="9" t="str">
        <f aca="false">IF(M333="","",M333&amp;"|"&amp;TEXT(ROUND(N(E333)+N(F333),2),"0.00"))</f>
        <v/>
      </c>
      <c r="O333" s="9" t="str">
        <f aca="false">IF(OR(N333="",TRIM(D333&amp;"")=""),"",N333&amp;"|"&amp;UPPER(TRIM(D333&amp;"")))</f>
        <v/>
      </c>
      <c r="P333" s="9" t="n">
        <f aca="false">IF(O333="",0,IF(COUNTIF('Cash Book'!$O$8:$O$507,O333)&gt;0,1,0))</f>
        <v>0</v>
      </c>
      <c r="Q333" s="9" t="str">
        <f aca="false">IF(OR(N333="",P333=1),"",N333&amp;"#"&amp;COUNTIFS($N$8:N333,N333,$P$8:P333,0))</f>
        <v/>
      </c>
      <c r="R333" s="9" t="n">
        <f aca="false">IF(N333="",0,IFERROR(MATCH(ROW()-7,'Cash Book'!$U$8:$U$507,0),0))</f>
        <v>0</v>
      </c>
      <c r="V333" s="9" t="str">
        <f aca="false">IF(AND(N333&lt;&gt;"",R333=0),IF(M333="IN",3,4)*100000+ROW(),"")</f>
        <v/>
      </c>
      <c r="W333" s="9" t="n">
        <f aca="false">N(E333)+N(F333)</f>
        <v>0</v>
      </c>
    </row>
    <row r="334" customFormat="false" ht="15" hidden="false" customHeight="false" outlineLevel="0" collapsed="false">
      <c r="A334" s="37" t="str">
        <f aca="false">IF(M334="","",ROW()-7)</f>
        <v/>
      </c>
      <c r="B334" s="70"/>
      <c r="C334" s="72"/>
      <c r="D334" s="71"/>
      <c r="E334" s="73"/>
      <c r="F334" s="73"/>
      <c r="G334" s="73"/>
      <c r="H334" s="42" t="str">
        <f aca="false">IF(M334="","",IF(R334&gt;0,"✔ Matched",IF(M334="IN","Not in cash book (credit)","Not in cash book (debit)")))</f>
        <v/>
      </c>
      <c r="I334" s="43" t="str">
        <f aca="false">IF(N(R334)&gt;0,R334,"")</f>
        <v/>
      </c>
      <c r="J334" s="45" t="str">
        <f aca="false">IF(AND(M334="",B334="",C334=""),"",IF(AND(N(E334)&gt;0,N(F334)&gt;0),"⚠ Fill withdrawal OR deposit",IF(M334="","⚠ Enter amount",IF(B334="","⚠ Enter date",IF(NOT(OR(NOT(ISNUMBER(G334)),NOT(ISNUMBER(G333)),ABS(N(G334)-(N(G333)+N(F334)-N(E334)))&lt;=0.5)),"⚠ Balance does not follow previous row","✔")))))</f>
        <v/>
      </c>
      <c r="M334" s="9" t="str">
        <f aca="false">IF(N(F334)&gt;0,"IN",IF(N(E334)&gt;0,"OUT",""))</f>
        <v/>
      </c>
      <c r="N334" s="9" t="str">
        <f aca="false">IF(M334="","",M334&amp;"|"&amp;TEXT(ROUND(N(E334)+N(F334),2),"0.00"))</f>
        <v/>
      </c>
      <c r="O334" s="9" t="str">
        <f aca="false">IF(OR(N334="",TRIM(D334&amp;"")=""),"",N334&amp;"|"&amp;UPPER(TRIM(D334&amp;"")))</f>
        <v/>
      </c>
      <c r="P334" s="9" t="n">
        <f aca="false">IF(O334="",0,IF(COUNTIF('Cash Book'!$O$8:$O$507,O334)&gt;0,1,0))</f>
        <v>0</v>
      </c>
      <c r="Q334" s="9" t="str">
        <f aca="false">IF(OR(N334="",P334=1),"",N334&amp;"#"&amp;COUNTIFS($N$8:N334,N334,$P$8:P334,0))</f>
        <v/>
      </c>
      <c r="R334" s="9" t="n">
        <f aca="false">IF(N334="",0,IFERROR(MATCH(ROW()-7,'Cash Book'!$U$8:$U$507,0),0))</f>
        <v>0</v>
      </c>
      <c r="V334" s="9" t="str">
        <f aca="false">IF(AND(N334&lt;&gt;"",R334=0),IF(M334="IN",3,4)*100000+ROW(),"")</f>
        <v/>
      </c>
      <c r="W334" s="9" t="n">
        <f aca="false">N(E334)+N(F334)</f>
        <v>0</v>
      </c>
    </row>
    <row r="335" customFormat="false" ht="15" hidden="false" customHeight="false" outlineLevel="0" collapsed="false">
      <c r="A335" s="37" t="str">
        <f aca="false">IF(M335="","",ROW()-7)</f>
        <v/>
      </c>
      <c r="B335" s="70"/>
      <c r="C335" s="72"/>
      <c r="D335" s="71"/>
      <c r="E335" s="73"/>
      <c r="F335" s="73"/>
      <c r="G335" s="73"/>
      <c r="H335" s="42" t="str">
        <f aca="false">IF(M335="","",IF(R335&gt;0,"✔ Matched",IF(M335="IN","Not in cash book (credit)","Not in cash book (debit)")))</f>
        <v/>
      </c>
      <c r="I335" s="43" t="str">
        <f aca="false">IF(N(R335)&gt;0,R335,"")</f>
        <v/>
      </c>
      <c r="J335" s="45" t="str">
        <f aca="false">IF(AND(M335="",B335="",C335=""),"",IF(AND(N(E335)&gt;0,N(F335)&gt;0),"⚠ Fill withdrawal OR deposit",IF(M335="","⚠ Enter amount",IF(B335="","⚠ Enter date",IF(NOT(OR(NOT(ISNUMBER(G335)),NOT(ISNUMBER(G334)),ABS(N(G335)-(N(G334)+N(F335)-N(E335)))&lt;=0.5)),"⚠ Balance does not follow previous row","✔")))))</f>
        <v/>
      </c>
      <c r="M335" s="9" t="str">
        <f aca="false">IF(N(F335)&gt;0,"IN",IF(N(E335)&gt;0,"OUT",""))</f>
        <v/>
      </c>
      <c r="N335" s="9" t="str">
        <f aca="false">IF(M335="","",M335&amp;"|"&amp;TEXT(ROUND(N(E335)+N(F335),2),"0.00"))</f>
        <v/>
      </c>
      <c r="O335" s="9" t="str">
        <f aca="false">IF(OR(N335="",TRIM(D335&amp;"")=""),"",N335&amp;"|"&amp;UPPER(TRIM(D335&amp;"")))</f>
        <v/>
      </c>
      <c r="P335" s="9" t="n">
        <f aca="false">IF(O335="",0,IF(COUNTIF('Cash Book'!$O$8:$O$507,O335)&gt;0,1,0))</f>
        <v>0</v>
      </c>
      <c r="Q335" s="9" t="str">
        <f aca="false">IF(OR(N335="",P335=1),"",N335&amp;"#"&amp;COUNTIFS($N$8:N335,N335,$P$8:P335,0))</f>
        <v/>
      </c>
      <c r="R335" s="9" t="n">
        <f aca="false">IF(N335="",0,IFERROR(MATCH(ROW()-7,'Cash Book'!$U$8:$U$507,0),0))</f>
        <v>0</v>
      </c>
      <c r="V335" s="9" t="str">
        <f aca="false">IF(AND(N335&lt;&gt;"",R335=0),IF(M335="IN",3,4)*100000+ROW(),"")</f>
        <v/>
      </c>
      <c r="W335" s="9" t="n">
        <f aca="false">N(E335)+N(F335)</f>
        <v>0</v>
      </c>
    </row>
    <row r="336" customFormat="false" ht="15" hidden="false" customHeight="false" outlineLevel="0" collapsed="false">
      <c r="A336" s="37" t="str">
        <f aca="false">IF(M336="","",ROW()-7)</f>
        <v/>
      </c>
      <c r="B336" s="70"/>
      <c r="C336" s="72"/>
      <c r="D336" s="71"/>
      <c r="E336" s="73"/>
      <c r="F336" s="73"/>
      <c r="G336" s="73"/>
      <c r="H336" s="42" t="str">
        <f aca="false">IF(M336="","",IF(R336&gt;0,"✔ Matched",IF(M336="IN","Not in cash book (credit)","Not in cash book (debit)")))</f>
        <v/>
      </c>
      <c r="I336" s="43" t="str">
        <f aca="false">IF(N(R336)&gt;0,R336,"")</f>
        <v/>
      </c>
      <c r="J336" s="45" t="str">
        <f aca="false">IF(AND(M336="",B336="",C336=""),"",IF(AND(N(E336)&gt;0,N(F336)&gt;0),"⚠ Fill withdrawal OR deposit",IF(M336="","⚠ Enter amount",IF(B336="","⚠ Enter date",IF(NOT(OR(NOT(ISNUMBER(G336)),NOT(ISNUMBER(G335)),ABS(N(G336)-(N(G335)+N(F336)-N(E336)))&lt;=0.5)),"⚠ Balance does not follow previous row","✔")))))</f>
        <v/>
      </c>
      <c r="M336" s="9" t="str">
        <f aca="false">IF(N(F336)&gt;0,"IN",IF(N(E336)&gt;0,"OUT",""))</f>
        <v/>
      </c>
      <c r="N336" s="9" t="str">
        <f aca="false">IF(M336="","",M336&amp;"|"&amp;TEXT(ROUND(N(E336)+N(F336),2),"0.00"))</f>
        <v/>
      </c>
      <c r="O336" s="9" t="str">
        <f aca="false">IF(OR(N336="",TRIM(D336&amp;"")=""),"",N336&amp;"|"&amp;UPPER(TRIM(D336&amp;"")))</f>
        <v/>
      </c>
      <c r="P336" s="9" t="n">
        <f aca="false">IF(O336="",0,IF(COUNTIF('Cash Book'!$O$8:$O$507,O336)&gt;0,1,0))</f>
        <v>0</v>
      </c>
      <c r="Q336" s="9" t="str">
        <f aca="false">IF(OR(N336="",P336=1),"",N336&amp;"#"&amp;COUNTIFS($N$8:N336,N336,$P$8:P336,0))</f>
        <v/>
      </c>
      <c r="R336" s="9" t="n">
        <f aca="false">IF(N336="",0,IFERROR(MATCH(ROW()-7,'Cash Book'!$U$8:$U$507,0),0))</f>
        <v>0</v>
      </c>
      <c r="V336" s="9" t="str">
        <f aca="false">IF(AND(N336&lt;&gt;"",R336=0),IF(M336="IN",3,4)*100000+ROW(),"")</f>
        <v/>
      </c>
      <c r="W336" s="9" t="n">
        <f aca="false">N(E336)+N(F336)</f>
        <v>0</v>
      </c>
    </row>
    <row r="337" customFormat="false" ht="15" hidden="false" customHeight="false" outlineLevel="0" collapsed="false">
      <c r="A337" s="37" t="str">
        <f aca="false">IF(M337="","",ROW()-7)</f>
        <v/>
      </c>
      <c r="B337" s="70"/>
      <c r="C337" s="72"/>
      <c r="D337" s="71"/>
      <c r="E337" s="73"/>
      <c r="F337" s="73"/>
      <c r="G337" s="73"/>
      <c r="H337" s="42" t="str">
        <f aca="false">IF(M337="","",IF(R337&gt;0,"✔ Matched",IF(M337="IN","Not in cash book (credit)","Not in cash book (debit)")))</f>
        <v/>
      </c>
      <c r="I337" s="43" t="str">
        <f aca="false">IF(N(R337)&gt;0,R337,"")</f>
        <v/>
      </c>
      <c r="J337" s="45" t="str">
        <f aca="false">IF(AND(M337="",B337="",C337=""),"",IF(AND(N(E337)&gt;0,N(F337)&gt;0),"⚠ Fill withdrawal OR deposit",IF(M337="","⚠ Enter amount",IF(B337="","⚠ Enter date",IF(NOT(OR(NOT(ISNUMBER(G337)),NOT(ISNUMBER(G336)),ABS(N(G337)-(N(G336)+N(F337)-N(E337)))&lt;=0.5)),"⚠ Balance does not follow previous row","✔")))))</f>
        <v/>
      </c>
      <c r="M337" s="9" t="str">
        <f aca="false">IF(N(F337)&gt;0,"IN",IF(N(E337)&gt;0,"OUT",""))</f>
        <v/>
      </c>
      <c r="N337" s="9" t="str">
        <f aca="false">IF(M337="","",M337&amp;"|"&amp;TEXT(ROUND(N(E337)+N(F337),2),"0.00"))</f>
        <v/>
      </c>
      <c r="O337" s="9" t="str">
        <f aca="false">IF(OR(N337="",TRIM(D337&amp;"")=""),"",N337&amp;"|"&amp;UPPER(TRIM(D337&amp;"")))</f>
        <v/>
      </c>
      <c r="P337" s="9" t="n">
        <f aca="false">IF(O337="",0,IF(COUNTIF('Cash Book'!$O$8:$O$507,O337)&gt;0,1,0))</f>
        <v>0</v>
      </c>
      <c r="Q337" s="9" t="str">
        <f aca="false">IF(OR(N337="",P337=1),"",N337&amp;"#"&amp;COUNTIFS($N$8:N337,N337,$P$8:P337,0))</f>
        <v/>
      </c>
      <c r="R337" s="9" t="n">
        <f aca="false">IF(N337="",0,IFERROR(MATCH(ROW()-7,'Cash Book'!$U$8:$U$507,0),0))</f>
        <v>0</v>
      </c>
      <c r="V337" s="9" t="str">
        <f aca="false">IF(AND(N337&lt;&gt;"",R337=0),IF(M337="IN",3,4)*100000+ROW(),"")</f>
        <v/>
      </c>
      <c r="W337" s="9" t="n">
        <f aca="false">N(E337)+N(F337)</f>
        <v>0</v>
      </c>
    </row>
    <row r="338" customFormat="false" ht="15" hidden="false" customHeight="false" outlineLevel="0" collapsed="false">
      <c r="A338" s="37" t="str">
        <f aca="false">IF(M338="","",ROW()-7)</f>
        <v/>
      </c>
      <c r="B338" s="70"/>
      <c r="C338" s="72"/>
      <c r="D338" s="71"/>
      <c r="E338" s="73"/>
      <c r="F338" s="73"/>
      <c r="G338" s="73"/>
      <c r="H338" s="42" t="str">
        <f aca="false">IF(M338="","",IF(R338&gt;0,"✔ Matched",IF(M338="IN","Not in cash book (credit)","Not in cash book (debit)")))</f>
        <v/>
      </c>
      <c r="I338" s="43" t="str">
        <f aca="false">IF(N(R338)&gt;0,R338,"")</f>
        <v/>
      </c>
      <c r="J338" s="45" t="str">
        <f aca="false">IF(AND(M338="",B338="",C338=""),"",IF(AND(N(E338)&gt;0,N(F338)&gt;0),"⚠ Fill withdrawal OR deposit",IF(M338="","⚠ Enter amount",IF(B338="","⚠ Enter date",IF(NOT(OR(NOT(ISNUMBER(G338)),NOT(ISNUMBER(G337)),ABS(N(G338)-(N(G337)+N(F338)-N(E338)))&lt;=0.5)),"⚠ Balance does not follow previous row","✔")))))</f>
        <v/>
      </c>
      <c r="M338" s="9" t="str">
        <f aca="false">IF(N(F338)&gt;0,"IN",IF(N(E338)&gt;0,"OUT",""))</f>
        <v/>
      </c>
      <c r="N338" s="9" t="str">
        <f aca="false">IF(M338="","",M338&amp;"|"&amp;TEXT(ROUND(N(E338)+N(F338),2),"0.00"))</f>
        <v/>
      </c>
      <c r="O338" s="9" t="str">
        <f aca="false">IF(OR(N338="",TRIM(D338&amp;"")=""),"",N338&amp;"|"&amp;UPPER(TRIM(D338&amp;"")))</f>
        <v/>
      </c>
      <c r="P338" s="9" t="n">
        <f aca="false">IF(O338="",0,IF(COUNTIF('Cash Book'!$O$8:$O$507,O338)&gt;0,1,0))</f>
        <v>0</v>
      </c>
      <c r="Q338" s="9" t="str">
        <f aca="false">IF(OR(N338="",P338=1),"",N338&amp;"#"&amp;COUNTIFS($N$8:N338,N338,$P$8:P338,0))</f>
        <v/>
      </c>
      <c r="R338" s="9" t="n">
        <f aca="false">IF(N338="",0,IFERROR(MATCH(ROW()-7,'Cash Book'!$U$8:$U$507,0),0))</f>
        <v>0</v>
      </c>
      <c r="V338" s="9" t="str">
        <f aca="false">IF(AND(N338&lt;&gt;"",R338=0),IF(M338="IN",3,4)*100000+ROW(),"")</f>
        <v/>
      </c>
      <c r="W338" s="9" t="n">
        <f aca="false">N(E338)+N(F338)</f>
        <v>0</v>
      </c>
    </row>
    <row r="339" customFormat="false" ht="15" hidden="false" customHeight="false" outlineLevel="0" collapsed="false">
      <c r="A339" s="37" t="str">
        <f aca="false">IF(M339="","",ROW()-7)</f>
        <v/>
      </c>
      <c r="B339" s="70"/>
      <c r="C339" s="72"/>
      <c r="D339" s="71"/>
      <c r="E339" s="73"/>
      <c r="F339" s="73"/>
      <c r="G339" s="73"/>
      <c r="H339" s="42" t="str">
        <f aca="false">IF(M339="","",IF(R339&gt;0,"✔ Matched",IF(M339="IN","Not in cash book (credit)","Not in cash book (debit)")))</f>
        <v/>
      </c>
      <c r="I339" s="43" t="str">
        <f aca="false">IF(N(R339)&gt;0,R339,"")</f>
        <v/>
      </c>
      <c r="J339" s="45" t="str">
        <f aca="false">IF(AND(M339="",B339="",C339=""),"",IF(AND(N(E339)&gt;0,N(F339)&gt;0),"⚠ Fill withdrawal OR deposit",IF(M339="","⚠ Enter amount",IF(B339="","⚠ Enter date",IF(NOT(OR(NOT(ISNUMBER(G339)),NOT(ISNUMBER(G338)),ABS(N(G339)-(N(G338)+N(F339)-N(E339)))&lt;=0.5)),"⚠ Balance does not follow previous row","✔")))))</f>
        <v/>
      </c>
      <c r="M339" s="9" t="str">
        <f aca="false">IF(N(F339)&gt;0,"IN",IF(N(E339)&gt;0,"OUT",""))</f>
        <v/>
      </c>
      <c r="N339" s="9" t="str">
        <f aca="false">IF(M339="","",M339&amp;"|"&amp;TEXT(ROUND(N(E339)+N(F339),2),"0.00"))</f>
        <v/>
      </c>
      <c r="O339" s="9" t="str">
        <f aca="false">IF(OR(N339="",TRIM(D339&amp;"")=""),"",N339&amp;"|"&amp;UPPER(TRIM(D339&amp;"")))</f>
        <v/>
      </c>
      <c r="P339" s="9" t="n">
        <f aca="false">IF(O339="",0,IF(COUNTIF('Cash Book'!$O$8:$O$507,O339)&gt;0,1,0))</f>
        <v>0</v>
      </c>
      <c r="Q339" s="9" t="str">
        <f aca="false">IF(OR(N339="",P339=1),"",N339&amp;"#"&amp;COUNTIFS($N$8:N339,N339,$P$8:P339,0))</f>
        <v/>
      </c>
      <c r="R339" s="9" t="n">
        <f aca="false">IF(N339="",0,IFERROR(MATCH(ROW()-7,'Cash Book'!$U$8:$U$507,0),0))</f>
        <v>0</v>
      </c>
      <c r="V339" s="9" t="str">
        <f aca="false">IF(AND(N339&lt;&gt;"",R339=0),IF(M339="IN",3,4)*100000+ROW(),"")</f>
        <v/>
      </c>
      <c r="W339" s="9" t="n">
        <f aca="false">N(E339)+N(F339)</f>
        <v>0</v>
      </c>
    </row>
    <row r="340" customFormat="false" ht="15" hidden="false" customHeight="false" outlineLevel="0" collapsed="false">
      <c r="A340" s="37" t="str">
        <f aca="false">IF(M340="","",ROW()-7)</f>
        <v/>
      </c>
      <c r="B340" s="70"/>
      <c r="C340" s="72"/>
      <c r="D340" s="71"/>
      <c r="E340" s="73"/>
      <c r="F340" s="73"/>
      <c r="G340" s="73"/>
      <c r="H340" s="42" t="str">
        <f aca="false">IF(M340="","",IF(R340&gt;0,"✔ Matched",IF(M340="IN","Not in cash book (credit)","Not in cash book (debit)")))</f>
        <v/>
      </c>
      <c r="I340" s="43" t="str">
        <f aca="false">IF(N(R340)&gt;0,R340,"")</f>
        <v/>
      </c>
      <c r="J340" s="45" t="str">
        <f aca="false">IF(AND(M340="",B340="",C340=""),"",IF(AND(N(E340)&gt;0,N(F340)&gt;0),"⚠ Fill withdrawal OR deposit",IF(M340="","⚠ Enter amount",IF(B340="","⚠ Enter date",IF(NOT(OR(NOT(ISNUMBER(G340)),NOT(ISNUMBER(G339)),ABS(N(G340)-(N(G339)+N(F340)-N(E340)))&lt;=0.5)),"⚠ Balance does not follow previous row","✔")))))</f>
        <v/>
      </c>
      <c r="M340" s="9" t="str">
        <f aca="false">IF(N(F340)&gt;0,"IN",IF(N(E340)&gt;0,"OUT",""))</f>
        <v/>
      </c>
      <c r="N340" s="9" t="str">
        <f aca="false">IF(M340="","",M340&amp;"|"&amp;TEXT(ROUND(N(E340)+N(F340),2),"0.00"))</f>
        <v/>
      </c>
      <c r="O340" s="9" t="str">
        <f aca="false">IF(OR(N340="",TRIM(D340&amp;"")=""),"",N340&amp;"|"&amp;UPPER(TRIM(D340&amp;"")))</f>
        <v/>
      </c>
      <c r="P340" s="9" t="n">
        <f aca="false">IF(O340="",0,IF(COUNTIF('Cash Book'!$O$8:$O$507,O340)&gt;0,1,0))</f>
        <v>0</v>
      </c>
      <c r="Q340" s="9" t="str">
        <f aca="false">IF(OR(N340="",P340=1),"",N340&amp;"#"&amp;COUNTIFS($N$8:N340,N340,$P$8:P340,0))</f>
        <v/>
      </c>
      <c r="R340" s="9" t="n">
        <f aca="false">IF(N340="",0,IFERROR(MATCH(ROW()-7,'Cash Book'!$U$8:$U$507,0),0))</f>
        <v>0</v>
      </c>
      <c r="V340" s="9" t="str">
        <f aca="false">IF(AND(N340&lt;&gt;"",R340=0),IF(M340="IN",3,4)*100000+ROW(),"")</f>
        <v/>
      </c>
      <c r="W340" s="9" t="n">
        <f aca="false">N(E340)+N(F340)</f>
        <v>0</v>
      </c>
    </row>
    <row r="341" customFormat="false" ht="15" hidden="false" customHeight="false" outlineLevel="0" collapsed="false">
      <c r="A341" s="37" t="str">
        <f aca="false">IF(M341="","",ROW()-7)</f>
        <v/>
      </c>
      <c r="B341" s="70"/>
      <c r="C341" s="72"/>
      <c r="D341" s="71"/>
      <c r="E341" s="73"/>
      <c r="F341" s="73"/>
      <c r="G341" s="73"/>
      <c r="H341" s="42" t="str">
        <f aca="false">IF(M341="","",IF(R341&gt;0,"✔ Matched",IF(M341="IN","Not in cash book (credit)","Not in cash book (debit)")))</f>
        <v/>
      </c>
      <c r="I341" s="43" t="str">
        <f aca="false">IF(N(R341)&gt;0,R341,"")</f>
        <v/>
      </c>
      <c r="J341" s="45" t="str">
        <f aca="false">IF(AND(M341="",B341="",C341=""),"",IF(AND(N(E341)&gt;0,N(F341)&gt;0),"⚠ Fill withdrawal OR deposit",IF(M341="","⚠ Enter amount",IF(B341="","⚠ Enter date",IF(NOT(OR(NOT(ISNUMBER(G341)),NOT(ISNUMBER(G340)),ABS(N(G341)-(N(G340)+N(F341)-N(E341)))&lt;=0.5)),"⚠ Balance does not follow previous row","✔")))))</f>
        <v/>
      </c>
      <c r="M341" s="9" t="str">
        <f aca="false">IF(N(F341)&gt;0,"IN",IF(N(E341)&gt;0,"OUT",""))</f>
        <v/>
      </c>
      <c r="N341" s="9" t="str">
        <f aca="false">IF(M341="","",M341&amp;"|"&amp;TEXT(ROUND(N(E341)+N(F341),2),"0.00"))</f>
        <v/>
      </c>
      <c r="O341" s="9" t="str">
        <f aca="false">IF(OR(N341="",TRIM(D341&amp;"")=""),"",N341&amp;"|"&amp;UPPER(TRIM(D341&amp;"")))</f>
        <v/>
      </c>
      <c r="P341" s="9" t="n">
        <f aca="false">IF(O341="",0,IF(COUNTIF('Cash Book'!$O$8:$O$507,O341)&gt;0,1,0))</f>
        <v>0</v>
      </c>
      <c r="Q341" s="9" t="str">
        <f aca="false">IF(OR(N341="",P341=1),"",N341&amp;"#"&amp;COUNTIFS($N$8:N341,N341,$P$8:P341,0))</f>
        <v/>
      </c>
      <c r="R341" s="9" t="n">
        <f aca="false">IF(N341="",0,IFERROR(MATCH(ROW()-7,'Cash Book'!$U$8:$U$507,0),0))</f>
        <v>0</v>
      </c>
      <c r="V341" s="9" t="str">
        <f aca="false">IF(AND(N341&lt;&gt;"",R341=0),IF(M341="IN",3,4)*100000+ROW(),"")</f>
        <v/>
      </c>
      <c r="W341" s="9" t="n">
        <f aca="false">N(E341)+N(F341)</f>
        <v>0</v>
      </c>
    </row>
    <row r="342" customFormat="false" ht="15" hidden="false" customHeight="false" outlineLevel="0" collapsed="false">
      <c r="A342" s="37" t="str">
        <f aca="false">IF(M342="","",ROW()-7)</f>
        <v/>
      </c>
      <c r="B342" s="70"/>
      <c r="C342" s="72"/>
      <c r="D342" s="71"/>
      <c r="E342" s="73"/>
      <c r="F342" s="73"/>
      <c r="G342" s="73"/>
      <c r="H342" s="42" t="str">
        <f aca="false">IF(M342="","",IF(R342&gt;0,"✔ Matched",IF(M342="IN","Not in cash book (credit)","Not in cash book (debit)")))</f>
        <v/>
      </c>
      <c r="I342" s="43" t="str">
        <f aca="false">IF(N(R342)&gt;0,R342,"")</f>
        <v/>
      </c>
      <c r="J342" s="45" t="str">
        <f aca="false">IF(AND(M342="",B342="",C342=""),"",IF(AND(N(E342)&gt;0,N(F342)&gt;0),"⚠ Fill withdrawal OR deposit",IF(M342="","⚠ Enter amount",IF(B342="","⚠ Enter date",IF(NOT(OR(NOT(ISNUMBER(G342)),NOT(ISNUMBER(G341)),ABS(N(G342)-(N(G341)+N(F342)-N(E342)))&lt;=0.5)),"⚠ Balance does not follow previous row","✔")))))</f>
        <v/>
      </c>
      <c r="M342" s="9" t="str">
        <f aca="false">IF(N(F342)&gt;0,"IN",IF(N(E342)&gt;0,"OUT",""))</f>
        <v/>
      </c>
      <c r="N342" s="9" t="str">
        <f aca="false">IF(M342="","",M342&amp;"|"&amp;TEXT(ROUND(N(E342)+N(F342),2),"0.00"))</f>
        <v/>
      </c>
      <c r="O342" s="9" t="str">
        <f aca="false">IF(OR(N342="",TRIM(D342&amp;"")=""),"",N342&amp;"|"&amp;UPPER(TRIM(D342&amp;"")))</f>
        <v/>
      </c>
      <c r="P342" s="9" t="n">
        <f aca="false">IF(O342="",0,IF(COUNTIF('Cash Book'!$O$8:$O$507,O342)&gt;0,1,0))</f>
        <v>0</v>
      </c>
      <c r="Q342" s="9" t="str">
        <f aca="false">IF(OR(N342="",P342=1),"",N342&amp;"#"&amp;COUNTIFS($N$8:N342,N342,$P$8:P342,0))</f>
        <v/>
      </c>
      <c r="R342" s="9" t="n">
        <f aca="false">IF(N342="",0,IFERROR(MATCH(ROW()-7,'Cash Book'!$U$8:$U$507,0),0))</f>
        <v>0</v>
      </c>
      <c r="V342" s="9" t="str">
        <f aca="false">IF(AND(N342&lt;&gt;"",R342=0),IF(M342="IN",3,4)*100000+ROW(),"")</f>
        <v/>
      </c>
      <c r="W342" s="9" t="n">
        <f aca="false">N(E342)+N(F342)</f>
        <v>0</v>
      </c>
    </row>
    <row r="343" customFormat="false" ht="15" hidden="false" customHeight="false" outlineLevel="0" collapsed="false">
      <c r="A343" s="37" t="str">
        <f aca="false">IF(M343="","",ROW()-7)</f>
        <v/>
      </c>
      <c r="B343" s="70"/>
      <c r="C343" s="72"/>
      <c r="D343" s="71"/>
      <c r="E343" s="73"/>
      <c r="F343" s="73"/>
      <c r="G343" s="73"/>
      <c r="H343" s="42" t="str">
        <f aca="false">IF(M343="","",IF(R343&gt;0,"✔ Matched",IF(M343="IN","Not in cash book (credit)","Not in cash book (debit)")))</f>
        <v/>
      </c>
      <c r="I343" s="43" t="str">
        <f aca="false">IF(N(R343)&gt;0,R343,"")</f>
        <v/>
      </c>
      <c r="J343" s="45" t="str">
        <f aca="false">IF(AND(M343="",B343="",C343=""),"",IF(AND(N(E343)&gt;0,N(F343)&gt;0),"⚠ Fill withdrawal OR deposit",IF(M343="","⚠ Enter amount",IF(B343="","⚠ Enter date",IF(NOT(OR(NOT(ISNUMBER(G343)),NOT(ISNUMBER(G342)),ABS(N(G343)-(N(G342)+N(F343)-N(E343)))&lt;=0.5)),"⚠ Balance does not follow previous row","✔")))))</f>
        <v/>
      </c>
      <c r="M343" s="9" t="str">
        <f aca="false">IF(N(F343)&gt;0,"IN",IF(N(E343)&gt;0,"OUT",""))</f>
        <v/>
      </c>
      <c r="N343" s="9" t="str">
        <f aca="false">IF(M343="","",M343&amp;"|"&amp;TEXT(ROUND(N(E343)+N(F343),2),"0.00"))</f>
        <v/>
      </c>
      <c r="O343" s="9" t="str">
        <f aca="false">IF(OR(N343="",TRIM(D343&amp;"")=""),"",N343&amp;"|"&amp;UPPER(TRIM(D343&amp;"")))</f>
        <v/>
      </c>
      <c r="P343" s="9" t="n">
        <f aca="false">IF(O343="",0,IF(COUNTIF('Cash Book'!$O$8:$O$507,O343)&gt;0,1,0))</f>
        <v>0</v>
      </c>
      <c r="Q343" s="9" t="str">
        <f aca="false">IF(OR(N343="",P343=1),"",N343&amp;"#"&amp;COUNTIFS($N$8:N343,N343,$P$8:P343,0))</f>
        <v/>
      </c>
      <c r="R343" s="9" t="n">
        <f aca="false">IF(N343="",0,IFERROR(MATCH(ROW()-7,'Cash Book'!$U$8:$U$507,0),0))</f>
        <v>0</v>
      </c>
      <c r="V343" s="9" t="str">
        <f aca="false">IF(AND(N343&lt;&gt;"",R343=0),IF(M343="IN",3,4)*100000+ROW(),"")</f>
        <v/>
      </c>
      <c r="W343" s="9" t="n">
        <f aca="false">N(E343)+N(F343)</f>
        <v>0</v>
      </c>
    </row>
    <row r="344" customFormat="false" ht="15" hidden="false" customHeight="false" outlineLevel="0" collapsed="false">
      <c r="A344" s="37" t="str">
        <f aca="false">IF(M344="","",ROW()-7)</f>
        <v/>
      </c>
      <c r="B344" s="70"/>
      <c r="C344" s="72"/>
      <c r="D344" s="71"/>
      <c r="E344" s="73"/>
      <c r="F344" s="73"/>
      <c r="G344" s="73"/>
      <c r="H344" s="42" t="str">
        <f aca="false">IF(M344="","",IF(R344&gt;0,"✔ Matched",IF(M344="IN","Not in cash book (credit)","Not in cash book (debit)")))</f>
        <v/>
      </c>
      <c r="I344" s="43" t="str">
        <f aca="false">IF(N(R344)&gt;0,R344,"")</f>
        <v/>
      </c>
      <c r="J344" s="45" t="str">
        <f aca="false">IF(AND(M344="",B344="",C344=""),"",IF(AND(N(E344)&gt;0,N(F344)&gt;0),"⚠ Fill withdrawal OR deposit",IF(M344="","⚠ Enter amount",IF(B344="","⚠ Enter date",IF(NOT(OR(NOT(ISNUMBER(G344)),NOT(ISNUMBER(G343)),ABS(N(G344)-(N(G343)+N(F344)-N(E344)))&lt;=0.5)),"⚠ Balance does not follow previous row","✔")))))</f>
        <v/>
      </c>
      <c r="M344" s="9" t="str">
        <f aca="false">IF(N(F344)&gt;0,"IN",IF(N(E344)&gt;0,"OUT",""))</f>
        <v/>
      </c>
      <c r="N344" s="9" t="str">
        <f aca="false">IF(M344="","",M344&amp;"|"&amp;TEXT(ROUND(N(E344)+N(F344),2),"0.00"))</f>
        <v/>
      </c>
      <c r="O344" s="9" t="str">
        <f aca="false">IF(OR(N344="",TRIM(D344&amp;"")=""),"",N344&amp;"|"&amp;UPPER(TRIM(D344&amp;"")))</f>
        <v/>
      </c>
      <c r="P344" s="9" t="n">
        <f aca="false">IF(O344="",0,IF(COUNTIF('Cash Book'!$O$8:$O$507,O344)&gt;0,1,0))</f>
        <v>0</v>
      </c>
      <c r="Q344" s="9" t="str">
        <f aca="false">IF(OR(N344="",P344=1),"",N344&amp;"#"&amp;COUNTIFS($N$8:N344,N344,$P$8:P344,0))</f>
        <v/>
      </c>
      <c r="R344" s="9" t="n">
        <f aca="false">IF(N344="",0,IFERROR(MATCH(ROW()-7,'Cash Book'!$U$8:$U$507,0),0))</f>
        <v>0</v>
      </c>
      <c r="V344" s="9" t="str">
        <f aca="false">IF(AND(N344&lt;&gt;"",R344=0),IF(M344="IN",3,4)*100000+ROW(),"")</f>
        <v/>
      </c>
      <c r="W344" s="9" t="n">
        <f aca="false">N(E344)+N(F344)</f>
        <v>0</v>
      </c>
    </row>
    <row r="345" customFormat="false" ht="15" hidden="false" customHeight="false" outlineLevel="0" collapsed="false">
      <c r="A345" s="37" t="str">
        <f aca="false">IF(M345="","",ROW()-7)</f>
        <v/>
      </c>
      <c r="B345" s="70"/>
      <c r="C345" s="72"/>
      <c r="D345" s="71"/>
      <c r="E345" s="73"/>
      <c r="F345" s="73"/>
      <c r="G345" s="73"/>
      <c r="H345" s="42" t="str">
        <f aca="false">IF(M345="","",IF(R345&gt;0,"✔ Matched",IF(M345="IN","Not in cash book (credit)","Not in cash book (debit)")))</f>
        <v/>
      </c>
      <c r="I345" s="43" t="str">
        <f aca="false">IF(N(R345)&gt;0,R345,"")</f>
        <v/>
      </c>
      <c r="J345" s="45" t="str">
        <f aca="false">IF(AND(M345="",B345="",C345=""),"",IF(AND(N(E345)&gt;0,N(F345)&gt;0),"⚠ Fill withdrawal OR deposit",IF(M345="","⚠ Enter amount",IF(B345="","⚠ Enter date",IF(NOT(OR(NOT(ISNUMBER(G345)),NOT(ISNUMBER(G344)),ABS(N(G345)-(N(G344)+N(F345)-N(E345)))&lt;=0.5)),"⚠ Balance does not follow previous row","✔")))))</f>
        <v/>
      </c>
      <c r="M345" s="9" t="str">
        <f aca="false">IF(N(F345)&gt;0,"IN",IF(N(E345)&gt;0,"OUT",""))</f>
        <v/>
      </c>
      <c r="N345" s="9" t="str">
        <f aca="false">IF(M345="","",M345&amp;"|"&amp;TEXT(ROUND(N(E345)+N(F345),2),"0.00"))</f>
        <v/>
      </c>
      <c r="O345" s="9" t="str">
        <f aca="false">IF(OR(N345="",TRIM(D345&amp;"")=""),"",N345&amp;"|"&amp;UPPER(TRIM(D345&amp;"")))</f>
        <v/>
      </c>
      <c r="P345" s="9" t="n">
        <f aca="false">IF(O345="",0,IF(COUNTIF('Cash Book'!$O$8:$O$507,O345)&gt;0,1,0))</f>
        <v>0</v>
      </c>
      <c r="Q345" s="9" t="str">
        <f aca="false">IF(OR(N345="",P345=1),"",N345&amp;"#"&amp;COUNTIFS($N$8:N345,N345,$P$8:P345,0))</f>
        <v/>
      </c>
      <c r="R345" s="9" t="n">
        <f aca="false">IF(N345="",0,IFERROR(MATCH(ROW()-7,'Cash Book'!$U$8:$U$507,0),0))</f>
        <v>0</v>
      </c>
      <c r="V345" s="9" t="str">
        <f aca="false">IF(AND(N345&lt;&gt;"",R345=0),IF(M345="IN",3,4)*100000+ROW(),"")</f>
        <v/>
      </c>
      <c r="W345" s="9" t="n">
        <f aca="false">N(E345)+N(F345)</f>
        <v>0</v>
      </c>
    </row>
    <row r="346" customFormat="false" ht="15" hidden="false" customHeight="false" outlineLevel="0" collapsed="false">
      <c r="A346" s="37" t="str">
        <f aca="false">IF(M346="","",ROW()-7)</f>
        <v/>
      </c>
      <c r="B346" s="70"/>
      <c r="C346" s="72"/>
      <c r="D346" s="71"/>
      <c r="E346" s="73"/>
      <c r="F346" s="73"/>
      <c r="G346" s="73"/>
      <c r="H346" s="42" t="str">
        <f aca="false">IF(M346="","",IF(R346&gt;0,"✔ Matched",IF(M346="IN","Not in cash book (credit)","Not in cash book (debit)")))</f>
        <v/>
      </c>
      <c r="I346" s="43" t="str">
        <f aca="false">IF(N(R346)&gt;0,R346,"")</f>
        <v/>
      </c>
      <c r="J346" s="45" t="str">
        <f aca="false">IF(AND(M346="",B346="",C346=""),"",IF(AND(N(E346)&gt;0,N(F346)&gt;0),"⚠ Fill withdrawal OR deposit",IF(M346="","⚠ Enter amount",IF(B346="","⚠ Enter date",IF(NOT(OR(NOT(ISNUMBER(G346)),NOT(ISNUMBER(G345)),ABS(N(G346)-(N(G345)+N(F346)-N(E346)))&lt;=0.5)),"⚠ Balance does not follow previous row","✔")))))</f>
        <v/>
      </c>
      <c r="M346" s="9" t="str">
        <f aca="false">IF(N(F346)&gt;0,"IN",IF(N(E346)&gt;0,"OUT",""))</f>
        <v/>
      </c>
      <c r="N346" s="9" t="str">
        <f aca="false">IF(M346="","",M346&amp;"|"&amp;TEXT(ROUND(N(E346)+N(F346),2),"0.00"))</f>
        <v/>
      </c>
      <c r="O346" s="9" t="str">
        <f aca="false">IF(OR(N346="",TRIM(D346&amp;"")=""),"",N346&amp;"|"&amp;UPPER(TRIM(D346&amp;"")))</f>
        <v/>
      </c>
      <c r="P346" s="9" t="n">
        <f aca="false">IF(O346="",0,IF(COUNTIF('Cash Book'!$O$8:$O$507,O346)&gt;0,1,0))</f>
        <v>0</v>
      </c>
      <c r="Q346" s="9" t="str">
        <f aca="false">IF(OR(N346="",P346=1),"",N346&amp;"#"&amp;COUNTIFS($N$8:N346,N346,$P$8:P346,0))</f>
        <v/>
      </c>
      <c r="R346" s="9" t="n">
        <f aca="false">IF(N346="",0,IFERROR(MATCH(ROW()-7,'Cash Book'!$U$8:$U$507,0),0))</f>
        <v>0</v>
      </c>
      <c r="V346" s="9" t="str">
        <f aca="false">IF(AND(N346&lt;&gt;"",R346=0),IF(M346="IN",3,4)*100000+ROW(),"")</f>
        <v/>
      </c>
      <c r="W346" s="9" t="n">
        <f aca="false">N(E346)+N(F346)</f>
        <v>0</v>
      </c>
    </row>
    <row r="347" customFormat="false" ht="15" hidden="false" customHeight="false" outlineLevel="0" collapsed="false">
      <c r="A347" s="37" t="str">
        <f aca="false">IF(M347="","",ROW()-7)</f>
        <v/>
      </c>
      <c r="B347" s="70"/>
      <c r="C347" s="72"/>
      <c r="D347" s="71"/>
      <c r="E347" s="73"/>
      <c r="F347" s="73"/>
      <c r="G347" s="73"/>
      <c r="H347" s="42" t="str">
        <f aca="false">IF(M347="","",IF(R347&gt;0,"✔ Matched",IF(M347="IN","Not in cash book (credit)","Not in cash book (debit)")))</f>
        <v/>
      </c>
      <c r="I347" s="43" t="str">
        <f aca="false">IF(N(R347)&gt;0,R347,"")</f>
        <v/>
      </c>
      <c r="J347" s="45" t="str">
        <f aca="false">IF(AND(M347="",B347="",C347=""),"",IF(AND(N(E347)&gt;0,N(F347)&gt;0),"⚠ Fill withdrawal OR deposit",IF(M347="","⚠ Enter amount",IF(B347="","⚠ Enter date",IF(NOT(OR(NOT(ISNUMBER(G347)),NOT(ISNUMBER(G346)),ABS(N(G347)-(N(G346)+N(F347)-N(E347)))&lt;=0.5)),"⚠ Balance does not follow previous row","✔")))))</f>
        <v/>
      </c>
      <c r="M347" s="9" t="str">
        <f aca="false">IF(N(F347)&gt;0,"IN",IF(N(E347)&gt;0,"OUT",""))</f>
        <v/>
      </c>
      <c r="N347" s="9" t="str">
        <f aca="false">IF(M347="","",M347&amp;"|"&amp;TEXT(ROUND(N(E347)+N(F347),2),"0.00"))</f>
        <v/>
      </c>
      <c r="O347" s="9" t="str">
        <f aca="false">IF(OR(N347="",TRIM(D347&amp;"")=""),"",N347&amp;"|"&amp;UPPER(TRIM(D347&amp;"")))</f>
        <v/>
      </c>
      <c r="P347" s="9" t="n">
        <f aca="false">IF(O347="",0,IF(COUNTIF('Cash Book'!$O$8:$O$507,O347)&gt;0,1,0))</f>
        <v>0</v>
      </c>
      <c r="Q347" s="9" t="str">
        <f aca="false">IF(OR(N347="",P347=1),"",N347&amp;"#"&amp;COUNTIFS($N$8:N347,N347,$P$8:P347,0))</f>
        <v/>
      </c>
      <c r="R347" s="9" t="n">
        <f aca="false">IF(N347="",0,IFERROR(MATCH(ROW()-7,'Cash Book'!$U$8:$U$507,0),0))</f>
        <v>0</v>
      </c>
      <c r="V347" s="9" t="str">
        <f aca="false">IF(AND(N347&lt;&gt;"",R347=0),IF(M347="IN",3,4)*100000+ROW(),"")</f>
        <v/>
      </c>
      <c r="W347" s="9" t="n">
        <f aca="false">N(E347)+N(F347)</f>
        <v>0</v>
      </c>
    </row>
    <row r="348" customFormat="false" ht="15" hidden="false" customHeight="false" outlineLevel="0" collapsed="false">
      <c r="A348" s="37" t="str">
        <f aca="false">IF(M348="","",ROW()-7)</f>
        <v/>
      </c>
      <c r="B348" s="70"/>
      <c r="C348" s="72"/>
      <c r="D348" s="71"/>
      <c r="E348" s="73"/>
      <c r="F348" s="73"/>
      <c r="G348" s="73"/>
      <c r="H348" s="42" t="str">
        <f aca="false">IF(M348="","",IF(R348&gt;0,"✔ Matched",IF(M348="IN","Not in cash book (credit)","Not in cash book (debit)")))</f>
        <v/>
      </c>
      <c r="I348" s="43" t="str">
        <f aca="false">IF(N(R348)&gt;0,R348,"")</f>
        <v/>
      </c>
      <c r="J348" s="45" t="str">
        <f aca="false">IF(AND(M348="",B348="",C348=""),"",IF(AND(N(E348)&gt;0,N(F348)&gt;0),"⚠ Fill withdrawal OR deposit",IF(M348="","⚠ Enter amount",IF(B348="","⚠ Enter date",IF(NOT(OR(NOT(ISNUMBER(G348)),NOT(ISNUMBER(G347)),ABS(N(G348)-(N(G347)+N(F348)-N(E348)))&lt;=0.5)),"⚠ Balance does not follow previous row","✔")))))</f>
        <v/>
      </c>
      <c r="M348" s="9" t="str">
        <f aca="false">IF(N(F348)&gt;0,"IN",IF(N(E348)&gt;0,"OUT",""))</f>
        <v/>
      </c>
      <c r="N348" s="9" t="str">
        <f aca="false">IF(M348="","",M348&amp;"|"&amp;TEXT(ROUND(N(E348)+N(F348),2),"0.00"))</f>
        <v/>
      </c>
      <c r="O348" s="9" t="str">
        <f aca="false">IF(OR(N348="",TRIM(D348&amp;"")=""),"",N348&amp;"|"&amp;UPPER(TRIM(D348&amp;"")))</f>
        <v/>
      </c>
      <c r="P348" s="9" t="n">
        <f aca="false">IF(O348="",0,IF(COUNTIF('Cash Book'!$O$8:$O$507,O348)&gt;0,1,0))</f>
        <v>0</v>
      </c>
      <c r="Q348" s="9" t="str">
        <f aca="false">IF(OR(N348="",P348=1),"",N348&amp;"#"&amp;COUNTIFS($N$8:N348,N348,$P$8:P348,0))</f>
        <v/>
      </c>
      <c r="R348" s="9" t="n">
        <f aca="false">IF(N348="",0,IFERROR(MATCH(ROW()-7,'Cash Book'!$U$8:$U$507,0),0))</f>
        <v>0</v>
      </c>
      <c r="V348" s="9" t="str">
        <f aca="false">IF(AND(N348&lt;&gt;"",R348=0),IF(M348="IN",3,4)*100000+ROW(),"")</f>
        <v/>
      </c>
      <c r="W348" s="9" t="n">
        <f aca="false">N(E348)+N(F348)</f>
        <v>0</v>
      </c>
    </row>
    <row r="349" customFormat="false" ht="15" hidden="false" customHeight="false" outlineLevel="0" collapsed="false">
      <c r="A349" s="37" t="str">
        <f aca="false">IF(M349="","",ROW()-7)</f>
        <v/>
      </c>
      <c r="B349" s="70"/>
      <c r="C349" s="72"/>
      <c r="D349" s="71"/>
      <c r="E349" s="73"/>
      <c r="F349" s="73"/>
      <c r="G349" s="73"/>
      <c r="H349" s="42" t="str">
        <f aca="false">IF(M349="","",IF(R349&gt;0,"✔ Matched",IF(M349="IN","Not in cash book (credit)","Not in cash book (debit)")))</f>
        <v/>
      </c>
      <c r="I349" s="43" t="str">
        <f aca="false">IF(N(R349)&gt;0,R349,"")</f>
        <v/>
      </c>
      <c r="J349" s="45" t="str">
        <f aca="false">IF(AND(M349="",B349="",C349=""),"",IF(AND(N(E349)&gt;0,N(F349)&gt;0),"⚠ Fill withdrawal OR deposit",IF(M349="","⚠ Enter amount",IF(B349="","⚠ Enter date",IF(NOT(OR(NOT(ISNUMBER(G349)),NOT(ISNUMBER(G348)),ABS(N(G349)-(N(G348)+N(F349)-N(E349)))&lt;=0.5)),"⚠ Balance does not follow previous row","✔")))))</f>
        <v/>
      </c>
      <c r="M349" s="9" t="str">
        <f aca="false">IF(N(F349)&gt;0,"IN",IF(N(E349)&gt;0,"OUT",""))</f>
        <v/>
      </c>
      <c r="N349" s="9" t="str">
        <f aca="false">IF(M349="","",M349&amp;"|"&amp;TEXT(ROUND(N(E349)+N(F349),2),"0.00"))</f>
        <v/>
      </c>
      <c r="O349" s="9" t="str">
        <f aca="false">IF(OR(N349="",TRIM(D349&amp;"")=""),"",N349&amp;"|"&amp;UPPER(TRIM(D349&amp;"")))</f>
        <v/>
      </c>
      <c r="P349" s="9" t="n">
        <f aca="false">IF(O349="",0,IF(COUNTIF('Cash Book'!$O$8:$O$507,O349)&gt;0,1,0))</f>
        <v>0</v>
      </c>
      <c r="Q349" s="9" t="str">
        <f aca="false">IF(OR(N349="",P349=1),"",N349&amp;"#"&amp;COUNTIFS($N$8:N349,N349,$P$8:P349,0))</f>
        <v/>
      </c>
      <c r="R349" s="9" t="n">
        <f aca="false">IF(N349="",0,IFERROR(MATCH(ROW()-7,'Cash Book'!$U$8:$U$507,0),0))</f>
        <v>0</v>
      </c>
      <c r="V349" s="9" t="str">
        <f aca="false">IF(AND(N349&lt;&gt;"",R349=0),IF(M349="IN",3,4)*100000+ROW(),"")</f>
        <v/>
      </c>
      <c r="W349" s="9" t="n">
        <f aca="false">N(E349)+N(F349)</f>
        <v>0</v>
      </c>
    </row>
    <row r="350" customFormat="false" ht="15" hidden="false" customHeight="false" outlineLevel="0" collapsed="false">
      <c r="A350" s="37" t="str">
        <f aca="false">IF(M350="","",ROW()-7)</f>
        <v/>
      </c>
      <c r="B350" s="70"/>
      <c r="C350" s="72"/>
      <c r="D350" s="71"/>
      <c r="E350" s="73"/>
      <c r="F350" s="73"/>
      <c r="G350" s="73"/>
      <c r="H350" s="42" t="str">
        <f aca="false">IF(M350="","",IF(R350&gt;0,"✔ Matched",IF(M350="IN","Not in cash book (credit)","Not in cash book (debit)")))</f>
        <v/>
      </c>
      <c r="I350" s="43" t="str">
        <f aca="false">IF(N(R350)&gt;0,R350,"")</f>
        <v/>
      </c>
      <c r="J350" s="45" t="str">
        <f aca="false">IF(AND(M350="",B350="",C350=""),"",IF(AND(N(E350)&gt;0,N(F350)&gt;0),"⚠ Fill withdrawal OR deposit",IF(M350="","⚠ Enter amount",IF(B350="","⚠ Enter date",IF(NOT(OR(NOT(ISNUMBER(G350)),NOT(ISNUMBER(G349)),ABS(N(G350)-(N(G349)+N(F350)-N(E350)))&lt;=0.5)),"⚠ Balance does not follow previous row","✔")))))</f>
        <v/>
      </c>
      <c r="M350" s="9" t="str">
        <f aca="false">IF(N(F350)&gt;0,"IN",IF(N(E350)&gt;0,"OUT",""))</f>
        <v/>
      </c>
      <c r="N350" s="9" t="str">
        <f aca="false">IF(M350="","",M350&amp;"|"&amp;TEXT(ROUND(N(E350)+N(F350),2),"0.00"))</f>
        <v/>
      </c>
      <c r="O350" s="9" t="str">
        <f aca="false">IF(OR(N350="",TRIM(D350&amp;"")=""),"",N350&amp;"|"&amp;UPPER(TRIM(D350&amp;"")))</f>
        <v/>
      </c>
      <c r="P350" s="9" t="n">
        <f aca="false">IF(O350="",0,IF(COUNTIF('Cash Book'!$O$8:$O$507,O350)&gt;0,1,0))</f>
        <v>0</v>
      </c>
      <c r="Q350" s="9" t="str">
        <f aca="false">IF(OR(N350="",P350=1),"",N350&amp;"#"&amp;COUNTIFS($N$8:N350,N350,$P$8:P350,0))</f>
        <v/>
      </c>
      <c r="R350" s="9" t="n">
        <f aca="false">IF(N350="",0,IFERROR(MATCH(ROW()-7,'Cash Book'!$U$8:$U$507,0),0))</f>
        <v>0</v>
      </c>
      <c r="V350" s="9" t="str">
        <f aca="false">IF(AND(N350&lt;&gt;"",R350=0),IF(M350="IN",3,4)*100000+ROW(),"")</f>
        <v/>
      </c>
      <c r="W350" s="9" t="n">
        <f aca="false">N(E350)+N(F350)</f>
        <v>0</v>
      </c>
    </row>
    <row r="351" customFormat="false" ht="15" hidden="false" customHeight="false" outlineLevel="0" collapsed="false">
      <c r="A351" s="37" t="str">
        <f aca="false">IF(M351="","",ROW()-7)</f>
        <v/>
      </c>
      <c r="B351" s="70"/>
      <c r="C351" s="72"/>
      <c r="D351" s="71"/>
      <c r="E351" s="73"/>
      <c r="F351" s="73"/>
      <c r="G351" s="73"/>
      <c r="H351" s="42" t="str">
        <f aca="false">IF(M351="","",IF(R351&gt;0,"✔ Matched",IF(M351="IN","Not in cash book (credit)","Not in cash book (debit)")))</f>
        <v/>
      </c>
      <c r="I351" s="43" t="str">
        <f aca="false">IF(N(R351)&gt;0,R351,"")</f>
        <v/>
      </c>
      <c r="J351" s="45" t="str">
        <f aca="false">IF(AND(M351="",B351="",C351=""),"",IF(AND(N(E351)&gt;0,N(F351)&gt;0),"⚠ Fill withdrawal OR deposit",IF(M351="","⚠ Enter amount",IF(B351="","⚠ Enter date",IF(NOT(OR(NOT(ISNUMBER(G351)),NOT(ISNUMBER(G350)),ABS(N(G351)-(N(G350)+N(F351)-N(E351)))&lt;=0.5)),"⚠ Balance does not follow previous row","✔")))))</f>
        <v/>
      </c>
      <c r="M351" s="9" t="str">
        <f aca="false">IF(N(F351)&gt;0,"IN",IF(N(E351)&gt;0,"OUT",""))</f>
        <v/>
      </c>
      <c r="N351" s="9" t="str">
        <f aca="false">IF(M351="","",M351&amp;"|"&amp;TEXT(ROUND(N(E351)+N(F351),2),"0.00"))</f>
        <v/>
      </c>
      <c r="O351" s="9" t="str">
        <f aca="false">IF(OR(N351="",TRIM(D351&amp;"")=""),"",N351&amp;"|"&amp;UPPER(TRIM(D351&amp;"")))</f>
        <v/>
      </c>
      <c r="P351" s="9" t="n">
        <f aca="false">IF(O351="",0,IF(COUNTIF('Cash Book'!$O$8:$O$507,O351)&gt;0,1,0))</f>
        <v>0</v>
      </c>
      <c r="Q351" s="9" t="str">
        <f aca="false">IF(OR(N351="",P351=1),"",N351&amp;"#"&amp;COUNTIFS($N$8:N351,N351,$P$8:P351,0))</f>
        <v/>
      </c>
      <c r="R351" s="9" t="n">
        <f aca="false">IF(N351="",0,IFERROR(MATCH(ROW()-7,'Cash Book'!$U$8:$U$507,0),0))</f>
        <v>0</v>
      </c>
      <c r="V351" s="9" t="str">
        <f aca="false">IF(AND(N351&lt;&gt;"",R351=0),IF(M351="IN",3,4)*100000+ROW(),"")</f>
        <v/>
      </c>
      <c r="W351" s="9" t="n">
        <f aca="false">N(E351)+N(F351)</f>
        <v>0</v>
      </c>
    </row>
    <row r="352" customFormat="false" ht="15" hidden="false" customHeight="false" outlineLevel="0" collapsed="false">
      <c r="A352" s="37" t="str">
        <f aca="false">IF(M352="","",ROW()-7)</f>
        <v/>
      </c>
      <c r="B352" s="70"/>
      <c r="C352" s="72"/>
      <c r="D352" s="71"/>
      <c r="E352" s="73"/>
      <c r="F352" s="73"/>
      <c r="G352" s="73"/>
      <c r="H352" s="42" t="str">
        <f aca="false">IF(M352="","",IF(R352&gt;0,"✔ Matched",IF(M352="IN","Not in cash book (credit)","Not in cash book (debit)")))</f>
        <v/>
      </c>
      <c r="I352" s="43" t="str">
        <f aca="false">IF(N(R352)&gt;0,R352,"")</f>
        <v/>
      </c>
      <c r="J352" s="45" t="str">
        <f aca="false">IF(AND(M352="",B352="",C352=""),"",IF(AND(N(E352)&gt;0,N(F352)&gt;0),"⚠ Fill withdrawal OR deposit",IF(M352="","⚠ Enter amount",IF(B352="","⚠ Enter date",IF(NOT(OR(NOT(ISNUMBER(G352)),NOT(ISNUMBER(G351)),ABS(N(G352)-(N(G351)+N(F352)-N(E352)))&lt;=0.5)),"⚠ Balance does not follow previous row","✔")))))</f>
        <v/>
      </c>
      <c r="M352" s="9" t="str">
        <f aca="false">IF(N(F352)&gt;0,"IN",IF(N(E352)&gt;0,"OUT",""))</f>
        <v/>
      </c>
      <c r="N352" s="9" t="str">
        <f aca="false">IF(M352="","",M352&amp;"|"&amp;TEXT(ROUND(N(E352)+N(F352),2),"0.00"))</f>
        <v/>
      </c>
      <c r="O352" s="9" t="str">
        <f aca="false">IF(OR(N352="",TRIM(D352&amp;"")=""),"",N352&amp;"|"&amp;UPPER(TRIM(D352&amp;"")))</f>
        <v/>
      </c>
      <c r="P352" s="9" t="n">
        <f aca="false">IF(O352="",0,IF(COUNTIF('Cash Book'!$O$8:$O$507,O352)&gt;0,1,0))</f>
        <v>0</v>
      </c>
      <c r="Q352" s="9" t="str">
        <f aca="false">IF(OR(N352="",P352=1),"",N352&amp;"#"&amp;COUNTIFS($N$8:N352,N352,$P$8:P352,0))</f>
        <v/>
      </c>
      <c r="R352" s="9" t="n">
        <f aca="false">IF(N352="",0,IFERROR(MATCH(ROW()-7,'Cash Book'!$U$8:$U$507,0),0))</f>
        <v>0</v>
      </c>
      <c r="V352" s="9" t="str">
        <f aca="false">IF(AND(N352&lt;&gt;"",R352=0),IF(M352="IN",3,4)*100000+ROW(),"")</f>
        <v/>
      </c>
      <c r="W352" s="9" t="n">
        <f aca="false">N(E352)+N(F352)</f>
        <v>0</v>
      </c>
    </row>
    <row r="353" customFormat="false" ht="15" hidden="false" customHeight="false" outlineLevel="0" collapsed="false">
      <c r="A353" s="37" t="str">
        <f aca="false">IF(M353="","",ROW()-7)</f>
        <v/>
      </c>
      <c r="B353" s="70"/>
      <c r="C353" s="72"/>
      <c r="D353" s="71"/>
      <c r="E353" s="73"/>
      <c r="F353" s="73"/>
      <c r="G353" s="73"/>
      <c r="H353" s="42" t="str">
        <f aca="false">IF(M353="","",IF(R353&gt;0,"✔ Matched",IF(M353="IN","Not in cash book (credit)","Not in cash book (debit)")))</f>
        <v/>
      </c>
      <c r="I353" s="43" t="str">
        <f aca="false">IF(N(R353)&gt;0,R353,"")</f>
        <v/>
      </c>
      <c r="J353" s="45" t="str">
        <f aca="false">IF(AND(M353="",B353="",C353=""),"",IF(AND(N(E353)&gt;0,N(F353)&gt;0),"⚠ Fill withdrawal OR deposit",IF(M353="","⚠ Enter amount",IF(B353="","⚠ Enter date",IF(NOT(OR(NOT(ISNUMBER(G353)),NOT(ISNUMBER(G352)),ABS(N(G353)-(N(G352)+N(F353)-N(E353)))&lt;=0.5)),"⚠ Balance does not follow previous row","✔")))))</f>
        <v/>
      </c>
      <c r="M353" s="9" t="str">
        <f aca="false">IF(N(F353)&gt;0,"IN",IF(N(E353)&gt;0,"OUT",""))</f>
        <v/>
      </c>
      <c r="N353" s="9" t="str">
        <f aca="false">IF(M353="","",M353&amp;"|"&amp;TEXT(ROUND(N(E353)+N(F353),2),"0.00"))</f>
        <v/>
      </c>
      <c r="O353" s="9" t="str">
        <f aca="false">IF(OR(N353="",TRIM(D353&amp;"")=""),"",N353&amp;"|"&amp;UPPER(TRIM(D353&amp;"")))</f>
        <v/>
      </c>
      <c r="P353" s="9" t="n">
        <f aca="false">IF(O353="",0,IF(COUNTIF('Cash Book'!$O$8:$O$507,O353)&gt;0,1,0))</f>
        <v>0</v>
      </c>
      <c r="Q353" s="9" t="str">
        <f aca="false">IF(OR(N353="",P353=1),"",N353&amp;"#"&amp;COUNTIFS($N$8:N353,N353,$P$8:P353,0))</f>
        <v/>
      </c>
      <c r="R353" s="9" t="n">
        <f aca="false">IF(N353="",0,IFERROR(MATCH(ROW()-7,'Cash Book'!$U$8:$U$507,0),0))</f>
        <v>0</v>
      </c>
      <c r="V353" s="9" t="str">
        <f aca="false">IF(AND(N353&lt;&gt;"",R353=0),IF(M353="IN",3,4)*100000+ROW(),"")</f>
        <v/>
      </c>
      <c r="W353" s="9" t="n">
        <f aca="false">N(E353)+N(F353)</f>
        <v>0</v>
      </c>
    </row>
    <row r="354" customFormat="false" ht="15" hidden="false" customHeight="false" outlineLevel="0" collapsed="false">
      <c r="A354" s="37" t="str">
        <f aca="false">IF(M354="","",ROW()-7)</f>
        <v/>
      </c>
      <c r="B354" s="70"/>
      <c r="C354" s="72"/>
      <c r="D354" s="71"/>
      <c r="E354" s="73"/>
      <c r="F354" s="73"/>
      <c r="G354" s="73"/>
      <c r="H354" s="42" t="str">
        <f aca="false">IF(M354="","",IF(R354&gt;0,"✔ Matched",IF(M354="IN","Not in cash book (credit)","Not in cash book (debit)")))</f>
        <v/>
      </c>
      <c r="I354" s="43" t="str">
        <f aca="false">IF(N(R354)&gt;0,R354,"")</f>
        <v/>
      </c>
      <c r="J354" s="45" t="str">
        <f aca="false">IF(AND(M354="",B354="",C354=""),"",IF(AND(N(E354)&gt;0,N(F354)&gt;0),"⚠ Fill withdrawal OR deposit",IF(M354="","⚠ Enter amount",IF(B354="","⚠ Enter date",IF(NOT(OR(NOT(ISNUMBER(G354)),NOT(ISNUMBER(G353)),ABS(N(G354)-(N(G353)+N(F354)-N(E354)))&lt;=0.5)),"⚠ Balance does not follow previous row","✔")))))</f>
        <v/>
      </c>
      <c r="M354" s="9" t="str">
        <f aca="false">IF(N(F354)&gt;0,"IN",IF(N(E354)&gt;0,"OUT",""))</f>
        <v/>
      </c>
      <c r="N354" s="9" t="str">
        <f aca="false">IF(M354="","",M354&amp;"|"&amp;TEXT(ROUND(N(E354)+N(F354),2),"0.00"))</f>
        <v/>
      </c>
      <c r="O354" s="9" t="str">
        <f aca="false">IF(OR(N354="",TRIM(D354&amp;"")=""),"",N354&amp;"|"&amp;UPPER(TRIM(D354&amp;"")))</f>
        <v/>
      </c>
      <c r="P354" s="9" t="n">
        <f aca="false">IF(O354="",0,IF(COUNTIF('Cash Book'!$O$8:$O$507,O354)&gt;0,1,0))</f>
        <v>0</v>
      </c>
      <c r="Q354" s="9" t="str">
        <f aca="false">IF(OR(N354="",P354=1),"",N354&amp;"#"&amp;COUNTIFS($N$8:N354,N354,$P$8:P354,0))</f>
        <v/>
      </c>
      <c r="R354" s="9" t="n">
        <f aca="false">IF(N354="",0,IFERROR(MATCH(ROW()-7,'Cash Book'!$U$8:$U$507,0),0))</f>
        <v>0</v>
      </c>
      <c r="V354" s="9" t="str">
        <f aca="false">IF(AND(N354&lt;&gt;"",R354=0),IF(M354="IN",3,4)*100000+ROW(),"")</f>
        <v/>
      </c>
      <c r="W354" s="9" t="n">
        <f aca="false">N(E354)+N(F354)</f>
        <v>0</v>
      </c>
    </row>
    <row r="355" customFormat="false" ht="15" hidden="false" customHeight="false" outlineLevel="0" collapsed="false">
      <c r="A355" s="37" t="str">
        <f aca="false">IF(M355="","",ROW()-7)</f>
        <v/>
      </c>
      <c r="B355" s="70"/>
      <c r="C355" s="72"/>
      <c r="D355" s="71"/>
      <c r="E355" s="73"/>
      <c r="F355" s="73"/>
      <c r="G355" s="73"/>
      <c r="H355" s="42" t="str">
        <f aca="false">IF(M355="","",IF(R355&gt;0,"✔ Matched",IF(M355="IN","Not in cash book (credit)","Not in cash book (debit)")))</f>
        <v/>
      </c>
      <c r="I355" s="43" t="str">
        <f aca="false">IF(N(R355)&gt;0,R355,"")</f>
        <v/>
      </c>
      <c r="J355" s="45" t="str">
        <f aca="false">IF(AND(M355="",B355="",C355=""),"",IF(AND(N(E355)&gt;0,N(F355)&gt;0),"⚠ Fill withdrawal OR deposit",IF(M355="","⚠ Enter amount",IF(B355="","⚠ Enter date",IF(NOT(OR(NOT(ISNUMBER(G355)),NOT(ISNUMBER(G354)),ABS(N(G355)-(N(G354)+N(F355)-N(E355)))&lt;=0.5)),"⚠ Balance does not follow previous row","✔")))))</f>
        <v/>
      </c>
      <c r="M355" s="9" t="str">
        <f aca="false">IF(N(F355)&gt;0,"IN",IF(N(E355)&gt;0,"OUT",""))</f>
        <v/>
      </c>
      <c r="N355" s="9" t="str">
        <f aca="false">IF(M355="","",M355&amp;"|"&amp;TEXT(ROUND(N(E355)+N(F355),2),"0.00"))</f>
        <v/>
      </c>
      <c r="O355" s="9" t="str">
        <f aca="false">IF(OR(N355="",TRIM(D355&amp;"")=""),"",N355&amp;"|"&amp;UPPER(TRIM(D355&amp;"")))</f>
        <v/>
      </c>
      <c r="P355" s="9" t="n">
        <f aca="false">IF(O355="",0,IF(COUNTIF('Cash Book'!$O$8:$O$507,O355)&gt;0,1,0))</f>
        <v>0</v>
      </c>
      <c r="Q355" s="9" t="str">
        <f aca="false">IF(OR(N355="",P355=1),"",N355&amp;"#"&amp;COUNTIFS($N$8:N355,N355,$P$8:P355,0))</f>
        <v/>
      </c>
      <c r="R355" s="9" t="n">
        <f aca="false">IF(N355="",0,IFERROR(MATCH(ROW()-7,'Cash Book'!$U$8:$U$507,0),0))</f>
        <v>0</v>
      </c>
      <c r="V355" s="9" t="str">
        <f aca="false">IF(AND(N355&lt;&gt;"",R355=0),IF(M355="IN",3,4)*100000+ROW(),"")</f>
        <v/>
      </c>
      <c r="W355" s="9" t="n">
        <f aca="false">N(E355)+N(F355)</f>
        <v>0</v>
      </c>
    </row>
    <row r="356" customFormat="false" ht="15" hidden="false" customHeight="false" outlineLevel="0" collapsed="false">
      <c r="A356" s="37" t="str">
        <f aca="false">IF(M356="","",ROW()-7)</f>
        <v/>
      </c>
      <c r="B356" s="70"/>
      <c r="C356" s="72"/>
      <c r="D356" s="71"/>
      <c r="E356" s="73"/>
      <c r="F356" s="73"/>
      <c r="G356" s="73"/>
      <c r="H356" s="42" t="str">
        <f aca="false">IF(M356="","",IF(R356&gt;0,"✔ Matched",IF(M356="IN","Not in cash book (credit)","Not in cash book (debit)")))</f>
        <v/>
      </c>
      <c r="I356" s="43" t="str">
        <f aca="false">IF(N(R356)&gt;0,R356,"")</f>
        <v/>
      </c>
      <c r="J356" s="45" t="str">
        <f aca="false">IF(AND(M356="",B356="",C356=""),"",IF(AND(N(E356)&gt;0,N(F356)&gt;0),"⚠ Fill withdrawal OR deposit",IF(M356="","⚠ Enter amount",IF(B356="","⚠ Enter date",IF(NOT(OR(NOT(ISNUMBER(G356)),NOT(ISNUMBER(G355)),ABS(N(G356)-(N(G355)+N(F356)-N(E356)))&lt;=0.5)),"⚠ Balance does not follow previous row","✔")))))</f>
        <v/>
      </c>
      <c r="M356" s="9" t="str">
        <f aca="false">IF(N(F356)&gt;0,"IN",IF(N(E356)&gt;0,"OUT",""))</f>
        <v/>
      </c>
      <c r="N356" s="9" t="str">
        <f aca="false">IF(M356="","",M356&amp;"|"&amp;TEXT(ROUND(N(E356)+N(F356),2),"0.00"))</f>
        <v/>
      </c>
      <c r="O356" s="9" t="str">
        <f aca="false">IF(OR(N356="",TRIM(D356&amp;"")=""),"",N356&amp;"|"&amp;UPPER(TRIM(D356&amp;"")))</f>
        <v/>
      </c>
      <c r="P356" s="9" t="n">
        <f aca="false">IF(O356="",0,IF(COUNTIF('Cash Book'!$O$8:$O$507,O356)&gt;0,1,0))</f>
        <v>0</v>
      </c>
      <c r="Q356" s="9" t="str">
        <f aca="false">IF(OR(N356="",P356=1),"",N356&amp;"#"&amp;COUNTIFS($N$8:N356,N356,$P$8:P356,0))</f>
        <v/>
      </c>
      <c r="R356" s="9" t="n">
        <f aca="false">IF(N356="",0,IFERROR(MATCH(ROW()-7,'Cash Book'!$U$8:$U$507,0),0))</f>
        <v>0</v>
      </c>
      <c r="V356" s="9" t="str">
        <f aca="false">IF(AND(N356&lt;&gt;"",R356=0),IF(M356="IN",3,4)*100000+ROW(),"")</f>
        <v/>
      </c>
      <c r="W356" s="9" t="n">
        <f aca="false">N(E356)+N(F356)</f>
        <v>0</v>
      </c>
    </row>
    <row r="357" customFormat="false" ht="15" hidden="false" customHeight="false" outlineLevel="0" collapsed="false">
      <c r="A357" s="37" t="str">
        <f aca="false">IF(M357="","",ROW()-7)</f>
        <v/>
      </c>
      <c r="B357" s="70"/>
      <c r="C357" s="72"/>
      <c r="D357" s="71"/>
      <c r="E357" s="73"/>
      <c r="F357" s="73"/>
      <c r="G357" s="73"/>
      <c r="H357" s="42" t="str">
        <f aca="false">IF(M357="","",IF(R357&gt;0,"✔ Matched",IF(M357="IN","Not in cash book (credit)","Not in cash book (debit)")))</f>
        <v/>
      </c>
      <c r="I357" s="43" t="str">
        <f aca="false">IF(N(R357)&gt;0,R357,"")</f>
        <v/>
      </c>
      <c r="J357" s="45" t="str">
        <f aca="false">IF(AND(M357="",B357="",C357=""),"",IF(AND(N(E357)&gt;0,N(F357)&gt;0),"⚠ Fill withdrawal OR deposit",IF(M357="","⚠ Enter amount",IF(B357="","⚠ Enter date",IF(NOT(OR(NOT(ISNUMBER(G357)),NOT(ISNUMBER(G356)),ABS(N(G357)-(N(G356)+N(F357)-N(E357)))&lt;=0.5)),"⚠ Balance does not follow previous row","✔")))))</f>
        <v/>
      </c>
      <c r="M357" s="9" t="str">
        <f aca="false">IF(N(F357)&gt;0,"IN",IF(N(E357)&gt;0,"OUT",""))</f>
        <v/>
      </c>
      <c r="N357" s="9" t="str">
        <f aca="false">IF(M357="","",M357&amp;"|"&amp;TEXT(ROUND(N(E357)+N(F357),2),"0.00"))</f>
        <v/>
      </c>
      <c r="O357" s="9" t="str">
        <f aca="false">IF(OR(N357="",TRIM(D357&amp;"")=""),"",N357&amp;"|"&amp;UPPER(TRIM(D357&amp;"")))</f>
        <v/>
      </c>
      <c r="P357" s="9" t="n">
        <f aca="false">IF(O357="",0,IF(COUNTIF('Cash Book'!$O$8:$O$507,O357)&gt;0,1,0))</f>
        <v>0</v>
      </c>
      <c r="Q357" s="9" t="str">
        <f aca="false">IF(OR(N357="",P357=1),"",N357&amp;"#"&amp;COUNTIFS($N$8:N357,N357,$P$8:P357,0))</f>
        <v/>
      </c>
      <c r="R357" s="9" t="n">
        <f aca="false">IF(N357="",0,IFERROR(MATCH(ROW()-7,'Cash Book'!$U$8:$U$507,0),0))</f>
        <v>0</v>
      </c>
      <c r="V357" s="9" t="str">
        <f aca="false">IF(AND(N357&lt;&gt;"",R357=0),IF(M357="IN",3,4)*100000+ROW(),"")</f>
        <v/>
      </c>
      <c r="W357" s="9" t="n">
        <f aca="false">N(E357)+N(F357)</f>
        <v>0</v>
      </c>
    </row>
    <row r="358" customFormat="false" ht="15" hidden="false" customHeight="false" outlineLevel="0" collapsed="false">
      <c r="A358" s="37" t="str">
        <f aca="false">IF(M358="","",ROW()-7)</f>
        <v/>
      </c>
      <c r="B358" s="70"/>
      <c r="C358" s="72"/>
      <c r="D358" s="71"/>
      <c r="E358" s="73"/>
      <c r="F358" s="73"/>
      <c r="G358" s="73"/>
      <c r="H358" s="42" t="str">
        <f aca="false">IF(M358="","",IF(R358&gt;0,"✔ Matched",IF(M358="IN","Not in cash book (credit)","Not in cash book (debit)")))</f>
        <v/>
      </c>
      <c r="I358" s="43" t="str">
        <f aca="false">IF(N(R358)&gt;0,R358,"")</f>
        <v/>
      </c>
      <c r="J358" s="45" t="str">
        <f aca="false">IF(AND(M358="",B358="",C358=""),"",IF(AND(N(E358)&gt;0,N(F358)&gt;0),"⚠ Fill withdrawal OR deposit",IF(M358="","⚠ Enter amount",IF(B358="","⚠ Enter date",IF(NOT(OR(NOT(ISNUMBER(G358)),NOT(ISNUMBER(G357)),ABS(N(G358)-(N(G357)+N(F358)-N(E358)))&lt;=0.5)),"⚠ Balance does not follow previous row","✔")))))</f>
        <v/>
      </c>
      <c r="M358" s="9" t="str">
        <f aca="false">IF(N(F358)&gt;0,"IN",IF(N(E358)&gt;0,"OUT",""))</f>
        <v/>
      </c>
      <c r="N358" s="9" t="str">
        <f aca="false">IF(M358="","",M358&amp;"|"&amp;TEXT(ROUND(N(E358)+N(F358),2),"0.00"))</f>
        <v/>
      </c>
      <c r="O358" s="9" t="str">
        <f aca="false">IF(OR(N358="",TRIM(D358&amp;"")=""),"",N358&amp;"|"&amp;UPPER(TRIM(D358&amp;"")))</f>
        <v/>
      </c>
      <c r="P358" s="9" t="n">
        <f aca="false">IF(O358="",0,IF(COUNTIF('Cash Book'!$O$8:$O$507,O358)&gt;0,1,0))</f>
        <v>0</v>
      </c>
      <c r="Q358" s="9" t="str">
        <f aca="false">IF(OR(N358="",P358=1),"",N358&amp;"#"&amp;COUNTIFS($N$8:N358,N358,$P$8:P358,0))</f>
        <v/>
      </c>
      <c r="R358" s="9" t="n">
        <f aca="false">IF(N358="",0,IFERROR(MATCH(ROW()-7,'Cash Book'!$U$8:$U$507,0),0))</f>
        <v>0</v>
      </c>
      <c r="V358" s="9" t="str">
        <f aca="false">IF(AND(N358&lt;&gt;"",R358=0),IF(M358="IN",3,4)*100000+ROW(),"")</f>
        <v/>
      </c>
      <c r="W358" s="9" t="n">
        <f aca="false">N(E358)+N(F358)</f>
        <v>0</v>
      </c>
    </row>
    <row r="359" customFormat="false" ht="15" hidden="false" customHeight="false" outlineLevel="0" collapsed="false">
      <c r="A359" s="37" t="str">
        <f aca="false">IF(M359="","",ROW()-7)</f>
        <v/>
      </c>
      <c r="B359" s="70"/>
      <c r="C359" s="72"/>
      <c r="D359" s="71"/>
      <c r="E359" s="73"/>
      <c r="F359" s="73"/>
      <c r="G359" s="73"/>
      <c r="H359" s="42" t="str">
        <f aca="false">IF(M359="","",IF(R359&gt;0,"✔ Matched",IF(M359="IN","Not in cash book (credit)","Not in cash book (debit)")))</f>
        <v/>
      </c>
      <c r="I359" s="43" t="str">
        <f aca="false">IF(N(R359)&gt;0,R359,"")</f>
        <v/>
      </c>
      <c r="J359" s="45" t="str">
        <f aca="false">IF(AND(M359="",B359="",C359=""),"",IF(AND(N(E359)&gt;0,N(F359)&gt;0),"⚠ Fill withdrawal OR deposit",IF(M359="","⚠ Enter amount",IF(B359="","⚠ Enter date",IF(NOT(OR(NOT(ISNUMBER(G359)),NOT(ISNUMBER(G358)),ABS(N(G359)-(N(G358)+N(F359)-N(E359)))&lt;=0.5)),"⚠ Balance does not follow previous row","✔")))))</f>
        <v/>
      </c>
      <c r="M359" s="9" t="str">
        <f aca="false">IF(N(F359)&gt;0,"IN",IF(N(E359)&gt;0,"OUT",""))</f>
        <v/>
      </c>
      <c r="N359" s="9" t="str">
        <f aca="false">IF(M359="","",M359&amp;"|"&amp;TEXT(ROUND(N(E359)+N(F359),2),"0.00"))</f>
        <v/>
      </c>
      <c r="O359" s="9" t="str">
        <f aca="false">IF(OR(N359="",TRIM(D359&amp;"")=""),"",N359&amp;"|"&amp;UPPER(TRIM(D359&amp;"")))</f>
        <v/>
      </c>
      <c r="P359" s="9" t="n">
        <f aca="false">IF(O359="",0,IF(COUNTIF('Cash Book'!$O$8:$O$507,O359)&gt;0,1,0))</f>
        <v>0</v>
      </c>
      <c r="Q359" s="9" t="str">
        <f aca="false">IF(OR(N359="",P359=1),"",N359&amp;"#"&amp;COUNTIFS($N$8:N359,N359,$P$8:P359,0))</f>
        <v/>
      </c>
      <c r="R359" s="9" t="n">
        <f aca="false">IF(N359="",0,IFERROR(MATCH(ROW()-7,'Cash Book'!$U$8:$U$507,0),0))</f>
        <v>0</v>
      </c>
      <c r="V359" s="9" t="str">
        <f aca="false">IF(AND(N359&lt;&gt;"",R359=0),IF(M359="IN",3,4)*100000+ROW(),"")</f>
        <v/>
      </c>
      <c r="W359" s="9" t="n">
        <f aca="false">N(E359)+N(F359)</f>
        <v>0</v>
      </c>
    </row>
    <row r="360" customFormat="false" ht="15" hidden="false" customHeight="false" outlineLevel="0" collapsed="false">
      <c r="A360" s="37" t="str">
        <f aca="false">IF(M360="","",ROW()-7)</f>
        <v/>
      </c>
      <c r="B360" s="70"/>
      <c r="C360" s="72"/>
      <c r="D360" s="71"/>
      <c r="E360" s="73"/>
      <c r="F360" s="73"/>
      <c r="G360" s="73"/>
      <c r="H360" s="42" t="str">
        <f aca="false">IF(M360="","",IF(R360&gt;0,"✔ Matched",IF(M360="IN","Not in cash book (credit)","Not in cash book (debit)")))</f>
        <v/>
      </c>
      <c r="I360" s="43" t="str">
        <f aca="false">IF(N(R360)&gt;0,R360,"")</f>
        <v/>
      </c>
      <c r="J360" s="45" t="str">
        <f aca="false">IF(AND(M360="",B360="",C360=""),"",IF(AND(N(E360)&gt;0,N(F360)&gt;0),"⚠ Fill withdrawal OR deposit",IF(M360="","⚠ Enter amount",IF(B360="","⚠ Enter date",IF(NOT(OR(NOT(ISNUMBER(G360)),NOT(ISNUMBER(G359)),ABS(N(G360)-(N(G359)+N(F360)-N(E360)))&lt;=0.5)),"⚠ Balance does not follow previous row","✔")))))</f>
        <v/>
      </c>
      <c r="M360" s="9" t="str">
        <f aca="false">IF(N(F360)&gt;0,"IN",IF(N(E360)&gt;0,"OUT",""))</f>
        <v/>
      </c>
      <c r="N360" s="9" t="str">
        <f aca="false">IF(M360="","",M360&amp;"|"&amp;TEXT(ROUND(N(E360)+N(F360),2),"0.00"))</f>
        <v/>
      </c>
      <c r="O360" s="9" t="str">
        <f aca="false">IF(OR(N360="",TRIM(D360&amp;"")=""),"",N360&amp;"|"&amp;UPPER(TRIM(D360&amp;"")))</f>
        <v/>
      </c>
      <c r="P360" s="9" t="n">
        <f aca="false">IF(O360="",0,IF(COUNTIF('Cash Book'!$O$8:$O$507,O360)&gt;0,1,0))</f>
        <v>0</v>
      </c>
      <c r="Q360" s="9" t="str">
        <f aca="false">IF(OR(N360="",P360=1),"",N360&amp;"#"&amp;COUNTIFS($N$8:N360,N360,$P$8:P360,0))</f>
        <v/>
      </c>
      <c r="R360" s="9" t="n">
        <f aca="false">IF(N360="",0,IFERROR(MATCH(ROW()-7,'Cash Book'!$U$8:$U$507,0),0))</f>
        <v>0</v>
      </c>
      <c r="V360" s="9" t="str">
        <f aca="false">IF(AND(N360&lt;&gt;"",R360=0),IF(M360="IN",3,4)*100000+ROW(),"")</f>
        <v/>
      </c>
      <c r="W360" s="9" t="n">
        <f aca="false">N(E360)+N(F360)</f>
        <v>0</v>
      </c>
    </row>
    <row r="361" customFormat="false" ht="15" hidden="false" customHeight="false" outlineLevel="0" collapsed="false">
      <c r="A361" s="37" t="str">
        <f aca="false">IF(M361="","",ROW()-7)</f>
        <v/>
      </c>
      <c r="B361" s="70"/>
      <c r="C361" s="72"/>
      <c r="D361" s="71"/>
      <c r="E361" s="73"/>
      <c r="F361" s="73"/>
      <c r="G361" s="73"/>
      <c r="H361" s="42" t="str">
        <f aca="false">IF(M361="","",IF(R361&gt;0,"✔ Matched",IF(M361="IN","Not in cash book (credit)","Not in cash book (debit)")))</f>
        <v/>
      </c>
      <c r="I361" s="43" t="str">
        <f aca="false">IF(N(R361)&gt;0,R361,"")</f>
        <v/>
      </c>
      <c r="J361" s="45" t="str">
        <f aca="false">IF(AND(M361="",B361="",C361=""),"",IF(AND(N(E361)&gt;0,N(F361)&gt;0),"⚠ Fill withdrawal OR deposit",IF(M361="","⚠ Enter amount",IF(B361="","⚠ Enter date",IF(NOT(OR(NOT(ISNUMBER(G361)),NOT(ISNUMBER(G360)),ABS(N(G361)-(N(G360)+N(F361)-N(E361)))&lt;=0.5)),"⚠ Balance does not follow previous row","✔")))))</f>
        <v/>
      </c>
      <c r="M361" s="9" t="str">
        <f aca="false">IF(N(F361)&gt;0,"IN",IF(N(E361)&gt;0,"OUT",""))</f>
        <v/>
      </c>
      <c r="N361" s="9" t="str">
        <f aca="false">IF(M361="","",M361&amp;"|"&amp;TEXT(ROUND(N(E361)+N(F361),2),"0.00"))</f>
        <v/>
      </c>
      <c r="O361" s="9" t="str">
        <f aca="false">IF(OR(N361="",TRIM(D361&amp;"")=""),"",N361&amp;"|"&amp;UPPER(TRIM(D361&amp;"")))</f>
        <v/>
      </c>
      <c r="P361" s="9" t="n">
        <f aca="false">IF(O361="",0,IF(COUNTIF('Cash Book'!$O$8:$O$507,O361)&gt;0,1,0))</f>
        <v>0</v>
      </c>
      <c r="Q361" s="9" t="str">
        <f aca="false">IF(OR(N361="",P361=1),"",N361&amp;"#"&amp;COUNTIFS($N$8:N361,N361,$P$8:P361,0))</f>
        <v/>
      </c>
      <c r="R361" s="9" t="n">
        <f aca="false">IF(N361="",0,IFERROR(MATCH(ROW()-7,'Cash Book'!$U$8:$U$507,0),0))</f>
        <v>0</v>
      </c>
      <c r="V361" s="9" t="str">
        <f aca="false">IF(AND(N361&lt;&gt;"",R361=0),IF(M361="IN",3,4)*100000+ROW(),"")</f>
        <v/>
      </c>
      <c r="W361" s="9" t="n">
        <f aca="false">N(E361)+N(F361)</f>
        <v>0</v>
      </c>
    </row>
    <row r="362" customFormat="false" ht="15" hidden="false" customHeight="false" outlineLevel="0" collapsed="false">
      <c r="A362" s="37" t="str">
        <f aca="false">IF(M362="","",ROW()-7)</f>
        <v/>
      </c>
      <c r="B362" s="70"/>
      <c r="C362" s="72"/>
      <c r="D362" s="71"/>
      <c r="E362" s="73"/>
      <c r="F362" s="73"/>
      <c r="G362" s="73"/>
      <c r="H362" s="42" t="str">
        <f aca="false">IF(M362="","",IF(R362&gt;0,"✔ Matched",IF(M362="IN","Not in cash book (credit)","Not in cash book (debit)")))</f>
        <v/>
      </c>
      <c r="I362" s="43" t="str">
        <f aca="false">IF(N(R362)&gt;0,R362,"")</f>
        <v/>
      </c>
      <c r="J362" s="45" t="str">
        <f aca="false">IF(AND(M362="",B362="",C362=""),"",IF(AND(N(E362)&gt;0,N(F362)&gt;0),"⚠ Fill withdrawal OR deposit",IF(M362="","⚠ Enter amount",IF(B362="","⚠ Enter date",IF(NOT(OR(NOT(ISNUMBER(G362)),NOT(ISNUMBER(G361)),ABS(N(G362)-(N(G361)+N(F362)-N(E362)))&lt;=0.5)),"⚠ Balance does not follow previous row","✔")))))</f>
        <v/>
      </c>
      <c r="M362" s="9" t="str">
        <f aca="false">IF(N(F362)&gt;0,"IN",IF(N(E362)&gt;0,"OUT",""))</f>
        <v/>
      </c>
      <c r="N362" s="9" t="str">
        <f aca="false">IF(M362="","",M362&amp;"|"&amp;TEXT(ROUND(N(E362)+N(F362),2),"0.00"))</f>
        <v/>
      </c>
      <c r="O362" s="9" t="str">
        <f aca="false">IF(OR(N362="",TRIM(D362&amp;"")=""),"",N362&amp;"|"&amp;UPPER(TRIM(D362&amp;"")))</f>
        <v/>
      </c>
      <c r="P362" s="9" t="n">
        <f aca="false">IF(O362="",0,IF(COUNTIF('Cash Book'!$O$8:$O$507,O362)&gt;0,1,0))</f>
        <v>0</v>
      </c>
      <c r="Q362" s="9" t="str">
        <f aca="false">IF(OR(N362="",P362=1),"",N362&amp;"#"&amp;COUNTIFS($N$8:N362,N362,$P$8:P362,0))</f>
        <v/>
      </c>
      <c r="R362" s="9" t="n">
        <f aca="false">IF(N362="",0,IFERROR(MATCH(ROW()-7,'Cash Book'!$U$8:$U$507,0),0))</f>
        <v>0</v>
      </c>
      <c r="V362" s="9" t="str">
        <f aca="false">IF(AND(N362&lt;&gt;"",R362=0),IF(M362="IN",3,4)*100000+ROW(),"")</f>
        <v/>
      </c>
      <c r="W362" s="9" t="n">
        <f aca="false">N(E362)+N(F362)</f>
        <v>0</v>
      </c>
    </row>
    <row r="363" customFormat="false" ht="15" hidden="false" customHeight="false" outlineLevel="0" collapsed="false">
      <c r="A363" s="37" t="str">
        <f aca="false">IF(M363="","",ROW()-7)</f>
        <v/>
      </c>
      <c r="B363" s="70"/>
      <c r="C363" s="72"/>
      <c r="D363" s="71"/>
      <c r="E363" s="73"/>
      <c r="F363" s="73"/>
      <c r="G363" s="73"/>
      <c r="H363" s="42" t="str">
        <f aca="false">IF(M363="","",IF(R363&gt;0,"✔ Matched",IF(M363="IN","Not in cash book (credit)","Not in cash book (debit)")))</f>
        <v/>
      </c>
      <c r="I363" s="43" t="str">
        <f aca="false">IF(N(R363)&gt;0,R363,"")</f>
        <v/>
      </c>
      <c r="J363" s="45" t="str">
        <f aca="false">IF(AND(M363="",B363="",C363=""),"",IF(AND(N(E363)&gt;0,N(F363)&gt;0),"⚠ Fill withdrawal OR deposit",IF(M363="","⚠ Enter amount",IF(B363="","⚠ Enter date",IF(NOT(OR(NOT(ISNUMBER(G363)),NOT(ISNUMBER(G362)),ABS(N(G363)-(N(G362)+N(F363)-N(E363)))&lt;=0.5)),"⚠ Balance does not follow previous row","✔")))))</f>
        <v/>
      </c>
      <c r="M363" s="9" t="str">
        <f aca="false">IF(N(F363)&gt;0,"IN",IF(N(E363)&gt;0,"OUT",""))</f>
        <v/>
      </c>
      <c r="N363" s="9" t="str">
        <f aca="false">IF(M363="","",M363&amp;"|"&amp;TEXT(ROUND(N(E363)+N(F363),2),"0.00"))</f>
        <v/>
      </c>
      <c r="O363" s="9" t="str">
        <f aca="false">IF(OR(N363="",TRIM(D363&amp;"")=""),"",N363&amp;"|"&amp;UPPER(TRIM(D363&amp;"")))</f>
        <v/>
      </c>
      <c r="P363" s="9" t="n">
        <f aca="false">IF(O363="",0,IF(COUNTIF('Cash Book'!$O$8:$O$507,O363)&gt;0,1,0))</f>
        <v>0</v>
      </c>
      <c r="Q363" s="9" t="str">
        <f aca="false">IF(OR(N363="",P363=1),"",N363&amp;"#"&amp;COUNTIFS($N$8:N363,N363,$P$8:P363,0))</f>
        <v/>
      </c>
      <c r="R363" s="9" t="n">
        <f aca="false">IF(N363="",0,IFERROR(MATCH(ROW()-7,'Cash Book'!$U$8:$U$507,0),0))</f>
        <v>0</v>
      </c>
      <c r="V363" s="9" t="str">
        <f aca="false">IF(AND(N363&lt;&gt;"",R363=0),IF(M363="IN",3,4)*100000+ROW(),"")</f>
        <v/>
      </c>
      <c r="W363" s="9" t="n">
        <f aca="false">N(E363)+N(F363)</f>
        <v>0</v>
      </c>
    </row>
    <row r="364" customFormat="false" ht="15" hidden="false" customHeight="false" outlineLevel="0" collapsed="false">
      <c r="A364" s="37" t="str">
        <f aca="false">IF(M364="","",ROW()-7)</f>
        <v/>
      </c>
      <c r="B364" s="70"/>
      <c r="C364" s="72"/>
      <c r="D364" s="71"/>
      <c r="E364" s="73"/>
      <c r="F364" s="73"/>
      <c r="G364" s="73"/>
      <c r="H364" s="42" t="str">
        <f aca="false">IF(M364="","",IF(R364&gt;0,"✔ Matched",IF(M364="IN","Not in cash book (credit)","Not in cash book (debit)")))</f>
        <v/>
      </c>
      <c r="I364" s="43" t="str">
        <f aca="false">IF(N(R364)&gt;0,R364,"")</f>
        <v/>
      </c>
      <c r="J364" s="45" t="str">
        <f aca="false">IF(AND(M364="",B364="",C364=""),"",IF(AND(N(E364)&gt;0,N(F364)&gt;0),"⚠ Fill withdrawal OR deposit",IF(M364="","⚠ Enter amount",IF(B364="","⚠ Enter date",IF(NOT(OR(NOT(ISNUMBER(G364)),NOT(ISNUMBER(G363)),ABS(N(G364)-(N(G363)+N(F364)-N(E364)))&lt;=0.5)),"⚠ Balance does not follow previous row","✔")))))</f>
        <v/>
      </c>
      <c r="M364" s="9" t="str">
        <f aca="false">IF(N(F364)&gt;0,"IN",IF(N(E364)&gt;0,"OUT",""))</f>
        <v/>
      </c>
      <c r="N364" s="9" t="str">
        <f aca="false">IF(M364="","",M364&amp;"|"&amp;TEXT(ROUND(N(E364)+N(F364),2),"0.00"))</f>
        <v/>
      </c>
      <c r="O364" s="9" t="str">
        <f aca="false">IF(OR(N364="",TRIM(D364&amp;"")=""),"",N364&amp;"|"&amp;UPPER(TRIM(D364&amp;"")))</f>
        <v/>
      </c>
      <c r="P364" s="9" t="n">
        <f aca="false">IF(O364="",0,IF(COUNTIF('Cash Book'!$O$8:$O$507,O364)&gt;0,1,0))</f>
        <v>0</v>
      </c>
      <c r="Q364" s="9" t="str">
        <f aca="false">IF(OR(N364="",P364=1),"",N364&amp;"#"&amp;COUNTIFS($N$8:N364,N364,$P$8:P364,0))</f>
        <v/>
      </c>
      <c r="R364" s="9" t="n">
        <f aca="false">IF(N364="",0,IFERROR(MATCH(ROW()-7,'Cash Book'!$U$8:$U$507,0),0))</f>
        <v>0</v>
      </c>
      <c r="V364" s="9" t="str">
        <f aca="false">IF(AND(N364&lt;&gt;"",R364=0),IF(M364="IN",3,4)*100000+ROW(),"")</f>
        <v/>
      </c>
      <c r="W364" s="9" t="n">
        <f aca="false">N(E364)+N(F364)</f>
        <v>0</v>
      </c>
    </row>
    <row r="365" customFormat="false" ht="15" hidden="false" customHeight="false" outlineLevel="0" collapsed="false">
      <c r="A365" s="37" t="str">
        <f aca="false">IF(M365="","",ROW()-7)</f>
        <v/>
      </c>
      <c r="B365" s="70"/>
      <c r="C365" s="72"/>
      <c r="D365" s="71"/>
      <c r="E365" s="73"/>
      <c r="F365" s="73"/>
      <c r="G365" s="73"/>
      <c r="H365" s="42" t="str">
        <f aca="false">IF(M365="","",IF(R365&gt;0,"✔ Matched",IF(M365="IN","Not in cash book (credit)","Not in cash book (debit)")))</f>
        <v/>
      </c>
      <c r="I365" s="43" t="str">
        <f aca="false">IF(N(R365)&gt;0,R365,"")</f>
        <v/>
      </c>
      <c r="J365" s="45" t="str">
        <f aca="false">IF(AND(M365="",B365="",C365=""),"",IF(AND(N(E365)&gt;0,N(F365)&gt;0),"⚠ Fill withdrawal OR deposit",IF(M365="","⚠ Enter amount",IF(B365="","⚠ Enter date",IF(NOT(OR(NOT(ISNUMBER(G365)),NOT(ISNUMBER(G364)),ABS(N(G365)-(N(G364)+N(F365)-N(E365)))&lt;=0.5)),"⚠ Balance does not follow previous row","✔")))))</f>
        <v/>
      </c>
      <c r="M365" s="9" t="str">
        <f aca="false">IF(N(F365)&gt;0,"IN",IF(N(E365)&gt;0,"OUT",""))</f>
        <v/>
      </c>
      <c r="N365" s="9" t="str">
        <f aca="false">IF(M365="","",M365&amp;"|"&amp;TEXT(ROUND(N(E365)+N(F365),2),"0.00"))</f>
        <v/>
      </c>
      <c r="O365" s="9" t="str">
        <f aca="false">IF(OR(N365="",TRIM(D365&amp;"")=""),"",N365&amp;"|"&amp;UPPER(TRIM(D365&amp;"")))</f>
        <v/>
      </c>
      <c r="P365" s="9" t="n">
        <f aca="false">IF(O365="",0,IF(COUNTIF('Cash Book'!$O$8:$O$507,O365)&gt;0,1,0))</f>
        <v>0</v>
      </c>
      <c r="Q365" s="9" t="str">
        <f aca="false">IF(OR(N365="",P365=1),"",N365&amp;"#"&amp;COUNTIFS($N$8:N365,N365,$P$8:P365,0))</f>
        <v/>
      </c>
      <c r="R365" s="9" t="n">
        <f aca="false">IF(N365="",0,IFERROR(MATCH(ROW()-7,'Cash Book'!$U$8:$U$507,0),0))</f>
        <v>0</v>
      </c>
      <c r="V365" s="9" t="str">
        <f aca="false">IF(AND(N365&lt;&gt;"",R365=0),IF(M365="IN",3,4)*100000+ROW(),"")</f>
        <v/>
      </c>
      <c r="W365" s="9" t="n">
        <f aca="false">N(E365)+N(F365)</f>
        <v>0</v>
      </c>
    </row>
    <row r="366" customFormat="false" ht="15" hidden="false" customHeight="false" outlineLevel="0" collapsed="false">
      <c r="A366" s="37" t="str">
        <f aca="false">IF(M366="","",ROW()-7)</f>
        <v/>
      </c>
      <c r="B366" s="70"/>
      <c r="C366" s="72"/>
      <c r="D366" s="71"/>
      <c r="E366" s="73"/>
      <c r="F366" s="73"/>
      <c r="G366" s="73"/>
      <c r="H366" s="42" t="str">
        <f aca="false">IF(M366="","",IF(R366&gt;0,"✔ Matched",IF(M366="IN","Not in cash book (credit)","Not in cash book (debit)")))</f>
        <v/>
      </c>
      <c r="I366" s="43" t="str">
        <f aca="false">IF(N(R366)&gt;0,R366,"")</f>
        <v/>
      </c>
      <c r="J366" s="45" t="str">
        <f aca="false">IF(AND(M366="",B366="",C366=""),"",IF(AND(N(E366)&gt;0,N(F366)&gt;0),"⚠ Fill withdrawal OR deposit",IF(M366="","⚠ Enter amount",IF(B366="","⚠ Enter date",IF(NOT(OR(NOT(ISNUMBER(G366)),NOT(ISNUMBER(G365)),ABS(N(G366)-(N(G365)+N(F366)-N(E366)))&lt;=0.5)),"⚠ Balance does not follow previous row","✔")))))</f>
        <v/>
      </c>
      <c r="M366" s="9" t="str">
        <f aca="false">IF(N(F366)&gt;0,"IN",IF(N(E366)&gt;0,"OUT",""))</f>
        <v/>
      </c>
      <c r="N366" s="9" t="str">
        <f aca="false">IF(M366="","",M366&amp;"|"&amp;TEXT(ROUND(N(E366)+N(F366),2),"0.00"))</f>
        <v/>
      </c>
      <c r="O366" s="9" t="str">
        <f aca="false">IF(OR(N366="",TRIM(D366&amp;"")=""),"",N366&amp;"|"&amp;UPPER(TRIM(D366&amp;"")))</f>
        <v/>
      </c>
      <c r="P366" s="9" t="n">
        <f aca="false">IF(O366="",0,IF(COUNTIF('Cash Book'!$O$8:$O$507,O366)&gt;0,1,0))</f>
        <v>0</v>
      </c>
      <c r="Q366" s="9" t="str">
        <f aca="false">IF(OR(N366="",P366=1),"",N366&amp;"#"&amp;COUNTIFS($N$8:N366,N366,$P$8:P366,0))</f>
        <v/>
      </c>
      <c r="R366" s="9" t="n">
        <f aca="false">IF(N366="",0,IFERROR(MATCH(ROW()-7,'Cash Book'!$U$8:$U$507,0),0))</f>
        <v>0</v>
      </c>
      <c r="V366" s="9" t="str">
        <f aca="false">IF(AND(N366&lt;&gt;"",R366=0),IF(M366="IN",3,4)*100000+ROW(),"")</f>
        <v/>
      </c>
      <c r="W366" s="9" t="n">
        <f aca="false">N(E366)+N(F366)</f>
        <v>0</v>
      </c>
    </row>
    <row r="367" customFormat="false" ht="15" hidden="false" customHeight="false" outlineLevel="0" collapsed="false">
      <c r="A367" s="37" t="str">
        <f aca="false">IF(M367="","",ROW()-7)</f>
        <v/>
      </c>
      <c r="B367" s="70"/>
      <c r="C367" s="72"/>
      <c r="D367" s="71"/>
      <c r="E367" s="73"/>
      <c r="F367" s="73"/>
      <c r="G367" s="73"/>
      <c r="H367" s="42" t="str">
        <f aca="false">IF(M367="","",IF(R367&gt;0,"✔ Matched",IF(M367="IN","Not in cash book (credit)","Not in cash book (debit)")))</f>
        <v/>
      </c>
      <c r="I367" s="43" t="str">
        <f aca="false">IF(N(R367)&gt;0,R367,"")</f>
        <v/>
      </c>
      <c r="J367" s="45" t="str">
        <f aca="false">IF(AND(M367="",B367="",C367=""),"",IF(AND(N(E367)&gt;0,N(F367)&gt;0),"⚠ Fill withdrawal OR deposit",IF(M367="","⚠ Enter amount",IF(B367="","⚠ Enter date",IF(NOT(OR(NOT(ISNUMBER(G367)),NOT(ISNUMBER(G366)),ABS(N(G367)-(N(G366)+N(F367)-N(E367)))&lt;=0.5)),"⚠ Balance does not follow previous row","✔")))))</f>
        <v/>
      </c>
      <c r="M367" s="9" t="str">
        <f aca="false">IF(N(F367)&gt;0,"IN",IF(N(E367)&gt;0,"OUT",""))</f>
        <v/>
      </c>
      <c r="N367" s="9" t="str">
        <f aca="false">IF(M367="","",M367&amp;"|"&amp;TEXT(ROUND(N(E367)+N(F367),2),"0.00"))</f>
        <v/>
      </c>
      <c r="O367" s="9" t="str">
        <f aca="false">IF(OR(N367="",TRIM(D367&amp;"")=""),"",N367&amp;"|"&amp;UPPER(TRIM(D367&amp;"")))</f>
        <v/>
      </c>
      <c r="P367" s="9" t="n">
        <f aca="false">IF(O367="",0,IF(COUNTIF('Cash Book'!$O$8:$O$507,O367)&gt;0,1,0))</f>
        <v>0</v>
      </c>
      <c r="Q367" s="9" t="str">
        <f aca="false">IF(OR(N367="",P367=1),"",N367&amp;"#"&amp;COUNTIFS($N$8:N367,N367,$P$8:P367,0))</f>
        <v/>
      </c>
      <c r="R367" s="9" t="n">
        <f aca="false">IF(N367="",0,IFERROR(MATCH(ROW()-7,'Cash Book'!$U$8:$U$507,0),0))</f>
        <v>0</v>
      </c>
      <c r="V367" s="9" t="str">
        <f aca="false">IF(AND(N367&lt;&gt;"",R367=0),IF(M367="IN",3,4)*100000+ROW(),"")</f>
        <v/>
      </c>
      <c r="W367" s="9" t="n">
        <f aca="false">N(E367)+N(F367)</f>
        <v>0</v>
      </c>
    </row>
    <row r="368" customFormat="false" ht="15" hidden="false" customHeight="false" outlineLevel="0" collapsed="false">
      <c r="A368" s="37" t="str">
        <f aca="false">IF(M368="","",ROW()-7)</f>
        <v/>
      </c>
      <c r="B368" s="70"/>
      <c r="C368" s="72"/>
      <c r="D368" s="71"/>
      <c r="E368" s="73"/>
      <c r="F368" s="73"/>
      <c r="G368" s="73"/>
      <c r="H368" s="42" t="str">
        <f aca="false">IF(M368="","",IF(R368&gt;0,"✔ Matched",IF(M368="IN","Not in cash book (credit)","Not in cash book (debit)")))</f>
        <v/>
      </c>
      <c r="I368" s="43" t="str">
        <f aca="false">IF(N(R368)&gt;0,R368,"")</f>
        <v/>
      </c>
      <c r="J368" s="45" t="str">
        <f aca="false">IF(AND(M368="",B368="",C368=""),"",IF(AND(N(E368)&gt;0,N(F368)&gt;0),"⚠ Fill withdrawal OR deposit",IF(M368="","⚠ Enter amount",IF(B368="","⚠ Enter date",IF(NOT(OR(NOT(ISNUMBER(G368)),NOT(ISNUMBER(G367)),ABS(N(G368)-(N(G367)+N(F368)-N(E368)))&lt;=0.5)),"⚠ Balance does not follow previous row","✔")))))</f>
        <v/>
      </c>
      <c r="M368" s="9" t="str">
        <f aca="false">IF(N(F368)&gt;0,"IN",IF(N(E368)&gt;0,"OUT",""))</f>
        <v/>
      </c>
      <c r="N368" s="9" t="str">
        <f aca="false">IF(M368="","",M368&amp;"|"&amp;TEXT(ROUND(N(E368)+N(F368),2),"0.00"))</f>
        <v/>
      </c>
      <c r="O368" s="9" t="str">
        <f aca="false">IF(OR(N368="",TRIM(D368&amp;"")=""),"",N368&amp;"|"&amp;UPPER(TRIM(D368&amp;"")))</f>
        <v/>
      </c>
      <c r="P368" s="9" t="n">
        <f aca="false">IF(O368="",0,IF(COUNTIF('Cash Book'!$O$8:$O$507,O368)&gt;0,1,0))</f>
        <v>0</v>
      </c>
      <c r="Q368" s="9" t="str">
        <f aca="false">IF(OR(N368="",P368=1),"",N368&amp;"#"&amp;COUNTIFS($N$8:N368,N368,$P$8:P368,0))</f>
        <v/>
      </c>
      <c r="R368" s="9" t="n">
        <f aca="false">IF(N368="",0,IFERROR(MATCH(ROW()-7,'Cash Book'!$U$8:$U$507,0),0))</f>
        <v>0</v>
      </c>
      <c r="V368" s="9" t="str">
        <f aca="false">IF(AND(N368&lt;&gt;"",R368=0),IF(M368="IN",3,4)*100000+ROW(),"")</f>
        <v/>
      </c>
      <c r="W368" s="9" t="n">
        <f aca="false">N(E368)+N(F368)</f>
        <v>0</v>
      </c>
    </row>
    <row r="369" customFormat="false" ht="15" hidden="false" customHeight="false" outlineLevel="0" collapsed="false">
      <c r="A369" s="37" t="str">
        <f aca="false">IF(M369="","",ROW()-7)</f>
        <v/>
      </c>
      <c r="B369" s="70"/>
      <c r="C369" s="72"/>
      <c r="D369" s="71"/>
      <c r="E369" s="73"/>
      <c r="F369" s="73"/>
      <c r="G369" s="73"/>
      <c r="H369" s="42" t="str">
        <f aca="false">IF(M369="","",IF(R369&gt;0,"✔ Matched",IF(M369="IN","Not in cash book (credit)","Not in cash book (debit)")))</f>
        <v/>
      </c>
      <c r="I369" s="43" t="str">
        <f aca="false">IF(N(R369)&gt;0,R369,"")</f>
        <v/>
      </c>
      <c r="J369" s="45" t="str">
        <f aca="false">IF(AND(M369="",B369="",C369=""),"",IF(AND(N(E369)&gt;0,N(F369)&gt;0),"⚠ Fill withdrawal OR deposit",IF(M369="","⚠ Enter amount",IF(B369="","⚠ Enter date",IF(NOT(OR(NOT(ISNUMBER(G369)),NOT(ISNUMBER(G368)),ABS(N(G369)-(N(G368)+N(F369)-N(E369)))&lt;=0.5)),"⚠ Balance does not follow previous row","✔")))))</f>
        <v/>
      </c>
      <c r="M369" s="9" t="str">
        <f aca="false">IF(N(F369)&gt;0,"IN",IF(N(E369)&gt;0,"OUT",""))</f>
        <v/>
      </c>
      <c r="N369" s="9" t="str">
        <f aca="false">IF(M369="","",M369&amp;"|"&amp;TEXT(ROUND(N(E369)+N(F369),2),"0.00"))</f>
        <v/>
      </c>
      <c r="O369" s="9" t="str">
        <f aca="false">IF(OR(N369="",TRIM(D369&amp;"")=""),"",N369&amp;"|"&amp;UPPER(TRIM(D369&amp;"")))</f>
        <v/>
      </c>
      <c r="P369" s="9" t="n">
        <f aca="false">IF(O369="",0,IF(COUNTIF('Cash Book'!$O$8:$O$507,O369)&gt;0,1,0))</f>
        <v>0</v>
      </c>
      <c r="Q369" s="9" t="str">
        <f aca="false">IF(OR(N369="",P369=1),"",N369&amp;"#"&amp;COUNTIFS($N$8:N369,N369,$P$8:P369,0))</f>
        <v/>
      </c>
      <c r="R369" s="9" t="n">
        <f aca="false">IF(N369="",0,IFERROR(MATCH(ROW()-7,'Cash Book'!$U$8:$U$507,0),0))</f>
        <v>0</v>
      </c>
      <c r="V369" s="9" t="str">
        <f aca="false">IF(AND(N369&lt;&gt;"",R369=0),IF(M369="IN",3,4)*100000+ROW(),"")</f>
        <v/>
      </c>
      <c r="W369" s="9" t="n">
        <f aca="false">N(E369)+N(F369)</f>
        <v>0</v>
      </c>
    </row>
    <row r="370" customFormat="false" ht="15" hidden="false" customHeight="false" outlineLevel="0" collapsed="false">
      <c r="A370" s="37" t="str">
        <f aca="false">IF(M370="","",ROW()-7)</f>
        <v/>
      </c>
      <c r="B370" s="70"/>
      <c r="C370" s="72"/>
      <c r="D370" s="71"/>
      <c r="E370" s="73"/>
      <c r="F370" s="73"/>
      <c r="G370" s="73"/>
      <c r="H370" s="42" t="str">
        <f aca="false">IF(M370="","",IF(R370&gt;0,"✔ Matched",IF(M370="IN","Not in cash book (credit)","Not in cash book (debit)")))</f>
        <v/>
      </c>
      <c r="I370" s="43" t="str">
        <f aca="false">IF(N(R370)&gt;0,R370,"")</f>
        <v/>
      </c>
      <c r="J370" s="45" t="str">
        <f aca="false">IF(AND(M370="",B370="",C370=""),"",IF(AND(N(E370)&gt;0,N(F370)&gt;0),"⚠ Fill withdrawal OR deposit",IF(M370="","⚠ Enter amount",IF(B370="","⚠ Enter date",IF(NOT(OR(NOT(ISNUMBER(G370)),NOT(ISNUMBER(G369)),ABS(N(G370)-(N(G369)+N(F370)-N(E370)))&lt;=0.5)),"⚠ Balance does not follow previous row","✔")))))</f>
        <v/>
      </c>
      <c r="M370" s="9" t="str">
        <f aca="false">IF(N(F370)&gt;0,"IN",IF(N(E370)&gt;0,"OUT",""))</f>
        <v/>
      </c>
      <c r="N370" s="9" t="str">
        <f aca="false">IF(M370="","",M370&amp;"|"&amp;TEXT(ROUND(N(E370)+N(F370),2),"0.00"))</f>
        <v/>
      </c>
      <c r="O370" s="9" t="str">
        <f aca="false">IF(OR(N370="",TRIM(D370&amp;"")=""),"",N370&amp;"|"&amp;UPPER(TRIM(D370&amp;"")))</f>
        <v/>
      </c>
      <c r="P370" s="9" t="n">
        <f aca="false">IF(O370="",0,IF(COUNTIF('Cash Book'!$O$8:$O$507,O370)&gt;0,1,0))</f>
        <v>0</v>
      </c>
      <c r="Q370" s="9" t="str">
        <f aca="false">IF(OR(N370="",P370=1),"",N370&amp;"#"&amp;COUNTIFS($N$8:N370,N370,$P$8:P370,0))</f>
        <v/>
      </c>
      <c r="R370" s="9" t="n">
        <f aca="false">IF(N370="",0,IFERROR(MATCH(ROW()-7,'Cash Book'!$U$8:$U$507,0),0))</f>
        <v>0</v>
      </c>
      <c r="V370" s="9" t="str">
        <f aca="false">IF(AND(N370&lt;&gt;"",R370=0),IF(M370="IN",3,4)*100000+ROW(),"")</f>
        <v/>
      </c>
      <c r="W370" s="9" t="n">
        <f aca="false">N(E370)+N(F370)</f>
        <v>0</v>
      </c>
    </row>
    <row r="371" customFormat="false" ht="15" hidden="false" customHeight="false" outlineLevel="0" collapsed="false">
      <c r="A371" s="37" t="str">
        <f aca="false">IF(M371="","",ROW()-7)</f>
        <v/>
      </c>
      <c r="B371" s="70"/>
      <c r="C371" s="72"/>
      <c r="D371" s="71"/>
      <c r="E371" s="73"/>
      <c r="F371" s="73"/>
      <c r="G371" s="73"/>
      <c r="H371" s="42" t="str">
        <f aca="false">IF(M371="","",IF(R371&gt;0,"✔ Matched",IF(M371="IN","Not in cash book (credit)","Not in cash book (debit)")))</f>
        <v/>
      </c>
      <c r="I371" s="43" t="str">
        <f aca="false">IF(N(R371)&gt;0,R371,"")</f>
        <v/>
      </c>
      <c r="J371" s="45" t="str">
        <f aca="false">IF(AND(M371="",B371="",C371=""),"",IF(AND(N(E371)&gt;0,N(F371)&gt;0),"⚠ Fill withdrawal OR deposit",IF(M371="","⚠ Enter amount",IF(B371="","⚠ Enter date",IF(NOT(OR(NOT(ISNUMBER(G371)),NOT(ISNUMBER(G370)),ABS(N(G371)-(N(G370)+N(F371)-N(E371)))&lt;=0.5)),"⚠ Balance does not follow previous row","✔")))))</f>
        <v/>
      </c>
      <c r="M371" s="9" t="str">
        <f aca="false">IF(N(F371)&gt;0,"IN",IF(N(E371)&gt;0,"OUT",""))</f>
        <v/>
      </c>
      <c r="N371" s="9" t="str">
        <f aca="false">IF(M371="","",M371&amp;"|"&amp;TEXT(ROUND(N(E371)+N(F371),2),"0.00"))</f>
        <v/>
      </c>
      <c r="O371" s="9" t="str">
        <f aca="false">IF(OR(N371="",TRIM(D371&amp;"")=""),"",N371&amp;"|"&amp;UPPER(TRIM(D371&amp;"")))</f>
        <v/>
      </c>
      <c r="P371" s="9" t="n">
        <f aca="false">IF(O371="",0,IF(COUNTIF('Cash Book'!$O$8:$O$507,O371)&gt;0,1,0))</f>
        <v>0</v>
      </c>
      <c r="Q371" s="9" t="str">
        <f aca="false">IF(OR(N371="",P371=1),"",N371&amp;"#"&amp;COUNTIFS($N$8:N371,N371,$P$8:P371,0))</f>
        <v/>
      </c>
      <c r="R371" s="9" t="n">
        <f aca="false">IF(N371="",0,IFERROR(MATCH(ROW()-7,'Cash Book'!$U$8:$U$507,0),0))</f>
        <v>0</v>
      </c>
      <c r="V371" s="9" t="str">
        <f aca="false">IF(AND(N371&lt;&gt;"",R371=0),IF(M371="IN",3,4)*100000+ROW(),"")</f>
        <v/>
      </c>
      <c r="W371" s="9" t="n">
        <f aca="false">N(E371)+N(F371)</f>
        <v>0</v>
      </c>
    </row>
    <row r="372" customFormat="false" ht="15" hidden="false" customHeight="false" outlineLevel="0" collapsed="false">
      <c r="A372" s="37" t="str">
        <f aca="false">IF(M372="","",ROW()-7)</f>
        <v/>
      </c>
      <c r="B372" s="70"/>
      <c r="C372" s="72"/>
      <c r="D372" s="71"/>
      <c r="E372" s="73"/>
      <c r="F372" s="73"/>
      <c r="G372" s="73"/>
      <c r="H372" s="42" t="str">
        <f aca="false">IF(M372="","",IF(R372&gt;0,"✔ Matched",IF(M372="IN","Not in cash book (credit)","Not in cash book (debit)")))</f>
        <v/>
      </c>
      <c r="I372" s="43" t="str">
        <f aca="false">IF(N(R372)&gt;0,R372,"")</f>
        <v/>
      </c>
      <c r="J372" s="45" t="str">
        <f aca="false">IF(AND(M372="",B372="",C372=""),"",IF(AND(N(E372)&gt;0,N(F372)&gt;0),"⚠ Fill withdrawal OR deposit",IF(M372="","⚠ Enter amount",IF(B372="","⚠ Enter date",IF(NOT(OR(NOT(ISNUMBER(G372)),NOT(ISNUMBER(G371)),ABS(N(G372)-(N(G371)+N(F372)-N(E372)))&lt;=0.5)),"⚠ Balance does not follow previous row","✔")))))</f>
        <v/>
      </c>
      <c r="M372" s="9" t="str">
        <f aca="false">IF(N(F372)&gt;0,"IN",IF(N(E372)&gt;0,"OUT",""))</f>
        <v/>
      </c>
      <c r="N372" s="9" t="str">
        <f aca="false">IF(M372="","",M372&amp;"|"&amp;TEXT(ROUND(N(E372)+N(F372),2),"0.00"))</f>
        <v/>
      </c>
      <c r="O372" s="9" t="str">
        <f aca="false">IF(OR(N372="",TRIM(D372&amp;"")=""),"",N372&amp;"|"&amp;UPPER(TRIM(D372&amp;"")))</f>
        <v/>
      </c>
      <c r="P372" s="9" t="n">
        <f aca="false">IF(O372="",0,IF(COUNTIF('Cash Book'!$O$8:$O$507,O372)&gt;0,1,0))</f>
        <v>0</v>
      </c>
      <c r="Q372" s="9" t="str">
        <f aca="false">IF(OR(N372="",P372=1),"",N372&amp;"#"&amp;COUNTIFS($N$8:N372,N372,$P$8:P372,0))</f>
        <v/>
      </c>
      <c r="R372" s="9" t="n">
        <f aca="false">IF(N372="",0,IFERROR(MATCH(ROW()-7,'Cash Book'!$U$8:$U$507,0),0))</f>
        <v>0</v>
      </c>
      <c r="V372" s="9" t="str">
        <f aca="false">IF(AND(N372&lt;&gt;"",R372=0),IF(M372="IN",3,4)*100000+ROW(),"")</f>
        <v/>
      </c>
      <c r="W372" s="9" t="n">
        <f aca="false">N(E372)+N(F372)</f>
        <v>0</v>
      </c>
    </row>
    <row r="373" customFormat="false" ht="15" hidden="false" customHeight="false" outlineLevel="0" collapsed="false">
      <c r="A373" s="37" t="str">
        <f aca="false">IF(M373="","",ROW()-7)</f>
        <v/>
      </c>
      <c r="B373" s="70"/>
      <c r="C373" s="72"/>
      <c r="D373" s="71"/>
      <c r="E373" s="73"/>
      <c r="F373" s="73"/>
      <c r="G373" s="73"/>
      <c r="H373" s="42" t="str">
        <f aca="false">IF(M373="","",IF(R373&gt;0,"✔ Matched",IF(M373="IN","Not in cash book (credit)","Not in cash book (debit)")))</f>
        <v/>
      </c>
      <c r="I373" s="43" t="str">
        <f aca="false">IF(N(R373)&gt;0,R373,"")</f>
        <v/>
      </c>
      <c r="J373" s="45" t="str">
        <f aca="false">IF(AND(M373="",B373="",C373=""),"",IF(AND(N(E373)&gt;0,N(F373)&gt;0),"⚠ Fill withdrawal OR deposit",IF(M373="","⚠ Enter amount",IF(B373="","⚠ Enter date",IF(NOT(OR(NOT(ISNUMBER(G373)),NOT(ISNUMBER(G372)),ABS(N(G373)-(N(G372)+N(F373)-N(E373)))&lt;=0.5)),"⚠ Balance does not follow previous row","✔")))))</f>
        <v/>
      </c>
      <c r="M373" s="9" t="str">
        <f aca="false">IF(N(F373)&gt;0,"IN",IF(N(E373)&gt;0,"OUT",""))</f>
        <v/>
      </c>
      <c r="N373" s="9" t="str">
        <f aca="false">IF(M373="","",M373&amp;"|"&amp;TEXT(ROUND(N(E373)+N(F373),2),"0.00"))</f>
        <v/>
      </c>
      <c r="O373" s="9" t="str">
        <f aca="false">IF(OR(N373="",TRIM(D373&amp;"")=""),"",N373&amp;"|"&amp;UPPER(TRIM(D373&amp;"")))</f>
        <v/>
      </c>
      <c r="P373" s="9" t="n">
        <f aca="false">IF(O373="",0,IF(COUNTIF('Cash Book'!$O$8:$O$507,O373)&gt;0,1,0))</f>
        <v>0</v>
      </c>
      <c r="Q373" s="9" t="str">
        <f aca="false">IF(OR(N373="",P373=1),"",N373&amp;"#"&amp;COUNTIFS($N$8:N373,N373,$P$8:P373,0))</f>
        <v/>
      </c>
      <c r="R373" s="9" t="n">
        <f aca="false">IF(N373="",0,IFERROR(MATCH(ROW()-7,'Cash Book'!$U$8:$U$507,0),0))</f>
        <v>0</v>
      </c>
      <c r="V373" s="9" t="str">
        <f aca="false">IF(AND(N373&lt;&gt;"",R373=0),IF(M373="IN",3,4)*100000+ROW(),"")</f>
        <v/>
      </c>
      <c r="W373" s="9" t="n">
        <f aca="false">N(E373)+N(F373)</f>
        <v>0</v>
      </c>
    </row>
    <row r="374" customFormat="false" ht="15" hidden="false" customHeight="false" outlineLevel="0" collapsed="false">
      <c r="A374" s="37" t="str">
        <f aca="false">IF(M374="","",ROW()-7)</f>
        <v/>
      </c>
      <c r="B374" s="70"/>
      <c r="C374" s="72"/>
      <c r="D374" s="71"/>
      <c r="E374" s="73"/>
      <c r="F374" s="73"/>
      <c r="G374" s="73"/>
      <c r="H374" s="42" t="str">
        <f aca="false">IF(M374="","",IF(R374&gt;0,"✔ Matched",IF(M374="IN","Not in cash book (credit)","Not in cash book (debit)")))</f>
        <v/>
      </c>
      <c r="I374" s="43" t="str">
        <f aca="false">IF(N(R374)&gt;0,R374,"")</f>
        <v/>
      </c>
      <c r="J374" s="45" t="str">
        <f aca="false">IF(AND(M374="",B374="",C374=""),"",IF(AND(N(E374)&gt;0,N(F374)&gt;0),"⚠ Fill withdrawal OR deposit",IF(M374="","⚠ Enter amount",IF(B374="","⚠ Enter date",IF(NOT(OR(NOT(ISNUMBER(G374)),NOT(ISNUMBER(G373)),ABS(N(G374)-(N(G373)+N(F374)-N(E374)))&lt;=0.5)),"⚠ Balance does not follow previous row","✔")))))</f>
        <v/>
      </c>
      <c r="M374" s="9" t="str">
        <f aca="false">IF(N(F374)&gt;0,"IN",IF(N(E374)&gt;0,"OUT",""))</f>
        <v/>
      </c>
      <c r="N374" s="9" t="str">
        <f aca="false">IF(M374="","",M374&amp;"|"&amp;TEXT(ROUND(N(E374)+N(F374),2),"0.00"))</f>
        <v/>
      </c>
      <c r="O374" s="9" t="str">
        <f aca="false">IF(OR(N374="",TRIM(D374&amp;"")=""),"",N374&amp;"|"&amp;UPPER(TRIM(D374&amp;"")))</f>
        <v/>
      </c>
      <c r="P374" s="9" t="n">
        <f aca="false">IF(O374="",0,IF(COUNTIF('Cash Book'!$O$8:$O$507,O374)&gt;0,1,0))</f>
        <v>0</v>
      </c>
      <c r="Q374" s="9" t="str">
        <f aca="false">IF(OR(N374="",P374=1),"",N374&amp;"#"&amp;COUNTIFS($N$8:N374,N374,$P$8:P374,0))</f>
        <v/>
      </c>
      <c r="R374" s="9" t="n">
        <f aca="false">IF(N374="",0,IFERROR(MATCH(ROW()-7,'Cash Book'!$U$8:$U$507,0),0))</f>
        <v>0</v>
      </c>
      <c r="V374" s="9" t="str">
        <f aca="false">IF(AND(N374&lt;&gt;"",R374=0),IF(M374="IN",3,4)*100000+ROW(),"")</f>
        <v/>
      </c>
      <c r="W374" s="9" t="n">
        <f aca="false">N(E374)+N(F374)</f>
        <v>0</v>
      </c>
    </row>
    <row r="375" customFormat="false" ht="15" hidden="false" customHeight="false" outlineLevel="0" collapsed="false">
      <c r="A375" s="37" t="str">
        <f aca="false">IF(M375="","",ROW()-7)</f>
        <v/>
      </c>
      <c r="B375" s="70"/>
      <c r="C375" s="72"/>
      <c r="D375" s="71"/>
      <c r="E375" s="73"/>
      <c r="F375" s="73"/>
      <c r="G375" s="73"/>
      <c r="H375" s="42" t="str">
        <f aca="false">IF(M375="","",IF(R375&gt;0,"✔ Matched",IF(M375="IN","Not in cash book (credit)","Not in cash book (debit)")))</f>
        <v/>
      </c>
      <c r="I375" s="43" t="str">
        <f aca="false">IF(N(R375)&gt;0,R375,"")</f>
        <v/>
      </c>
      <c r="J375" s="45" t="str">
        <f aca="false">IF(AND(M375="",B375="",C375=""),"",IF(AND(N(E375)&gt;0,N(F375)&gt;0),"⚠ Fill withdrawal OR deposit",IF(M375="","⚠ Enter amount",IF(B375="","⚠ Enter date",IF(NOT(OR(NOT(ISNUMBER(G375)),NOT(ISNUMBER(G374)),ABS(N(G375)-(N(G374)+N(F375)-N(E375)))&lt;=0.5)),"⚠ Balance does not follow previous row","✔")))))</f>
        <v/>
      </c>
      <c r="M375" s="9" t="str">
        <f aca="false">IF(N(F375)&gt;0,"IN",IF(N(E375)&gt;0,"OUT",""))</f>
        <v/>
      </c>
      <c r="N375" s="9" t="str">
        <f aca="false">IF(M375="","",M375&amp;"|"&amp;TEXT(ROUND(N(E375)+N(F375),2),"0.00"))</f>
        <v/>
      </c>
      <c r="O375" s="9" t="str">
        <f aca="false">IF(OR(N375="",TRIM(D375&amp;"")=""),"",N375&amp;"|"&amp;UPPER(TRIM(D375&amp;"")))</f>
        <v/>
      </c>
      <c r="P375" s="9" t="n">
        <f aca="false">IF(O375="",0,IF(COUNTIF('Cash Book'!$O$8:$O$507,O375)&gt;0,1,0))</f>
        <v>0</v>
      </c>
      <c r="Q375" s="9" t="str">
        <f aca="false">IF(OR(N375="",P375=1),"",N375&amp;"#"&amp;COUNTIFS($N$8:N375,N375,$P$8:P375,0))</f>
        <v/>
      </c>
      <c r="R375" s="9" t="n">
        <f aca="false">IF(N375="",0,IFERROR(MATCH(ROW()-7,'Cash Book'!$U$8:$U$507,0),0))</f>
        <v>0</v>
      </c>
      <c r="V375" s="9" t="str">
        <f aca="false">IF(AND(N375&lt;&gt;"",R375=0),IF(M375="IN",3,4)*100000+ROW(),"")</f>
        <v/>
      </c>
      <c r="W375" s="9" t="n">
        <f aca="false">N(E375)+N(F375)</f>
        <v>0</v>
      </c>
    </row>
    <row r="376" customFormat="false" ht="15" hidden="false" customHeight="false" outlineLevel="0" collapsed="false">
      <c r="A376" s="37" t="str">
        <f aca="false">IF(M376="","",ROW()-7)</f>
        <v/>
      </c>
      <c r="B376" s="70"/>
      <c r="C376" s="72"/>
      <c r="D376" s="71"/>
      <c r="E376" s="73"/>
      <c r="F376" s="73"/>
      <c r="G376" s="73"/>
      <c r="H376" s="42" t="str">
        <f aca="false">IF(M376="","",IF(R376&gt;0,"✔ Matched",IF(M376="IN","Not in cash book (credit)","Not in cash book (debit)")))</f>
        <v/>
      </c>
      <c r="I376" s="43" t="str">
        <f aca="false">IF(N(R376)&gt;0,R376,"")</f>
        <v/>
      </c>
      <c r="J376" s="45" t="str">
        <f aca="false">IF(AND(M376="",B376="",C376=""),"",IF(AND(N(E376)&gt;0,N(F376)&gt;0),"⚠ Fill withdrawal OR deposit",IF(M376="","⚠ Enter amount",IF(B376="","⚠ Enter date",IF(NOT(OR(NOT(ISNUMBER(G376)),NOT(ISNUMBER(G375)),ABS(N(G376)-(N(G375)+N(F376)-N(E376)))&lt;=0.5)),"⚠ Balance does not follow previous row","✔")))))</f>
        <v/>
      </c>
      <c r="M376" s="9" t="str">
        <f aca="false">IF(N(F376)&gt;0,"IN",IF(N(E376)&gt;0,"OUT",""))</f>
        <v/>
      </c>
      <c r="N376" s="9" t="str">
        <f aca="false">IF(M376="","",M376&amp;"|"&amp;TEXT(ROUND(N(E376)+N(F376),2),"0.00"))</f>
        <v/>
      </c>
      <c r="O376" s="9" t="str">
        <f aca="false">IF(OR(N376="",TRIM(D376&amp;"")=""),"",N376&amp;"|"&amp;UPPER(TRIM(D376&amp;"")))</f>
        <v/>
      </c>
      <c r="P376" s="9" t="n">
        <f aca="false">IF(O376="",0,IF(COUNTIF('Cash Book'!$O$8:$O$507,O376)&gt;0,1,0))</f>
        <v>0</v>
      </c>
      <c r="Q376" s="9" t="str">
        <f aca="false">IF(OR(N376="",P376=1),"",N376&amp;"#"&amp;COUNTIFS($N$8:N376,N376,$P$8:P376,0))</f>
        <v/>
      </c>
      <c r="R376" s="9" t="n">
        <f aca="false">IF(N376="",0,IFERROR(MATCH(ROW()-7,'Cash Book'!$U$8:$U$507,0),0))</f>
        <v>0</v>
      </c>
      <c r="V376" s="9" t="str">
        <f aca="false">IF(AND(N376&lt;&gt;"",R376=0),IF(M376="IN",3,4)*100000+ROW(),"")</f>
        <v/>
      </c>
      <c r="W376" s="9" t="n">
        <f aca="false">N(E376)+N(F376)</f>
        <v>0</v>
      </c>
    </row>
    <row r="377" customFormat="false" ht="15" hidden="false" customHeight="false" outlineLevel="0" collapsed="false">
      <c r="A377" s="37" t="str">
        <f aca="false">IF(M377="","",ROW()-7)</f>
        <v/>
      </c>
      <c r="B377" s="70"/>
      <c r="C377" s="72"/>
      <c r="D377" s="71"/>
      <c r="E377" s="73"/>
      <c r="F377" s="73"/>
      <c r="G377" s="73"/>
      <c r="H377" s="42" t="str">
        <f aca="false">IF(M377="","",IF(R377&gt;0,"✔ Matched",IF(M377="IN","Not in cash book (credit)","Not in cash book (debit)")))</f>
        <v/>
      </c>
      <c r="I377" s="43" t="str">
        <f aca="false">IF(N(R377)&gt;0,R377,"")</f>
        <v/>
      </c>
      <c r="J377" s="45" t="str">
        <f aca="false">IF(AND(M377="",B377="",C377=""),"",IF(AND(N(E377)&gt;0,N(F377)&gt;0),"⚠ Fill withdrawal OR deposit",IF(M377="","⚠ Enter amount",IF(B377="","⚠ Enter date",IF(NOT(OR(NOT(ISNUMBER(G377)),NOT(ISNUMBER(G376)),ABS(N(G377)-(N(G376)+N(F377)-N(E377)))&lt;=0.5)),"⚠ Balance does not follow previous row","✔")))))</f>
        <v/>
      </c>
      <c r="M377" s="9" t="str">
        <f aca="false">IF(N(F377)&gt;0,"IN",IF(N(E377)&gt;0,"OUT",""))</f>
        <v/>
      </c>
      <c r="N377" s="9" t="str">
        <f aca="false">IF(M377="","",M377&amp;"|"&amp;TEXT(ROUND(N(E377)+N(F377),2),"0.00"))</f>
        <v/>
      </c>
      <c r="O377" s="9" t="str">
        <f aca="false">IF(OR(N377="",TRIM(D377&amp;"")=""),"",N377&amp;"|"&amp;UPPER(TRIM(D377&amp;"")))</f>
        <v/>
      </c>
      <c r="P377" s="9" t="n">
        <f aca="false">IF(O377="",0,IF(COUNTIF('Cash Book'!$O$8:$O$507,O377)&gt;0,1,0))</f>
        <v>0</v>
      </c>
      <c r="Q377" s="9" t="str">
        <f aca="false">IF(OR(N377="",P377=1),"",N377&amp;"#"&amp;COUNTIFS($N$8:N377,N377,$P$8:P377,0))</f>
        <v/>
      </c>
      <c r="R377" s="9" t="n">
        <f aca="false">IF(N377="",0,IFERROR(MATCH(ROW()-7,'Cash Book'!$U$8:$U$507,0),0))</f>
        <v>0</v>
      </c>
      <c r="V377" s="9" t="str">
        <f aca="false">IF(AND(N377&lt;&gt;"",R377=0),IF(M377="IN",3,4)*100000+ROW(),"")</f>
        <v/>
      </c>
      <c r="W377" s="9" t="n">
        <f aca="false">N(E377)+N(F377)</f>
        <v>0</v>
      </c>
    </row>
    <row r="378" customFormat="false" ht="15" hidden="false" customHeight="false" outlineLevel="0" collapsed="false">
      <c r="A378" s="37" t="str">
        <f aca="false">IF(M378="","",ROW()-7)</f>
        <v/>
      </c>
      <c r="B378" s="70"/>
      <c r="C378" s="72"/>
      <c r="D378" s="71"/>
      <c r="E378" s="73"/>
      <c r="F378" s="73"/>
      <c r="G378" s="73"/>
      <c r="H378" s="42" t="str">
        <f aca="false">IF(M378="","",IF(R378&gt;0,"✔ Matched",IF(M378="IN","Not in cash book (credit)","Not in cash book (debit)")))</f>
        <v/>
      </c>
      <c r="I378" s="43" t="str">
        <f aca="false">IF(N(R378)&gt;0,R378,"")</f>
        <v/>
      </c>
      <c r="J378" s="45" t="str">
        <f aca="false">IF(AND(M378="",B378="",C378=""),"",IF(AND(N(E378)&gt;0,N(F378)&gt;0),"⚠ Fill withdrawal OR deposit",IF(M378="","⚠ Enter amount",IF(B378="","⚠ Enter date",IF(NOT(OR(NOT(ISNUMBER(G378)),NOT(ISNUMBER(G377)),ABS(N(G378)-(N(G377)+N(F378)-N(E378)))&lt;=0.5)),"⚠ Balance does not follow previous row","✔")))))</f>
        <v/>
      </c>
      <c r="M378" s="9" t="str">
        <f aca="false">IF(N(F378)&gt;0,"IN",IF(N(E378)&gt;0,"OUT",""))</f>
        <v/>
      </c>
      <c r="N378" s="9" t="str">
        <f aca="false">IF(M378="","",M378&amp;"|"&amp;TEXT(ROUND(N(E378)+N(F378),2),"0.00"))</f>
        <v/>
      </c>
      <c r="O378" s="9" t="str">
        <f aca="false">IF(OR(N378="",TRIM(D378&amp;"")=""),"",N378&amp;"|"&amp;UPPER(TRIM(D378&amp;"")))</f>
        <v/>
      </c>
      <c r="P378" s="9" t="n">
        <f aca="false">IF(O378="",0,IF(COUNTIF('Cash Book'!$O$8:$O$507,O378)&gt;0,1,0))</f>
        <v>0</v>
      </c>
      <c r="Q378" s="9" t="str">
        <f aca="false">IF(OR(N378="",P378=1),"",N378&amp;"#"&amp;COUNTIFS($N$8:N378,N378,$P$8:P378,0))</f>
        <v/>
      </c>
      <c r="R378" s="9" t="n">
        <f aca="false">IF(N378="",0,IFERROR(MATCH(ROW()-7,'Cash Book'!$U$8:$U$507,0),0))</f>
        <v>0</v>
      </c>
      <c r="V378" s="9" t="str">
        <f aca="false">IF(AND(N378&lt;&gt;"",R378=0),IF(M378="IN",3,4)*100000+ROW(),"")</f>
        <v/>
      </c>
      <c r="W378" s="9" t="n">
        <f aca="false">N(E378)+N(F378)</f>
        <v>0</v>
      </c>
    </row>
    <row r="379" customFormat="false" ht="15" hidden="false" customHeight="false" outlineLevel="0" collapsed="false">
      <c r="A379" s="37" t="str">
        <f aca="false">IF(M379="","",ROW()-7)</f>
        <v/>
      </c>
      <c r="B379" s="70"/>
      <c r="C379" s="72"/>
      <c r="D379" s="71"/>
      <c r="E379" s="73"/>
      <c r="F379" s="73"/>
      <c r="G379" s="73"/>
      <c r="H379" s="42" t="str">
        <f aca="false">IF(M379="","",IF(R379&gt;0,"✔ Matched",IF(M379="IN","Not in cash book (credit)","Not in cash book (debit)")))</f>
        <v/>
      </c>
      <c r="I379" s="43" t="str">
        <f aca="false">IF(N(R379)&gt;0,R379,"")</f>
        <v/>
      </c>
      <c r="J379" s="45" t="str">
        <f aca="false">IF(AND(M379="",B379="",C379=""),"",IF(AND(N(E379)&gt;0,N(F379)&gt;0),"⚠ Fill withdrawal OR deposit",IF(M379="","⚠ Enter amount",IF(B379="","⚠ Enter date",IF(NOT(OR(NOT(ISNUMBER(G379)),NOT(ISNUMBER(G378)),ABS(N(G379)-(N(G378)+N(F379)-N(E379)))&lt;=0.5)),"⚠ Balance does not follow previous row","✔")))))</f>
        <v/>
      </c>
      <c r="M379" s="9" t="str">
        <f aca="false">IF(N(F379)&gt;0,"IN",IF(N(E379)&gt;0,"OUT",""))</f>
        <v/>
      </c>
      <c r="N379" s="9" t="str">
        <f aca="false">IF(M379="","",M379&amp;"|"&amp;TEXT(ROUND(N(E379)+N(F379),2),"0.00"))</f>
        <v/>
      </c>
      <c r="O379" s="9" t="str">
        <f aca="false">IF(OR(N379="",TRIM(D379&amp;"")=""),"",N379&amp;"|"&amp;UPPER(TRIM(D379&amp;"")))</f>
        <v/>
      </c>
      <c r="P379" s="9" t="n">
        <f aca="false">IF(O379="",0,IF(COUNTIF('Cash Book'!$O$8:$O$507,O379)&gt;0,1,0))</f>
        <v>0</v>
      </c>
      <c r="Q379" s="9" t="str">
        <f aca="false">IF(OR(N379="",P379=1),"",N379&amp;"#"&amp;COUNTIFS($N$8:N379,N379,$P$8:P379,0))</f>
        <v/>
      </c>
      <c r="R379" s="9" t="n">
        <f aca="false">IF(N379="",0,IFERROR(MATCH(ROW()-7,'Cash Book'!$U$8:$U$507,0),0))</f>
        <v>0</v>
      </c>
      <c r="V379" s="9" t="str">
        <f aca="false">IF(AND(N379&lt;&gt;"",R379=0),IF(M379="IN",3,4)*100000+ROW(),"")</f>
        <v/>
      </c>
      <c r="W379" s="9" t="n">
        <f aca="false">N(E379)+N(F379)</f>
        <v>0</v>
      </c>
    </row>
    <row r="380" customFormat="false" ht="15" hidden="false" customHeight="false" outlineLevel="0" collapsed="false">
      <c r="A380" s="37" t="str">
        <f aca="false">IF(M380="","",ROW()-7)</f>
        <v/>
      </c>
      <c r="B380" s="70"/>
      <c r="C380" s="72"/>
      <c r="D380" s="71"/>
      <c r="E380" s="73"/>
      <c r="F380" s="73"/>
      <c r="G380" s="73"/>
      <c r="H380" s="42" t="str">
        <f aca="false">IF(M380="","",IF(R380&gt;0,"✔ Matched",IF(M380="IN","Not in cash book (credit)","Not in cash book (debit)")))</f>
        <v/>
      </c>
      <c r="I380" s="43" t="str">
        <f aca="false">IF(N(R380)&gt;0,R380,"")</f>
        <v/>
      </c>
      <c r="J380" s="45" t="str">
        <f aca="false">IF(AND(M380="",B380="",C380=""),"",IF(AND(N(E380)&gt;0,N(F380)&gt;0),"⚠ Fill withdrawal OR deposit",IF(M380="","⚠ Enter amount",IF(B380="","⚠ Enter date",IF(NOT(OR(NOT(ISNUMBER(G380)),NOT(ISNUMBER(G379)),ABS(N(G380)-(N(G379)+N(F380)-N(E380)))&lt;=0.5)),"⚠ Balance does not follow previous row","✔")))))</f>
        <v/>
      </c>
      <c r="M380" s="9" t="str">
        <f aca="false">IF(N(F380)&gt;0,"IN",IF(N(E380)&gt;0,"OUT",""))</f>
        <v/>
      </c>
      <c r="N380" s="9" t="str">
        <f aca="false">IF(M380="","",M380&amp;"|"&amp;TEXT(ROUND(N(E380)+N(F380),2),"0.00"))</f>
        <v/>
      </c>
      <c r="O380" s="9" t="str">
        <f aca="false">IF(OR(N380="",TRIM(D380&amp;"")=""),"",N380&amp;"|"&amp;UPPER(TRIM(D380&amp;"")))</f>
        <v/>
      </c>
      <c r="P380" s="9" t="n">
        <f aca="false">IF(O380="",0,IF(COUNTIF('Cash Book'!$O$8:$O$507,O380)&gt;0,1,0))</f>
        <v>0</v>
      </c>
      <c r="Q380" s="9" t="str">
        <f aca="false">IF(OR(N380="",P380=1),"",N380&amp;"#"&amp;COUNTIFS($N$8:N380,N380,$P$8:P380,0))</f>
        <v/>
      </c>
      <c r="R380" s="9" t="n">
        <f aca="false">IF(N380="",0,IFERROR(MATCH(ROW()-7,'Cash Book'!$U$8:$U$507,0),0))</f>
        <v>0</v>
      </c>
      <c r="V380" s="9" t="str">
        <f aca="false">IF(AND(N380&lt;&gt;"",R380=0),IF(M380="IN",3,4)*100000+ROW(),"")</f>
        <v/>
      </c>
      <c r="W380" s="9" t="n">
        <f aca="false">N(E380)+N(F380)</f>
        <v>0</v>
      </c>
    </row>
    <row r="381" customFormat="false" ht="15" hidden="false" customHeight="false" outlineLevel="0" collapsed="false">
      <c r="A381" s="37" t="str">
        <f aca="false">IF(M381="","",ROW()-7)</f>
        <v/>
      </c>
      <c r="B381" s="70"/>
      <c r="C381" s="72"/>
      <c r="D381" s="71"/>
      <c r="E381" s="73"/>
      <c r="F381" s="73"/>
      <c r="G381" s="73"/>
      <c r="H381" s="42" t="str">
        <f aca="false">IF(M381="","",IF(R381&gt;0,"✔ Matched",IF(M381="IN","Not in cash book (credit)","Not in cash book (debit)")))</f>
        <v/>
      </c>
      <c r="I381" s="43" t="str">
        <f aca="false">IF(N(R381)&gt;0,R381,"")</f>
        <v/>
      </c>
      <c r="J381" s="45" t="str">
        <f aca="false">IF(AND(M381="",B381="",C381=""),"",IF(AND(N(E381)&gt;0,N(F381)&gt;0),"⚠ Fill withdrawal OR deposit",IF(M381="","⚠ Enter amount",IF(B381="","⚠ Enter date",IF(NOT(OR(NOT(ISNUMBER(G381)),NOT(ISNUMBER(G380)),ABS(N(G381)-(N(G380)+N(F381)-N(E381)))&lt;=0.5)),"⚠ Balance does not follow previous row","✔")))))</f>
        <v/>
      </c>
      <c r="M381" s="9" t="str">
        <f aca="false">IF(N(F381)&gt;0,"IN",IF(N(E381)&gt;0,"OUT",""))</f>
        <v/>
      </c>
      <c r="N381" s="9" t="str">
        <f aca="false">IF(M381="","",M381&amp;"|"&amp;TEXT(ROUND(N(E381)+N(F381),2),"0.00"))</f>
        <v/>
      </c>
      <c r="O381" s="9" t="str">
        <f aca="false">IF(OR(N381="",TRIM(D381&amp;"")=""),"",N381&amp;"|"&amp;UPPER(TRIM(D381&amp;"")))</f>
        <v/>
      </c>
      <c r="P381" s="9" t="n">
        <f aca="false">IF(O381="",0,IF(COUNTIF('Cash Book'!$O$8:$O$507,O381)&gt;0,1,0))</f>
        <v>0</v>
      </c>
      <c r="Q381" s="9" t="str">
        <f aca="false">IF(OR(N381="",P381=1),"",N381&amp;"#"&amp;COUNTIFS($N$8:N381,N381,$P$8:P381,0))</f>
        <v/>
      </c>
      <c r="R381" s="9" t="n">
        <f aca="false">IF(N381="",0,IFERROR(MATCH(ROW()-7,'Cash Book'!$U$8:$U$507,0),0))</f>
        <v>0</v>
      </c>
      <c r="V381" s="9" t="str">
        <f aca="false">IF(AND(N381&lt;&gt;"",R381=0),IF(M381="IN",3,4)*100000+ROW(),"")</f>
        <v/>
      </c>
      <c r="W381" s="9" t="n">
        <f aca="false">N(E381)+N(F381)</f>
        <v>0</v>
      </c>
    </row>
    <row r="382" customFormat="false" ht="15" hidden="false" customHeight="false" outlineLevel="0" collapsed="false">
      <c r="A382" s="37" t="str">
        <f aca="false">IF(M382="","",ROW()-7)</f>
        <v/>
      </c>
      <c r="B382" s="70"/>
      <c r="C382" s="72"/>
      <c r="D382" s="71"/>
      <c r="E382" s="73"/>
      <c r="F382" s="73"/>
      <c r="G382" s="73"/>
      <c r="H382" s="42" t="str">
        <f aca="false">IF(M382="","",IF(R382&gt;0,"✔ Matched",IF(M382="IN","Not in cash book (credit)","Not in cash book (debit)")))</f>
        <v/>
      </c>
      <c r="I382" s="43" t="str">
        <f aca="false">IF(N(R382)&gt;0,R382,"")</f>
        <v/>
      </c>
      <c r="J382" s="45" t="str">
        <f aca="false">IF(AND(M382="",B382="",C382=""),"",IF(AND(N(E382)&gt;0,N(F382)&gt;0),"⚠ Fill withdrawal OR deposit",IF(M382="","⚠ Enter amount",IF(B382="","⚠ Enter date",IF(NOT(OR(NOT(ISNUMBER(G382)),NOT(ISNUMBER(G381)),ABS(N(G382)-(N(G381)+N(F382)-N(E382)))&lt;=0.5)),"⚠ Balance does not follow previous row","✔")))))</f>
        <v/>
      </c>
      <c r="M382" s="9" t="str">
        <f aca="false">IF(N(F382)&gt;0,"IN",IF(N(E382)&gt;0,"OUT",""))</f>
        <v/>
      </c>
      <c r="N382" s="9" t="str">
        <f aca="false">IF(M382="","",M382&amp;"|"&amp;TEXT(ROUND(N(E382)+N(F382),2),"0.00"))</f>
        <v/>
      </c>
      <c r="O382" s="9" t="str">
        <f aca="false">IF(OR(N382="",TRIM(D382&amp;"")=""),"",N382&amp;"|"&amp;UPPER(TRIM(D382&amp;"")))</f>
        <v/>
      </c>
      <c r="P382" s="9" t="n">
        <f aca="false">IF(O382="",0,IF(COUNTIF('Cash Book'!$O$8:$O$507,O382)&gt;0,1,0))</f>
        <v>0</v>
      </c>
      <c r="Q382" s="9" t="str">
        <f aca="false">IF(OR(N382="",P382=1),"",N382&amp;"#"&amp;COUNTIFS($N$8:N382,N382,$P$8:P382,0))</f>
        <v/>
      </c>
      <c r="R382" s="9" t="n">
        <f aca="false">IF(N382="",0,IFERROR(MATCH(ROW()-7,'Cash Book'!$U$8:$U$507,0),0))</f>
        <v>0</v>
      </c>
      <c r="V382" s="9" t="str">
        <f aca="false">IF(AND(N382&lt;&gt;"",R382=0),IF(M382="IN",3,4)*100000+ROW(),"")</f>
        <v/>
      </c>
      <c r="W382" s="9" t="n">
        <f aca="false">N(E382)+N(F382)</f>
        <v>0</v>
      </c>
    </row>
    <row r="383" customFormat="false" ht="15" hidden="false" customHeight="false" outlineLevel="0" collapsed="false">
      <c r="A383" s="37" t="str">
        <f aca="false">IF(M383="","",ROW()-7)</f>
        <v/>
      </c>
      <c r="B383" s="70"/>
      <c r="C383" s="72"/>
      <c r="D383" s="71"/>
      <c r="E383" s="73"/>
      <c r="F383" s="73"/>
      <c r="G383" s="73"/>
      <c r="H383" s="42" t="str">
        <f aca="false">IF(M383="","",IF(R383&gt;0,"✔ Matched",IF(M383="IN","Not in cash book (credit)","Not in cash book (debit)")))</f>
        <v/>
      </c>
      <c r="I383" s="43" t="str">
        <f aca="false">IF(N(R383)&gt;0,R383,"")</f>
        <v/>
      </c>
      <c r="J383" s="45" t="str">
        <f aca="false">IF(AND(M383="",B383="",C383=""),"",IF(AND(N(E383)&gt;0,N(F383)&gt;0),"⚠ Fill withdrawal OR deposit",IF(M383="","⚠ Enter amount",IF(B383="","⚠ Enter date",IF(NOT(OR(NOT(ISNUMBER(G383)),NOT(ISNUMBER(G382)),ABS(N(G383)-(N(G382)+N(F383)-N(E383)))&lt;=0.5)),"⚠ Balance does not follow previous row","✔")))))</f>
        <v/>
      </c>
      <c r="M383" s="9" t="str">
        <f aca="false">IF(N(F383)&gt;0,"IN",IF(N(E383)&gt;0,"OUT",""))</f>
        <v/>
      </c>
      <c r="N383" s="9" t="str">
        <f aca="false">IF(M383="","",M383&amp;"|"&amp;TEXT(ROUND(N(E383)+N(F383),2),"0.00"))</f>
        <v/>
      </c>
      <c r="O383" s="9" t="str">
        <f aca="false">IF(OR(N383="",TRIM(D383&amp;"")=""),"",N383&amp;"|"&amp;UPPER(TRIM(D383&amp;"")))</f>
        <v/>
      </c>
      <c r="P383" s="9" t="n">
        <f aca="false">IF(O383="",0,IF(COUNTIF('Cash Book'!$O$8:$O$507,O383)&gt;0,1,0))</f>
        <v>0</v>
      </c>
      <c r="Q383" s="9" t="str">
        <f aca="false">IF(OR(N383="",P383=1),"",N383&amp;"#"&amp;COUNTIFS($N$8:N383,N383,$P$8:P383,0))</f>
        <v/>
      </c>
      <c r="R383" s="9" t="n">
        <f aca="false">IF(N383="",0,IFERROR(MATCH(ROW()-7,'Cash Book'!$U$8:$U$507,0),0))</f>
        <v>0</v>
      </c>
      <c r="V383" s="9" t="str">
        <f aca="false">IF(AND(N383&lt;&gt;"",R383=0),IF(M383="IN",3,4)*100000+ROW(),"")</f>
        <v/>
      </c>
      <c r="W383" s="9" t="n">
        <f aca="false">N(E383)+N(F383)</f>
        <v>0</v>
      </c>
    </row>
    <row r="384" customFormat="false" ht="15" hidden="false" customHeight="false" outlineLevel="0" collapsed="false">
      <c r="A384" s="37" t="str">
        <f aca="false">IF(M384="","",ROW()-7)</f>
        <v/>
      </c>
      <c r="B384" s="70"/>
      <c r="C384" s="72"/>
      <c r="D384" s="71"/>
      <c r="E384" s="73"/>
      <c r="F384" s="73"/>
      <c r="G384" s="73"/>
      <c r="H384" s="42" t="str">
        <f aca="false">IF(M384="","",IF(R384&gt;0,"✔ Matched",IF(M384="IN","Not in cash book (credit)","Not in cash book (debit)")))</f>
        <v/>
      </c>
      <c r="I384" s="43" t="str">
        <f aca="false">IF(N(R384)&gt;0,R384,"")</f>
        <v/>
      </c>
      <c r="J384" s="45" t="str">
        <f aca="false">IF(AND(M384="",B384="",C384=""),"",IF(AND(N(E384)&gt;0,N(F384)&gt;0),"⚠ Fill withdrawal OR deposit",IF(M384="","⚠ Enter amount",IF(B384="","⚠ Enter date",IF(NOT(OR(NOT(ISNUMBER(G384)),NOT(ISNUMBER(G383)),ABS(N(G384)-(N(G383)+N(F384)-N(E384)))&lt;=0.5)),"⚠ Balance does not follow previous row","✔")))))</f>
        <v/>
      </c>
      <c r="M384" s="9" t="str">
        <f aca="false">IF(N(F384)&gt;0,"IN",IF(N(E384)&gt;0,"OUT",""))</f>
        <v/>
      </c>
      <c r="N384" s="9" t="str">
        <f aca="false">IF(M384="","",M384&amp;"|"&amp;TEXT(ROUND(N(E384)+N(F384),2),"0.00"))</f>
        <v/>
      </c>
      <c r="O384" s="9" t="str">
        <f aca="false">IF(OR(N384="",TRIM(D384&amp;"")=""),"",N384&amp;"|"&amp;UPPER(TRIM(D384&amp;"")))</f>
        <v/>
      </c>
      <c r="P384" s="9" t="n">
        <f aca="false">IF(O384="",0,IF(COUNTIF('Cash Book'!$O$8:$O$507,O384)&gt;0,1,0))</f>
        <v>0</v>
      </c>
      <c r="Q384" s="9" t="str">
        <f aca="false">IF(OR(N384="",P384=1),"",N384&amp;"#"&amp;COUNTIFS($N$8:N384,N384,$P$8:P384,0))</f>
        <v/>
      </c>
      <c r="R384" s="9" t="n">
        <f aca="false">IF(N384="",0,IFERROR(MATCH(ROW()-7,'Cash Book'!$U$8:$U$507,0),0))</f>
        <v>0</v>
      </c>
      <c r="V384" s="9" t="str">
        <f aca="false">IF(AND(N384&lt;&gt;"",R384=0),IF(M384="IN",3,4)*100000+ROW(),"")</f>
        <v/>
      </c>
      <c r="W384" s="9" t="n">
        <f aca="false">N(E384)+N(F384)</f>
        <v>0</v>
      </c>
    </row>
    <row r="385" customFormat="false" ht="15" hidden="false" customHeight="false" outlineLevel="0" collapsed="false">
      <c r="A385" s="37" t="str">
        <f aca="false">IF(M385="","",ROW()-7)</f>
        <v/>
      </c>
      <c r="B385" s="70"/>
      <c r="C385" s="72"/>
      <c r="D385" s="71"/>
      <c r="E385" s="73"/>
      <c r="F385" s="73"/>
      <c r="G385" s="73"/>
      <c r="H385" s="42" t="str">
        <f aca="false">IF(M385="","",IF(R385&gt;0,"✔ Matched",IF(M385="IN","Not in cash book (credit)","Not in cash book (debit)")))</f>
        <v/>
      </c>
      <c r="I385" s="43" t="str">
        <f aca="false">IF(N(R385)&gt;0,R385,"")</f>
        <v/>
      </c>
      <c r="J385" s="45" t="str">
        <f aca="false">IF(AND(M385="",B385="",C385=""),"",IF(AND(N(E385)&gt;0,N(F385)&gt;0),"⚠ Fill withdrawal OR deposit",IF(M385="","⚠ Enter amount",IF(B385="","⚠ Enter date",IF(NOT(OR(NOT(ISNUMBER(G385)),NOT(ISNUMBER(G384)),ABS(N(G385)-(N(G384)+N(F385)-N(E385)))&lt;=0.5)),"⚠ Balance does not follow previous row","✔")))))</f>
        <v/>
      </c>
      <c r="M385" s="9" t="str">
        <f aca="false">IF(N(F385)&gt;0,"IN",IF(N(E385)&gt;0,"OUT",""))</f>
        <v/>
      </c>
      <c r="N385" s="9" t="str">
        <f aca="false">IF(M385="","",M385&amp;"|"&amp;TEXT(ROUND(N(E385)+N(F385),2),"0.00"))</f>
        <v/>
      </c>
      <c r="O385" s="9" t="str">
        <f aca="false">IF(OR(N385="",TRIM(D385&amp;"")=""),"",N385&amp;"|"&amp;UPPER(TRIM(D385&amp;"")))</f>
        <v/>
      </c>
      <c r="P385" s="9" t="n">
        <f aca="false">IF(O385="",0,IF(COUNTIF('Cash Book'!$O$8:$O$507,O385)&gt;0,1,0))</f>
        <v>0</v>
      </c>
      <c r="Q385" s="9" t="str">
        <f aca="false">IF(OR(N385="",P385=1),"",N385&amp;"#"&amp;COUNTIFS($N$8:N385,N385,$P$8:P385,0))</f>
        <v/>
      </c>
      <c r="R385" s="9" t="n">
        <f aca="false">IF(N385="",0,IFERROR(MATCH(ROW()-7,'Cash Book'!$U$8:$U$507,0),0))</f>
        <v>0</v>
      </c>
      <c r="V385" s="9" t="str">
        <f aca="false">IF(AND(N385&lt;&gt;"",R385=0),IF(M385="IN",3,4)*100000+ROW(),"")</f>
        <v/>
      </c>
      <c r="W385" s="9" t="n">
        <f aca="false">N(E385)+N(F385)</f>
        <v>0</v>
      </c>
    </row>
    <row r="386" customFormat="false" ht="15" hidden="false" customHeight="false" outlineLevel="0" collapsed="false">
      <c r="A386" s="37" t="str">
        <f aca="false">IF(M386="","",ROW()-7)</f>
        <v/>
      </c>
      <c r="B386" s="70"/>
      <c r="C386" s="72"/>
      <c r="D386" s="71"/>
      <c r="E386" s="73"/>
      <c r="F386" s="73"/>
      <c r="G386" s="73"/>
      <c r="H386" s="42" t="str">
        <f aca="false">IF(M386="","",IF(R386&gt;0,"✔ Matched",IF(M386="IN","Not in cash book (credit)","Not in cash book (debit)")))</f>
        <v/>
      </c>
      <c r="I386" s="43" t="str">
        <f aca="false">IF(N(R386)&gt;0,R386,"")</f>
        <v/>
      </c>
      <c r="J386" s="45" t="str">
        <f aca="false">IF(AND(M386="",B386="",C386=""),"",IF(AND(N(E386)&gt;0,N(F386)&gt;0),"⚠ Fill withdrawal OR deposit",IF(M386="","⚠ Enter amount",IF(B386="","⚠ Enter date",IF(NOT(OR(NOT(ISNUMBER(G386)),NOT(ISNUMBER(G385)),ABS(N(G386)-(N(G385)+N(F386)-N(E386)))&lt;=0.5)),"⚠ Balance does not follow previous row","✔")))))</f>
        <v/>
      </c>
      <c r="M386" s="9" t="str">
        <f aca="false">IF(N(F386)&gt;0,"IN",IF(N(E386)&gt;0,"OUT",""))</f>
        <v/>
      </c>
      <c r="N386" s="9" t="str">
        <f aca="false">IF(M386="","",M386&amp;"|"&amp;TEXT(ROUND(N(E386)+N(F386),2),"0.00"))</f>
        <v/>
      </c>
      <c r="O386" s="9" t="str">
        <f aca="false">IF(OR(N386="",TRIM(D386&amp;"")=""),"",N386&amp;"|"&amp;UPPER(TRIM(D386&amp;"")))</f>
        <v/>
      </c>
      <c r="P386" s="9" t="n">
        <f aca="false">IF(O386="",0,IF(COUNTIF('Cash Book'!$O$8:$O$507,O386)&gt;0,1,0))</f>
        <v>0</v>
      </c>
      <c r="Q386" s="9" t="str">
        <f aca="false">IF(OR(N386="",P386=1),"",N386&amp;"#"&amp;COUNTIFS($N$8:N386,N386,$P$8:P386,0))</f>
        <v/>
      </c>
      <c r="R386" s="9" t="n">
        <f aca="false">IF(N386="",0,IFERROR(MATCH(ROW()-7,'Cash Book'!$U$8:$U$507,0),0))</f>
        <v>0</v>
      </c>
      <c r="V386" s="9" t="str">
        <f aca="false">IF(AND(N386&lt;&gt;"",R386=0),IF(M386="IN",3,4)*100000+ROW(),"")</f>
        <v/>
      </c>
      <c r="W386" s="9" t="n">
        <f aca="false">N(E386)+N(F386)</f>
        <v>0</v>
      </c>
    </row>
    <row r="387" customFormat="false" ht="15" hidden="false" customHeight="false" outlineLevel="0" collapsed="false">
      <c r="A387" s="37" t="str">
        <f aca="false">IF(M387="","",ROW()-7)</f>
        <v/>
      </c>
      <c r="B387" s="70"/>
      <c r="C387" s="72"/>
      <c r="D387" s="71"/>
      <c r="E387" s="73"/>
      <c r="F387" s="73"/>
      <c r="G387" s="73"/>
      <c r="H387" s="42" t="str">
        <f aca="false">IF(M387="","",IF(R387&gt;0,"✔ Matched",IF(M387="IN","Not in cash book (credit)","Not in cash book (debit)")))</f>
        <v/>
      </c>
      <c r="I387" s="43" t="str">
        <f aca="false">IF(N(R387)&gt;0,R387,"")</f>
        <v/>
      </c>
      <c r="J387" s="45" t="str">
        <f aca="false">IF(AND(M387="",B387="",C387=""),"",IF(AND(N(E387)&gt;0,N(F387)&gt;0),"⚠ Fill withdrawal OR deposit",IF(M387="","⚠ Enter amount",IF(B387="","⚠ Enter date",IF(NOT(OR(NOT(ISNUMBER(G387)),NOT(ISNUMBER(G386)),ABS(N(G387)-(N(G386)+N(F387)-N(E387)))&lt;=0.5)),"⚠ Balance does not follow previous row","✔")))))</f>
        <v/>
      </c>
      <c r="M387" s="9" t="str">
        <f aca="false">IF(N(F387)&gt;0,"IN",IF(N(E387)&gt;0,"OUT",""))</f>
        <v/>
      </c>
      <c r="N387" s="9" t="str">
        <f aca="false">IF(M387="","",M387&amp;"|"&amp;TEXT(ROUND(N(E387)+N(F387),2),"0.00"))</f>
        <v/>
      </c>
      <c r="O387" s="9" t="str">
        <f aca="false">IF(OR(N387="",TRIM(D387&amp;"")=""),"",N387&amp;"|"&amp;UPPER(TRIM(D387&amp;"")))</f>
        <v/>
      </c>
      <c r="P387" s="9" t="n">
        <f aca="false">IF(O387="",0,IF(COUNTIF('Cash Book'!$O$8:$O$507,O387)&gt;0,1,0))</f>
        <v>0</v>
      </c>
      <c r="Q387" s="9" t="str">
        <f aca="false">IF(OR(N387="",P387=1),"",N387&amp;"#"&amp;COUNTIFS($N$8:N387,N387,$P$8:P387,0))</f>
        <v/>
      </c>
      <c r="R387" s="9" t="n">
        <f aca="false">IF(N387="",0,IFERROR(MATCH(ROW()-7,'Cash Book'!$U$8:$U$507,0),0))</f>
        <v>0</v>
      </c>
      <c r="V387" s="9" t="str">
        <f aca="false">IF(AND(N387&lt;&gt;"",R387=0),IF(M387="IN",3,4)*100000+ROW(),"")</f>
        <v/>
      </c>
      <c r="W387" s="9" t="n">
        <f aca="false">N(E387)+N(F387)</f>
        <v>0</v>
      </c>
    </row>
    <row r="388" customFormat="false" ht="15" hidden="false" customHeight="false" outlineLevel="0" collapsed="false">
      <c r="A388" s="37" t="str">
        <f aca="false">IF(M388="","",ROW()-7)</f>
        <v/>
      </c>
      <c r="B388" s="70"/>
      <c r="C388" s="72"/>
      <c r="D388" s="71"/>
      <c r="E388" s="73"/>
      <c r="F388" s="73"/>
      <c r="G388" s="73"/>
      <c r="H388" s="42" t="str">
        <f aca="false">IF(M388="","",IF(R388&gt;0,"✔ Matched",IF(M388="IN","Not in cash book (credit)","Not in cash book (debit)")))</f>
        <v/>
      </c>
      <c r="I388" s="43" t="str">
        <f aca="false">IF(N(R388)&gt;0,R388,"")</f>
        <v/>
      </c>
      <c r="J388" s="45" t="str">
        <f aca="false">IF(AND(M388="",B388="",C388=""),"",IF(AND(N(E388)&gt;0,N(F388)&gt;0),"⚠ Fill withdrawal OR deposit",IF(M388="","⚠ Enter amount",IF(B388="","⚠ Enter date",IF(NOT(OR(NOT(ISNUMBER(G388)),NOT(ISNUMBER(G387)),ABS(N(G388)-(N(G387)+N(F388)-N(E388)))&lt;=0.5)),"⚠ Balance does not follow previous row","✔")))))</f>
        <v/>
      </c>
      <c r="M388" s="9" t="str">
        <f aca="false">IF(N(F388)&gt;0,"IN",IF(N(E388)&gt;0,"OUT",""))</f>
        <v/>
      </c>
      <c r="N388" s="9" t="str">
        <f aca="false">IF(M388="","",M388&amp;"|"&amp;TEXT(ROUND(N(E388)+N(F388),2),"0.00"))</f>
        <v/>
      </c>
      <c r="O388" s="9" t="str">
        <f aca="false">IF(OR(N388="",TRIM(D388&amp;"")=""),"",N388&amp;"|"&amp;UPPER(TRIM(D388&amp;"")))</f>
        <v/>
      </c>
      <c r="P388" s="9" t="n">
        <f aca="false">IF(O388="",0,IF(COUNTIF('Cash Book'!$O$8:$O$507,O388)&gt;0,1,0))</f>
        <v>0</v>
      </c>
      <c r="Q388" s="9" t="str">
        <f aca="false">IF(OR(N388="",P388=1),"",N388&amp;"#"&amp;COUNTIFS($N$8:N388,N388,$P$8:P388,0))</f>
        <v/>
      </c>
      <c r="R388" s="9" t="n">
        <f aca="false">IF(N388="",0,IFERROR(MATCH(ROW()-7,'Cash Book'!$U$8:$U$507,0),0))</f>
        <v>0</v>
      </c>
      <c r="V388" s="9" t="str">
        <f aca="false">IF(AND(N388&lt;&gt;"",R388=0),IF(M388="IN",3,4)*100000+ROW(),"")</f>
        <v/>
      </c>
      <c r="W388" s="9" t="n">
        <f aca="false">N(E388)+N(F388)</f>
        <v>0</v>
      </c>
    </row>
    <row r="389" customFormat="false" ht="15" hidden="false" customHeight="false" outlineLevel="0" collapsed="false">
      <c r="A389" s="37" t="str">
        <f aca="false">IF(M389="","",ROW()-7)</f>
        <v/>
      </c>
      <c r="B389" s="70"/>
      <c r="C389" s="72"/>
      <c r="D389" s="71"/>
      <c r="E389" s="73"/>
      <c r="F389" s="73"/>
      <c r="G389" s="73"/>
      <c r="H389" s="42" t="str">
        <f aca="false">IF(M389="","",IF(R389&gt;0,"✔ Matched",IF(M389="IN","Not in cash book (credit)","Not in cash book (debit)")))</f>
        <v/>
      </c>
      <c r="I389" s="43" t="str">
        <f aca="false">IF(N(R389)&gt;0,R389,"")</f>
        <v/>
      </c>
      <c r="J389" s="45" t="str">
        <f aca="false">IF(AND(M389="",B389="",C389=""),"",IF(AND(N(E389)&gt;0,N(F389)&gt;0),"⚠ Fill withdrawal OR deposit",IF(M389="","⚠ Enter amount",IF(B389="","⚠ Enter date",IF(NOT(OR(NOT(ISNUMBER(G389)),NOT(ISNUMBER(G388)),ABS(N(G389)-(N(G388)+N(F389)-N(E389)))&lt;=0.5)),"⚠ Balance does not follow previous row","✔")))))</f>
        <v/>
      </c>
      <c r="M389" s="9" t="str">
        <f aca="false">IF(N(F389)&gt;0,"IN",IF(N(E389)&gt;0,"OUT",""))</f>
        <v/>
      </c>
      <c r="N389" s="9" t="str">
        <f aca="false">IF(M389="","",M389&amp;"|"&amp;TEXT(ROUND(N(E389)+N(F389),2),"0.00"))</f>
        <v/>
      </c>
      <c r="O389" s="9" t="str">
        <f aca="false">IF(OR(N389="",TRIM(D389&amp;"")=""),"",N389&amp;"|"&amp;UPPER(TRIM(D389&amp;"")))</f>
        <v/>
      </c>
      <c r="P389" s="9" t="n">
        <f aca="false">IF(O389="",0,IF(COUNTIF('Cash Book'!$O$8:$O$507,O389)&gt;0,1,0))</f>
        <v>0</v>
      </c>
      <c r="Q389" s="9" t="str">
        <f aca="false">IF(OR(N389="",P389=1),"",N389&amp;"#"&amp;COUNTIFS($N$8:N389,N389,$P$8:P389,0))</f>
        <v/>
      </c>
      <c r="R389" s="9" t="n">
        <f aca="false">IF(N389="",0,IFERROR(MATCH(ROW()-7,'Cash Book'!$U$8:$U$507,0),0))</f>
        <v>0</v>
      </c>
      <c r="V389" s="9" t="str">
        <f aca="false">IF(AND(N389&lt;&gt;"",R389=0),IF(M389="IN",3,4)*100000+ROW(),"")</f>
        <v/>
      </c>
      <c r="W389" s="9" t="n">
        <f aca="false">N(E389)+N(F389)</f>
        <v>0</v>
      </c>
    </row>
    <row r="390" customFormat="false" ht="15" hidden="false" customHeight="false" outlineLevel="0" collapsed="false">
      <c r="A390" s="37" t="str">
        <f aca="false">IF(M390="","",ROW()-7)</f>
        <v/>
      </c>
      <c r="B390" s="70"/>
      <c r="C390" s="72"/>
      <c r="D390" s="71"/>
      <c r="E390" s="73"/>
      <c r="F390" s="73"/>
      <c r="G390" s="73"/>
      <c r="H390" s="42" t="str">
        <f aca="false">IF(M390="","",IF(R390&gt;0,"✔ Matched",IF(M390="IN","Not in cash book (credit)","Not in cash book (debit)")))</f>
        <v/>
      </c>
      <c r="I390" s="43" t="str">
        <f aca="false">IF(N(R390)&gt;0,R390,"")</f>
        <v/>
      </c>
      <c r="J390" s="45" t="str">
        <f aca="false">IF(AND(M390="",B390="",C390=""),"",IF(AND(N(E390)&gt;0,N(F390)&gt;0),"⚠ Fill withdrawal OR deposit",IF(M390="","⚠ Enter amount",IF(B390="","⚠ Enter date",IF(NOT(OR(NOT(ISNUMBER(G390)),NOT(ISNUMBER(G389)),ABS(N(G390)-(N(G389)+N(F390)-N(E390)))&lt;=0.5)),"⚠ Balance does not follow previous row","✔")))))</f>
        <v/>
      </c>
      <c r="M390" s="9" t="str">
        <f aca="false">IF(N(F390)&gt;0,"IN",IF(N(E390)&gt;0,"OUT",""))</f>
        <v/>
      </c>
      <c r="N390" s="9" t="str">
        <f aca="false">IF(M390="","",M390&amp;"|"&amp;TEXT(ROUND(N(E390)+N(F390),2),"0.00"))</f>
        <v/>
      </c>
      <c r="O390" s="9" t="str">
        <f aca="false">IF(OR(N390="",TRIM(D390&amp;"")=""),"",N390&amp;"|"&amp;UPPER(TRIM(D390&amp;"")))</f>
        <v/>
      </c>
      <c r="P390" s="9" t="n">
        <f aca="false">IF(O390="",0,IF(COUNTIF('Cash Book'!$O$8:$O$507,O390)&gt;0,1,0))</f>
        <v>0</v>
      </c>
      <c r="Q390" s="9" t="str">
        <f aca="false">IF(OR(N390="",P390=1),"",N390&amp;"#"&amp;COUNTIFS($N$8:N390,N390,$P$8:P390,0))</f>
        <v/>
      </c>
      <c r="R390" s="9" t="n">
        <f aca="false">IF(N390="",0,IFERROR(MATCH(ROW()-7,'Cash Book'!$U$8:$U$507,0),0))</f>
        <v>0</v>
      </c>
      <c r="V390" s="9" t="str">
        <f aca="false">IF(AND(N390&lt;&gt;"",R390=0),IF(M390="IN",3,4)*100000+ROW(),"")</f>
        <v/>
      </c>
      <c r="W390" s="9" t="n">
        <f aca="false">N(E390)+N(F390)</f>
        <v>0</v>
      </c>
    </row>
    <row r="391" customFormat="false" ht="15" hidden="false" customHeight="false" outlineLevel="0" collapsed="false">
      <c r="A391" s="37" t="str">
        <f aca="false">IF(M391="","",ROW()-7)</f>
        <v/>
      </c>
      <c r="B391" s="70"/>
      <c r="C391" s="72"/>
      <c r="D391" s="71"/>
      <c r="E391" s="73"/>
      <c r="F391" s="73"/>
      <c r="G391" s="73"/>
      <c r="H391" s="42" t="str">
        <f aca="false">IF(M391="","",IF(R391&gt;0,"✔ Matched",IF(M391="IN","Not in cash book (credit)","Not in cash book (debit)")))</f>
        <v/>
      </c>
      <c r="I391" s="43" t="str">
        <f aca="false">IF(N(R391)&gt;0,R391,"")</f>
        <v/>
      </c>
      <c r="J391" s="45" t="str">
        <f aca="false">IF(AND(M391="",B391="",C391=""),"",IF(AND(N(E391)&gt;0,N(F391)&gt;0),"⚠ Fill withdrawal OR deposit",IF(M391="","⚠ Enter amount",IF(B391="","⚠ Enter date",IF(NOT(OR(NOT(ISNUMBER(G391)),NOT(ISNUMBER(G390)),ABS(N(G391)-(N(G390)+N(F391)-N(E391)))&lt;=0.5)),"⚠ Balance does not follow previous row","✔")))))</f>
        <v/>
      </c>
      <c r="M391" s="9" t="str">
        <f aca="false">IF(N(F391)&gt;0,"IN",IF(N(E391)&gt;0,"OUT",""))</f>
        <v/>
      </c>
      <c r="N391" s="9" t="str">
        <f aca="false">IF(M391="","",M391&amp;"|"&amp;TEXT(ROUND(N(E391)+N(F391),2),"0.00"))</f>
        <v/>
      </c>
      <c r="O391" s="9" t="str">
        <f aca="false">IF(OR(N391="",TRIM(D391&amp;"")=""),"",N391&amp;"|"&amp;UPPER(TRIM(D391&amp;"")))</f>
        <v/>
      </c>
      <c r="P391" s="9" t="n">
        <f aca="false">IF(O391="",0,IF(COUNTIF('Cash Book'!$O$8:$O$507,O391)&gt;0,1,0))</f>
        <v>0</v>
      </c>
      <c r="Q391" s="9" t="str">
        <f aca="false">IF(OR(N391="",P391=1),"",N391&amp;"#"&amp;COUNTIFS($N$8:N391,N391,$P$8:P391,0))</f>
        <v/>
      </c>
      <c r="R391" s="9" t="n">
        <f aca="false">IF(N391="",0,IFERROR(MATCH(ROW()-7,'Cash Book'!$U$8:$U$507,0),0))</f>
        <v>0</v>
      </c>
      <c r="V391" s="9" t="str">
        <f aca="false">IF(AND(N391&lt;&gt;"",R391=0),IF(M391="IN",3,4)*100000+ROW(),"")</f>
        <v/>
      </c>
      <c r="W391" s="9" t="n">
        <f aca="false">N(E391)+N(F391)</f>
        <v>0</v>
      </c>
    </row>
    <row r="392" customFormat="false" ht="15" hidden="false" customHeight="false" outlineLevel="0" collapsed="false">
      <c r="A392" s="37" t="str">
        <f aca="false">IF(M392="","",ROW()-7)</f>
        <v/>
      </c>
      <c r="B392" s="70"/>
      <c r="C392" s="72"/>
      <c r="D392" s="71"/>
      <c r="E392" s="73"/>
      <c r="F392" s="73"/>
      <c r="G392" s="73"/>
      <c r="H392" s="42" t="str">
        <f aca="false">IF(M392="","",IF(R392&gt;0,"✔ Matched",IF(M392="IN","Not in cash book (credit)","Not in cash book (debit)")))</f>
        <v/>
      </c>
      <c r="I392" s="43" t="str">
        <f aca="false">IF(N(R392)&gt;0,R392,"")</f>
        <v/>
      </c>
      <c r="J392" s="45" t="str">
        <f aca="false">IF(AND(M392="",B392="",C392=""),"",IF(AND(N(E392)&gt;0,N(F392)&gt;0),"⚠ Fill withdrawal OR deposit",IF(M392="","⚠ Enter amount",IF(B392="","⚠ Enter date",IF(NOT(OR(NOT(ISNUMBER(G392)),NOT(ISNUMBER(G391)),ABS(N(G392)-(N(G391)+N(F392)-N(E392)))&lt;=0.5)),"⚠ Balance does not follow previous row","✔")))))</f>
        <v/>
      </c>
      <c r="M392" s="9" t="str">
        <f aca="false">IF(N(F392)&gt;0,"IN",IF(N(E392)&gt;0,"OUT",""))</f>
        <v/>
      </c>
      <c r="N392" s="9" t="str">
        <f aca="false">IF(M392="","",M392&amp;"|"&amp;TEXT(ROUND(N(E392)+N(F392),2),"0.00"))</f>
        <v/>
      </c>
      <c r="O392" s="9" t="str">
        <f aca="false">IF(OR(N392="",TRIM(D392&amp;"")=""),"",N392&amp;"|"&amp;UPPER(TRIM(D392&amp;"")))</f>
        <v/>
      </c>
      <c r="P392" s="9" t="n">
        <f aca="false">IF(O392="",0,IF(COUNTIF('Cash Book'!$O$8:$O$507,O392)&gt;0,1,0))</f>
        <v>0</v>
      </c>
      <c r="Q392" s="9" t="str">
        <f aca="false">IF(OR(N392="",P392=1),"",N392&amp;"#"&amp;COUNTIFS($N$8:N392,N392,$P$8:P392,0))</f>
        <v/>
      </c>
      <c r="R392" s="9" t="n">
        <f aca="false">IF(N392="",0,IFERROR(MATCH(ROW()-7,'Cash Book'!$U$8:$U$507,0),0))</f>
        <v>0</v>
      </c>
      <c r="V392" s="9" t="str">
        <f aca="false">IF(AND(N392&lt;&gt;"",R392=0),IF(M392="IN",3,4)*100000+ROW(),"")</f>
        <v/>
      </c>
      <c r="W392" s="9" t="n">
        <f aca="false">N(E392)+N(F392)</f>
        <v>0</v>
      </c>
    </row>
    <row r="393" customFormat="false" ht="15" hidden="false" customHeight="false" outlineLevel="0" collapsed="false">
      <c r="A393" s="37" t="str">
        <f aca="false">IF(M393="","",ROW()-7)</f>
        <v/>
      </c>
      <c r="B393" s="70"/>
      <c r="C393" s="72"/>
      <c r="D393" s="71"/>
      <c r="E393" s="73"/>
      <c r="F393" s="73"/>
      <c r="G393" s="73"/>
      <c r="H393" s="42" t="str">
        <f aca="false">IF(M393="","",IF(R393&gt;0,"✔ Matched",IF(M393="IN","Not in cash book (credit)","Not in cash book (debit)")))</f>
        <v/>
      </c>
      <c r="I393" s="43" t="str">
        <f aca="false">IF(N(R393)&gt;0,R393,"")</f>
        <v/>
      </c>
      <c r="J393" s="45" t="str">
        <f aca="false">IF(AND(M393="",B393="",C393=""),"",IF(AND(N(E393)&gt;0,N(F393)&gt;0),"⚠ Fill withdrawal OR deposit",IF(M393="","⚠ Enter amount",IF(B393="","⚠ Enter date",IF(NOT(OR(NOT(ISNUMBER(G393)),NOT(ISNUMBER(G392)),ABS(N(G393)-(N(G392)+N(F393)-N(E393)))&lt;=0.5)),"⚠ Balance does not follow previous row","✔")))))</f>
        <v/>
      </c>
      <c r="M393" s="9" t="str">
        <f aca="false">IF(N(F393)&gt;0,"IN",IF(N(E393)&gt;0,"OUT",""))</f>
        <v/>
      </c>
      <c r="N393" s="9" t="str">
        <f aca="false">IF(M393="","",M393&amp;"|"&amp;TEXT(ROUND(N(E393)+N(F393),2),"0.00"))</f>
        <v/>
      </c>
      <c r="O393" s="9" t="str">
        <f aca="false">IF(OR(N393="",TRIM(D393&amp;"")=""),"",N393&amp;"|"&amp;UPPER(TRIM(D393&amp;"")))</f>
        <v/>
      </c>
      <c r="P393" s="9" t="n">
        <f aca="false">IF(O393="",0,IF(COUNTIF('Cash Book'!$O$8:$O$507,O393)&gt;0,1,0))</f>
        <v>0</v>
      </c>
      <c r="Q393" s="9" t="str">
        <f aca="false">IF(OR(N393="",P393=1),"",N393&amp;"#"&amp;COUNTIFS($N$8:N393,N393,$P$8:P393,0))</f>
        <v/>
      </c>
      <c r="R393" s="9" t="n">
        <f aca="false">IF(N393="",0,IFERROR(MATCH(ROW()-7,'Cash Book'!$U$8:$U$507,0),0))</f>
        <v>0</v>
      </c>
      <c r="V393" s="9" t="str">
        <f aca="false">IF(AND(N393&lt;&gt;"",R393=0),IF(M393="IN",3,4)*100000+ROW(),"")</f>
        <v/>
      </c>
      <c r="W393" s="9" t="n">
        <f aca="false">N(E393)+N(F393)</f>
        <v>0</v>
      </c>
    </row>
    <row r="394" customFormat="false" ht="15" hidden="false" customHeight="false" outlineLevel="0" collapsed="false">
      <c r="A394" s="37" t="str">
        <f aca="false">IF(M394="","",ROW()-7)</f>
        <v/>
      </c>
      <c r="B394" s="70"/>
      <c r="C394" s="72"/>
      <c r="D394" s="71"/>
      <c r="E394" s="73"/>
      <c r="F394" s="73"/>
      <c r="G394" s="73"/>
      <c r="H394" s="42" t="str">
        <f aca="false">IF(M394="","",IF(R394&gt;0,"✔ Matched",IF(M394="IN","Not in cash book (credit)","Not in cash book (debit)")))</f>
        <v/>
      </c>
      <c r="I394" s="43" t="str">
        <f aca="false">IF(N(R394)&gt;0,R394,"")</f>
        <v/>
      </c>
      <c r="J394" s="45" t="str">
        <f aca="false">IF(AND(M394="",B394="",C394=""),"",IF(AND(N(E394)&gt;0,N(F394)&gt;0),"⚠ Fill withdrawal OR deposit",IF(M394="","⚠ Enter amount",IF(B394="","⚠ Enter date",IF(NOT(OR(NOT(ISNUMBER(G394)),NOT(ISNUMBER(G393)),ABS(N(G394)-(N(G393)+N(F394)-N(E394)))&lt;=0.5)),"⚠ Balance does not follow previous row","✔")))))</f>
        <v/>
      </c>
      <c r="M394" s="9" t="str">
        <f aca="false">IF(N(F394)&gt;0,"IN",IF(N(E394)&gt;0,"OUT",""))</f>
        <v/>
      </c>
      <c r="N394" s="9" t="str">
        <f aca="false">IF(M394="","",M394&amp;"|"&amp;TEXT(ROUND(N(E394)+N(F394),2),"0.00"))</f>
        <v/>
      </c>
      <c r="O394" s="9" t="str">
        <f aca="false">IF(OR(N394="",TRIM(D394&amp;"")=""),"",N394&amp;"|"&amp;UPPER(TRIM(D394&amp;"")))</f>
        <v/>
      </c>
      <c r="P394" s="9" t="n">
        <f aca="false">IF(O394="",0,IF(COUNTIF('Cash Book'!$O$8:$O$507,O394)&gt;0,1,0))</f>
        <v>0</v>
      </c>
      <c r="Q394" s="9" t="str">
        <f aca="false">IF(OR(N394="",P394=1),"",N394&amp;"#"&amp;COUNTIFS($N$8:N394,N394,$P$8:P394,0))</f>
        <v/>
      </c>
      <c r="R394" s="9" t="n">
        <f aca="false">IF(N394="",0,IFERROR(MATCH(ROW()-7,'Cash Book'!$U$8:$U$507,0),0))</f>
        <v>0</v>
      </c>
      <c r="V394" s="9" t="str">
        <f aca="false">IF(AND(N394&lt;&gt;"",R394=0),IF(M394="IN",3,4)*100000+ROW(),"")</f>
        <v/>
      </c>
      <c r="W394" s="9" t="n">
        <f aca="false">N(E394)+N(F394)</f>
        <v>0</v>
      </c>
    </row>
    <row r="395" customFormat="false" ht="15" hidden="false" customHeight="false" outlineLevel="0" collapsed="false">
      <c r="A395" s="37" t="str">
        <f aca="false">IF(M395="","",ROW()-7)</f>
        <v/>
      </c>
      <c r="B395" s="70"/>
      <c r="C395" s="72"/>
      <c r="D395" s="71"/>
      <c r="E395" s="73"/>
      <c r="F395" s="73"/>
      <c r="G395" s="73"/>
      <c r="H395" s="42" t="str">
        <f aca="false">IF(M395="","",IF(R395&gt;0,"✔ Matched",IF(M395="IN","Not in cash book (credit)","Not in cash book (debit)")))</f>
        <v/>
      </c>
      <c r="I395" s="43" t="str">
        <f aca="false">IF(N(R395)&gt;0,R395,"")</f>
        <v/>
      </c>
      <c r="J395" s="45" t="str">
        <f aca="false">IF(AND(M395="",B395="",C395=""),"",IF(AND(N(E395)&gt;0,N(F395)&gt;0),"⚠ Fill withdrawal OR deposit",IF(M395="","⚠ Enter amount",IF(B395="","⚠ Enter date",IF(NOT(OR(NOT(ISNUMBER(G395)),NOT(ISNUMBER(G394)),ABS(N(G395)-(N(G394)+N(F395)-N(E395)))&lt;=0.5)),"⚠ Balance does not follow previous row","✔")))))</f>
        <v/>
      </c>
      <c r="M395" s="9" t="str">
        <f aca="false">IF(N(F395)&gt;0,"IN",IF(N(E395)&gt;0,"OUT",""))</f>
        <v/>
      </c>
      <c r="N395" s="9" t="str">
        <f aca="false">IF(M395="","",M395&amp;"|"&amp;TEXT(ROUND(N(E395)+N(F395),2),"0.00"))</f>
        <v/>
      </c>
      <c r="O395" s="9" t="str">
        <f aca="false">IF(OR(N395="",TRIM(D395&amp;"")=""),"",N395&amp;"|"&amp;UPPER(TRIM(D395&amp;"")))</f>
        <v/>
      </c>
      <c r="P395" s="9" t="n">
        <f aca="false">IF(O395="",0,IF(COUNTIF('Cash Book'!$O$8:$O$507,O395)&gt;0,1,0))</f>
        <v>0</v>
      </c>
      <c r="Q395" s="9" t="str">
        <f aca="false">IF(OR(N395="",P395=1),"",N395&amp;"#"&amp;COUNTIFS($N$8:N395,N395,$P$8:P395,0))</f>
        <v/>
      </c>
      <c r="R395" s="9" t="n">
        <f aca="false">IF(N395="",0,IFERROR(MATCH(ROW()-7,'Cash Book'!$U$8:$U$507,0),0))</f>
        <v>0</v>
      </c>
      <c r="V395" s="9" t="str">
        <f aca="false">IF(AND(N395&lt;&gt;"",R395=0),IF(M395="IN",3,4)*100000+ROW(),"")</f>
        <v/>
      </c>
      <c r="W395" s="9" t="n">
        <f aca="false">N(E395)+N(F395)</f>
        <v>0</v>
      </c>
    </row>
    <row r="396" customFormat="false" ht="15" hidden="false" customHeight="false" outlineLevel="0" collapsed="false">
      <c r="A396" s="37" t="str">
        <f aca="false">IF(M396="","",ROW()-7)</f>
        <v/>
      </c>
      <c r="B396" s="70"/>
      <c r="C396" s="72"/>
      <c r="D396" s="71"/>
      <c r="E396" s="73"/>
      <c r="F396" s="73"/>
      <c r="G396" s="73"/>
      <c r="H396" s="42" t="str">
        <f aca="false">IF(M396="","",IF(R396&gt;0,"✔ Matched",IF(M396="IN","Not in cash book (credit)","Not in cash book (debit)")))</f>
        <v/>
      </c>
      <c r="I396" s="43" t="str">
        <f aca="false">IF(N(R396)&gt;0,R396,"")</f>
        <v/>
      </c>
      <c r="J396" s="45" t="str">
        <f aca="false">IF(AND(M396="",B396="",C396=""),"",IF(AND(N(E396)&gt;0,N(F396)&gt;0),"⚠ Fill withdrawal OR deposit",IF(M396="","⚠ Enter amount",IF(B396="","⚠ Enter date",IF(NOT(OR(NOT(ISNUMBER(G396)),NOT(ISNUMBER(G395)),ABS(N(G396)-(N(G395)+N(F396)-N(E396)))&lt;=0.5)),"⚠ Balance does not follow previous row","✔")))))</f>
        <v/>
      </c>
      <c r="M396" s="9" t="str">
        <f aca="false">IF(N(F396)&gt;0,"IN",IF(N(E396)&gt;0,"OUT",""))</f>
        <v/>
      </c>
      <c r="N396" s="9" t="str">
        <f aca="false">IF(M396="","",M396&amp;"|"&amp;TEXT(ROUND(N(E396)+N(F396),2),"0.00"))</f>
        <v/>
      </c>
      <c r="O396" s="9" t="str">
        <f aca="false">IF(OR(N396="",TRIM(D396&amp;"")=""),"",N396&amp;"|"&amp;UPPER(TRIM(D396&amp;"")))</f>
        <v/>
      </c>
      <c r="P396" s="9" t="n">
        <f aca="false">IF(O396="",0,IF(COUNTIF('Cash Book'!$O$8:$O$507,O396)&gt;0,1,0))</f>
        <v>0</v>
      </c>
      <c r="Q396" s="9" t="str">
        <f aca="false">IF(OR(N396="",P396=1),"",N396&amp;"#"&amp;COUNTIFS($N$8:N396,N396,$P$8:P396,0))</f>
        <v/>
      </c>
      <c r="R396" s="9" t="n">
        <f aca="false">IF(N396="",0,IFERROR(MATCH(ROW()-7,'Cash Book'!$U$8:$U$507,0),0))</f>
        <v>0</v>
      </c>
      <c r="V396" s="9" t="str">
        <f aca="false">IF(AND(N396&lt;&gt;"",R396=0),IF(M396="IN",3,4)*100000+ROW(),"")</f>
        <v/>
      </c>
      <c r="W396" s="9" t="n">
        <f aca="false">N(E396)+N(F396)</f>
        <v>0</v>
      </c>
    </row>
    <row r="397" customFormat="false" ht="15" hidden="false" customHeight="false" outlineLevel="0" collapsed="false">
      <c r="A397" s="37" t="str">
        <f aca="false">IF(M397="","",ROW()-7)</f>
        <v/>
      </c>
      <c r="B397" s="70"/>
      <c r="C397" s="72"/>
      <c r="D397" s="71"/>
      <c r="E397" s="73"/>
      <c r="F397" s="73"/>
      <c r="G397" s="73"/>
      <c r="H397" s="42" t="str">
        <f aca="false">IF(M397="","",IF(R397&gt;0,"✔ Matched",IF(M397="IN","Not in cash book (credit)","Not in cash book (debit)")))</f>
        <v/>
      </c>
      <c r="I397" s="43" t="str">
        <f aca="false">IF(N(R397)&gt;0,R397,"")</f>
        <v/>
      </c>
      <c r="J397" s="45" t="str">
        <f aca="false">IF(AND(M397="",B397="",C397=""),"",IF(AND(N(E397)&gt;0,N(F397)&gt;0),"⚠ Fill withdrawal OR deposit",IF(M397="","⚠ Enter amount",IF(B397="","⚠ Enter date",IF(NOT(OR(NOT(ISNUMBER(G397)),NOT(ISNUMBER(G396)),ABS(N(G397)-(N(G396)+N(F397)-N(E397)))&lt;=0.5)),"⚠ Balance does not follow previous row","✔")))))</f>
        <v/>
      </c>
      <c r="M397" s="9" t="str">
        <f aca="false">IF(N(F397)&gt;0,"IN",IF(N(E397)&gt;0,"OUT",""))</f>
        <v/>
      </c>
      <c r="N397" s="9" t="str">
        <f aca="false">IF(M397="","",M397&amp;"|"&amp;TEXT(ROUND(N(E397)+N(F397),2),"0.00"))</f>
        <v/>
      </c>
      <c r="O397" s="9" t="str">
        <f aca="false">IF(OR(N397="",TRIM(D397&amp;"")=""),"",N397&amp;"|"&amp;UPPER(TRIM(D397&amp;"")))</f>
        <v/>
      </c>
      <c r="P397" s="9" t="n">
        <f aca="false">IF(O397="",0,IF(COUNTIF('Cash Book'!$O$8:$O$507,O397)&gt;0,1,0))</f>
        <v>0</v>
      </c>
      <c r="Q397" s="9" t="str">
        <f aca="false">IF(OR(N397="",P397=1),"",N397&amp;"#"&amp;COUNTIFS($N$8:N397,N397,$P$8:P397,0))</f>
        <v/>
      </c>
      <c r="R397" s="9" t="n">
        <f aca="false">IF(N397="",0,IFERROR(MATCH(ROW()-7,'Cash Book'!$U$8:$U$507,0),0))</f>
        <v>0</v>
      </c>
      <c r="V397" s="9" t="str">
        <f aca="false">IF(AND(N397&lt;&gt;"",R397=0),IF(M397="IN",3,4)*100000+ROW(),"")</f>
        <v/>
      </c>
      <c r="W397" s="9" t="n">
        <f aca="false">N(E397)+N(F397)</f>
        <v>0</v>
      </c>
    </row>
    <row r="398" customFormat="false" ht="15" hidden="false" customHeight="false" outlineLevel="0" collapsed="false">
      <c r="A398" s="37" t="str">
        <f aca="false">IF(M398="","",ROW()-7)</f>
        <v/>
      </c>
      <c r="B398" s="70"/>
      <c r="C398" s="72"/>
      <c r="D398" s="71"/>
      <c r="E398" s="73"/>
      <c r="F398" s="73"/>
      <c r="G398" s="73"/>
      <c r="H398" s="42" t="str">
        <f aca="false">IF(M398="","",IF(R398&gt;0,"✔ Matched",IF(M398="IN","Not in cash book (credit)","Not in cash book (debit)")))</f>
        <v/>
      </c>
      <c r="I398" s="43" t="str">
        <f aca="false">IF(N(R398)&gt;0,R398,"")</f>
        <v/>
      </c>
      <c r="J398" s="45" t="str">
        <f aca="false">IF(AND(M398="",B398="",C398=""),"",IF(AND(N(E398)&gt;0,N(F398)&gt;0),"⚠ Fill withdrawal OR deposit",IF(M398="","⚠ Enter amount",IF(B398="","⚠ Enter date",IF(NOT(OR(NOT(ISNUMBER(G398)),NOT(ISNUMBER(G397)),ABS(N(G398)-(N(G397)+N(F398)-N(E398)))&lt;=0.5)),"⚠ Balance does not follow previous row","✔")))))</f>
        <v/>
      </c>
      <c r="M398" s="9" t="str">
        <f aca="false">IF(N(F398)&gt;0,"IN",IF(N(E398)&gt;0,"OUT",""))</f>
        <v/>
      </c>
      <c r="N398" s="9" t="str">
        <f aca="false">IF(M398="","",M398&amp;"|"&amp;TEXT(ROUND(N(E398)+N(F398),2),"0.00"))</f>
        <v/>
      </c>
      <c r="O398" s="9" t="str">
        <f aca="false">IF(OR(N398="",TRIM(D398&amp;"")=""),"",N398&amp;"|"&amp;UPPER(TRIM(D398&amp;"")))</f>
        <v/>
      </c>
      <c r="P398" s="9" t="n">
        <f aca="false">IF(O398="",0,IF(COUNTIF('Cash Book'!$O$8:$O$507,O398)&gt;0,1,0))</f>
        <v>0</v>
      </c>
      <c r="Q398" s="9" t="str">
        <f aca="false">IF(OR(N398="",P398=1),"",N398&amp;"#"&amp;COUNTIFS($N$8:N398,N398,$P$8:P398,0))</f>
        <v/>
      </c>
      <c r="R398" s="9" t="n">
        <f aca="false">IF(N398="",0,IFERROR(MATCH(ROW()-7,'Cash Book'!$U$8:$U$507,0),0))</f>
        <v>0</v>
      </c>
      <c r="V398" s="9" t="str">
        <f aca="false">IF(AND(N398&lt;&gt;"",R398=0),IF(M398="IN",3,4)*100000+ROW(),"")</f>
        <v/>
      </c>
      <c r="W398" s="9" t="n">
        <f aca="false">N(E398)+N(F398)</f>
        <v>0</v>
      </c>
    </row>
    <row r="399" customFormat="false" ht="15" hidden="false" customHeight="false" outlineLevel="0" collapsed="false">
      <c r="A399" s="37" t="str">
        <f aca="false">IF(M399="","",ROW()-7)</f>
        <v/>
      </c>
      <c r="B399" s="70"/>
      <c r="C399" s="72"/>
      <c r="D399" s="71"/>
      <c r="E399" s="73"/>
      <c r="F399" s="73"/>
      <c r="G399" s="73"/>
      <c r="H399" s="42" t="str">
        <f aca="false">IF(M399="","",IF(R399&gt;0,"✔ Matched",IF(M399="IN","Not in cash book (credit)","Not in cash book (debit)")))</f>
        <v/>
      </c>
      <c r="I399" s="43" t="str">
        <f aca="false">IF(N(R399)&gt;0,R399,"")</f>
        <v/>
      </c>
      <c r="J399" s="45" t="str">
        <f aca="false">IF(AND(M399="",B399="",C399=""),"",IF(AND(N(E399)&gt;0,N(F399)&gt;0),"⚠ Fill withdrawal OR deposit",IF(M399="","⚠ Enter amount",IF(B399="","⚠ Enter date",IF(NOT(OR(NOT(ISNUMBER(G399)),NOT(ISNUMBER(G398)),ABS(N(G399)-(N(G398)+N(F399)-N(E399)))&lt;=0.5)),"⚠ Balance does not follow previous row","✔")))))</f>
        <v/>
      </c>
      <c r="M399" s="9" t="str">
        <f aca="false">IF(N(F399)&gt;0,"IN",IF(N(E399)&gt;0,"OUT",""))</f>
        <v/>
      </c>
      <c r="N399" s="9" t="str">
        <f aca="false">IF(M399="","",M399&amp;"|"&amp;TEXT(ROUND(N(E399)+N(F399),2),"0.00"))</f>
        <v/>
      </c>
      <c r="O399" s="9" t="str">
        <f aca="false">IF(OR(N399="",TRIM(D399&amp;"")=""),"",N399&amp;"|"&amp;UPPER(TRIM(D399&amp;"")))</f>
        <v/>
      </c>
      <c r="P399" s="9" t="n">
        <f aca="false">IF(O399="",0,IF(COUNTIF('Cash Book'!$O$8:$O$507,O399)&gt;0,1,0))</f>
        <v>0</v>
      </c>
      <c r="Q399" s="9" t="str">
        <f aca="false">IF(OR(N399="",P399=1),"",N399&amp;"#"&amp;COUNTIFS($N$8:N399,N399,$P$8:P399,0))</f>
        <v/>
      </c>
      <c r="R399" s="9" t="n">
        <f aca="false">IF(N399="",0,IFERROR(MATCH(ROW()-7,'Cash Book'!$U$8:$U$507,0),0))</f>
        <v>0</v>
      </c>
      <c r="V399" s="9" t="str">
        <f aca="false">IF(AND(N399&lt;&gt;"",R399=0),IF(M399="IN",3,4)*100000+ROW(),"")</f>
        <v/>
      </c>
      <c r="W399" s="9" t="n">
        <f aca="false">N(E399)+N(F399)</f>
        <v>0</v>
      </c>
    </row>
    <row r="400" customFormat="false" ht="15" hidden="false" customHeight="false" outlineLevel="0" collapsed="false">
      <c r="A400" s="37" t="str">
        <f aca="false">IF(M400="","",ROW()-7)</f>
        <v/>
      </c>
      <c r="B400" s="70"/>
      <c r="C400" s="72"/>
      <c r="D400" s="71"/>
      <c r="E400" s="73"/>
      <c r="F400" s="73"/>
      <c r="G400" s="73"/>
      <c r="H400" s="42" t="str">
        <f aca="false">IF(M400="","",IF(R400&gt;0,"✔ Matched",IF(M400="IN","Not in cash book (credit)","Not in cash book (debit)")))</f>
        <v/>
      </c>
      <c r="I400" s="43" t="str">
        <f aca="false">IF(N(R400)&gt;0,R400,"")</f>
        <v/>
      </c>
      <c r="J400" s="45" t="str">
        <f aca="false">IF(AND(M400="",B400="",C400=""),"",IF(AND(N(E400)&gt;0,N(F400)&gt;0),"⚠ Fill withdrawal OR deposit",IF(M400="","⚠ Enter amount",IF(B400="","⚠ Enter date",IF(NOT(OR(NOT(ISNUMBER(G400)),NOT(ISNUMBER(G399)),ABS(N(G400)-(N(G399)+N(F400)-N(E400)))&lt;=0.5)),"⚠ Balance does not follow previous row","✔")))))</f>
        <v/>
      </c>
      <c r="M400" s="9" t="str">
        <f aca="false">IF(N(F400)&gt;0,"IN",IF(N(E400)&gt;0,"OUT",""))</f>
        <v/>
      </c>
      <c r="N400" s="9" t="str">
        <f aca="false">IF(M400="","",M400&amp;"|"&amp;TEXT(ROUND(N(E400)+N(F400),2),"0.00"))</f>
        <v/>
      </c>
      <c r="O400" s="9" t="str">
        <f aca="false">IF(OR(N400="",TRIM(D400&amp;"")=""),"",N400&amp;"|"&amp;UPPER(TRIM(D400&amp;"")))</f>
        <v/>
      </c>
      <c r="P400" s="9" t="n">
        <f aca="false">IF(O400="",0,IF(COUNTIF('Cash Book'!$O$8:$O$507,O400)&gt;0,1,0))</f>
        <v>0</v>
      </c>
      <c r="Q400" s="9" t="str">
        <f aca="false">IF(OR(N400="",P400=1),"",N400&amp;"#"&amp;COUNTIFS($N$8:N400,N400,$P$8:P400,0))</f>
        <v/>
      </c>
      <c r="R400" s="9" t="n">
        <f aca="false">IF(N400="",0,IFERROR(MATCH(ROW()-7,'Cash Book'!$U$8:$U$507,0),0))</f>
        <v>0</v>
      </c>
      <c r="V400" s="9" t="str">
        <f aca="false">IF(AND(N400&lt;&gt;"",R400=0),IF(M400="IN",3,4)*100000+ROW(),"")</f>
        <v/>
      </c>
      <c r="W400" s="9" t="n">
        <f aca="false">N(E400)+N(F400)</f>
        <v>0</v>
      </c>
    </row>
    <row r="401" customFormat="false" ht="15" hidden="false" customHeight="false" outlineLevel="0" collapsed="false">
      <c r="A401" s="37" t="str">
        <f aca="false">IF(M401="","",ROW()-7)</f>
        <v/>
      </c>
      <c r="B401" s="70"/>
      <c r="C401" s="72"/>
      <c r="D401" s="71"/>
      <c r="E401" s="73"/>
      <c r="F401" s="73"/>
      <c r="G401" s="73"/>
      <c r="H401" s="42" t="str">
        <f aca="false">IF(M401="","",IF(R401&gt;0,"✔ Matched",IF(M401="IN","Not in cash book (credit)","Not in cash book (debit)")))</f>
        <v/>
      </c>
      <c r="I401" s="43" t="str">
        <f aca="false">IF(N(R401)&gt;0,R401,"")</f>
        <v/>
      </c>
      <c r="J401" s="45" t="str">
        <f aca="false">IF(AND(M401="",B401="",C401=""),"",IF(AND(N(E401)&gt;0,N(F401)&gt;0),"⚠ Fill withdrawal OR deposit",IF(M401="","⚠ Enter amount",IF(B401="","⚠ Enter date",IF(NOT(OR(NOT(ISNUMBER(G401)),NOT(ISNUMBER(G400)),ABS(N(G401)-(N(G400)+N(F401)-N(E401)))&lt;=0.5)),"⚠ Balance does not follow previous row","✔")))))</f>
        <v/>
      </c>
      <c r="M401" s="9" t="str">
        <f aca="false">IF(N(F401)&gt;0,"IN",IF(N(E401)&gt;0,"OUT",""))</f>
        <v/>
      </c>
      <c r="N401" s="9" t="str">
        <f aca="false">IF(M401="","",M401&amp;"|"&amp;TEXT(ROUND(N(E401)+N(F401),2),"0.00"))</f>
        <v/>
      </c>
      <c r="O401" s="9" t="str">
        <f aca="false">IF(OR(N401="",TRIM(D401&amp;"")=""),"",N401&amp;"|"&amp;UPPER(TRIM(D401&amp;"")))</f>
        <v/>
      </c>
      <c r="P401" s="9" t="n">
        <f aca="false">IF(O401="",0,IF(COUNTIF('Cash Book'!$O$8:$O$507,O401)&gt;0,1,0))</f>
        <v>0</v>
      </c>
      <c r="Q401" s="9" t="str">
        <f aca="false">IF(OR(N401="",P401=1),"",N401&amp;"#"&amp;COUNTIFS($N$8:N401,N401,$P$8:P401,0))</f>
        <v/>
      </c>
      <c r="R401" s="9" t="n">
        <f aca="false">IF(N401="",0,IFERROR(MATCH(ROW()-7,'Cash Book'!$U$8:$U$507,0),0))</f>
        <v>0</v>
      </c>
      <c r="V401" s="9" t="str">
        <f aca="false">IF(AND(N401&lt;&gt;"",R401=0),IF(M401="IN",3,4)*100000+ROW(),"")</f>
        <v/>
      </c>
      <c r="W401" s="9" t="n">
        <f aca="false">N(E401)+N(F401)</f>
        <v>0</v>
      </c>
    </row>
    <row r="402" customFormat="false" ht="15" hidden="false" customHeight="false" outlineLevel="0" collapsed="false">
      <c r="A402" s="37" t="str">
        <f aca="false">IF(M402="","",ROW()-7)</f>
        <v/>
      </c>
      <c r="B402" s="70"/>
      <c r="C402" s="72"/>
      <c r="D402" s="71"/>
      <c r="E402" s="73"/>
      <c r="F402" s="73"/>
      <c r="G402" s="73"/>
      <c r="H402" s="42" t="str">
        <f aca="false">IF(M402="","",IF(R402&gt;0,"✔ Matched",IF(M402="IN","Not in cash book (credit)","Not in cash book (debit)")))</f>
        <v/>
      </c>
      <c r="I402" s="43" t="str">
        <f aca="false">IF(N(R402)&gt;0,R402,"")</f>
        <v/>
      </c>
      <c r="J402" s="45" t="str">
        <f aca="false">IF(AND(M402="",B402="",C402=""),"",IF(AND(N(E402)&gt;0,N(F402)&gt;0),"⚠ Fill withdrawal OR deposit",IF(M402="","⚠ Enter amount",IF(B402="","⚠ Enter date",IF(NOT(OR(NOT(ISNUMBER(G402)),NOT(ISNUMBER(G401)),ABS(N(G402)-(N(G401)+N(F402)-N(E402)))&lt;=0.5)),"⚠ Balance does not follow previous row","✔")))))</f>
        <v/>
      </c>
      <c r="M402" s="9" t="str">
        <f aca="false">IF(N(F402)&gt;0,"IN",IF(N(E402)&gt;0,"OUT",""))</f>
        <v/>
      </c>
      <c r="N402" s="9" t="str">
        <f aca="false">IF(M402="","",M402&amp;"|"&amp;TEXT(ROUND(N(E402)+N(F402),2),"0.00"))</f>
        <v/>
      </c>
      <c r="O402" s="9" t="str">
        <f aca="false">IF(OR(N402="",TRIM(D402&amp;"")=""),"",N402&amp;"|"&amp;UPPER(TRIM(D402&amp;"")))</f>
        <v/>
      </c>
      <c r="P402" s="9" t="n">
        <f aca="false">IF(O402="",0,IF(COUNTIF('Cash Book'!$O$8:$O$507,O402)&gt;0,1,0))</f>
        <v>0</v>
      </c>
      <c r="Q402" s="9" t="str">
        <f aca="false">IF(OR(N402="",P402=1),"",N402&amp;"#"&amp;COUNTIFS($N$8:N402,N402,$P$8:P402,0))</f>
        <v/>
      </c>
      <c r="R402" s="9" t="n">
        <f aca="false">IF(N402="",0,IFERROR(MATCH(ROW()-7,'Cash Book'!$U$8:$U$507,0),0))</f>
        <v>0</v>
      </c>
      <c r="V402" s="9" t="str">
        <f aca="false">IF(AND(N402&lt;&gt;"",R402=0),IF(M402="IN",3,4)*100000+ROW(),"")</f>
        <v/>
      </c>
      <c r="W402" s="9" t="n">
        <f aca="false">N(E402)+N(F402)</f>
        <v>0</v>
      </c>
    </row>
    <row r="403" customFormat="false" ht="15" hidden="false" customHeight="false" outlineLevel="0" collapsed="false">
      <c r="A403" s="37" t="str">
        <f aca="false">IF(M403="","",ROW()-7)</f>
        <v/>
      </c>
      <c r="B403" s="70"/>
      <c r="C403" s="72"/>
      <c r="D403" s="71"/>
      <c r="E403" s="73"/>
      <c r="F403" s="73"/>
      <c r="G403" s="73"/>
      <c r="H403" s="42" t="str">
        <f aca="false">IF(M403="","",IF(R403&gt;0,"✔ Matched",IF(M403="IN","Not in cash book (credit)","Not in cash book (debit)")))</f>
        <v/>
      </c>
      <c r="I403" s="43" t="str">
        <f aca="false">IF(N(R403)&gt;0,R403,"")</f>
        <v/>
      </c>
      <c r="J403" s="45" t="str">
        <f aca="false">IF(AND(M403="",B403="",C403=""),"",IF(AND(N(E403)&gt;0,N(F403)&gt;0),"⚠ Fill withdrawal OR deposit",IF(M403="","⚠ Enter amount",IF(B403="","⚠ Enter date",IF(NOT(OR(NOT(ISNUMBER(G403)),NOT(ISNUMBER(G402)),ABS(N(G403)-(N(G402)+N(F403)-N(E403)))&lt;=0.5)),"⚠ Balance does not follow previous row","✔")))))</f>
        <v/>
      </c>
      <c r="M403" s="9" t="str">
        <f aca="false">IF(N(F403)&gt;0,"IN",IF(N(E403)&gt;0,"OUT",""))</f>
        <v/>
      </c>
      <c r="N403" s="9" t="str">
        <f aca="false">IF(M403="","",M403&amp;"|"&amp;TEXT(ROUND(N(E403)+N(F403),2),"0.00"))</f>
        <v/>
      </c>
      <c r="O403" s="9" t="str">
        <f aca="false">IF(OR(N403="",TRIM(D403&amp;"")=""),"",N403&amp;"|"&amp;UPPER(TRIM(D403&amp;"")))</f>
        <v/>
      </c>
      <c r="P403" s="9" t="n">
        <f aca="false">IF(O403="",0,IF(COUNTIF('Cash Book'!$O$8:$O$507,O403)&gt;0,1,0))</f>
        <v>0</v>
      </c>
      <c r="Q403" s="9" t="str">
        <f aca="false">IF(OR(N403="",P403=1),"",N403&amp;"#"&amp;COUNTIFS($N$8:N403,N403,$P$8:P403,0))</f>
        <v/>
      </c>
      <c r="R403" s="9" t="n">
        <f aca="false">IF(N403="",0,IFERROR(MATCH(ROW()-7,'Cash Book'!$U$8:$U$507,0),0))</f>
        <v>0</v>
      </c>
      <c r="V403" s="9" t="str">
        <f aca="false">IF(AND(N403&lt;&gt;"",R403=0),IF(M403="IN",3,4)*100000+ROW(),"")</f>
        <v/>
      </c>
      <c r="W403" s="9" t="n">
        <f aca="false">N(E403)+N(F403)</f>
        <v>0</v>
      </c>
    </row>
    <row r="404" customFormat="false" ht="15" hidden="false" customHeight="false" outlineLevel="0" collapsed="false">
      <c r="A404" s="37" t="str">
        <f aca="false">IF(M404="","",ROW()-7)</f>
        <v/>
      </c>
      <c r="B404" s="70"/>
      <c r="C404" s="72"/>
      <c r="D404" s="71"/>
      <c r="E404" s="73"/>
      <c r="F404" s="73"/>
      <c r="G404" s="73"/>
      <c r="H404" s="42" t="str">
        <f aca="false">IF(M404="","",IF(R404&gt;0,"✔ Matched",IF(M404="IN","Not in cash book (credit)","Not in cash book (debit)")))</f>
        <v/>
      </c>
      <c r="I404" s="43" t="str">
        <f aca="false">IF(N(R404)&gt;0,R404,"")</f>
        <v/>
      </c>
      <c r="J404" s="45" t="str">
        <f aca="false">IF(AND(M404="",B404="",C404=""),"",IF(AND(N(E404)&gt;0,N(F404)&gt;0),"⚠ Fill withdrawal OR deposit",IF(M404="","⚠ Enter amount",IF(B404="","⚠ Enter date",IF(NOT(OR(NOT(ISNUMBER(G404)),NOT(ISNUMBER(G403)),ABS(N(G404)-(N(G403)+N(F404)-N(E404)))&lt;=0.5)),"⚠ Balance does not follow previous row","✔")))))</f>
        <v/>
      </c>
      <c r="M404" s="9" t="str">
        <f aca="false">IF(N(F404)&gt;0,"IN",IF(N(E404)&gt;0,"OUT",""))</f>
        <v/>
      </c>
      <c r="N404" s="9" t="str">
        <f aca="false">IF(M404="","",M404&amp;"|"&amp;TEXT(ROUND(N(E404)+N(F404),2),"0.00"))</f>
        <v/>
      </c>
      <c r="O404" s="9" t="str">
        <f aca="false">IF(OR(N404="",TRIM(D404&amp;"")=""),"",N404&amp;"|"&amp;UPPER(TRIM(D404&amp;"")))</f>
        <v/>
      </c>
      <c r="P404" s="9" t="n">
        <f aca="false">IF(O404="",0,IF(COUNTIF('Cash Book'!$O$8:$O$507,O404)&gt;0,1,0))</f>
        <v>0</v>
      </c>
      <c r="Q404" s="9" t="str">
        <f aca="false">IF(OR(N404="",P404=1),"",N404&amp;"#"&amp;COUNTIFS($N$8:N404,N404,$P$8:P404,0))</f>
        <v/>
      </c>
      <c r="R404" s="9" t="n">
        <f aca="false">IF(N404="",0,IFERROR(MATCH(ROW()-7,'Cash Book'!$U$8:$U$507,0),0))</f>
        <v>0</v>
      </c>
      <c r="V404" s="9" t="str">
        <f aca="false">IF(AND(N404&lt;&gt;"",R404=0),IF(M404="IN",3,4)*100000+ROW(),"")</f>
        <v/>
      </c>
      <c r="W404" s="9" t="n">
        <f aca="false">N(E404)+N(F404)</f>
        <v>0</v>
      </c>
    </row>
    <row r="405" customFormat="false" ht="15" hidden="false" customHeight="false" outlineLevel="0" collapsed="false">
      <c r="A405" s="37" t="str">
        <f aca="false">IF(M405="","",ROW()-7)</f>
        <v/>
      </c>
      <c r="B405" s="70"/>
      <c r="C405" s="72"/>
      <c r="D405" s="71"/>
      <c r="E405" s="73"/>
      <c r="F405" s="73"/>
      <c r="G405" s="73"/>
      <c r="H405" s="42" t="str">
        <f aca="false">IF(M405="","",IF(R405&gt;0,"✔ Matched",IF(M405="IN","Not in cash book (credit)","Not in cash book (debit)")))</f>
        <v/>
      </c>
      <c r="I405" s="43" t="str">
        <f aca="false">IF(N(R405)&gt;0,R405,"")</f>
        <v/>
      </c>
      <c r="J405" s="45" t="str">
        <f aca="false">IF(AND(M405="",B405="",C405=""),"",IF(AND(N(E405)&gt;0,N(F405)&gt;0),"⚠ Fill withdrawal OR deposit",IF(M405="","⚠ Enter amount",IF(B405="","⚠ Enter date",IF(NOT(OR(NOT(ISNUMBER(G405)),NOT(ISNUMBER(G404)),ABS(N(G405)-(N(G404)+N(F405)-N(E405)))&lt;=0.5)),"⚠ Balance does not follow previous row","✔")))))</f>
        <v/>
      </c>
      <c r="M405" s="9" t="str">
        <f aca="false">IF(N(F405)&gt;0,"IN",IF(N(E405)&gt;0,"OUT",""))</f>
        <v/>
      </c>
      <c r="N405" s="9" t="str">
        <f aca="false">IF(M405="","",M405&amp;"|"&amp;TEXT(ROUND(N(E405)+N(F405),2),"0.00"))</f>
        <v/>
      </c>
      <c r="O405" s="9" t="str">
        <f aca="false">IF(OR(N405="",TRIM(D405&amp;"")=""),"",N405&amp;"|"&amp;UPPER(TRIM(D405&amp;"")))</f>
        <v/>
      </c>
      <c r="P405" s="9" t="n">
        <f aca="false">IF(O405="",0,IF(COUNTIF('Cash Book'!$O$8:$O$507,O405)&gt;0,1,0))</f>
        <v>0</v>
      </c>
      <c r="Q405" s="9" t="str">
        <f aca="false">IF(OR(N405="",P405=1),"",N405&amp;"#"&amp;COUNTIFS($N$8:N405,N405,$P$8:P405,0))</f>
        <v/>
      </c>
      <c r="R405" s="9" t="n">
        <f aca="false">IF(N405="",0,IFERROR(MATCH(ROW()-7,'Cash Book'!$U$8:$U$507,0),0))</f>
        <v>0</v>
      </c>
      <c r="V405" s="9" t="str">
        <f aca="false">IF(AND(N405&lt;&gt;"",R405=0),IF(M405="IN",3,4)*100000+ROW(),"")</f>
        <v/>
      </c>
      <c r="W405" s="9" t="n">
        <f aca="false">N(E405)+N(F405)</f>
        <v>0</v>
      </c>
    </row>
    <row r="406" customFormat="false" ht="15" hidden="false" customHeight="false" outlineLevel="0" collapsed="false">
      <c r="A406" s="37" t="str">
        <f aca="false">IF(M406="","",ROW()-7)</f>
        <v/>
      </c>
      <c r="B406" s="70"/>
      <c r="C406" s="72"/>
      <c r="D406" s="71"/>
      <c r="E406" s="73"/>
      <c r="F406" s="73"/>
      <c r="G406" s="73"/>
      <c r="H406" s="42" t="str">
        <f aca="false">IF(M406="","",IF(R406&gt;0,"✔ Matched",IF(M406="IN","Not in cash book (credit)","Not in cash book (debit)")))</f>
        <v/>
      </c>
      <c r="I406" s="43" t="str">
        <f aca="false">IF(N(R406)&gt;0,R406,"")</f>
        <v/>
      </c>
      <c r="J406" s="45" t="str">
        <f aca="false">IF(AND(M406="",B406="",C406=""),"",IF(AND(N(E406)&gt;0,N(F406)&gt;0),"⚠ Fill withdrawal OR deposit",IF(M406="","⚠ Enter amount",IF(B406="","⚠ Enter date",IF(NOT(OR(NOT(ISNUMBER(G406)),NOT(ISNUMBER(G405)),ABS(N(G406)-(N(G405)+N(F406)-N(E406)))&lt;=0.5)),"⚠ Balance does not follow previous row","✔")))))</f>
        <v/>
      </c>
      <c r="M406" s="9" t="str">
        <f aca="false">IF(N(F406)&gt;0,"IN",IF(N(E406)&gt;0,"OUT",""))</f>
        <v/>
      </c>
      <c r="N406" s="9" t="str">
        <f aca="false">IF(M406="","",M406&amp;"|"&amp;TEXT(ROUND(N(E406)+N(F406),2),"0.00"))</f>
        <v/>
      </c>
      <c r="O406" s="9" t="str">
        <f aca="false">IF(OR(N406="",TRIM(D406&amp;"")=""),"",N406&amp;"|"&amp;UPPER(TRIM(D406&amp;"")))</f>
        <v/>
      </c>
      <c r="P406" s="9" t="n">
        <f aca="false">IF(O406="",0,IF(COUNTIF('Cash Book'!$O$8:$O$507,O406)&gt;0,1,0))</f>
        <v>0</v>
      </c>
      <c r="Q406" s="9" t="str">
        <f aca="false">IF(OR(N406="",P406=1),"",N406&amp;"#"&amp;COUNTIFS($N$8:N406,N406,$P$8:P406,0))</f>
        <v/>
      </c>
      <c r="R406" s="9" t="n">
        <f aca="false">IF(N406="",0,IFERROR(MATCH(ROW()-7,'Cash Book'!$U$8:$U$507,0),0))</f>
        <v>0</v>
      </c>
      <c r="V406" s="9" t="str">
        <f aca="false">IF(AND(N406&lt;&gt;"",R406=0),IF(M406="IN",3,4)*100000+ROW(),"")</f>
        <v/>
      </c>
      <c r="W406" s="9" t="n">
        <f aca="false">N(E406)+N(F406)</f>
        <v>0</v>
      </c>
    </row>
    <row r="407" customFormat="false" ht="15" hidden="false" customHeight="false" outlineLevel="0" collapsed="false">
      <c r="A407" s="37" t="str">
        <f aca="false">IF(M407="","",ROW()-7)</f>
        <v/>
      </c>
      <c r="B407" s="70"/>
      <c r="C407" s="72"/>
      <c r="D407" s="71"/>
      <c r="E407" s="73"/>
      <c r="F407" s="73"/>
      <c r="G407" s="73"/>
      <c r="H407" s="42" t="str">
        <f aca="false">IF(M407="","",IF(R407&gt;0,"✔ Matched",IF(M407="IN","Not in cash book (credit)","Not in cash book (debit)")))</f>
        <v/>
      </c>
      <c r="I407" s="43" t="str">
        <f aca="false">IF(N(R407)&gt;0,R407,"")</f>
        <v/>
      </c>
      <c r="J407" s="45" t="str">
        <f aca="false">IF(AND(M407="",B407="",C407=""),"",IF(AND(N(E407)&gt;0,N(F407)&gt;0),"⚠ Fill withdrawal OR deposit",IF(M407="","⚠ Enter amount",IF(B407="","⚠ Enter date",IF(NOT(OR(NOT(ISNUMBER(G407)),NOT(ISNUMBER(G406)),ABS(N(G407)-(N(G406)+N(F407)-N(E407)))&lt;=0.5)),"⚠ Balance does not follow previous row","✔")))))</f>
        <v/>
      </c>
      <c r="M407" s="9" t="str">
        <f aca="false">IF(N(F407)&gt;0,"IN",IF(N(E407)&gt;0,"OUT",""))</f>
        <v/>
      </c>
      <c r="N407" s="9" t="str">
        <f aca="false">IF(M407="","",M407&amp;"|"&amp;TEXT(ROUND(N(E407)+N(F407),2),"0.00"))</f>
        <v/>
      </c>
      <c r="O407" s="9" t="str">
        <f aca="false">IF(OR(N407="",TRIM(D407&amp;"")=""),"",N407&amp;"|"&amp;UPPER(TRIM(D407&amp;"")))</f>
        <v/>
      </c>
      <c r="P407" s="9" t="n">
        <f aca="false">IF(O407="",0,IF(COUNTIF('Cash Book'!$O$8:$O$507,O407)&gt;0,1,0))</f>
        <v>0</v>
      </c>
      <c r="Q407" s="9" t="str">
        <f aca="false">IF(OR(N407="",P407=1),"",N407&amp;"#"&amp;COUNTIFS($N$8:N407,N407,$P$8:P407,0))</f>
        <v/>
      </c>
      <c r="R407" s="9" t="n">
        <f aca="false">IF(N407="",0,IFERROR(MATCH(ROW()-7,'Cash Book'!$U$8:$U$507,0),0))</f>
        <v>0</v>
      </c>
      <c r="V407" s="9" t="str">
        <f aca="false">IF(AND(N407&lt;&gt;"",R407=0),IF(M407="IN",3,4)*100000+ROW(),"")</f>
        <v/>
      </c>
      <c r="W407" s="9" t="n">
        <f aca="false">N(E407)+N(F407)</f>
        <v>0</v>
      </c>
    </row>
    <row r="408" customFormat="false" ht="15" hidden="false" customHeight="false" outlineLevel="0" collapsed="false">
      <c r="A408" s="37" t="str">
        <f aca="false">IF(M408="","",ROW()-7)</f>
        <v/>
      </c>
      <c r="B408" s="70"/>
      <c r="C408" s="72"/>
      <c r="D408" s="71"/>
      <c r="E408" s="73"/>
      <c r="F408" s="73"/>
      <c r="G408" s="73"/>
      <c r="H408" s="42" t="str">
        <f aca="false">IF(M408="","",IF(R408&gt;0,"✔ Matched",IF(M408="IN","Not in cash book (credit)","Not in cash book (debit)")))</f>
        <v/>
      </c>
      <c r="I408" s="43" t="str">
        <f aca="false">IF(N(R408)&gt;0,R408,"")</f>
        <v/>
      </c>
      <c r="J408" s="45" t="str">
        <f aca="false">IF(AND(M408="",B408="",C408=""),"",IF(AND(N(E408)&gt;0,N(F408)&gt;0),"⚠ Fill withdrawal OR deposit",IF(M408="","⚠ Enter amount",IF(B408="","⚠ Enter date",IF(NOT(OR(NOT(ISNUMBER(G408)),NOT(ISNUMBER(G407)),ABS(N(G408)-(N(G407)+N(F408)-N(E408)))&lt;=0.5)),"⚠ Balance does not follow previous row","✔")))))</f>
        <v/>
      </c>
      <c r="M408" s="9" t="str">
        <f aca="false">IF(N(F408)&gt;0,"IN",IF(N(E408)&gt;0,"OUT",""))</f>
        <v/>
      </c>
      <c r="N408" s="9" t="str">
        <f aca="false">IF(M408="","",M408&amp;"|"&amp;TEXT(ROUND(N(E408)+N(F408),2),"0.00"))</f>
        <v/>
      </c>
      <c r="O408" s="9" t="str">
        <f aca="false">IF(OR(N408="",TRIM(D408&amp;"")=""),"",N408&amp;"|"&amp;UPPER(TRIM(D408&amp;"")))</f>
        <v/>
      </c>
      <c r="P408" s="9" t="n">
        <f aca="false">IF(O408="",0,IF(COUNTIF('Cash Book'!$O$8:$O$507,O408)&gt;0,1,0))</f>
        <v>0</v>
      </c>
      <c r="Q408" s="9" t="str">
        <f aca="false">IF(OR(N408="",P408=1),"",N408&amp;"#"&amp;COUNTIFS($N$8:N408,N408,$P$8:P408,0))</f>
        <v/>
      </c>
      <c r="R408" s="9" t="n">
        <f aca="false">IF(N408="",0,IFERROR(MATCH(ROW()-7,'Cash Book'!$U$8:$U$507,0),0))</f>
        <v>0</v>
      </c>
      <c r="V408" s="9" t="str">
        <f aca="false">IF(AND(N408&lt;&gt;"",R408=0),IF(M408="IN",3,4)*100000+ROW(),"")</f>
        <v/>
      </c>
      <c r="W408" s="9" t="n">
        <f aca="false">N(E408)+N(F408)</f>
        <v>0</v>
      </c>
    </row>
    <row r="409" customFormat="false" ht="15" hidden="false" customHeight="false" outlineLevel="0" collapsed="false">
      <c r="A409" s="37" t="str">
        <f aca="false">IF(M409="","",ROW()-7)</f>
        <v/>
      </c>
      <c r="B409" s="70"/>
      <c r="C409" s="72"/>
      <c r="D409" s="71"/>
      <c r="E409" s="73"/>
      <c r="F409" s="73"/>
      <c r="G409" s="73"/>
      <c r="H409" s="42" t="str">
        <f aca="false">IF(M409="","",IF(R409&gt;0,"✔ Matched",IF(M409="IN","Not in cash book (credit)","Not in cash book (debit)")))</f>
        <v/>
      </c>
      <c r="I409" s="43" t="str">
        <f aca="false">IF(N(R409)&gt;0,R409,"")</f>
        <v/>
      </c>
      <c r="J409" s="45" t="str">
        <f aca="false">IF(AND(M409="",B409="",C409=""),"",IF(AND(N(E409)&gt;0,N(F409)&gt;0),"⚠ Fill withdrawal OR deposit",IF(M409="","⚠ Enter amount",IF(B409="","⚠ Enter date",IF(NOT(OR(NOT(ISNUMBER(G409)),NOT(ISNUMBER(G408)),ABS(N(G409)-(N(G408)+N(F409)-N(E409)))&lt;=0.5)),"⚠ Balance does not follow previous row","✔")))))</f>
        <v/>
      </c>
      <c r="M409" s="9" t="str">
        <f aca="false">IF(N(F409)&gt;0,"IN",IF(N(E409)&gt;0,"OUT",""))</f>
        <v/>
      </c>
      <c r="N409" s="9" t="str">
        <f aca="false">IF(M409="","",M409&amp;"|"&amp;TEXT(ROUND(N(E409)+N(F409),2),"0.00"))</f>
        <v/>
      </c>
      <c r="O409" s="9" t="str">
        <f aca="false">IF(OR(N409="",TRIM(D409&amp;"")=""),"",N409&amp;"|"&amp;UPPER(TRIM(D409&amp;"")))</f>
        <v/>
      </c>
      <c r="P409" s="9" t="n">
        <f aca="false">IF(O409="",0,IF(COUNTIF('Cash Book'!$O$8:$O$507,O409)&gt;0,1,0))</f>
        <v>0</v>
      </c>
      <c r="Q409" s="9" t="str">
        <f aca="false">IF(OR(N409="",P409=1),"",N409&amp;"#"&amp;COUNTIFS($N$8:N409,N409,$P$8:P409,0))</f>
        <v/>
      </c>
      <c r="R409" s="9" t="n">
        <f aca="false">IF(N409="",0,IFERROR(MATCH(ROW()-7,'Cash Book'!$U$8:$U$507,0),0))</f>
        <v>0</v>
      </c>
      <c r="V409" s="9" t="str">
        <f aca="false">IF(AND(N409&lt;&gt;"",R409=0),IF(M409="IN",3,4)*100000+ROW(),"")</f>
        <v/>
      </c>
      <c r="W409" s="9" t="n">
        <f aca="false">N(E409)+N(F409)</f>
        <v>0</v>
      </c>
    </row>
    <row r="410" customFormat="false" ht="15" hidden="false" customHeight="false" outlineLevel="0" collapsed="false">
      <c r="A410" s="37" t="str">
        <f aca="false">IF(M410="","",ROW()-7)</f>
        <v/>
      </c>
      <c r="B410" s="70"/>
      <c r="C410" s="72"/>
      <c r="D410" s="71"/>
      <c r="E410" s="73"/>
      <c r="F410" s="73"/>
      <c r="G410" s="73"/>
      <c r="H410" s="42" t="str">
        <f aca="false">IF(M410="","",IF(R410&gt;0,"✔ Matched",IF(M410="IN","Not in cash book (credit)","Not in cash book (debit)")))</f>
        <v/>
      </c>
      <c r="I410" s="43" t="str">
        <f aca="false">IF(N(R410)&gt;0,R410,"")</f>
        <v/>
      </c>
      <c r="J410" s="45" t="str">
        <f aca="false">IF(AND(M410="",B410="",C410=""),"",IF(AND(N(E410)&gt;0,N(F410)&gt;0),"⚠ Fill withdrawal OR deposit",IF(M410="","⚠ Enter amount",IF(B410="","⚠ Enter date",IF(NOT(OR(NOT(ISNUMBER(G410)),NOT(ISNUMBER(G409)),ABS(N(G410)-(N(G409)+N(F410)-N(E410)))&lt;=0.5)),"⚠ Balance does not follow previous row","✔")))))</f>
        <v/>
      </c>
      <c r="M410" s="9" t="str">
        <f aca="false">IF(N(F410)&gt;0,"IN",IF(N(E410)&gt;0,"OUT",""))</f>
        <v/>
      </c>
      <c r="N410" s="9" t="str">
        <f aca="false">IF(M410="","",M410&amp;"|"&amp;TEXT(ROUND(N(E410)+N(F410),2),"0.00"))</f>
        <v/>
      </c>
      <c r="O410" s="9" t="str">
        <f aca="false">IF(OR(N410="",TRIM(D410&amp;"")=""),"",N410&amp;"|"&amp;UPPER(TRIM(D410&amp;"")))</f>
        <v/>
      </c>
      <c r="P410" s="9" t="n">
        <f aca="false">IF(O410="",0,IF(COUNTIF('Cash Book'!$O$8:$O$507,O410)&gt;0,1,0))</f>
        <v>0</v>
      </c>
      <c r="Q410" s="9" t="str">
        <f aca="false">IF(OR(N410="",P410=1),"",N410&amp;"#"&amp;COUNTIFS($N$8:N410,N410,$P$8:P410,0))</f>
        <v/>
      </c>
      <c r="R410" s="9" t="n">
        <f aca="false">IF(N410="",0,IFERROR(MATCH(ROW()-7,'Cash Book'!$U$8:$U$507,0),0))</f>
        <v>0</v>
      </c>
      <c r="V410" s="9" t="str">
        <f aca="false">IF(AND(N410&lt;&gt;"",R410=0),IF(M410="IN",3,4)*100000+ROW(),"")</f>
        <v/>
      </c>
      <c r="W410" s="9" t="n">
        <f aca="false">N(E410)+N(F410)</f>
        <v>0</v>
      </c>
    </row>
    <row r="411" customFormat="false" ht="15" hidden="false" customHeight="false" outlineLevel="0" collapsed="false">
      <c r="A411" s="37" t="str">
        <f aca="false">IF(M411="","",ROW()-7)</f>
        <v/>
      </c>
      <c r="B411" s="70"/>
      <c r="C411" s="72"/>
      <c r="D411" s="71"/>
      <c r="E411" s="73"/>
      <c r="F411" s="73"/>
      <c r="G411" s="73"/>
      <c r="H411" s="42" t="str">
        <f aca="false">IF(M411="","",IF(R411&gt;0,"✔ Matched",IF(M411="IN","Not in cash book (credit)","Not in cash book (debit)")))</f>
        <v/>
      </c>
      <c r="I411" s="43" t="str">
        <f aca="false">IF(N(R411)&gt;0,R411,"")</f>
        <v/>
      </c>
      <c r="J411" s="45" t="str">
        <f aca="false">IF(AND(M411="",B411="",C411=""),"",IF(AND(N(E411)&gt;0,N(F411)&gt;0),"⚠ Fill withdrawal OR deposit",IF(M411="","⚠ Enter amount",IF(B411="","⚠ Enter date",IF(NOT(OR(NOT(ISNUMBER(G411)),NOT(ISNUMBER(G410)),ABS(N(G411)-(N(G410)+N(F411)-N(E411)))&lt;=0.5)),"⚠ Balance does not follow previous row","✔")))))</f>
        <v/>
      </c>
      <c r="M411" s="9" t="str">
        <f aca="false">IF(N(F411)&gt;0,"IN",IF(N(E411)&gt;0,"OUT",""))</f>
        <v/>
      </c>
      <c r="N411" s="9" t="str">
        <f aca="false">IF(M411="","",M411&amp;"|"&amp;TEXT(ROUND(N(E411)+N(F411),2),"0.00"))</f>
        <v/>
      </c>
      <c r="O411" s="9" t="str">
        <f aca="false">IF(OR(N411="",TRIM(D411&amp;"")=""),"",N411&amp;"|"&amp;UPPER(TRIM(D411&amp;"")))</f>
        <v/>
      </c>
      <c r="P411" s="9" t="n">
        <f aca="false">IF(O411="",0,IF(COUNTIF('Cash Book'!$O$8:$O$507,O411)&gt;0,1,0))</f>
        <v>0</v>
      </c>
      <c r="Q411" s="9" t="str">
        <f aca="false">IF(OR(N411="",P411=1),"",N411&amp;"#"&amp;COUNTIFS($N$8:N411,N411,$P$8:P411,0))</f>
        <v/>
      </c>
      <c r="R411" s="9" t="n">
        <f aca="false">IF(N411="",0,IFERROR(MATCH(ROW()-7,'Cash Book'!$U$8:$U$507,0),0))</f>
        <v>0</v>
      </c>
      <c r="V411" s="9" t="str">
        <f aca="false">IF(AND(N411&lt;&gt;"",R411=0),IF(M411="IN",3,4)*100000+ROW(),"")</f>
        <v/>
      </c>
      <c r="W411" s="9" t="n">
        <f aca="false">N(E411)+N(F411)</f>
        <v>0</v>
      </c>
    </row>
    <row r="412" customFormat="false" ht="15" hidden="false" customHeight="false" outlineLevel="0" collapsed="false">
      <c r="A412" s="37" t="str">
        <f aca="false">IF(M412="","",ROW()-7)</f>
        <v/>
      </c>
      <c r="B412" s="70"/>
      <c r="C412" s="72"/>
      <c r="D412" s="71"/>
      <c r="E412" s="73"/>
      <c r="F412" s="73"/>
      <c r="G412" s="73"/>
      <c r="H412" s="42" t="str">
        <f aca="false">IF(M412="","",IF(R412&gt;0,"✔ Matched",IF(M412="IN","Not in cash book (credit)","Not in cash book (debit)")))</f>
        <v/>
      </c>
      <c r="I412" s="43" t="str">
        <f aca="false">IF(N(R412)&gt;0,R412,"")</f>
        <v/>
      </c>
      <c r="J412" s="45" t="str">
        <f aca="false">IF(AND(M412="",B412="",C412=""),"",IF(AND(N(E412)&gt;0,N(F412)&gt;0),"⚠ Fill withdrawal OR deposit",IF(M412="","⚠ Enter amount",IF(B412="","⚠ Enter date",IF(NOT(OR(NOT(ISNUMBER(G412)),NOT(ISNUMBER(G411)),ABS(N(G412)-(N(G411)+N(F412)-N(E412)))&lt;=0.5)),"⚠ Balance does not follow previous row","✔")))))</f>
        <v/>
      </c>
      <c r="M412" s="9" t="str">
        <f aca="false">IF(N(F412)&gt;0,"IN",IF(N(E412)&gt;0,"OUT",""))</f>
        <v/>
      </c>
      <c r="N412" s="9" t="str">
        <f aca="false">IF(M412="","",M412&amp;"|"&amp;TEXT(ROUND(N(E412)+N(F412),2),"0.00"))</f>
        <v/>
      </c>
      <c r="O412" s="9" t="str">
        <f aca="false">IF(OR(N412="",TRIM(D412&amp;"")=""),"",N412&amp;"|"&amp;UPPER(TRIM(D412&amp;"")))</f>
        <v/>
      </c>
      <c r="P412" s="9" t="n">
        <f aca="false">IF(O412="",0,IF(COUNTIF('Cash Book'!$O$8:$O$507,O412)&gt;0,1,0))</f>
        <v>0</v>
      </c>
      <c r="Q412" s="9" t="str">
        <f aca="false">IF(OR(N412="",P412=1),"",N412&amp;"#"&amp;COUNTIFS($N$8:N412,N412,$P$8:P412,0))</f>
        <v/>
      </c>
      <c r="R412" s="9" t="n">
        <f aca="false">IF(N412="",0,IFERROR(MATCH(ROW()-7,'Cash Book'!$U$8:$U$507,0),0))</f>
        <v>0</v>
      </c>
      <c r="V412" s="9" t="str">
        <f aca="false">IF(AND(N412&lt;&gt;"",R412=0),IF(M412="IN",3,4)*100000+ROW(),"")</f>
        <v/>
      </c>
      <c r="W412" s="9" t="n">
        <f aca="false">N(E412)+N(F412)</f>
        <v>0</v>
      </c>
    </row>
    <row r="413" customFormat="false" ht="15" hidden="false" customHeight="false" outlineLevel="0" collapsed="false">
      <c r="A413" s="37" t="str">
        <f aca="false">IF(M413="","",ROW()-7)</f>
        <v/>
      </c>
      <c r="B413" s="70"/>
      <c r="C413" s="72"/>
      <c r="D413" s="71"/>
      <c r="E413" s="73"/>
      <c r="F413" s="73"/>
      <c r="G413" s="73"/>
      <c r="H413" s="42" t="str">
        <f aca="false">IF(M413="","",IF(R413&gt;0,"✔ Matched",IF(M413="IN","Not in cash book (credit)","Not in cash book (debit)")))</f>
        <v/>
      </c>
      <c r="I413" s="43" t="str">
        <f aca="false">IF(N(R413)&gt;0,R413,"")</f>
        <v/>
      </c>
      <c r="J413" s="45" t="str">
        <f aca="false">IF(AND(M413="",B413="",C413=""),"",IF(AND(N(E413)&gt;0,N(F413)&gt;0),"⚠ Fill withdrawal OR deposit",IF(M413="","⚠ Enter amount",IF(B413="","⚠ Enter date",IF(NOT(OR(NOT(ISNUMBER(G413)),NOT(ISNUMBER(G412)),ABS(N(G413)-(N(G412)+N(F413)-N(E413)))&lt;=0.5)),"⚠ Balance does not follow previous row","✔")))))</f>
        <v/>
      </c>
      <c r="M413" s="9" t="str">
        <f aca="false">IF(N(F413)&gt;0,"IN",IF(N(E413)&gt;0,"OUT",""))</f>
        <v/>
      </c>
      <c r="N413" s="9" t="str">
        <f aca="false">IF(M413="","",M413&amp;"|"&amp;TEXT(ROUND(N(E413)+N(F413),2),"0.00"))</f>
        <v/>
      </c>
      <c r="O413" s="9" t="str">
        <f aca="false">IF(OR(N413="",TRIM(D413&amp;"")=""),"",N413&amp;"|"&amp;UPPER(TRIM(D413&amp;"")))</f>
        <v/>
      </c>
      <c r="P413" s="9" t="n">
        <f aca="false">IF(O413="",0,IF(COUNTIF('Cash Book'!$O$8:$O$507,O413)&gt;0,1,0))</f>
        <v>0</v>
      </c>
      <c r="Q413" s="9" t="str">
        <f aca="false">IF(OR(N413="",P413=1),"",N413&amp;"#"&amp;COUNTIFS($N$8:N413,N413,$P$8:P413,0))</f>
        <v/>
      </c>
      <c r="R413" s="9" t="n">
        <f aca="false">IF(N413="",0,IFERROR(MATCH(ROW()-7,'Cash Book'!$U$8:$U$507,0),0))</f>
        <v>0</v>
      </c>
      <c r="V413" s="9" t="str">
        <f aca="false">IF(AND(N413&lt;&gt;"",R413=0),IF(M413="IN",3,4)*100000+ROW(),"")</f>
        <v/>
      </c>
      <c r="W413" s="9" t="n">
        <f aca="false">N(E413)+N(F413)</f>
        <v>0</v>
      </c>
    </row>
    <row r="414" customFormat="false" ht="15" hidden="false" customHeight="false" outlineLevel="0" collapsed="false">
      <c r="A414" s="37" t="str">
        <f aca="false">IF(M414="","",ROW()-7)</f>
        <v/>
      </c>
      <c r="B414" s="70"/>
      <c r="C414" s="72"/>
      <c r="D414" s="71"/>
      <c r="E414" s="73"/>
      <c r="F414" s="73"/>
      <c r="G414" s="73"/>
      <c r="H414" s="42" t="str">
        <f aca="false">IF(M414="","",IF(R414&gt;0,"✔ Matched",IF(M414="IN","Not in cash book (credit)","Not in cash book (debit)")))</f>
        <v/>
      </c>
      <c r="I414" s="43" t="str">
        <f aca="false">IF(N(R414)&gt;0,R414,"")</f>
        <v/>
      </c>
      <c r="J414" s="45" t="str">
        <f aca="false">IF(AND(M414="",B414="",C414=""),"",IF(AND(N(E414)&gt;0,N(F414)&gt;0),"⚠ Fill withdrawal OR deposit",IF(M414="","⚠ Enter amount",IF(B414="","⚠ Enter date",IF(NOT(OR(NOT(ISNUMBER(G414)),NOT(ISNUMBER(G413)),ABS(N(G414)-(N(G413)+N(F414)-N(E414)))&lt;=0.5)),"⚠ Balance does not follow previous row","✔")))))</f>
        <v/>
      </c>
      <c r="M414" s="9" t="str">
        <f aca="false">IF(N(F414)&gt;0,"IN",IF(N(E414)&gt;0,"OUT",""))</f>
        <v/>
      </c>
      <c r="N414" s="9" t="str">
        <f aca="false">IF(M414="","",M414&amp;"|"&amp;TEXT(ROUND(N(E414)+N(F414),2),"0.00"))</f>
        <v/>
      </c>
      <c r="O414" s="9" t="str">
        <f aca="false">IF(OR(N414="",TRIM(D414&amp;"")=""),"",N414&amp;"|"&amp;UPPER(TRIM(D414&amp;"")))</f>
        <v/>
      </c>
      <c r="P414" s="9" t="n">
        <f aca="false">IF(O414="",0,IF(COUNTIF('Cash Book'!$O$8:$O$507,O414)&gt;0,1,0))</f>
        <v>0</v>
      </c>
      <c r="Q414" s="9" t="str">
        <f aca="false">IF(OR(N414="",P414=1),"",N414&amp;"#"&amp;COUNTIFS($N$8:N414,N414,$P$8:P414,0))</f>
        <v/>
      </c>
      <c r="R414" s="9" t="n">
        <f aca="false">IF(N414="",0,IFERROR(MATCH(ROW()-7,'Cash Book'!$U$8:$U$507,0),0))</f>
        <v>0</v>
      </c>
      <c r="V414" s="9" t="str">
        <f aca="false">IF(AND(N414&lt;&gt;"",R414=0),IF(M414="IN",3,4)*100000+ROW(),"")</f>
        <v/>
      </c>
      <c r="W414" s="9" t="n">
        <f aca="false">N(E414)+N(F414)</f>
        <v>0</v>
      </c>
    </row>
    <row r="415" customFormat="false" ht="15" hidden="false" customHeight="false" outlineLevel="0" collapsed="false">
      <c r="A415" s="37" t="str">
        <f aca="false">IF(M415="","",ROW()-7)</f>
        <v/>
      </c>
      <c r="B415" s="70"/>
      <c r="C415" s="72"/>
      <c r="D415" s="71"/>
      <c r="E415" s="73"/>
      <c r="F415" s="73"/>
      <c r="G415" s="73"/>
      <c r="H415" s="42" t="str">
        <f aca="false">IF(M415="","",IF(R415&gt;0,"✔ Matched",IF(M415="IN","Not in cash book (credit)","Not in cash book (debit)")))</f>
        <v/>
      </c>
      <c r="I415" s="43" t="str">
        <f aca="false">IF(N(R415)&gt;0,R415,"")</f>
        <v/>
      </c>
      <c r="J415" s="45" t="str">
        <f aca="false">IF(AND(M415="",B415="",C415=""),"",IF(AND(N(E415)&gt;0,N(F415)&gt;0),"⚠ Fill withdrawal OR deposit",IF(M415="","⚠ Enter amount",IF(B415="","⚠ Enter date",IF(NOT(OR(NOT(ISNUMBER(G415)),NOT(ISNUMBER(G414)),ABS(N(G415)-(N(G414)+N(F415)-N(E415)))&lt;=0.5)),"⚠ Balance does not follow previous row","✔")))))</f>
        <v/>
      </c>
      <c r="M415" s="9" t="str">
        <f aca="false">IF(N(F415)&gt;0,"IN",IF(N(E415)&gt;0,"OUT",""))</f>
        <v/>
      </c>
      <c r="N415" s="9" t="str">
        <f aca="false">IF(M415="","",M415&amp;"|"&amp;TEXT(ROUND(N(E415)+N(F415),2),"0.00"))</f>
        <v/>
      </c>
      <c r="O415" s="9" t="str">
        <f aca="false">IF(OR(N415="",TRIM(D415&amp;"")=""),"",N415&amp;"|"&amp;UPPER(TRIM(D415&amp;"")))</f>
        <v/>
      </c>
      <c r="P415" s="9" t="n">
        <f aca="false">IF(O415="",0,IF(COUNTIF('Cash Book'!$O$8:$O$507,O415)&gt;0,1,0))</f>
        <v>0</v>
      </c>
      <c r="Q415" s="9" t="str">
        <f aca="false">IF(OR(N415="",P415=1),"",N415&amp;"#"&amp;COUNTIFS($N$8:N415,N415,$P$8:P415,0))</f>
        <v/>
      </c>
      <c r="R415" s="9" t="n">
        <f aca="false">IF(N415="",0,IFERROR(MATCH(ROW()-7,'Cash Book'!$U$8:$U$507,0),0))</f>
        <v>0</v>
      </c>
      <c r="V415" s="9" t="str">
        <f aca="false">IF(AND(N415&lt;&gt;"",R415=0),IF(M415="IN",3,4)*100000+ROW(),"")</f>
        <v/>
      </c>
      <c r="W415" s="9" t="n">
        <f aca="false">N(E415)+N(F415)</f>
        <v>0</v>
      </c>
    </row>
    <row r="416" customFormat="false" ht="15" hidden="false" customHeight="false" outlineLevel="0" collapsed="false">
      <c r="A416" s="37" t="str">
        <f aca="false">IF(M416="","",ROW()-7)</f>
        <v/>
      </c>
      <c r="B416" s="70"/>
      <c r="C416" s="72"/>
      <c r="D416" s="71"/>
      <c r="E416" s="73"/>
      <c r="F416" s="73"/>
      <c r="G416" s="73"/>
      <c r="H416" s="42" t="str">
        <f aca="false">IF(M416="","",IF(R416&gt;0,"✔ Matched",IF(M416="IN","Not in cash book (credit)","Not in cash book (debit)")))</f>
        <v/>
      </c>
      <c r="I416" s="43" t="str">
        <f aca="false">IF(N(R416)&gt;0,R416,"")</f>
        <v/>
      </c>
      <c r="J416" s="45" t="str">
        <f aca="false">IF(AND(M416="",B416="",C416=""),"",IF(AND(N(E416)&gt;0,N(F416)&gt;0),"⚠ Fill withdrawal OR deposit",IF(M416="","⚠ Enter amount",IF(B416="","⚠ Enter date",IF(NOT(OR(NOT(ISNUMBER(G416)),NOT(ISNUMBER(G415)),ABS(N(G416)-(N(G415)+N(F416)-N(E416)))&lt;=0.5)),"⚠ Balance does not follow previous row","✔")))))</f>
        <v/>
      </c>
      <c r="M416" s="9" t="str">
        <f aca="false">IF(N(F416)&gt;0,"IN",IF(N(E416)&gt;0,"OUT",""))</f>
        <v/>
      </c>
      <c r="N416" s="9" t="str">
        <f aca="false">IF(M416="","",M416&amp;"|"&amp;TEXT(ROUND(N(E416)+N(F416),2),"0.00"))</f>
        <v/>
      </c>
      <c r="O416" s="9" t="str">
        <f aca="false">IF(OR(N416="",TRIM(D416&amp;"")=""),"",N416&amp;"|"&amp;UPPER(TRIM(D416&amp;"")))</f>
        <v/>
      </c>
      <c r="P416" s="9" t="n">
        <f aca="false">IF(O416="",0,IF(COUNTIF('Cash Book'!$O$8:$O$507,O416)&gt;0,1,0))</f>
        <v>0</v>
      </c>
      <c r="Q416" s="9" t="str">
        <f aca="false">IF(OR(N416="",P416=1),"",N416&amp;"#"&amp;COUNTIFS($N$8:N416,N416,$P$8:P416,0))</f>
        <v/>
      </c>
      <c r="R416" s="9" t="n">
        <f aca="false">IF(N416="",0,IFERROR(MATCH(ROW()-7,'Cash Book'!$U$8:$U$507,0),0))</f>
        <v>0</v>
      </c>
      <c r="V416" s="9" t="str">
        <f aca="false">IF(AND(N416&lt;&gt;"",R416=0),IF(M416="IN",3,4)*100000+ROW(),"")</f>
        <v/>
      </c>
      <c r="W416" s="9" t="n">
        <f aca="false">N(E416)+N(F416)</f>
        <v>0</v>
      </c>
    </row>
    <row r="417" customFormat="false" ht="15" hidden="false" customHeight="false" outlineLevel="0" collapsed="false">
      <c r="A417" s="37" t="str">
        <f aca="false">IF(M417="","",ROW()-7)</f>
        <v/>
      </c>
      <c r="B417" s="70"/>
      <c r="C417" s="72"/>
      <c r="D417" s="71"/>
      <c r="E417" s="73"/>
      <c r="F417" s="73"/>
      <c r="G417" s="73"/>
      <c r="H417" s="42" t="str">
        <f aca="false">IF(M417="","",IF(R417&gt;0,"✔ Matched",IF(M417="IN","Not in cash book (credit)","Not in cash book (debit)")))</f>
        <v/>
      </c>
      <c r="I417" s="43" t="str">
        <f aca="false">IF(N(R417)&gt;0,R417,"")</f>
        <v/>
      </c>
      <c r="J417" s="45" t="str">
        <f aca="false">IF(AND(M417="",B417="",C417=""),"",IF(AND(N(E417)&gt;0,N(F417)&gt;0),"⚠ Fill withdrawal OR deposit",IF(M417="","⚠ Enter amount",IF(B417="","⚠ Enter date",IF(NOT(OR(NOT(ISNUMBER(G417)),NOT(ISNUMBER(G416)),ABS(N(G417)-(N(G416)+N(F417)-N(E417)))&lt;=0.5)),"⚠ Balance does not follow previous row","✔")))))</f>
        <v/>
      </c>
      <c r="M417" s="9" t="str">
        <f aca="false">IF(N(F417)&gt;0,"IN",IF(N(E417)&gt;0,"OUT",""))</f>
        <v/>
      </c>
      <c r="N417" s="9" t="str">
        <f aca="false">IF(M417="","",M417&amp;"|"&amp;TEXT(ROUND(N(E417)+N(F417),2),"0.00"))</f>
        <v/>
      </c>
      <c r="O417" s="9" t="str">
        <f aca="false">IF(OR(N417="",TRIM(D417&amp;"")=""),"",N417&amp;"|"&amp;UPPER(TRIM(D417&amp;"")))</f>
        <v/>
      </c>
      <c r="P417" s="9" t="n">
        <f aca="false">IF(O417="",0,IF(COUNTIF('Cash Book'!$O$8:$O$507,O417)&gt;0,1,0))</f>
        <v>0</v>
      </c>
      <c r="Q417" s="9" t="str">
        <f aca="false">IF(OR(N417="",P417=1),"",N417&amp;"#"&amp;COUNTIFS($N$8:N417,N417,$P$8:P417,0))</f>
        <v/>
      </c>
      <c r="R417" s="9" t="n">
        <f aca="false">IF(N417="",0,IFERROR(MATCH(ROW()-7,'Cash Book'!$U$8:$U$507,0),0))</f>
        <v>0</v>
      </c>
      <c r="V417" s="9" t="str">
        <f aca="false">IF(AND(N417&lt;&gt;"",R417=0),IF(M417="IN",3,4)*100000+ROW(),"")</f>
        <v/>
      </c>
      <c r="W417" s="9" t="n">
        <f aca="false">N(E417)+N(F417)</f>
        <v>0</v>
      </c>
    </row>
    <row r="418" customFormat="false" ht="15" hidden="false" customHeight="false" outlineLevel="0" collapsed="false">
      <c r="A418" s="37" t="str">
        <f aca="false">IF(M418="","",ROW()-7)</f>
        <v/>
      </c>
      <c r="B418" s="70"/>
      <c r="C418" s="72"/>
      <c r="D418" s="71"/>
      <c r="E418" s="73"/>
      <c r="F418" s="73"/>
      <c r="G418" s="73"/>
      <c r="H418" s="42" t="str">
        <f aca="false">IF(M418="","",IF(R418&gt;0,"✔ Matched",IF(M418="IN","Not in cash book (credit)","Not in cash book (debit)")))</f>
        <v/>
      </c>
      <c r="I418" s="43" t="str">
        <f aca="false">IF(N(R418)&gt;0,R418,"")</f>
        <v/>
      </c>
      <c r="J418" s="45" t="str">
        <f aca="false">IF(AND(M418="",B418="",C418=""),"",IF(AND(N(E418)&gt;0,N(F418)&gt;0),"⚠ Fill withdrawal OR deposit",IF(M418="","⚠ Enter amount",IF(B418="","⚠ Enter date",IF(NOT(OR(NOT(ISNUMBER(G418)),NOT(ISNUMBER(G417)),ABS(N(G418)-(N(G417)+N(F418)-N(E418)))&lt;=0.5)),"⚠ Balance does not follow previous row","✔")))))</f>
        <v/>
      </c>
      <c r="M418" s="9" t="str">
        <f aca="false">IF(N(F418)&gt;0,"IN",IF(N(E418)&gt;0,"OUT",""))</f>
        <v/>
      </c>
      <c r="N418" s="9" t="str">
        <f aca="false">IF(M418="","",M418&amp;"|"&amp;TEXT(ROUND(N(E418)+N(F418),2),"0.00"))</f>
        <v/>
      </c>
      <c r="O418" s="9" t="str">
        <f aca="false">IF(OR(N418="",TRIM(D418&amp;"")=""),"",N418&amp;"|"&amp;UPPER(TRIM(D418&amp;"")))</f>
        <v/>
      </c>
      <c r="P418" s="9" t="n">
        <f aca="false">IF(O418="",0,IF(COUNTIF('Cash Book'!$O$8:$O$507,O418)&gt;0,1,0))</f>
        <v>0</v>
      </c>
      <c r="Q418" s="9" t="str">
        <f aca="false">IF(OR(N418="",P418=1),"",N418&amp;"#"&amp;COUNTIFS($N$8:N418,N418,$P$8:P418,0))</f>
        <v/>
      </c>
      <c r="R418" s="9" t="n">
        <f aca="false">IF(N418="",0,IFERROR(MATCH(ROW()-7,'Cash Book'!$U$8:$U$507,0),0))</f>
        <v>0</v>
      </c>
      <c r="V418" s="9" t="str">
        <f aca="false">IF(AND(N418&lt;&gt;"",R418=0),IF(M418="IN",3,4)*100000+ROW(),"")</f>
        <v/>
      </c>
      <c r="W418" s="9" t="n">
        <f aca="false">N(E418)+N(F418)</f>
        <v>0</v>
      </c>
    </row>
    <row r="419" customFormat="false" ht="15" hidden="false" customHeight="false" outlineLevel="0" collapsed="false">
      <c r="A419" s="37" t="str">
        <f aca="false">IF(M419="","",ROW()-7)</f>
        <v/>
      </c>
      <c r="B419" s="70"/>
      <c r="C419" s="72"/>
      <c r="D419" s="71"/>
      <c r="E419" s="73"/>
      <c r="F419" s="73"/>
      <c r="G419" s="73"/>
      <c r="H419" s="42" t="str">
        <f aca="false">IF(M419="","",IF(R419&gt;0,"✔ Matched",IF(M419="IN","Not in cash book (credit)","Not in cash book (debit)")))</f>
        <v/>
      </c>
      <c r="I419" s="43" t="str">
        <f aca="false">IF(N(R419)&gt;0,R419,"")</f>
        <v/>
      </c>
      <c r="J419" s="45" t="str">
        <f aca="false">IF(AND(M419="",B419="",C419=""),"",IF(AND(N(E419)&gt;0,N(F419)&gt;0),"⚠ Fill withdrawal OR deposit",IF(M419="","⚠ Enter amount",IF(B419="","⚠ Enter date",IF(NOT(OR(NOT(ISNUMBER(G419)),NOT(ISNUMBER(G418)),ABS(N(G419)-(N(G418)+N(F419)-N(E419)))&lt;=0.5)),"⚠ Balance does not follow previous row","✔")))))</f>
        <v/>
      </c>
      <c r="M419" s="9" t="str">
        <f aca="false">IF(N(F419)&gt;0,"IN",IF(N(E419)&gt;0,"OUT",""))</f>
        <v/>
      </c>
      <c r="N419" s="9" t="str">
        <f aca="false">IF(M419="","",M419&amp;"|"&amp;TEXT(ROUND(N(E419)+N(F419),2),"0.00"))</f>
        <v/>
      </c>
      <c r="O419" s="9" t="str">
        <f aca="false">IF(OR(N419="",TRIM(D419&amp;"")=""),"",N419&amp;"|"&amp;UPPER(TRIM(D419&amp;"")))</f>
        <v/>
      </c>
      <c r="P419" s="9" t="n">
        <f aca="false">IF(O419="",0,IF(COUNTIF('Cash Book'!$O$8:$O$507,O419)&gt;0,1,0))</f>
        <v>0</v>
      </c>
      <c r="Q419" s="9" t="str">
        <f aca="false">IF(OR(N419="",P419=1),"",N419&amp;"#"&amp;COUNTIFS($N$8:N419,N419,$P$8:P419,0))</f>
        <v/>
      </c>
      <c r="R419" s="9" t="n">
        <f aca="false">IF(N419="",0,IFERROR(MATCH(ROW()-7,'Cash Book'!$U$8:$U$507,0),0))</f>
        <v>0</v>
      </c>
      <c r="V419" s="9" t="str">
        <f aca="false">IF(AND(N419&lt;&gt;"",R419=0),IF(M419="IN",3,4)*100000+ROW(),"")</f>
        <v/>
      </c>
      <c r="W419" s="9" t="n">
        <f aca="false">N(E419)+N(F419)</f>
        <v>0</v>
      </c>
    </row>
    <row r="420" customFormat="false" ht="15" hidden="false" customHeight="false" outlineLevel="0" collapsed="false">
      <c r="A420" s="37" t="str">
        <f aca="false">IF(M420="","",ROW()-7)</f>
        <v/>
      </c>
      <c r="B420" s="70"/>
      <c r="C420" s="72"/>
      <c r="D420" s="71"/>
      <c r="E420" s="73"/>
      <c r="F420" s="73"/>
      <c r="G420" s="73"/>
      <c r="H420" s="42" t="str">
        <f aca="false">IF(M420="","",IF(R420&gt;0,"✔ Matched",IF(M420="IN","Not in cash book (credit)","Not in cash book (debit)")))</f>
        <v/>
      </c>
      <c r="I420" s="43" t="str">
        <f aca="false">IF(N(R420)&gt;0,R420,"")</f>
        <v/>
      </c>
      <c r="J420" s="45" t="str">
        <f aca="false">IF(AND(M420="",B420="",C420=""),"",IF(AND(N(E420)&gt;0,N(F420)&gt;0),"⚠ Fill withdrawal OR deposit",IF(M420="","⚠ Enter amount",IF(B420="","⚠ Enter date",IF(NOT(OR(NOT(ISNUMBER(G420)),NOT(ISNUMBER(G419)),ABS(N(G420)-(N(G419)+N(F420)-N(E420)))&lt;=0.5)),"⚠ Balance does not follow previous row","✔")))))</f>
        <v/>
      </c>
      <c r="M420" s="9" t="str">
        <f aca="false">IF(N(F420)&gt;0,"IN",IF(N(E420)&gt;0,"OUT",""))</f>
        <v/>
      </c>
      <c r="N420" s="9" t="str">
        <f aca="false">IF(M420="","",M420&amp;"|"&amp;TEXT(ROUND(N(E420)+N(F420),2),"0.00"))</f>
        <v/>
      </c>
      <c r="O420" s="9" t="str">
        <f aca="false">IF(OR(N420="",TRIM(D420&amp;"")=""),"",N420&amp;"|"&amp;UPPER(TRIM(D420&amp;"")))</f>
        <v/>
      </c>
      <c r="P420" s="9" t="n">
        <f aca="false">IF(O420="",0,IF(COUNTIF('Cash Book'!$O$8:$O$507,O420)&gt;0,1,0))</f>
        <v>0</v>
      </c>
      <c r="Q420" s="9" t="str">
        <f aca="false">IF(OR(N420="",P420=1),"",N420&amp;"#"&amp;COUNTIFS($N$8:N420,N420,$P$8:P420,0))</f>
        <v/>
      </c>
      <c r="R420" s="9" t="n">
        <f aca="false">IF(N420="",0,IFERROR(MATCH(ROW()-7,'Cash Book'!$U$8:$U$507,0),0))</f>
        <v>0</v>
      </c>
      <c r="V420" s="9" t="str">
        <f aca="false">IF(AND(N420&lt;&gt;"",R420=0),IF(M420="IN",3,4)*100000+ROW(),"")</f>
        <v/>
      </c>
      <c r="W420" s="9" t="n">
        <f aca="false">N(E420)+N(F420)</f>
        <v>0</v>
      </c>
    </row>
    <row r="421" customFormat="false" ht="15" hidden="false" customHeight="false" outlineLevel="0" collapsed="false">
      <c r="A421" s="37" t="str">
        <f aca="false">IF(M421="","",ROW()-7)</f>
        <v/>
      </c>
      <c r="B421" s="70"/>
      <c r="C421" s="72"/>
      <c r="D421" s="71"/>
      <c r="E421" s="73"/>
      <c r="F421" s="73"/>
      <c r="G421" s="73"/>
      <c r="H421" s="42" t="str">
        <f aca="false">IF(M421="","",IF(R421&gt;0,"✔ Matched",IF(M421="IN","Not in cash book (credit)","Not in cash book (debit)")))</f>
        <v/>
      </c>
      <c r="I421" s="43" t="str">
        <f aca="false">IF(N(R421)&gt;0,R421,"")</f>
        <v/>
      </c>
      <c r="J421" s="45" t="str">
        <f aca="false">IF(AND(M421="",B421="",C421=""),"",IF(AND(N(E421)&gt;0,N(F421)&gt;0),"⚠ Fill withdrawal OR deposit",IF(M421="","⚠ Enter amount",IF(B421="","⚠ Enter date",IF(NOT(OR(NOT(ISNUMBER(G421)),NOT(ISNUMBER(G420)),ABS(N(G421)-(N(G420)+N(F421)-N(E421)))&lt;=0.5)),"⚠ Balance does not follow previous row","✔")))))</f>
        <v/>
      </c>
      <c r="M421" s="9" t="str">
        <f aca="false">IF(N(F421)&gt;0,"IN",IF(N(E421)&gt;0,"OUT",""))</f>
        <v/>
      </c>
      <c r="N421" s="9" t="str">
        <f aca="false">IF(M421="","",M421&amp;"|"&amp;TEXT(ROUND(N(E421)+N(F421),2),"0.00"))</f>
        <v/>
      </c>
      <c r="O421" s="9" t="str">
        <f aca="false">IF(OR(N421="",TRIM(D421&amp;"")=""),"",N421&amp;"|"&amp;UPPER(TRIM(D421&amp;"")))</f>
        <v/>
      </c>
      <c r="P421" s="9" t="n">
        <f aca="false">IF(O421="",0,IF(COUNTIF('Cash Book'!$O$8:$O$507,O421)&gt;0,1,0))</f>
        <v>0</v>
      </c>
      <c r="Q421" s="9" t="str">
        <f aca="false">IF(OR(N421="",P421=1),"",N421&amp;"#"&amp;COUNTIFS($N$8:N421,N421,$P$8:P421,0))</f>
        <v/>
      </c>
      <c r="R421" s="9" t="n">
        <f aca="false">IF(N421="",0,IFERROR(MATCH(ROW()-7,'Cash Book'!$U$8:$U$507,0),0))</f>
        <v>0</v>
      </c>
      <c r="V421" s="9" t="str">
        <f aca="false">IF(AND(N421&lt;&gt;"",R421=0),IF(M421="IN",3,4)*100000+ROW(),"")</f>
        <v/>
      </c>
      <c r="W421" s="9" t="n">
        <f aca="false">N(E421)+N(F421)</f>
        <v>0</v>
      </c>
    </row>
    <row r="422" customFormat="false" ht="15" hidden="false" customHeight="false" outlineLevel="0" collapsed="false">
      <c r="A422" s="37" t="str">
        <f aca="false">IF(M422="","",ROW()-7)</f>
        <v/>
      </c>
      <c r="B422" s="70"/>
      <c r="C422" s="72"/>
      <c r="D422" s="71"/>
      <c r="E422" s="73"/>
      <c r="F422" s="73"/>
      <c r="G422" s="73"/>
      <c r="H422" s="42" t="str">
        <f aca="false">IF(M422="","",IF(R422&gt;0,"✔ Matched",IF(M422="IN","Not in cash book (credit)","Not in cash book (debit)")))</f>
        <v/>
      </c>
      <c r="I422" s="43" t="str">
        <f aca="false">IF(N(R422)&gt;0,R422,"")</f>
        <v/>
      </c>
      <c r="J422" s="45" t="str">
        <f aca="false">IF(AND(M422="",B422="",C422=""),"",IF(AND(N(E422)&gt;0,N(F422)&gt;0),"⚠ Fill withdrawal OR deposit",IF(M422="","⚠ Enter amount",IF(B422="","⚠ Enter date",IF(NOT(OR(NOT(ISNUMBER(G422)),NOT(ISNUMBER(G421)),ABS(N(G422)-(N(G421)+N(F422)-N(E422)))&lt;=0.5)),"⚠ Balance does not follow previous row","✔")))))</f>
        <v/>
      </c>
      <c r="M422" s="9" t="str">
        <f aca="false">IF(N(F422)&gt;0,"IN",IF(N(E422)&gt;0,"OUT",""))</f>
        <v/>
      </c>
      <c r="N422" s="9" t="str">
        <f aca="false">IF(M422="","",M422&amp;"|"&amp;TEXT(ROUND(N(E422)+N(F422),2),"0.00"))</f>
        <v/>
      </c>
      <c r="O422" s="9" t="str">
        <f aca="false">IF(OR(N422="",TRIM(D422&amp;"")=""),"",N422&amp;"|"&amp;UPPER(TRIM(D422&amp;"")))</f>
        <v/>
      </c>
      <c r="P422" s="9" t="n">
        <f aca="false">IF(O422="",0,IF(COUNTIF('Cash Book'!$O$8:$O$507,O422)&gt;0,1,0))</f>
        <v>0</v>
      </c>
      <c r="Q422" s="9" t="str">
        <f aca="false">IF(OR(N422="",P422=1),"",N422&amp;"#"&amp;COUNTIFS($N$8:N422,N422,$P$8:P422,0))</f>
        <v/>
      </c>
      <c r="R422" s="9" t="n">
        <f aca="false">IF(N422="",0,IFERROR(MATCH(ROW()-7,'Cash Book'!$U$8:$U$507,0),0))</f>
        <v>0</v>
      </c>
      <c r="V422" s="9" t="str">
        <f aca="false">IF(AND(N422&lt;&gt;"",R422=0),IF(M422="IN",3,4)*100000+ROW(),"")</f>
        <v/>
      </c>
      <c r="W422" s="9" t="n">
        <f aca="false">N(E422)+N(F422)</f>
        <v>0</v>
      </c>
    </row>
    <row r="423" customFormat="false" ht="15" hidden="false" customHeight="false" outlineLevel="0" collapsed="false">
      <c r="A423" s="37" t="str">
        <f aca="false">IF(M423="","",ROW()-7)</f>
        <v/>
      </c>
      <c r="B423" s="70"/>
      <c r="C423" s="72"/>
      <c r="D423" s="71"/>
      <c r="E423" s="73"/>
      <c r="F423" s="73"/>
      <c r="G423" s="73"/>
      <c r="H423" s="42" t="str">
        <f aca="false">IF(M423="","",IF(R423&gt;0,"✔ Matched",IF(M423="IN","Not in cash book (credit)","Not in cash book (debit)")))</f>
        <v/>
      </c>
      <c r="I423" s="43" t="str">
        <f aca="false">IF(N(R423)&gt;0,R423,"")</f>
        <v/>
      </c>
      <c r="J423" s="45" t="str">
        <f aca="false">IF(AND(M423="",B423="",C423=""),"",IF(AND(N(E423)&gt;0,N(F423)&gt;0),"⚠ Fill withdrawal OR deposit",IF(M423="","⚠ Enter amount",IF(B423="","⚠ Enter date",IF(NOT(OR(NOT(ISNUMBER(G423)),NOT(ISNUMBER(G422)),ABS(N(G423)-(N(G422)+N(F423)-N(E423)))&lt;=0.5)),"⚠ Balance does not follow previous row","✔")))))</f>
        <v/>
      </c>
      <c r="M423" s="9" t="str">
        <f aca="false">IF(N(F423)&gt;0,"IN",IF(N(E423)&gt;0,"OUT",""))</f>
        <v/>
      </c>
      <c r="N423" s="9" t="str">
        <f aca="false">IF(M423="","",M423&amp;"|"&amp;TEXT(ROUND(N(E423)+N(F423),2),"0.00"))</f>
        <v/>
      </c>
      <c r="O423" s="9" t="str">
        <f aca="false">IF(OR(N423="",TRIM(D423&amp;"")=""),"",N423&amp;"|"&amp;UPPER(TRIM(D423&amp;"")))</f>
        <v/>
      </c>
      <c r="P423" s="9" t="n">
        <f aca="false">IF(O423="",0,IF(COUNTIF('Cash Book'!$O$8:$O$507,O423)&gt;0,1,0))</f>
        <v>0</v>
      </c>
      <c r="Q423" s="9" t="str">
        <f aca="false">IF(OR(N423="",P423=1),"",N423&amp;"#"&amp;COUNTIFS($N$8:N423,N423,$P$8:P423,0))</f>
        <v/>
      </c>
      <c r="R423" s="9" t="n">
        <f aca="false">IF(N423="",0,IFERROR(MATCH(ROW()-7,'Cash Book'!$U$8:$U$507,0),0))</f>
        <v>0</v>
      </c>
      <c r="V423" s="9" t="str">
        <f aca="false">IF(AND(N423&lt;&gt;"",R423=0),IF(M423="IN",3,4)*100000+ROW(),"")</f>
        <v/>
      </c>
      <c r="W423" s="9" t="n">
        <f aca="false">N(E423)+N(F423)</f>
        <v>0</v>
      </c>
    </row>
    <row r="424" customFormat="false" ht="15" hidden="false" customHeight="false" outlineLevel="0" collapsed="false">
      <c r="A424" s="37" t="str">
        <f aca="false">IF(M424="","",ROW()-7)</f>
        <v/>
      </c>
      <c r="B424" s="70"/>
      <c r="C424" s="72"/>
      <c r="D424" s="71"/>
      <c r="E424" s="73"/>
      <c r="F424" s="73"/>
      <c r="G424" s="73"/>
      <c r="H424" s="42" t="str">
        <f aca="false">IF(M424="","",IF(R424&gt;0,"✔ Matched",IF(M424="IN","Not in cash book (credit)","Not in cash book (debit)")))</f>
        <v/>
      </c>
      <c r="I424" s="43" t="str">
        <f aca="false">IF(N(R424)&gt;0,R424,"")</f>
        <v/>
      </c>
      <c r="J424" s="45" t="str">
        <f aca="false">IF(AND(M424="",B424="",C424=""),"",IF(AND(N(E424)&gt;0,N(F424)&gt;0),"⚠ Fill withdrawal OR deposit",IF(M424="","⚠ Enter amount",IF(B424="","⚠ Enter date",IF(NOT(OR(NOT(ISNUMBER(G424)),NOT(ISNUMBER(G423)),ABS(N(G424)-(N(G423)+N(F424)-N(E424)))&lt;=0.5)),"⚠ Balance does not follow previous row","✔")))))</f>
        <v/>
      </c>
      <c r="M424" s="9" t="str">
        <f aca="false">IF(N(F424)&gt;0,"IN",IF(N(E424)&gt;0,"OUT",""))</f>
        <v/>
      </c>
      <c r="N424" s="9" t="str">
        <f aca="false">IF(M424="","",M424&amp;"|"&amp;TEXT(ROUND(N(E424)+N(F424),2),"0.00"))</f>
        <v/>
      </c>
      <c r="O424" s="9" t="str">
        <f aca="false">IF(OR(N424="",TRIM(D424&amp;"")=""),"",N424&amp;"|"&amp;UPPER(TRIM(D424&amp;"")))</f>
        <v/>
      </c>
      <c r="P424" s="9" t="n">
        <f aca="false">IF(O424="",0,IF(COUNTIF('Cash Book'!$O$8:$O$507,O424)&gt;0,1,0))</f>
        <v>0</v>
      </c>
      <c r="Q424" s="9" t="str">
        <f aca="false">IF(OR(N424="",P424=1),"",N424&amp;"#"&amp;COUNTIFS($N$8:N424,N424,$P$8:P424,0))</f>
        <v/>
      </c>
      <c r="R424" s="9" t="n">
        <f aca="false">IF(N424="",0,IFERROR(MATCH(ROW()-7,'Cash Book'!$U$8:$U$507,0),0))</f>
        <v>0</v>
      </c>
      <c r="V424" s="9" t="str">
        <f aca="false">IF(AND(N424&lt;&gt;"",R424=0),IF(M424="IN",3,4)*100000+ROW(),"")</f>
        <v/>
      </c>
      <c r="W424" s="9" t="n">
        <f aca="false">N(E424)+N(F424)</f>
        <v>0</v>
      </c>
    </row>
    <row r="425" customFormat="false" ht="15" hidden="false" customHeight="false" outlineLevel="0" collapsed="false">
      <c r="A425" s="37" t="str">
        <f aca="false">IF(M425="","",ROW()-7)</f>
        <v/>
      </c>
      <c r="B425" s="70"/>
      <c r="C425" s="72"/>
      <c r="D425" s="71"/>
      <c r="E425" s="73"/>
      <c r="F425" s="73"/>
      <c r="G425" s="73"/>
      <c r="H425" s="42" t="str">
        <f aca="false">IF(M425="","",IF(R425&gt;0,"✔ Matched",IF(M425="IN","Not in cash book (credit)","Not in cash book (debit)")))</f>
        <v/>
      </c>
      <c r="I425" s="43" t="str">
        <f aca="false">IF(N(R425)&gt;0,R425,"")</f>
        <v/>
      </c>
      <c r="J425" s="45" t="str">
        <f aca="false">IF(AND(M425="",B425="",C425=""),"",IF(AND(N(E425)&gt;0,N(F425)&gt;0),"⚠ Fill withdrawal OR deposit",IF(M425="","⚠ Enter amount",IF(B425="","⚠ Enter date",IF(NOT(OR(NOT(ISNUMBER(G425)),NOT(ISNUMBER(G424)),ABS(N(G425)-(N(G424)+N(F425)-N(E425)))&lt;=0.5)),"⚠ Balance does not follow previous row","✔")))))</f>
        <v/>
      </c>
      <c r="M425" s="9" t="str">
        <f aca="false">IF(N(F425)&gt;0,"IN",IF(N(E425)&gt;0,"OUT",""))</f>
        <v/>
      </c>
      <c r="N425" s="9" t="str">
        <f aca="false">IF(M425="","",M425&amp;"|"&amp;TEXT(ROUND(N(E425)+N(F425),2),"0.00"))</f>
        <v/>
      </c>
      <c r="O425" s="9" t="str">
        <f aca="false">IF(OR(N425="",TRIM(D425&amp;"")=""),"",N425&amp;"|"&amp;UPPER(TRIM(D425&amp;"")))</f>
        <v/>
      </c>
      <c r="P425" s="9" t="n">
        <f aca="false">IF(O425="",0,IF(COUNTIF('Cash Book'!$O$8:$O$507,O425)&gt;0,1,0))</f>
        <v>0</v>
      </c>
      <c r="Q425" s="9" t="str">
        <f aca="false">IF(OR(N425="",P425=1),"",N425&amp;"#"&amp;COUNTIFS($N$8:N425,N425,$P$8:P425,0))</f>
        <v/>
      </c>
      <c r="R425" s="9" t="n">
        <f aca="false">IF(N425="",0,IFERROR(MATCH(ROW()-7,'Cash Book'!$U$8:$U$507,0),0))</f>
        <v>0</v>
      </c>
      <c r="V425" s="9" t="str">
        <f aca="false">IF(AND(N425&lt;&gt;"",R425=0),IF(M425="IN",3,4)*100000+ROW(),"")</f>
        <v/>
      </c>
      <c r="W425" s="9" t="n">
        <f aca="false">N(E425)+N(F425)</f>
        <v>0</v>
      </c>
    </row>
    <row r="426" customFormat="false" ht="15" hidden="false" customHeight="false" outlineLevel="0" collapsed="false">
      <c r="A426" s="37" t="str">
        <f aca="false">IF(M426="","",ROW()-7)</f>
        <v/>
      </c>
      <c r="B426" s="70"/>
      <c r="C426" s="72"/>
      <c r="D426" s="71"/>
      <c r="E426" s="73"/>
      <c r="F426" s="73"/>
      <c r="G426" s="73"/>
      <c r="H426" s="42" t="str">
        <f aca="false">IF(M426="","",IF(R426&gt;0,"✔ Matched",IF(M426="IN","Not in cash book (credit)","Not in cash book (debit)")))</f>
        <v/>
      </c>
      <c r="I426" s="43" t="str">
        <f aca="false">IF(N(R426)&gt;0,R426,"")</f>
        <v/>
      </c>
      <c r="J426" s="45" t="str">
        <f aca="false">IF(AND(M426="",B426="",C426=""),"",IF(AND(N(E426)&gt;0,N(F426)&gt;0),"⚠ Fill withdrawal OR deposit",IF(M426="","⚠ Enter amount",IF(B426="","⚠ Enter date",IF(NOT(OR(NOT(ISNUMBER(G426)),NOT(ISNUMBER(G425)),ABS(N(G426)-(N(G425)+N(F426)-N(E426)))&lt;=0.5)),"⚠ Balance does not follow previous row","✔")))))</f>
        <v/>
      </c>
      <c r="M426" s="9" t="str">
        <f aca="false">IF(N(F426)&gt;0,"IN",IF(N(E426)&gt;0,"OUT",""))</f>
        <v/>
      </c>
      <c r="N426" s="9" t="str">
        <f aca="false">IF(M426="","",M426&amp;"|"&amp;TEXT(ROUND(N(E426)+N(F426),2),"0.00"))</f>
        <v/>
      </c>
      <c r="O426" s="9" t="str">
        <f aca="false">IF(OR(N426="",TRIM(D426&amp;"")=""),"",N426&amp;"|"&amp;UPPER(TRIM(D426&amp;"")))</f>
        <v/>
      </c>
      <c r="P426" s="9" t="n">
        <f aca="false">IF(O426="",0,IF(COUNTIF('Cash Book'!$O$8:$O$507,O426)&gt;0,1,0))</f>
        <v>0</v>
      </c>
      <c r="Q426" s="9" t="str">
        <f aca="false">IF(OR(N426="",P426=1),"",N426&amp;"#"&amp;COUNTIFS($N$8:N426,N426,$P$8:P426,0))</f>
        <v/>
      </c>
      <c r="R426" s="9" t="n">
        <f aca="false">IF(N426="",0,IFERROR(MATCH(ROW()-7,'Cash Book'!$U$8:$U$507,0),0))</f>
        <v>0</v>
      </c>
      <c r="V426" s="9" t="str">
        <f aca="false">IF(AND(N426&lt;&gt;"",R426=0),IF(M426="IN",3,4)*100000+ROW(),"")</f>
        <v/>
      </c>
      <c r="W426" s="9" t="n">
        <f aca="false">N(E426)+N(F426)</f>
        <v>0</v>
      </c>
    </row>
    <row r="427" customFormat="false" ht="15" hidden="false" customHeight="false" outlineLevel="0" collapsed="false">
      <c r="A427" s="37" t="str">
        <f aca="false">IF(M427="","",ROW()-7)</f>
        <v/>
      </c>
      <c r="B427" s="70"/>
      <c r="C427" s="72"/>
      <c r="D427" s="71"/>
      <c r="E427" s="73"/>
      <c r="F427" s="73"/>
      <c r="G427" s="73"/>
      <c r="H427" s="42" t="str">
        <f aca="false">IF(M427="","",IF(R427&gt;0,"✔ Matched",IF(M427="IN","Not in cash book (credit)","Not in cash book (debit)")))</f>
        <v/>
      </c>
      <c r="I427" s="43" t="str">
        <f aca="false">IF(N(R427)&gt;0,R427,"")</f>
        <v/>
      </c>
      <c r="J427" s="45" t="str">
        <f aca="false">IF(AND(M427="",B427="",C427=""),"",IF(AND(N(E427)&gt;0,N(F427)&gt;0),"⚠ Fill withdrawal OR deposit",IF(M427="","⚠ Enter amount",IF(B427="","⚠ Enter date",IF(NOT(OR(NOT(ISNUMBER(G427)),NOT(ISNUMBER(G426)),ABS(N(G427)-(N(G426)+N(F427)-N(E427)))&lt;=0.5)),"⚠ Balance does not follow previous row","✔")))))</f>
        <v/>
      </c>
      <c r="M427" s="9" t="str">
        <f aca="false">IF(N(F427)&gt;0,"IN",IF(N(E427)&gt;0,"OUT",""))</f>
        <v/>
      </c>
      <c r="N427" s="9" t="str">
        <f aca="false">IF(M427="","",M427&amp;"|"&amp;TEXT(ROUND(N(E427)+N(F427),2),"0.00"))</f>
        <v/>
      </c>
      <c r="O427" s="9" t="str">
        <f aca="false">IF(OR(N427="",TRIM(D427&amp;"")=""),"",N427&amp;"|"&amp;UPPER(TRIM(D427&amp;"")))</f>
        <v/>
      </c>
      <c r="P427" s="9" t="n">
        <f aca="false">IF(O427="",0,IF(COUNTIF('Cash Book'!$O$8:$O$507,O427)&gt;0,1,0))</f>
        <v>0</v>
      </c>
      <c r="Q427" s="9" t="str">
        <f aca="false">IF(OR(N427="",P427=1),"",N427&amp;"#"&amp;COUNTIFS($N$8:N427,N427,$P$8:P427,0))</f>
        <v/>
      </c>
      <c r="R427" s="9" t="n">
        <f aca="false">IF(N427="",0,IFERROR(MATCH(ROW()-7,'Cash Book'!$U$8:$U$507,0),0))</f>
        <v>0</v>
      </c>
      <c r="V427" s="9" t="str">
        <f aca="false">IF(AND(N427&lt;&gt;"",R427=0),IF(M427="IN",3,4)*100000+ROW(),"")</f>
        <v/>
      </c>
      <c r="W427" s="9" t="n">
        <f aca="false">N(E427)+N(F427)</f>
        <v>0</v>
      </c>
    </row>
    <row r="428" customFormat="false" ht="15" hidden="false" customHeight="false" outlineLevel="0" collapsed="false">
      <c r="A428" s="37" t="str">
        <f aca="false">IF(M428="","",ROW()-7)</f>
        <v/>
      </c>
      <c r="B428" s="70"/>
      <c r="C428" s="72"/>
      <c r="D428" s="71"/>
      <c r="E428" s="73"/>
      <c r="F428" s="73"/>
      <c r="G428" s="73"/>
      <c r="H428" s="42" t="str">
        <f aca="false">IF(M428="","",IF(R428&gt;0,"✔ Matched",IF(M428="IN","Not in cash book (credit)","Not in cash book (debit)")))</f>
        <v/>
      </c>
      <c r="I428" s="43" t="str">
        <f aca="false">IF(N(R428)&gt;0,R428,"")</f>
        <v/>
      </c>
      <c r="J428" s="45" t="str">
        <f aca="false">IF(AND(M428="",B428="",C428=""),"",IF(AND(N(E428)&gt;0,N(F428)&gt;0),"⚠ Fill withdrawal OR deposit",IF(M428="","⚠ Enter amount",IF(B428="","⚠ Enter date",IF(NOT(OR(NOT(ISNUMBER(G428)),NOT(ISNUMBER(G427)),ABS(N(G428)-(N(G427)+N(F428)-N(E428)))&lt;=0.5)),"⚠ Balance does not follow previous row","✔")))))</f>
        <v/>
      </c>
      <c r="M428" s="9" t="str">
        <f aca="false">IF(N(F428)&gt;0,"IN",IF(N(E428)&gt;0,"OUT",""))</f>
        <v/>
      </c>
      <c r="N428" s="9" t="str">
        <f aca="false">IF(M428="","",M428&amp;"|"&amp;TEXT(ROUND(N(E428)+N(F428),2),"0.00"))</f>
        <v/>
      </c>
      <c r="O428" s="9" t="str">
        <f aca="false">IF(OR(N428="",TRIM(D428&amp;"")=""),"",N428&amp;"|"&amp;UPPER(TRIM(D428&amp;"")))</f>
        <v/>
      </c>
      <c r="P428" s="9" t="n">
        <f aca="false">IF(O428="",0,IF(COUNTIF('Cash Book'!$O$8:$O$507,O428)&gt;0,1,0))</f>
        <v>0</v>
      </c>
      <c r="Q428" s="9" t="str">
        <f aca="false">IF(OR(N428="",P428=1),"",N428&amp;"#"&amp;COUNTIFS($N$8:N428,N428,$P$8:P428,0))</f>
        <v/>
      </c>
      <c r="R428" s="9" t="n">
        <f aca="false">IF(N428="",0,IFERROR(MATCH(ROW()-7,'Cash Book'!$U$8:$U$507,0),0))</f>
        <v>0</v>
      </c>
      <c r="V428" s="9" t="str">
        <f aca="false">IF(AND(N428&lt;&gt;"",R428=0),IF(M428="IN",3,4)*100000+ROW(),"")</f>
        <v/>
      </c>
      <c r="W428" s="9" t="n">
        <f aca="false">N(E428)+N(F428)</f>
        <v>0</v>
      </c>
    </row>
    <row r="429" customFormat="false" ht="15" hidden="false" customHeight="false" outlineLevel="0" collapsed="false">
      <c r="A429" s="37" t="str">
        <f aca="false">IF(M429="","",ROW()-7)</f>
        <v/>
      </c>
      <c r="B429" s="70"/>
      <c r="C429" s="72"/>
      <c r="D429" s="71"/>
      <c r="E429" s="73"/>
      <c r="F429" s="73"/>
      <c r="G429" s="73"/>
      <c r="H429" s="42" t="str">
        <f aca="false">IF(M429="","",IF(R429&gt;0,"✔ Matched",IF(M429="IN","Not in cash book (credit)","Not in cash book (debit)")))</f>
        <v/>
      </c>
      <c r="I429" s="43" t="str">
        <f aca="false">IF(N(R429)&gt;0,R429,"")</f>
        <v/>
      </c>
      <c r="J429" s="45" t="str">
        <f aca="false">IF(AND(M429="",B429="",C429=""),"",IF(AND(N(E429)&gt;0,N(F429)&gt;0),"⚠ Fill withdrawal OR deposit",IF(M429="","⚠ Enter amount",IF(B429="","⚠ Enter date",IF(NOT(OR(NOT(ISNUMBER(G429)),NOT(ISNUMBER(G428)),ABS(N(G429)-(N(G428)+N(F429)-N(E429)))&lt;=0.5)),"⚠ Balance does not follow previous row","✔")))))</f>
        <v/>
      </c>
      <c r="M429" s="9" t="str">
        <f aca="false">IF(N(F429)&gt;0,"IN",IF(N(E429)&gt;0,"OUT",""))</f>
        <v/>
      </c>
      <c r="N429" s="9" t="str">
        <f aca="false">IF(M429="","",M429&amp;"|"&amp;TEXT(ROUND(N(E429)+N(F429),2),"0.00"))</f>
        <v/>
      </c>
      <c r="O429" s="9" t="str">
        <f aca="false">IF(OR(N429="",TRIM(D429&amp;"")=""),"",N429&amp;"|"&amp;UPPER(TRIM(D429&amp;"")))</f>
        <v/>
      </c>
      <c r="P429" s="9" t="n">
        <f aca="false">IF(O429="",0,IF(COUNTIF('Cash Book'!$O$8:$O$507,O429)&gt;0,1,0))</f>
        <v>0</v>
      </c>
      <c r="Q429" s="9" t="str">
        <f aca="false">IF(OR(N429="",P429=1),"",N429&amp;"#"&amp;COUNTIFS($N$8:N429,N429,$P$8:P429,0))</f>
        <v/>
      </c>
      <c r="R429" s="9" t="n">
        <f aca="false">IF(N429="",0,IFERROR(MATCH(ROW()-7,'Cash Book'!$U$8:$U$507,0),0))</f>
        <v>0</v>
      </c>
      <c r="V429" s="9" t="str">
        <f aca="false">IF(AND(N429&lt;&gt;"",R429=0),IF(M429="IN",3,4)*100000+ROW(),"")</f>
        <v/>
      </c>
      <c r="W429" s="9" t="n">
        <f aca="false">N(E429)+N(F429)</f>
        <v>0</v>
      </c>
    </row>
    <row r="430" customFormat="false" ht="15" hidden="false" customHeight="false" outlineLevel="0" collapsed="false">
      <c r="A430" s="37" t="str">
        <f aca="false">IF(M430="","",ROW()-7)</f>
        <v/>
      </c>
      <c r="B430" s="70"/>
      <c r="C430" s="72"/>
      <c r="D430" s="71"/>
      <c r="E430" s="73"/>
      <c r="F430" s="73"/>
      <c r="G430" s="73"/>
      <c r="H430" s="42" t="str">
        <f aca="false">IF(M430="","",IF(R430&gt;0,"✔ Matched",IF(M430="IN","Not in cash book (credit)","Not in cash book (debit)")))</f>
        <v/>
      </c>
      <c r="I430" s="43" t="str">
        <f aca="false">IF(N(R430)&gt;0,R430,"")</f>
        <v/>
      </c>
      <c r="J430" s="45" t="str">
        <f aca="false">IF(AND(M430="",B430="",C430=""),"",IF(AND(N(E430)&gt;0,N(F430)&gt;0),"⚠ Fill withdrawal OR deposit",IF(M430="","⚠ Enter amount",IF(B430="","⚠ Enter date",IF(NOT(OR(NOT(ISNUMBER(G430)),NOT(ISNUMBER(G429)),ABS(N(G430)-(N(G429)+N(F430)-N(E430)))&lt;=0.5)),"⚠ Balance does not follow previous row","✔")))))</f>
        <v/>
      </c>
      <c r="M430" s="9" t="str">
        <f aca="false">IF(N(F430)&gt;0,"IN",IF(N(E430)&gt;0,"OUT",""))</f>
        <v/>
      </c>
      <c r="N430" s="9" t="str">
        <f aca="false">IF(M430="","",M430&amp;"|"&amp;TEXT(ROUND(N(E430)+N(F430),2),"0.00"))</f>
        <v/>
      </c>
      <c r="O430" s="9" t="str">
        <f aca="false">IF(OR(N430="",TRIM(D430&amp;"")=""),"",N430&amp;"|"&amp;UPPER(TRIM(D430&amp;"")))</f>
        <v/>
      </c>
      <c r="P430" s="9" t="n">
        <f aca="false">IF(O430="",0,IF(COUNTIF('Cash Book'!$O$8:$O$507,O430)&gt;0,1,0))</f>
        <v>0</v>
      </c>
      <c r="Q430" s="9" t="str">
        <f aca="false">IF(OR(N430="",P430=1),"",N430&amp;"#"&amp;COUNTIFS($N$8:N430,N430,$P$8:P430,0))</f>
        <v/>
      </c>
      <c r="R430" s="9" t="n">
        <f aca="false">IF(N430="",0,IFERROR(MATCH(ROW()-7,'Cash Book'!$U$8:$U$507,0),0))</f>
        <v>0</v>
      </c>
      <c r="V430" s="9" t="str">
        <f aca="false">IF(AND(N430&lt;&gt;"",R430=0),IF(M430="IN",3,4)*100000+ROW(),"")</f>
        <v/>
      </c>
      <c r="W430" s="9" t="n">
        <f aca="false">N(E430)+N(F430)</f>
        <v>0</v>
      </c>
    </row>
    <row r="431" customFormat="false" ht="15" hidden="false" customHeight="false" outlineLevel="0" collapsed="false">
      <c r="A431" s="37" t="str">
        <f aca="false">IF(M431="","",ROW()-7)</f>
        <v/>
      </c>
      <c r="B431" s="70"/>
      <c r="C431" s="72"/>
      <c r="D431" s="71"/>
      <c r="E431" s="73"/>
      <c r="F431" s="73"/>
      <c r="G431" s="73"/>
      <c r="H431" s="42" t="str">
        <f aca="false">IF(M431="","",IF(R431&gt;0,"✔ Matched",IF(M431="IN","Not in cash book (credit)","Not in cash book (debit)")))</f>
        <v/>
      </c>
      <c r="I431" s="43" t="str">
        <f aca="false">IF(N(R431)&gt;0,R431,"")</f>
        <v/>
      </c>
      <c r="J431" s="45" t="str">
        <f aca="false">IF(AND(M431="",B431="",C431=""),"",IF(AND(N(E431)&gt;0,N(F431)&gt;0),"⚠ Fill withdrawal OR deposit",IF(M431="","⚠ Enter amount",IF(B431="","⚠ Enter date",IF(NOT(OR(NOT(ISNUMBER(G431)),NOT(ISNUMBER(G430)),ABS(N(G431)-(N(G430)+N(F431)-N(E431)))&lt;=0.5)),"⚠ Balance does not follow previous row","✔")))))</f>
        <v/>
      </c>
      <c r="M431" s="9" t="str">
        <f aca="false">IF(N(F431)&gt;0,"IN",IF(N(E431)&gt;0,"OUT",""))</f>
        <v/>
      </c>
      <c r="N431" s="9" t="str">
        <f aca="false">IF(M431="","",M431&amp;"|"&amp;TEXT(ROUND(N(E431)+N(F431),2),"0.00"))</f>
        <v/>
      </c>
      <c r="O431" s="9" t="str">
        <f aca="false">IF(OR(N431="",TRIM(D431&amp;"")=""),"",N431&amp;"|"&amp;UPPER(TRIM(D431&amp;"")))</f>
        <v/>
      </c>
      <c r="P431" s="9" t="n">
        <f aca="false">IF(O431="",0,IF(COUNTIF('Cash Book'!$O$8:$O$507,O431)&gt;0,1,0))</f>
        <v>0</v>
      </c>
      <c r="Q431" s="9" t="str">
        <f aca="false">IF(OR(N431="",P431=1),"",N431&amp;"#"&amp;COUNTIFS($N$8:N431,N431,$P$8:P431,0))</f>
        <v/>
      </c>
      <c r="R431" s="9" t="n">
        <f aca="false">IF(N431="",0,IFERROR(MATCH(ROW()-7,'Cash Book'!$U$8:$U$507,0),0))</f>
        <v>0</v>
      </c>
      <c r="V431" s="9" t="str">
        <f aca="false">IF(AND(N431&lt;&gt;"",R431=0),IF(M431="IN",3,4)*100000+ROW(),"")</f>
        <v/>
      </c>
      <c r="W431" s="9" t="n">
        <f aca="false">N(E431)+N(F431)</f>
        <v>0</v>
      </c>
    </row>
    <row r="432" customFormat="false" ht="15" hidden="false" customHeight="false" outlineLevel="0" collapsed="false">
      <c r="A432" s="37" t="str">
        <f aca="false">IF(M432="","",ROW()-7)</f>
        <v/>
      </c>
      <c r="B432" s="70"/>
      <c r="C432" s="72"/>
      <c r="D432" s="71"/>
      <c r="E432" s="73"/>
      <c r="F432" s="73"/>
      <c r="G432" s="73"/>
      <c r="H432" s="42" t="str">
        <f aca="false">IF(M432="","",IF(R432&gt;0,"✔ Matched",IF(M432="IN","Not in cash book (credit)","Not in cash book (debit)")))</f>
        <v/>
      </c>
      <c r="I432" s="43" t="str">
        <f aca="false">IF(N(R432)&gt;0,R432,"")</f>
        <v/>
      </c>
      <c r="J432" s="45" t="str">
        <f aca="false">IF(AND(M432="",B432="",C432=""),"",IF(AND(N(E432)&gt;0,N(F432)&gt;0),"⚠ Fill withdrawal OR deposit",IF(M432="","⚠ Enter amount",IF(B432="","⚠ Enter date",IF(NOT(OR(NOT(ISNUMBER(G432)),NOT(ISNUMBER(G431)),ABS(N(G432)-(N(G431)+N(F432)-N(E432)))&lt;=0.5)),"⚠ Balance does not follow previous row","✔")))))</f>
        <v/>
      </c>
      <c r="M432" s="9" t="str">
        <f aca="false">IF(N(F432)&gt;0,"IN",IF(N(E432)&gt;0,"OUT",""))</f>
        <v/>
      </c>
      <c r="N432" s="9" t="str">
        <f aca="false">IF(M432="","",M432&amp;"|"&amp;TEXT(ROUND(N(E432)+N(F432),2),"0.00"))</f>
        <v/>
      </c>
      <c r="O432" s="9" t="str">
        <f aca="false">IF(OR(N432="",TRIM(D432&amp;"")=""),"",N432&amp;"|"&amp;UPPER(TRIM(D432&amp;"")))</f>
        <v/>
      </c>
      <c r="P432" s="9" t="n">
        <f aca="false">IF(O432="",0,IF(COUNTIF('Cash Book'!$O$8:$O$507,O432)&gt;0,1,0))</f>
        <v>0</v>
      </c>
      <c r="Q432" s="9" t="str">
        <f aca="false">IF(OR(N432="",P432=1),"",N432&amp;"#"&amp;COUNTIFS($N$8:N432,N432,$P$8:P432,0))</f>
        <v/>
      </c>
      <c r="R432" s="9" t="n">
        <f aca="false">IF(N432="",0,IFERROR(MATCH(ROW()-7,'Cash Book'!$U$8:$U$507,0),0))</f>
        <v>0</v>
      </c>
      <c r="V432" s="9" t="str">
        <f aca="false">IF(AND(N432&lt;&gt;"",R432=0),IF(M432="IN",3,4)*100000+ROW(),"")</f>
        <v/>
      </c>
      <c r="W432" s="9" t="n">
        <f aca="false">N(E432)+N(F432)</f>
        <v>0</v>
      </c>
    </row>
    <row r="433" customFormat="false" ht="15" hidden="false" customHeight="false" outlineLevel="0" collapsed="false">
      <c r="A433" s="37" t="str">
        <f aca="false">IF(M433="","",ROW()-7)</f>
        <v/>
      </c>
      <c r="B433" s="70"/>
      <c r="C433" s="72"/>
      <c r="D433" s="71"/>
      <c r="E433" s="73"/>
      <c r="F433" s="73"/>
      <c r="G433" s="73"/>
      <c r="H433" s="42" t="str">
        <f aca="false">IF(M433="","",IF(R433&gt;0,"✔ Matched",IF(M433="IN","Not in cash book (credit)","Not in cash book (debit)")))</f>
        <v/>
      </c>
      <c r="I433" s="43" t="str">
        <f aca="false">IF(N(R433)&gt;0,R433,"")</f>
        <v/>
      </c>
      <c r="J433" s="45" t="str">
        <f aca="false">IF(AND(M433="",B433="",C433=""),"",IF(AND(N(E433)&gt;0,N(F433)&gt;0),"⚠ Fill withdrawal OR deposit",IF(M433="","⚠ Enter amount",IF(B433="","⚠ Enter date",IF(NOT(OR(NOT(ISNUMBER(G433)),NOT(ISNUMBER(G432)),ABS(N(G433)-(N(G432)+N(F433)-N(E433)))&lt;=0.5)),"⚠ Balance does not follow previous row","✔")))))</f>
        <v/>
      </c>
      <c r="M433" s="9" t="str">
        <f aca="false">IF(N(F433)&gt;0,"IN",IF(N(E433)&gt;0,"OUT",""))</f>
        <v/>
      </c>
      <c r="N433" s="9" t="str">
        <f aca="false">IF(M433="","",M433&amp;"|"&amp;TEXT(ROUND(N(E433)+N(F433),2),"0.00"))</f>
        <v/>
      </c>
      <c r="O433" s="9" t="str">
        <f aca="false">IF(OR(N433="",TRIM(D433&amp;"")=""),"",N433&amp;"|"&amp;UPPER(TRIM(D433&amp;"")))</f>
        <v/>
      </c>
      <c r="P433" s="9" t="n">
        <f aca="false">IF(O433="",0,IF(COUNTIF('Cash Book'!$O$8:$O$507,O433)&gt;0,1,0))</f>
        <v>0</v>
      </c>
      <c r="Q433" s="9" t="str">
        <f aca="false">IF(OR(N433="",P433=1),"",N433&amp;"#"&amp;COUNTIFS($N$8:N433,N433,$P$8:P433,0))</f>
        <v/>
      </c>
      <c r="R433" s="9" t="n">
        <f aca="false">IF(N433="",0,IFERROR(MATCH(ROW()-7,'Cash Book'!$U$8:$U$507,0),0))</f>
        <v>0</v>
      </c>
      <c r="V433" s="9" t="str">
        <f aca="false">IF(AND(N433&lt;&gt;"",R433=0),IF(M433="IN",3,4)*100000+ROW(),"")</f>
        <v/>
      </c>
      <c r="W433" s="9" t="n">
        <f aca="false">N(E433)+N(F433)</f>
        <v>0</v>
      </c>
    </row>
    <row r="434" customFormat="false" ht="15" hidden="false" customHeight="false" outlineLevel="0" collapsed="false">
      <c r="A434" s="37" t="str">
        <f aca="false">IF(M434="","",ROW()-7)</f>
        <v/>
      </c>
      <c r="B434" s="70"/>
      <c r="C434" s="72"/>
      <c r="D434" s="71"/>
      <c r="E434" s="73"/>
      <c r="F434" s="73"/>
      <c r="G434" s="73"/>
      <c r="H434" s="42" t="str">
        <f aca="false">IF(M434="","",IF(R434&gt;0,"✔ Matched",IF(M434="IN","Not in cash book (credit)","Not in cash book (debit)")))</f>
        <v/>
      </c>
      <c r="I434" s="43" t="str">
        <f aca="false">IF(N(R434)&gt;0,R434,"")</f>
        <v/>
      </c>
      <c r="J434" s="45" t="str">
        <f aca="false">IF(AND(M434="",B434="",C434=""),"",IF(AND(N(E434)&gt;0,N(F434)&gt;0),"⚠ Fill withdrawal OR deposit",IF(M434="","⚠ Enter amount",IF(B434="","⚠ Enter date",IF(NOT(OR(NOT(ISNUMBER(G434)),NOT(ISNUMBER(G433)),ABS(N(G434)-(N(G433)+N(F434)-N(E434)))&lt;=0.5)),"⚠ Balance does not follow previous row","✔")))))</f>
        <v/>
      </c>
      <c r="M434" s="9" t="str">
        <f aca="false">IF(N(F434)&gt;0,"IN",IF(N(E434)&gt;0,"OUT",""))</f>
        <v/>
      </c>
      <c r="N434" s="9" t="str">
        <f aca="false">IF(M434="","",M434&amp;"|"&amp;TEXT(ROUND(N(E434)+N(F434),2),"0.00"))</f>
        <v/>
      </c>
      <c r="O434" s="9" t="str">
        <f aca="false">IF(OR(N434="",TRIM(D434&amp;"")=""),"",N434&amp;"|"&amp;UPPER(TRIM(D434&amp;"")))</f>
        <v/>
      </c>
      <c r="P434" s="9" t="n">
        <f aca="false">IF(O434="",0,IF(COUNTIF('Cash Book'!$O$8:$O$507,O434)&gt;0,1,0))</f>
        <v>0</v>
      </c>
      <c r="Q434" s="9" t="str">
        <f aca="false">IF(OR(N434="",P434=1),"",N434&amp;"#"&amp;COUNTIFS($N$8:N434,N434,$P$8:P434,0))</f>
        <v/>
      </c>
      <c r="R434" s="9" t="n">
        <f aca="false">IF(N434="",0,IFERROR(MATCH(ROW()-7,'Cash Book'!$U$8:$U$507,0),0))</f>
        <v>0</v>
      </c>
      <c r="V434" s="9" t="str">
        <f aca="false">IF(AND(N434&lt;&gt;"",R434=0),IF(M434="IN",3,4)*100000+ROW(),"")</f>
        <v/>
      </c>
      <c r="W434" s="9" t="n">
        <f aca="false">N(E434)+N(F434)</f>
        <v>0</v>
      </c>
    </row>
    <row r="435" customFormat="false" ht="15" hidden="false" customHeight="false" outlineLevel="0" collapsed="false">
      <c r="A435" s="37" t="str">
        <f aca="false">IF(M435="","",ROW()-7)</f>
        <v/>
      </c>
      <c r="B435" s="70"/>
      <c r="C435" s="72"/>
      <c r="D435" s="71"/>
      <c r="E435" s="73"/>
      <c r="F435" s="73"/>
      <c r="G435" s="73"/>
      <c r="H435" s="42" t="str">
        <f aca="false">IF(M435="","",IF(R435&gt;0,"✔ Matched",IF(M435="IN","Not in cash book (credit)","Not in cash book (debit)")))</f>
        <v/>
      </c>
      <c r="I435" s="43" t="str">
        <f aca="false">IF(N(R435)&gt;0,R435,"")</f>
        <v/>
      </c>
      <c r="J435" s="45" t="str">
        <f aca="false">IF(AND(M435="",B435="",C435=""),"",IF(AND(N(E435)&gt;0,N(F435)&gt;0),"⚠ Fill withdrawal OR deposit",IF(M435="","⚠ Enter amount",IF(B435="","⚠ Enter date",IF(NOT(OR(NOT(ISNUMBER(G435)),NOT(ISNUMBER(G434)),ABS(N(G435)-(N(G434)+N(F435)-N(E435)))&lt;=0.5)),"⚠ Balance does not follow previous row","✔")))))</f>
        <v/>
      </c>
      <c r="M435" s="9" t="str">
        <f aca="false">IF(N(F435)&gt;0,"IN",IF(N(E435)&gt;0,"OUT",""))</f>
        <v/>
      </c>
      <c r="N435" s="9" t="str">
        <f aca="false">IF(M435="","",M435&amp;"|"&amp;TEXT(ROUND(N(E435)+N(F435),2),"0.00"))</f>
        <v/>
      </c>
      <c r="O435" s="9" t="str">
        <f aca="false">IF(OR(N435="",TRIM(D435&amp;"")=""),"",N435&amp;"|"&amp;UPPER(TRIM(D435&amp;"")))</f>
        <v/>
      </c>
      <c r="P435" s="9" t="n">
        <f aca="false">IF(O435="",0,IF(COUNTIF('Cash Book'!$O$8:$O$507,O435)&gt;0,1,0))</f>
        <v>0</v>
      </c>
      <c r="Q435" s="9" t="str">
        <f aca="false">IF(OR(N435="",P435=1),"",N435&amp;"#"&amp;COUNTIFS($N$8:N435,N435,$P$8:P435,0))</f>
        <v/>
      </c>
      <c r="R435" s="9" t="n">
        <f aca="false">IF(N435="",0,IFERROR(MATCH(ROW()-7,'Cash Book'!$U$8:$U$507,0),0))</f>
        <v>0</v>
      </c>
      <c r="V435" s="9" t="str">
        <f aca="false">IF(AND(N435&lt;&gt;"",R435=0),IF(M435="IN",3,4)*100000+ROW(),"")</f>
        <v/>
      </c>
      <c r="W435" s="9" t="n">
        <f aca="false">N(E435)+N(F435)</f>
        <v>0</v>
      </c>
    </row>
    <row r="436" customFormat="false" ht="15" hidden="false" customHeight="false" outlineLevel="0" collapsed="false">
      <c r="A436" s="37" t="str">
        <f aca="false">IF(M436="","",ROW()-7)</f>
        <v/>
      </c>
      <c r="B436" s="70"/>
      <c r="C436" s="72"/>
      <c r="D436" s="71"/>
      <c r="E436" s="73"/>
      <c r="F436" s="73"/>
      <c r="G436" s="73"/>
      <c r="H436" s="42" t="str">
        <f aca="false">IF(M436="","",IF(R436&gt;0,"✔ Matched",IF(M436="IN","Not in cash book (credit)","Not in cash book (debit)")))</f>
        <v/>
      </c>
      <c r="I436" s="43" t="str">
        <f aca="false">IF(N(R436)&gt;0,R436,"")</f>
        <v/>
      </c>
      <c r="J436" s="45" t="str">
        <f aca="false">IF(AND(M436="",B436="",C436=""),"",IF(AND(N(E436)&gt;0,N(F436)&gt;0),"⚠ Fill withdrawal OR deposit",IF(M436="","⚠ Enter amount",IF(B436="","⚠ Enter date",IF(NOT(OR(NOT(ISNUMBER(G436)),NOT(ISNUMBER(G435)),ABS(N(G436)-(N(G435)+N(F436)-N(E436)))&lt;=0.5)),"⚠ Balance does not follow previous row","✔")))))</f>
        <v/>
      </c>
      <c r="M436" s="9" t="str">
        <f aca="false">IF(N(F436)&gt;0,"IN",IF(N(E436)&gt;0,"OUT",""))</f>
        <v/>
      </c>
      <c r="N436" s="9" t="str">
        <f aca="false">IF(M436="","",M436&amp;"|"&amp;TEXT(ROUND(N(E436)+N(F436),2),"0.00"))</f>
        <v/>
      </c>
      <c r="O436" s="9" t="str">
        <f aca="false">IF(OR(N436="",TRIM(D436&amp;"")=""),"",N436&amp;"|"&amp;UPPER(TRIM(D436&amp;"")))</f>
        <v/>
      </c>
      <c r="P436" s="9" t="n">
        <f aca="false">IF(O436="",0,IF(COUNTIF('Cash Book'!$O$8:$O$507,O436)&gt;0,1,0))</f>
        <v>0</v>
      </c>
      <c r="Q436" s="9" t="str">
        <f aca="false">IF(OR(N436="",P436=1),"",N436&amp;"#"&amp;COUNTIFS($N$8:N436,N436,$P$8:P436,0))</f>
        <v/>
      </c>
      <c r="R436" s="9" t="n">
        <f aca="false">IF(N436="",0,IFERROR(MATCH(ROW()-7,'Cash Book'!$U$8:$U$507,0),0))</f>
        <v>0</v>
      </c>
      <c r="V436" s="9" t="str">
        <f aca="false">IF(AND(N436&lt;&gt;"",R436=0),IF(M436="IN",3,4)*100000+ROW(),"")</f>
        <v/>
      </c>
      <c r="W436" s="9" t="n">
        <f aca="false">N(E436)+N(F436)</f>
        <v>0</v>
      </c>
    </row>
    <row r="437" customFormat="false" ht="15" hidden="false" customHeight="false" outlineLevel="0" collapsed="false">
      <c r="A437" s="37" t="str">
        <f aca="false">IF(M437="","",ROW()-7)</f>
        <v/>
      </c>
      <c r="B437" s="70"/>
      <c r="C437" s="72"/>
      <c r="D437" s="71"/>
      <c r="E437" s="73"/>
      <c r="F437" s="73"/>
      <c r="G437" s="73"/>
      <c r="H437" s="42" t="str">
        <f aca="false">IF(M437="","",IF(R437&gt;0,"✔ Matched",IF(M437="IN","Not in cash book (credit)","Not in cash book (debit)")))</f>
        <v/>
      </c>
      <c r="I437" s="43" t="str">
        <f aca="false">IF(N(R437)&gt;0,R437,"")</f>
        <v/>
      </c>
      <c r="J437" s="45" t="str">
        <f aca="false">IF(AND(M437="",B437="",C437=""),"",IF(AND(N(E437)&gt;0,N(F437)&gt;0),"⚠ Fill withdrawal OR deposit",IF(M437="","⚠ Enter amount",IF(B437="","⚠ Enter date",IF(NOT(OR(NOT(ISNUMBER(G437)),NOT(ISNUMBER(G436)),ABS(N(G437)-(N(G436)+N(F437)-N(E437)))&lt;=0.5)),"⚠ Balance does not follow previous row","✔")))))</f>
        <v/>
      </c>
      <c r="M437" s="9" t="str">
        <f aca="false">IF(N(F437)&gt;0,"IN",IF(N(E437)&gt;0,"OUT",""))</f>
        <v/>
      </c>
      <c r="N437" s="9" t="str">
        <f aca="false">IF(M437="","",M437&amp;"|"&amp;TEXT(ROUND(N(E437)+N(F437),2),"0.00"))</f>
        <v/>
      </c>
      <c r="O437" s="9" t="str">
        <f aca="false">IF(OR(N437="",TRIM(D437&amp;"")=""),"",N437&amp;"|"&amp;UPPER(TRIM(D437&amp;"")))</f>
        <v/>
      </c>
      <c r="P437" s="9" t="n">
        <f aca="false">IF(O437="",0,IF(COUNTIF('Cash Book'!$O$8:$O$507,O437)&gt;0,1,0))</f>
        <v>0</v>
      </c>
      <c r="Q437" s="9" t="str">
        <f aca="false">IF(OR(N437="",P437=1),"",N437&amp;"#"&amp;COUNTIFS($N$8:N437,N437,$P$8:P437,0))</f>
        <v/>
      </c>
      <c r="R437" s="9" t="n">
        <f aca="false">IF(N437="",0,IFERROR(MATCH(ROW()-7,'Cash Book'!$U$8:$U$507,0),0))</f>
        <v>0</v>
      </c>
      <c r="V437" s="9" t="str">
        <f aca="false">IF(AND(N437&lt;&gt;"",R437=0),IF(M437="IN",3,4)*100000+ROW(),"")</f>
        <v/>
      </c>
      <c r="W437" s="9" t="n">
        <f aca="false">N(E437)+N(F437)</f>
        <v>0</v>
      </c>
    </row>
    <row r="438" customFormat="false" ht="15" hidden="false" customHeight="false" outlineLevel="0" collapsed="false">
      <c r="A438" s="37" t="str">
        <f aca="false">IF(M438="","",ROW()-7)</f>
        <v/>
      </c>
      <c r="B438" s="70"/>
      <c r="C438" s="72"/>
      <c r="D438" s="71"/>
      <c r="E438" s="73"/>
      <c r="F438" s="73"/>
      <c r="G438" s="73"/>
      <c r="H438" s="42" t="str">
        <f aca="false">IF(M438="","",IF(R438&gt;0,"✔ Matched",IF(M438="IN","Not in cash book (credit)","Not in cash book (debit)")))</f>
        <v/>
      </c>
      <c r="I438" s="43" t="str">
        <f aca="false">IF(N(R438)&gt;0,R438,"")</f>
        <v/>
      </c>
      <c r="J438" s="45" t="str">
        <f aca="false">IF(AND(M438="",B438="",C438=""),"",IF(AND(N(E438)&gt;0,N(F438)&gt;0),"⚠ Fill withdrawal OR deposit",IF(M438="","⚠ Enter amount",IF(B438="","⚠ Enter date",IF(NOT(OR(NOT(ISNUMBER(G438)),NOT(ISNUMBER(G437)),ABS(N(G438)-(N(G437)+N(F438)-N(E438)))&lt;=0.5)),"⚠ Balance does not follow previous row","✔")))))</f>
        <v/>
      </c>
      <c r="M438" s="9" t="str">
        <f aca="false">IF(N(F438)&gt;0,"IN",IF(N(E438)&gt;0,"OUT",""))</f>
        <v/>
      </c>
      <c r="N438" s="9" t="str">
        <f aca="false">IF(M438="","",M438&amp;"|"&amp;TEXT(ROUND(N(E438)+N(F438),2),"0.00"))</f>
        <v/>
      </c>
      <c r="O438" s="9" t="str">
        <f aca="false">IF(OR(N438="",TRIM(D438&amp;"")=""),"",N438&amp;"|"&amp;UPPER(TRIM(D438&amp;"")))</f>
        <v/>
      </c>
      <c r="P438" s="9" t="n">
        <f aca="false">IF(O438="",0,IF(COUNTIF('Cash Book'!$O$8:$O$507,O438)&gt;0,1,0))</f>
        <v>0</v>
      </c>
      <c r="Q438" s="9" t="str">
        <f aca="false">IF(OR(N438="",P438=1),"",N438&amp;"#"&amp;COUNTIFS($N$8:N438,N438,$P$8:P438,0))</f>
        <v/>
      </c>
      <c r="R438" s="9" t="n">
        <f aca="false">IF(N438="",0,IFERROR(MATCH(ROW()-7,'Cash Book'!$U$8:$U$507,0),0))</f>
        <v>0</v>
      </c>
      <c r="V438" s="9" t="str">
        <f aca="false">IF(AND(N438&lt;&gt;"",R438=0),IF(M438="IN",3,4)*100000+ROW(),"")</f>
        <v/>
      </c>
      <c r="W438" s="9" t="n">
        <f aca="false">N(E438)+N(F438)</f>
        <v>0</v>
      </c>
    </row>
    <row r="439" customFormat="false" ht="15" hidden="false" customHeight="false" outlineLevel="0" collapsed="false">
      <c r="A439" s="37" t="str">
        <f aca="false">IF(M439="","",ROW()-7)</f>
        <v/>
      </c>
      <c r="B439" s="70"/>
      <c r="C439" s="72"/>
      <c r="D439" s="71"/>
      <c r="E439" s="73"/>
      <c r="F439" s="73"/>
      <c r="G439" s="73"/>
      <c r="H439" s="42" t="str">
        <f aca="false">IF(M439="","",IF(R439&gt;0,"✔ Matched",IF(M439="IN","Not in cash book (credit)","Not in cash book (debit)")))</f>
        <v/>
      </c>
      <c r="I439" s="43" t="str">
        <f aca="false">IF(N(R439)&gt;0,R439,"")</f>
        <v/>
      </c>
      <c r="J439" s="45" t="str">
        <f aca="false">IF(AND(M439="",B439="",C439=""),"",IF(AND(N(E439)&gt;0,N(F439)&gt;0),"⚠ Fill withdrawal OR deposit",IF(M439="","⚠ Enter amount",IF(B439="","⚠ Enter date",IF(NOT(OR(NOT(ISNUMBER(G439)),NOT(ISNUMBER(G438)),ABS(N(G439)-(N(G438)+N(F439)-N(E439)))&lt;=0.5)),"⚠ Balance does not follow previous row","✔")))))</f>
        <v/>
      </c>
      <c r="M439" s="9" t="str">
        <f aca="false">IF(N(F439)&gt;0,"IN",IF(N(E439)&gt;0,"OUT",""))</f>
        <v/>
      </c>
      <c r="N439" s="9" t="str">
        <f aca="false">IF(M439="","",M439&amp;"|"&amp;TEXT(ROUND(N(E439)+N(F439),2),"0.00"))</f>
        <v/>
      </c>
      <c r="O439" s="9" t="str">
        <f aca="false">IF(OR(N439="",TRIM(D439&amp;"")=""),"",N439&amp;"|"&amp;UPPER(TRIM(D439&amp;"")))</f>
        <v/>
      </c>
      <c r="P439" s="9" t="n">
        <f aca="false">IF(O439="",0,IF(COUNTIF('Cash Book'!$O$8:$O$507,O439)&gt;0,1,0))</f>
        <v>0</v>
      </c>
      <c r="Q439" s="9" t="str">
        <f aca="false">IF(OR(N439="",P439=1),"",N439&amp;"#"&amp;COUNTIFS($N$8:N439,N439,$P$8:P439,0))</f>
        <v/>
      </c>
      <c r="R439" s="9" t="n">
        <f aca="false">IF(N439="",0,IFERROR(MATCH(ROW()-7,'Cash Book'!$U$8:$U$507,0),0))</f>
        <v>0</v>
      </c>
      <c r="V439" s="9" t="str">
        <f aca="false">IF(AND(N439&lt;&gt;"",R439=0),IF(M439="IN",3,4)*100000+ROW(),"")</f>
        <v/>
      </c>
      <c r="W439" s="9" t="n">
        <f aca="false">N(E439)+N(F439)</f>
        <v>0</v>
      </c>
    </row>
    <row r="440" customFormat="false" ht="15" hidden="false" customHeight="false" outlineLevel="0" collapsed="false">
      <c r="A440" s="37" t="str">
        <f aca="false">IF(M440="","",ROW()-7)</f>
        <v/>
      </c>
      <c r="B440" s="70"/>
      <c r="C440" s="72"/>
      <c r="D440" s="71"/>
      <c r="E440" s="73"/>
      <c r="F440" s="73"/>
      <c r="G440" s="73"/>
      <c r="H440" s="42" t="str">
        <f aca="false">IF(M440="","",IF(R440&gt;0,"✔ Matched",IF(M440="IN","Not in cash book (credit)","Not in cash book (debit)")))</f>
        <v/>
      </c>
      <c r="I440" s="43" t="str">
        <f aca="false">IF(N(R440)&gt;0,R440,"")</f>
        <v/>
      </c>
      <c r="J440" s="45" t="str">
        <f aca="false">IF(AND(M440="",B440="",C440=""),"",IF(AND(N(E440)&gt;0,N(F440)&gt;0),"⚠ Fill withdrawal OR deposit",IF(M440="","⚠ Enter amount",IF(B440="","⚠ Enter date",IF(NOT(OR(NOT(ISNUMBER(G440)),NOT(ISNUMBER(G439)),ABS(N(G440)-(N(G439)+N(F440)-N(E440)))&lt;=0.5)),"⚠ Balance does not follow previous row","✔")))))</f>
        <v/>
      </c>
      <c r="M440" s="9" t="str">
        <f aca="false">IF(N(F440)&gt;0,"IN",IF(N(E440)&gt;0,"OUT",""))</f>
        <v/>
      </c>
      <c r="N440" s="9" t="str">
        <f aca="false">IF(M440="","",M440&amp;"|"&amp;TEXT(ROUND(N(E440)+N(F440),2),"0.00"))</f>
        <v/>
      </c>
      <c r="O440" s="9" t="str">
        <f aca="false">IF(OR(N440="",TRIM(D440&amp;"")=""),"",N440&amp;"|"&amp;UPPER(TRIM(D440&amp;"")))</f>
        <v/>
      </c>
      <c r="P440" s="9" t="n">
        <f aca="false">IF(O440="",0,IF(COUNTIF('Cash Book'!$O$8:$O$507,O440)&gt;0,1,0))</f>
        <v>0</v>
      </c>
      <c r="Q440" s="9" t="str">
        <f aca="false">IF(OR(N440="",P440=1),"",N440&amp;"#"&amp;COUNTIFS($N$8:N440,N440,$P$8:P440,0))</f>
        <v/>
      </c>
      <c r="R440" s="9" t="n">
        <f aca="false">IF(N440="",0,IFERROR(MATCH(ROW()-7,'Cash Book'!$U$8:$U$507,0),0))</f>
        <v>0</v>
      </c>
      <c r="V440" s="9" t="str">
        <f aca="false">IF(AND(N440&lt;&gt;"",R440=0),IF(M440="IN",3,4)*100000+ROW(),"")</f>
        <v/>
      </c>
      <c r="W440" s="9" t="n">
        <f aca="false">N(E440)+N(F440)</f>
        <v>0</v>
      </c>
    </row>
    <row r="441" customFormat="false" ht="15" hidden="false" customHeight="false" outlineLevel="0" collapsed="false">
      <c r="A441" s="37" t="str">
        <f aca="false">IF(M441="","",ROW()-7)</f>
        <v/>
      </c>
      <c r="B441" s="70"/>
      <c r="C441" s="72"/>
      <c r="D441" s="71"/>
      <c r="E441" s="73"/>
      <c r="F441" s="73"/>
      <c r="G441" s="73"/>
      <c r="H441" s="42" t="str">
        <f aca="false">IF(M441="","",IF(R441&gt;0,"✔ Matched",IF(M441="IN","Not in cash book (credit)","Not in cash book (debit)")))</f>
        <v/>
      </c>
      <c r="I441" s="43" t="str">
        <f aca="false">IF(N(R441)&gt;0,R441,"")</f>
        <v/>
      </c>
      <c r="J441" s="45" t="str">
        <f aca="false">IF(AND(M441="",B441="",C441=""),"",IF(AND(N(E441)&gt;0,N(F441)&gt;0),"⚠ Fill withdrawal OR deposit",IF(M441="","⚠ Enter amount",IF(B441="","⚠ Enter date",IF(NOT(OR(NOT(ISNUMBER(G441)),NOT(ISNUMBER(G440)),ABS(N(G441)-(N(G440)+N(F441)-N(E441)))&lt;=0.5)),"⚠ Balance does not follow previous row","✔")))))</f>
        <v/>
      </c>
      <c r="M441" s="9" t="str">
        <f aca="false">IF(N(F441)&gt;0,"IN",IF(N(E441)&gt;0,"OUT",""))</f>
        <v/>
      </c>
      <c r="N441" s="9" t="str">
        <f aca="false">IF(M441="","",M441&amp;"|"&amp;TEXT(ROUND(N(E441)+N(F441),2),"0.00"))</f>
        <v/>
      </c>
      <c r="O441" s="9" t="str">
        <f aca="false">IF(OR(N441="",TRIM(D441&amp;"")=""),"",N441&amp;"|"&amp;UPPER(TRIM(D441&amp;"")))</f>
        <v/>
      </c>
      <c r="P441" s="9" t="n">
        <f aca="false">IF(O441="",0,IF(COUNTIF('Cash Book'!$O$8:$O$507,O441)&gt;0,1,0))</f>
        <v>0</v>
      </c>
      <c r="Q441" s="9" t="str">
        <f aca="false">IF(OR(N441="",P441=1),"",N441&amp;"#"&amp;COUNTIFS($N$8:N441,N441,$P$8:P441,0))</f>
        <v/>
      </c>
      <c r="R441" s="9" t="n">
        <f aca="false">IF(N441="",0,IFERROR(MATCH(ROW()-7,'Cash Book'!$U$8:$U$507,0),0))</f>
        <v>0</v>
      </c>
      <c r="V441" s="9" t="str">
        <f aca="false">IF(AND(N441&lt;&gt;"",R441=0),IF(M441="IN",3,4)*100000+ROW(),"")</f>
        <v/>
      </c>
      <c r="W441" s="9" t="n">
        <f aca="false">N(E441)+N(F441)</f>
        <v>0</v>
      </c>
    </row>
    <row r="442" customFormat="false" ht="15" hidden="false" customHeight="false" outlineLevel="0" collapsed="false">
      <c r="A442" s="37" t="str">
        <f aca="false">IF(M442="","",ROW()-7)</f>
        <v/>
      </c>
      <c r="B442" s="70"/>
      <c r="C442" s="72"/>
      <c r="D442" s="71"/>
      <c r="E442" s="73"/>
      <c r="F442" s="73"/>
      <c r="G442" s="73"/>
      <c r="H442" s="42" t="str">
        <f aca="false">IF(M442="","",IF(R442&gt;0,"✔ Matched",IF(M442="IN","Not in cash book (credit)","Not in cash book (debit)")))</f>
        <v/>
      </c>
      <c r="I442" s="43" t="str">
        <f aca="false">IF(N(R442)&gt;0,R442,"")</f>
        <v/>
      </c>
      <c r="J442" s="45" t="str">
        <f aca="false">IF(AND(M442="",B442="",C442=""),"",IF(AND(N(E442)&gt;0,N(F442)&gt;0),"⚠ Fill withdrawal OR deposit",IF(M442="","⚠ Enter amount",IF(B442="","⚠ Enter date",IF(NOT(OR(NOT(ISNUMBER(G442)),NOT(ISNUMBER(G441)),ABS(N(G442)-(N(G441)+N(F442)-N(E442)))&lt;=0.5)),"⚠ Balance does not follow previous row","✔")))))</f>
        <v/>
      </c>
      <c r="M442" s="9" t="str">
        <f aca="false">IF(N(F442)&gt;0,"IN",IF(N(E442)&gt;0,"OUT",""))</f>
        <v/>
      </c>
      <c r="N442" s="9" t="str">
        <f aca="false">IF(M442="","",M442&amp;"|"&amp;TEXT(ROUND(N(E442)+N(F442),2),"0.00"))</f>
        <v/>
      </c>
      <c r="O442" s="9" t="str">
        <f aca="false">IF(OR(N442="",TRIM(D442&amp;"")=""),"",N442&amp;"|"&amp;UPPER(TRIM(D442&amp;"")))</f>
        <v/>
      </c>
      <c r="P442" s="9" t="n">
        <f aca="false">IF(O442="",0,IF(COUNTIF('Cash Book'!$O$8:$O$507,O442)&gt;0,1,0))</f>
        <v>0</v>
      </c>
      <c r="Q442" s="9" t="str">
        <f aca="false">IF(OR(N442="",P442=1),"",N442&amp;"#"&amp;COUNTIFS($N$8:N442,N442,$P$8:P442,0))</f>
        <v/>
      </c>
      <c r="R442" s="9" t="n">
        <f aca="false">IF(N442="",0,IFERROR(MATCH(ROW()-7,'Cash Book'!$U$8:$U$507,0),0))</f>
        <v>0</v>
      </c>
      <c r="V442" s="9" t="str">
        <f aca="false">IF(AND(N442&lt;&gt;"",R442=0),IF(M442="IN",3,4)*100000+ROW(),"")</f>
        <v/>
      </c>
      <c r="W442" s="9" t="n">
        <f aca="false">N(E442)+N(F442)</f>
        <v>0</v>
      </c>
    </row>
    <row r="443" customFormat="false" ht="15" hidden="false" customHeight="false" outlineLevel="0" collapsed="false">
      <c r="A443" s="37" t="str">
        <f aca="false">IF(M443="","",ROW()-7)</f>
        <v/>
      </c>
      <c r="B443" s="70"/>
      <c r="C443" s="72"/>
      <c r="D443" s="71"/>
      <c r="E443" s="73"/>
      <c r="F443" s="73"/>
      <c r="G443" s="73"/>
      <c r="H443" s="42" t="str">
        <f aca="false">IF(M443="","",IF(R443&gt;0,"✔ Matched",IF(M443="IN","Not in cash book (credit)","Not in cash book (debit)")))</f>
        <v/>
      </c>
      <c r="I443" s="43" t="str">
        <f aca="false">IF(N(R443)&gt;0,R443,"")</f>
        <v/>
      </c>
      <c r="J443" s="45" t="str">
        <f aca="false">IF(AND(M443="",B443="",C443=""),"",IF(AND(N(E443)&gt;0,N(F443)&gt;0),"⚠ Fill withdrawal OR deposit",IF(M443="","⚠ Enter amount",IF(B443="","⚠ Enter date",IF(NOT(OR(NOT(ISNUMBER(G443)),NOT(ISNUMBER(G442)),ABS(N(G443)-(N(G442)+N(F443)-N(E443)))&lt;=0.5)),"⚠ Balance does not follow previous row","✔")))))</f>
        <v/>
      </c>
      <c r="M443" s="9" t="str">
        <f aca="false">IF(N(F443)&gt;0,"IN",IF(N(E443)&gt;0,"OUT",""))</f>
        <v/>
      </c>
      <c r="N443" s="9" t="str">
        <f aca="false">IF(M443="","",M443&amp;"|"&amp;TEXT(ROUND(N(E443)+N(F443),2),"0.00"))</f>
        <v/>
      </c>
      <c r="O443" s="9" t="str">
        <f aca="false">IF(OR(N443="",TRIM(D443&amp;"")=""),"",N443&amp;"|"&amp;UPPER(TRIM(D443&amp;"")))</f>
        <v/>
      </c>
      <c r="P443" s="9" t="n">
        <f aca="false">IF(O443="",0,IF(COUNTIF('Cash Book'!$O$8:$O$507,O443)&gt;0,1,0))</f>
        <v>0</v>
      </c>
      <c r="Q443" s="9" t="str">
        <f aca="false">IF(OR(N443="",P443=1),"",N443&amp;"#"&amp;COUNTIFS($N$8:N443,N443,$P$8:P443,0))</f>
        <v/>
      </c>
      <c r="R443" s="9" t="n">
        <f aca="false">IF(N443="",0,IFERROR(MATCH(ROW()-7,'Cash Book'!$U$8:$U$507,0),0))</f>
        <v>0</v>
      </c>
      <c r="V443" s="9" t="str">
        <f aca="false">IF(AND(N443&lt;&gt;"",R443=0),IF(M443="IN",3,4)*100000+ROW(),"")</f>
        <v/>
      </c>
      <c r="W443" s="9" t="n">
        <f aca="false">N(E443)+N(F443)</f>
        <v>0</v>
      </c>
    </row>
    <row r="444" customFormat="false" ht="15" hidden="false" customHeight="false" outlineLevel="0" collapsed="false">
      <c r="A444" s="37" t="str">
        <f aca="false">IF(M444="","",ROW()-7)</f>
        <v/>
      </c>
      <c r="B444" s="70"/>
      <c r="C444" s="72"/>
      <c r="D444" s="71"/>
      <c r="E444" s="73"/>
      <c r="F444" s="73"/>
      <c r="G444" s="73"/>
      <c r="H444" s="42" t="str">
        <f aca="false">IF(M444="","",IF(R444&gt;0,"✔ Matched",IF(M444="IN","Not in cash book (credit)","Not in cash book (debit)")))</f>
        <v/>
      </c>
      <c r="I444" s="43" t="str">
        <f aca="false">IF(N(R444)&gt;0,R444,"")</f>
        <v/>
      </c>
      <c r="J444" s="45" t="str">
        <f aca="false">IF(AND(M444="",B444="",C444=""),"",IF(AND(N(E444)&gt;0,N(F444)&gt;0),"⚠ Fill withdrawal OR deposit",IF(M444="","⚠ Enter amount",IF(B444="","⚠ Enter date",IF(NOT(OR(NOT(ISNUMBER(G444)),NOT(ISNUMBER(G443)),ABS(N(G444)-(N(G443)+N(F444)-N(E444)))&lt;=0.5)),"⚠ Balance does not follow previous row","✔")))))</f>
        <v/>
      </c>
      <c r="M444" s="9" t="str">
        <f aca="false">IF(N(F444)&gt;0,"IN",IF(N(E444)&gt;0,"OUT",""))</f>
        <v/>
      </c>
      <c r="N444" s="9" t="str">
        <f aca="false">IF(M444="","",M444&amp;"|"&amp;TEXT(ROUND(N(E444)+N(F444),2),"0.00"))</f>
        <v/>
      </c>
      <c r="O444" s="9" t="str">
        <f aca="false">IF(OR(N444="",TRIM(D444&amp;"")=""),"",N444&amp;"|"&amp;UPPER(TRIM(D444&amp;"")))</f>
        <v/>
      </c>
      <c r="P444" s="9" t="n">
        <f aca="false">IF(O444="",0,IF(COUNTIF('Cash Book'!$O$8:$O$507,O444)&gt;0,1,0))</f>
        <v>0</v>
      </c>
      <c r="Q444" s="9" t="str">
        <f aca="false">IF(OR(N444="",P444=1),"",N444&amp;"#"&amp;COUNTIFS($N$8:N444,N444,$P$8:P444,0))</f>
        <v/>
      </c>
      <c r="R444" s="9" t="n">
        <f aca="false">IF(N444="",0,IFERROR(MATCH(ROW()-7,'Cash Book'!$U$8:$U$507,0),0))</f>
        <v>0</v>
      </c>
      <c r="V444" s="9" t="str">
        <f aca="false">IF(AND(N444&lt;&gt;"",R444=0),IF(M444="IN",3,4)*100000+ROW(),"")</f>
        <v/>
      </c>
      <c r="W444" s="9" t="n">
        <f aca="false">N(E444)+N(F444)</f>
        <v>0</v>
      </c>
    </row>
    <row r="445" customFormat="false" ht="15" hidden="false" customHeight="false" outlineLevel="0" collapsed="false">
      <c r="A445" s="37" t="str">
        <f aca="false">IF(M445="","",ROW()-7)</f>
        <v/>
      </c>
      <c r="B445" s="70"/>
      <c r="C445" s="72"/>
      <c r="D445" s="71"/>
      <c r="E445" s="73"/>
      <c r="F445" s="73"/>
      <c r="G445" s="73"/>
      <c r="H445" s="42" t="str">
        <f aca="false">IF(M445="","",IF(R445&gt;0,"✔ Matched",IF(M445="IN","Not in cash book (credit)","Not in cash book (debit)")))</f>
        <v/>
      </c>
      <c r="I445" s="43" t="str">
        <f aca="false">IF(N(R445)&gt;0,R445,"")</f>
        <v/>
      </c>
      <c r="J445" s="45" t="str">
        <f aca="false">IF(AND(M445="",B445="",C445=""),"",IF(AND(N(E445)&gt;0,N(F445)&gt;0),"⚠ Fill withdrawal OR deposit",IF(M445="","⚠ Enter amount",IF(B445="","⚠ Enter date",IF(NOT(OR(NOT(ISNUMBER(G445)),NOT(ISNUMBER(G444)),ABS(N(G445)-(N(G444)+N(F445)-N(E445)))&lt;=0.5)),"⚠ Balance does not follow previous row","✔")))))</f>
        <v/>
      </c>
      <c r="M445" s="9" t="str">
        <f aca="false">IF(N(F445)&gt;0,"IN",IF(N(E445)&gt;0,"OUT",""))</f>
        <v/>
      </c>
      <c r="N445" s="9" t="str">
        <f aca="false">IF(M445="","",M445&amp;"|"&amp;TEXT(ROUND(N(E445)+N(F445),2),"0.00"))</f>
        <v/>
      </c>
      <c r="O445" s="9" t="str">
        <f aca="false">IF(OR(N445="",TRIM(D445&amp;"")=""),"",N445&amp;"|"&amp;UPPER(TRIM(D445&amp;"")))</f>
        <v/>
      </c>
      <c r="P445" s="9" t="n">
        <f aca="false">IF(O445="",0,IF(COUNTIF('Cash Book'!$O$8:$O$507,O445)&gt;0,1,0))</f>
        <v>0</v>
      </c>
      <c r="Q445" s="9" t="str">
        <f aca="false">IF(OR(N445="",P445=1),"",N445&amp;"#"&amp;COUNTIFS($N$8:N445,N445,$P$8:P445,0))</f>
        <v/>
      </c>
      <c r="R445" s="9" t="n">
        <f aca="false">IF(N445="",0,IFERROR(MATCH(ROW()-7,'Cash Book'!$U$8:$U$507,0),0))</f>
        <v>0</v>
      </c>
      <c r="V445" s="9" t="str">
        <f aca="false">IF(AND(N445&lt;&gt;"",R445=0),IF(M445="IN",3,4)*100000+ROW(),"")</f>
        <v/>
      </c>
      <c r="W445" s="9" t="n">
        <f aca="false">N(E445)+N(F445)</f>
        <v>0</v>
      </c>
    </row>
    <row r="446" customFormat="false" ht="15" hidden="false" customHeight="false" outlineLevel="0" collapsed="false">
      <c r="A446" s="37" t="str">
        <f aca="false">IF(M446="","",ROW()-7)</f>
        <v/>
      </c>
      <c r="B446" s="70"/>
      <c r="C446" s="72"/>
      <c r="D446" s="71"/>
      <c r="E446" s="73"/>
      <c r="F446" s="73"/>
      <c r="G446" s="73"/>
      <c r="H446" s="42" t="str">
        <f aca="false">IF(M446="","",IF(R446&gt;0,"✔ Matched",IF(M446="IN","Not in cash book (credit)","Not in cash book (debit)")))</f>
        <v/>
      </c>
      <c r="I446" s="43" t="str">
        <f aca="false">IF(N(R446)&gt;0,R446,"")</f>
        <v/>
      </c>
      <c r="J446" s="45" t="str">
        <f aca="false">IF(AND(M446="",B446="",C446=""),"",IF(AND(N(E446)&gt;0,N(F446)&gt;0),"⚠ Fill withdrawal OR deposit",IF(M446="","⚠ Enter amount",IF(B446="","⚠ Enter date",IF(NOT(OR(NOT(ISNUMBER(G446)),NOT(ISNUMBER(G445)),ABS(N(G446)-(N(G445)+N(F446)-N(E446)))&lt;=0.5)),"⚠ Balance does not follow previous row","✔")))))</f>
        <v/>
      </c>
      <c r="M446" s="9" t="str">
        <f aca="false">IF(N(F446)&gt;0,"IN",IF(N(E446)&gt;0,"OUT",""))</f>
        <v/>
      </c>
      <c r="N446" s="9" t="str">
        <f aca="false">IF(M446="","",M446&amp;"|"&amp;TEXT(ROUND(N(E446)+N(F446),2),"0.00"))</f>
        <v/>
      </c>
      <c r="O446" s="9" t="str">
        <f aca="false">IF(OR(N446="",TRIM(D446&amp;"")=""),"",N446&amp;"|"&amp;UPPER(TRIM(D446&amp;"")))</f>
        <v/>
      </c>
      <c r="P446" s="9" t="n">
        <f aca="false">IF(O446="",0,IF(COUNTIF('Cash Book'!$O$8:$O$507,O446)&gt;0,1,0))</f>
        <v>0</v>
      </c>
      <c r="Q446" s="9" t="str">
        <f aca="false">IF(OR(N446="",P446=1),"",N446&amp;"#"&amp;COUNTIFS($N$8:N446,N446,$P$8:P446,0))</f>
        <v/>
      </c>
      <c r="R446" s="9" t="n">
        <f aca="false">IF(N446="",0,IFERROR(MATCH(ROW()-7,'Cash Book'!$U$8:$U$507,0),0))</f>
        <v>0</v>
      </c>
      <c r="V446" s="9" t="str">
        <f aca="false">IF(AND(N446&lt;&gt;"",R446=0),IF(M446="IN",3,4)*100000+ROW(),"")</f>
        <v/>
      </c>
      <c r="W446" s="9" t="n">
        <f aca="false">N(E446)+N(F446)</f>
        <v>0</v>
      </c>
    </row>
    <row r="447" customFormat="false" ht="15" hidden="false" customHeight="false" outlineLevel="0" collapsed="false">
      <c r="A447" s="37" t="str">
        <f aca="false">IF(M447="","",ROW()-7)</f>
        <v/>
      </c>
      <c r="B447" s="70"/>
      <c r="C447" s="72"/>
      <c r="D447" s="71"/>
      <c r="E447" s="73"/>
      <c r="F447" s="73"/>
      <c r="G447" s="73"/>
      <c r="H447" s="42" t="str">
        <f aca="false">IF(M447="","",IF(R447&gt;0,"✔ Matched",IF(M447="IN","Not in cash book (credit)","Not in cash book (debit)")))</f>
        <v/>
      </c>
      <c r="I447" s="43" t="str">
        <f aca="false">IF(N(R447)&gt;0,R447,"")</f>
        <v/>
      </c>
      <c r="J447" s="45" t="str">
        <f aca="false">IF(AND(M447="",B447="",C447=""),"",IF(AND(N(E447)&gt;0,N(F447)&gt;0),"⚠ Fill withdrawal OR deposit",IF(M447="","⚠ Enter amount",IF(B447="","⚠ Enter date",IF(NOT(OR(NOT(ISNUMBER(G447)),NOT(ISNUMBER(G446)),ABS(N(G447)-(N(G446)+N(F447)-N(E447)))&lt;=0.5)),"⚠ Balance does not follow previous row","✔")))))</f>
        <v/>
      </c>
      <c r="M447" s="9" t="str">
        <f aca="false">IF(N(F447)&gt;0,"IN",IF(N(E447)&gt;0,"OUT",""))</f>
        <v/>
      </c>
      <c r="N447" s="9" t="str">
        <f aca="false">IF(M447="","",M447&amp;"|"&amp;TEXT(ROUND(N(E447)+N(F447),2),"0.00"))</f>
        <v/>
      </c>
      <c r="O447" s="9" t="str">
        <f aca="false">IF(OR(N447="",TRIM(D447&amp;"")=""),"",N447&amp;"|"&amp;UPPER(TRIM(D447&amp;"")))</f>
        <v/>
      </c>
      <c r="P447" s="9" t="n">
        <f aca="false">IF(O447="",0,IF(COUNTIF('Cash Book'!$O$8:$O$507,O447)&gt;0,1,0))</f>
        <v>0</v>
      </c>
      <c r="Q447" s="9" t="str">
        <f aca="false">IF(OR(N447="",P447=1),"",N447&amp;"#"&amp;COUNTIFS($N$8:N447,N447,$P$8:P447,0))</f>
        <v/>
      </c>
      <c r="R447" s="9" t="n">
        <f aca="false">IF(N447="",0,IFERROR(MATCH(ROW()-7,'Cash Book'!$U$8:$U$507,0),0))</f>
        <v>0</v>
      </c>
      <c r="V447" s="9" t="str">
        <f aca="false">IF(AND(N447&lt;&gt;"",R447=0),IF(M447="IN",3,4)*100000+ROW(),"")</f>
        <v/>
      </c>
      <c r="W447" s="9" t="n">
        <f aca="false">N(E447)+N(F447)</f>
        <v>0</v>
      </c>
    </row>
    <row r="448" customFormat="false" ht="15" hidden="false" customHeight="false" outlineLevel="0" collapsed="false">
      <c r="A448" s="37" t="str">
        <f aca="false">IF(M448="","",ROW()-7)</f>
        <v/>
      </c>
      <c r="B448" s="70"/>
      <c r="C448" s="72"/>
      <c r="D448" s="71"/>
      <c r="E448" s="73"/>
      <c r="F448" s="73"/>
      <c r="G448" s="73"/>
      <c r="H448" s="42" t="str">
        <f aca="false">IF(M448="","",IF(R448&gt;0,"✔ Matched",IF(M448="IN","Not in cash book (credit)","Not in cash book (debit)")))</f>
        <v/>
      </c>
      <c r="I448" s="43" t="str">
        <f aca="false">IF(N(R448)&gt;0,R448,"")</f>
        <v/>
      </c>
      <c r="J448" s="45" t="str">
        <f aca="false">IF(AND(M448="",B448="",C448=""),"",IF(AND(N(E448)&gt;0,N(F448)&gt;0),"⚠ Fill withdrawal OR deposit",IF(M448="","⚠ Enter amount",IF(B448="","⚠ Enter date",IF(NOT(OR(NOT(ISNUMBER(G448)),NOT(ISNUMBER(G447)),ABS(N(G448)-(N(G447)+N(F448)-N(E448)))&lt;=0.5)),"⚠ Balance does not follow previous row","✔")))))</f>
        <v/>
      </c>
      <c r="M448" s="9" t="str">
        <f aca="false">IF(N(F448)&gt;0,"IN",IF(N(E448)&gt;0,"OUT",""))</f>
        <v/>
      </c>
      <c r="N448" s="9" t="str">
        <f aca="false">IF(M448="","",M448&amp;"|"&amp;TEXT(ROUND(N(E448)+N(F448),2),"0.00"))</f>
        <v/>
      </c>
      <c r="O448" s="9" t="str">
        <f aca="false">IF(OR(N448="",TRIM(D448&amp;"")=""),"",N448&amp;"|"&amp;UPPER(TRIM(D448&amp;"")))</f>
        <v/>
      </c>
      <c r="P448" s="9" t="n">
        <f aca="false">IF(O448="",0,IF(COUNTIF('Cash Book'!$O$8:$O$507,O448)&gt;0,1,0))</f>
        <v>0</v>
      </c>
      <c r="Q448" s="9" t="str">
        <f aca="false">IF(OR(N448="",P448=1),"",N448&amp;"#"&amp;COUNTIFS($N$8:N448,N448,$P$8:P448,0))</f>
        <v/>
      </c>
      <c r="R448" s="9" t="n">
        <f aca="false">IF(N448="",0,IFERROR(MATCH(ROW()-7,'Cash Book'!$U$8:$U$507,0),0))</f>
        <v>0</v>
      </c>
      <c r="V448" s="9" t="str">
        <f aca="false">IF(AND(N448&lt;&gt;"",R448=0),IF(M448="IN",3,4)*100000+ROW(),"")</f>
        <v/>
      </c>
      <c r="W448" s="9" t="n">
        <f aca="false">N(E448)+N(F448)</f>
        <v>0</v>
      </c>
    </row>
    <row r="449" customFormat="false" ht="15" hidden="false" customHeight="false" outlineLevel="0" collapsed="false">
      <c r="A449" s="37" t="str">
        <f aca="false">IF(M449="","",ROW()-7)</f>
        <v/>
      </c>
      <c r="B449" s="70"/>
      <c r="C449" s="72"/>
      <c r="D449" s="71"/>
      <c r="E449" s="73"/>
      <c r="F449" s="73"/>
      <c r="G449" s="73"/>
      <c r="H449" s="42" t="str">
        <f aca="false">IF(M449="","",IF(R449&gt;0,"✔ Matched",IF(M449="IN","Not in cash book (credit)","Not in cash book (debit)")))</f>
        <v/>
      </c>
      <c r="I449" s="43" t="str">
        <f aca="false">IF(N(R449)&gt;0,R449,"")</f>
        <v/>
      </c>
      <c r="J449" s="45" t="str">
        <f aca="false">IF(AND(M449="",B449="",C449=""),"",IF(AND(N(E449)&gt;0,N(F449)&gt;0),"⚠ Fill withdrawal OR deposit",IF(M449="","⚠ Enter amount",IF(B449="","⚠ Enter date",IF(NOT(OR(NOT(ISNUMBER(G449)),NOT(ISNUMBER(G448)),ABS(N(G449)-(N(G448)+N(F449)-N(E449)))&lt;=0.5)),"⚠ Balance does not follow previous row","✔")))))</f>
        <v/>
      </c>
      <c r="M449" s="9" t="str">
        <f aca="false">IF(N(F449)&gt;0,"IN",IF(N(E449)&gt;0,"OUT",""))</f>
        <v/>
      </c>
      <c r="N449" s="9" t="str">
        <f aca="false">IF(M449="","",M449&amp;"|"&amp;TEXT(ROUND(N(E449)+N(F449),2),"0.00"))</f>
        <v/>
      </c>
      <c r="O449" s="9" t="str">
        <f aca="false">IF(OR(N449="",TRIM(D449&amp;"")=""),"",N449&amp;"|"&amp;UPPER(TRIM(D449&amp;"")))</f>
        <v/>
      </c>
      <c r="P449" s="9" t="n">
        <f aca="false">IF(O449="",0,IF(COUNTIF('Cash Book'!$O$8:$O$507,O449)&gt;0,1,0))</f>
        <v>0</v>
      </c>
      <c r="Q449" s="9" t="str">
        <f aca="false">IF(OR(N449="",P449=1),"",N449&amp;"#"&amp;COUNTIFS($N$8:N449,N449,$P$8:P449,0))</f>
        <v/>
      </c>
      <c r="R449" s="9" t="n">
        <f aca="false">IF(N449="",0,IFERROR(MATCH(ROW()-7,'Cash Book'!$U$8:$U$507,0),0))</f>
        <v>0</v>
      </c>
      <c r="V449" s="9" t="str">
        <f aca="false">IF(AND(N449&lt;&gt;"",R449=0),IF(M449="IN",3,4)*100000+ROW(),"")</f>
        <v/>
      </c>
      <c r="W449" s="9" t="n">
        <f aca="false">N(E449)+N(F449)</f>
        <v>0</v>
      </c>
    </row>
    <row r="450" customFormat="false" ht="15" hidden="false" customHeight="false" outlineLevel="0" collapsed="false">
      <c r="A450" s="37" t="str">
        <f aca="false">IF(M450="","",ROW()-7)</f>
        <v/>
      </c>
      <c r="B450" s="70"/>
      <c r="C450" s="72"/>
      <c r="D450" s="71"/>
      <c r="E450" s="73"/>
      <c r="F450" s="73"/>
      <c r="G450" s="73"/>
      <c r="H450" s="42" t="str">
        <f aca="false">IF(M450="","",IF(R450&gt;0,"✔ Matched",IF(M450="IN","Not in cash book (credit)","Not in cash book (debit)")))</f>
        <v/>
      </c>
      <c r="I450" s="43" t="str">
        <f aca="false">IF(N(R450)&gt;0,R450,"")</f>
        <v/>
      </c>
      <c r="J450" s="45" t="str">
        <f aca="false">IF(AND(M450="",B450="",C450=""),"",IF(AND(N(E450)&gt;0,N(F450)&gt;0),"⚠ Fill withdrawal OR deposit",IF(M450="","⚠ Enter amount",IF(B450="","⚠ Enter date",IF(NOT(OR(NOT(ISNUMBER(G450)),NOT(ISNUMBER(G449)),ABS(N(G450)-(N(G449)+N(F450)-N(E450)))&lt;=0.5)),"⚠ Balance does not follow previous row","✔")))))</f>
        <v/>
      </c>
      <c r="M450" s="9" t="str">
        <f aca="false">IF(N(F450)&gt;0,"IN",IF(N(E450)&gt;0,"OUT",""))</f>
        <v/>
      </c>
      <c r="N450" s="9" t="str">
        <f aca="false">IF(M450="","",M450&amp;"|"&amp;TEXT(ROUND(N(E450)+N(F450),2),"0.00"))</f>
        <v/>
      </c>
      <c r="O450" s="9" t="str">
        <f aca="false">IF(OR(N450="",TRIM(D450&amp;"")=""),"",N450&amp;"|"&amp;UPPER(TRIM(D450&amp;"")))</f>
        <v/>
      </c>
      <c r="P450" s="9" t="n">
        <f aca="false">IF(O450="",0,IF(COUNTIF('Cash Book'!$O$8:$O$507,O450)&gt;0,1,0))</f>
        <v>0</v>
      </c>
      <c r="Q450" s="9" t="str">
        <f aca="false">IF(OR(N450="",P450=1),"",N450&amp;"#"&amp;COUNTIFS($N$8:N450,N450,$P$8:P450,0))</f>
        <v/>
      </c>
      <c r="R450" s="9" t="n">
        <f aca="false">IF(N450="",0,IFERROR(MATCH(ROW()-7,'Cash Book'!$U$8:$U$507,0),0))</f>
        <v>0</v>
      </c>
      <c r="V450" s="9" t="str">
        <f aca="false">IF(AND(N450&lt;&gt;"",R450=0),IF(M450="IN",3,4)*100000+ROW(),"")</f>
        <v/>
      </c>
      <c r="W450" s="9" t="n">
        <f aca="false">N(E450)+N(F450)</f>
        <v>0</v>
      </c>
    </row>
    <row r="451" customFormat="false" ht="15" hidden="false" customHeight="false" outlineLevel="0" collapsed="false">
      <c r="A451" s="37" t="str">
        <f aca="false">IF(M451="","",ROW()-7)</f>
        <v/>
      </c>
      <c r="B451" s="70"/>
      <c r="C451" s="72"/>
      <c r="D451" s="71"/>
      <c r="E451" s="73"/>
      <c r="F451" s="73"/>
      <c r="G451" s="73"/>
      <c r="H451" s="42" t="str">
        <f aca="false">IF(M451="","",IF(R451&gt;0,"✔ Matched",IF(M451="IN","Not in cash book (credit)","Not in cash book (debit)")))</f>
        <v/>
      </c>
      <c r="I451" s="43" t="str">
        <f aca="false">IF(N(R451)&gt;0,R451,"")</f>
        <v/>
      </c>
      <c r="J451" s="45" t="str">
        <f aca="false">IF(AND(M451="",B451="",C451=""),"",IF(AND(N(E451)&gt;0,N(F451)&gt;0),"⚠ Fill withdrawal OR deposit",IF(M451="","⚠ Enter amount",IF(B451="","⚠ Enter date",IF(NOT(OR(NOT(ISNUMBER(G451)),NOT(ISNUMBER(G450)),ABS(N(G451)-(N(G450)+N(F451)-N(E451)))&lt;=0.5)),"⚠ Balance does not follow previous row","✔")))))</f>
        <v/>
      </c>
      <c r="M451" s="9" t="str">
        <f aca="false">IF(N(F451)&gt;0,"IN",IF(N(E451)&gt;0,"OUT",""))</f>
        <v/>
      </c>
      <c r="N451" s="9" t="str">
        <f aca="false">IF(M451="","",M451&amp;"|"&amp;TEXT(ROUND(N(E451)+N(F451),2),"0.00"))</f>
        <v/>
      </c>
      <c r="O451" s="9" t="str">
        <f aca="false">IF(OR(N451="",TRIM(D451&amp;"")=""),"",N451&amp;"|"&amp;UPPER(TRIM(D451&amp;"")))</f>
        <v/>
      </c>
      <c r="P451" s="9" t="n">
        <f aca="false">IF(O451="",0,IF(COUNTIF('Cash Book'!$O$8:$O$507,O451)&gt;0,1,0))</f>
        <v>0</v>
      </c>
      <c r="Q451" s="9" t="str">
        <f aca="false">IF(OR(N451="",P451=1),"",N451&amp;"#"&amp;COUNTIFS($N$8:N451,N451,$P$8:P451,0))</f>
        <v/>
      </c>
      <c r="R451" s="9" t="n">
        <f aca="false">IF(N451="",0,IFERROR(MATCH(ROW()-7,'Cash Book'!$U$8:$U$507,0),0))</f>
        <v>0</v>
      </c>
      <c r="V451" s="9" t="str">
        <f aca="false">IF(AND(N451&lt;&gt;"",R451=0),IF(M451="IN",3,4)*100000+ROW(),"")</f>
        <v/>
      </c>
      <c r="W451" s="9" t="n">
        <f aca="false">N(E451)+N(F451)</f>
        <v>0</v>
      </c>
    </row>
    <row r="452" customFormat="false" ht="15" hidden="false" customHeight="false" outlineLevel="0" collapsed="false">
      <c r="A452" s="37" t="str">
        <f aca="false">IF(M452="","",ROW()-7)</f>
        <v/>
      </c>
      <c r="B452" s="70"/>
      <c r="C452" s="72"/>
      <c r="D452" s="71"/>
      <c r="E452" s="73"/>
      <c r="F452" s="73"/>
      <c r="G452" s="73"/>
      <c r="H452" s="42" t="str">
        <f aca="false">IF(M452="","",IF(R452&gt;0,"✔ Matched",IF(M452="IN","Not in cash book (credit)","Not in cash book (debit)")))</f>
        <v/>
      </c>
      <c r="I452" s="43" t="str">
        <f aca="false">IF(N(R452)&gt;0,R452,"")</f>
        <v/>
      </c>
      <c r="J452" s="45" t="str">
        <f aca="false">IF(AND(M452="",B452="",C452=""),"",IF(AND(N(E452)&gt;0,N(F452)&gt;0),"⚠ Fill withdrawal OR deposit",IF(M452="","⚠ Enter amount",IF(B452="","⚠ Enter date",IF(NOT(OR(NOT(ISNUMBER(G452)),NOT(ISNUMBER(G451)),ABS(N(G452)-(N(G451)+N(F452)-N(E452)))&lt;=0.5)),"⚠ Balance does not follow previous row","✔")))))</f>
        <v/>
      </c>
      <c r="M452" s="9" t="str">
        <f aca="false">IF(N(F452)&gt;0,"IN",IF(N(E452)&gt;0,"OUT",""))</f>
        <v/>
      </c>
      <c r="N452" s="9" t="str">
        <f aca="false">IF(M452="","",M452&amp;"|"&amp;TEXT(ROUND(N(E452)+N(F452),2),"0.00"))</f>
        <v/>
      </c>
      <c r="O452" s="9" t="str">
        <f aca="false">IF(OR(N452="",TRIM(D452&amp;"")=""),"",N452&amp;"|"&amp;UPPER(TRIM(D452&amp;"")))</f>
        <v/>
      </c>
      <c r="P452" s="9" t="n">
        <f aca="false">IF(O452="",0,IF(COUNTIF('Cash Book'!$O$8:$O$507,O452)&gt;0,1,0))</f>
        <v>0</v>
      </c>
      <c r="Q452" s="9" t="str">
        <f aca="false">IF(OR(N452="",P452=1),"",N452&amp;"#"&amp;COUNTIFS($N$8:N452,N452,$P$8:P452,0))</f>
        <v/>
      </c>
      <c r="R452" s="9" t="n">
        <f aca="false">IF(N452="",0,IFERROR(MATCH(ROW()-7,'Cash Book'!$U$8:$U$507,0),0))</f>
        <v>0</v>
      </c>
      <c r="V452" s="9" t="str">
        <f aca="false">IF(AND(N452&lt;&gt;"",R452=0),IF(M452="IN",3,4)*100000+ROW(),"")</f>
        <v/>
      </c>
      <c r="W452" s="9" t="n">
        <f aca="false">N(E452)+N(F452)</f>
        <v>0</v>
      </c>
    </row>
    <row r="453" customFormat="false" ht="15" hidden="false" customHeight="false" outlineLevel="0" collapsed="false">
      <c r="A453" s="37" t="str">
        <f aca="false">IF(M453="","",ROW()-7)</f>
        <v/>
      </c>
      <c r="B453" s="70"/>
      <c r="C453" s="72"/>
      <c r="D453" s="71"/>
      <c r="E453" s="73"/>
      <c r="F453" s="73"/>
      <c r="G453" s="73"/>
      <c r="H453" s="42" t="str">
        <f aca="false">IF(M453="","",IF(R453&gt;0,"✔ Matched",IF(M453="IN","Not in cash book (credit)","Not in cash book (debit)")))</f>
        <v/>
      </c>
      <c r="I453" s="43" t="str">
        <f aca="false">IF(N(R453)&gt;0,R453,"")</f>
        <v/>
      </c>
      <c r="J453" s="45" t="str">
        <f aca="false">IF(AND(M453="",B453="",C453=""),"",IF(AND(N(E453)&gt;0,N(F453)&gt;0),"⚠ Fill withdrawal OR deposit",IF(M453="","⚠ Enter amount",IF(B453="","⚠ Enter date",IF(NOT(OR(NOT(ISNUMBER(G453)),NOT(ISNUMBER(G452)),ABS(N(G453)-(N(G452)+N(F453)-N(E453)))&lt;=0.5)),"⚠ Balance does not follow previous row","✔")))))</f>
        <v/>
      </c>
      <c r="M453" s="9" t="str">
        <f aca="false">IF(N(F453)&gt;0,"IN",IF(N(E453)&gt;0,"OUT",""))</f>
        <v/>
      </c>
      <c r="N453" s="9" t="str">
        <f aca="false">IF(M453="","",M453&amp;"|"&amp;TEXT(ROUND(N(E453)+N(F453),2),"0.00"))</f>
        <v/>
      </c>
      <c r="O453" s="9" t="str">
        <f aca="false">IF(OR(N453="",TRIM(D453&amp;"")=""),"",N453&amp;"|"&amp;UPPER(TRIM(D453&amp;"")))</f>
        <v/>
      </c>
      <c r="P453" s="9" t="n">
        <f aca="false">IF(O453="",0,IF(COUNTIF('Cash Book'!$O$8:$O$507,O453)&gt;0,1,0))</f>
        <v>0</v>
      </c>
      <c r="Q453" s="9" t="str">
        <f aca="false">IF(OR(N453="",P453=1),"",N453&amp;"#"&amp;COUNTIFS($N$8:N453,N453,$P$8:P453,0))</f>
        <v/>
      </c>
      <c r="R453" s="9" t="n">
        <f aca="false">IF(N453="",0,IFERROR(MATCH(ROW()-7,'Cash Book'!$U$8:$U$507,0),0))</f>
        <v>0</v>
      </c>
      <c r="V453" s="9" t="str">
        <f aca="false">IF(AND(N453&lt;&gt;"",R453=0),IF(M453="IN",3,4)*100000+ROW(),"")</f>
        <v/>
      </c>
      <c r="W453" s="9" t="n">
        <f aca="false">N(E453)+N(F453)</f>
        <v>0</v>
      </c>
    </row>
    <row r="454" customFormat="false" ht="15" hidden="false" customHeight="false" outlineLevel="0" collapsed="false">
      <c r="A454" s="37" t="str">
        <f aca="false">IF(M454="","",ROW()-7)</f>
        <v/>
      </c>
      <c r="B454" s="70"/>
      <c r="C454" s="72"/>
      <c r="D454" s="71"/>
      <c r="E454" s="73"/>
      <c r="F454" s="73"/>
      <c r="G454" s="73"/>
      <c r="H454" s="42" t="str">
        <f aca="false">IF(M454="","",IF(R454&gt;0,"✔ Matched",IF(M454="IN","Not in cash book (credit)","Not in cash book (debit)")))</f>
        <v/>
      </c>
      <c r="I454" s="43" t="str">
        <f aca="false">IF(N(R454)&gt;0,R454,"")</f>
        <v/>
      </c>
      <c r="J454" s="45" t="str">
        <f aca="false">IF(AND(M454="",B454="",C454=""),"",IF(AND(N(E454)&gt;0,N(F454)&gt;0),"⚠ Fill withdrawal OR deposit",IF(M454="","⚠ Enter amount",IF(B454="","⚠ Enter date",IF(NOT(OR(NOT(ISNUMBER(G454)),NOT(ISNUMBER(G453)),ABS(N(G454)-(N(G453)+N(F454)-N(E454)))&lt;=0.5)),"⚠ Balance does not follow previous row","✔")))))</f>
        <v/>
      </c>
      <c r="M454" s="9" t="str">
        <f aca="false">IF(N(F454)&gt;0,"IN",IF(N(E454)&gt;0,"OUT",""))</f>
        <v/>
      </c>
      <c r="N454" s="9" t="str">
        <f aca="false">IF(M454="","",M454&amp;"|"&amp;TEXT(ROUND(N(E454)+N(F454),2),"0.00"))</f>
        <v/>
      </c>
      <c r="O454" s="9" t="str">
        <f aca="false">IF(OR(N454="",TRIM(D454&amp;"")=""),"",N454&amp;"|"&amp;UPPER(TRIM(D454&amp;"")))</f>
        <v/>
      </c>
      <c r="P454" s="9" t="n">
        <f aca="false">IF(O454="",0,IF(COUNTIF('Cash Book'!$O$8:$O$507,O454)&gt;0,1,0))</f>
        <v>0</v>
      </c>
      <c r="Q454" s="9" t="str">
        <f aca="false">IF(OR(N454="",P454=1),"",N454&amp;"#"&amp;COUNTIFS($N$8:N454,N454,$P$8:P454,0))</f>
        <v/>
      </c>
      <c r="R454" s="9" t="n">
        <f aca="false">IF(N454="",0,IFERROR(MATCH(ROW()-7,'Cash Book'!$U$8:$U$507,0),0))</f>
        <v>0</v>
      </c>
      <c r="V454" s="9" t="str">
        <f aca="false">IF(AND(N454&lt;&gt;"",R454=0),IF(M454="IN",3,4)*100000+ROW(),"")</f>
        <v/>
      </c>
      <c r="W454" s="9" t="n">
        <f aca="false">N(E454)+N(F454)</f>
        <v>0</v>
      </c>
    </row>
    <row r="455" customFormat="false" ht="15" hidden="false" customHeight="false" outlineLevel="0" collapsed="false">
      <c r="A455" s="37" t="str">
        <f aca="false">IF(M455="","",ROW()-7)</f>
        <v/>
      </c>
      <c r="B455" s="70"/>
      <c r="C455" s="72"/>
      <c r="D455" s="71"/>
      <c r="E455" s="73"/>
      <c r="F455" s="73"/>
      <c r="G455" s="73"/>
      <c r="H455" s="42" t="str">
        <f aca="false">IF(M455="","",IF(R455&gt;0,"✔ Matched",IF(M455="IN","Not in cash book (credit)","Not in cash book (debit)")))</f>
        <v/>
      </c>
      <c r="I455" s="43" t="str">
        <f aca="false">IF(N(R455)&gt;0,R455,"")</f>
        <v/>
      </c>
      <c r="J455" s="45" t="str">
        <f aca="false">IF(AND(M455="",B455="",C455=""),"",IF(AND(N(E455)&gt;0,N(F455)&gt;0),"⚠ Fill withdrawal OR deposit",IF(M455="","⚠ Enter amount",IF(B455="","⚠ Enter date",IF(NOT(OR(NOT(ISNUMBER(G455)),NOT(ISNUMBER(G454)),ABS(N(G455)-(N(G454)+N(F455)-N(E455)))&lt;=0.5)),"⚠ Balance does not follow previous row","✔")))))</f>
        <v/>
      </c>
      <c r="M455" s="9" t="str">
        <f aca="false">IF(N(F455)&gt;0,"IN",IF(N(E455)&gt;0,"OUT",""))</f>
        <v/>
      </c>
      <c r="N455" s="9" t="str">
        <f aca="false">IF(M455="","",M455&amp;"|"&amp;TEXT(ROUND(N(E455)+N(F455),2),"0.00"))</f>
        <v/>
      </c>
      <c r="O455" s="9" t="str">
        <f aca="false">IF(OR(N455="",TRIM(D455&amp;"")=""),"",N455&amp;"|"&amp;UPPER(TRIM(D455&amp;"")))</f>
        <v/>
      </c>
      <c r="P455" s="9" t="n">
        <f aca="false">IF(O455="",0,IF(COUNTIF('Cash Book'!$O$8:$O$507,O455)&gt;0,1,0))</f>
        <v>0</v>
      </c>
      <c r="Q455" s="9" t="str">
        <f aca="false">IF(OR(N455="",P455=1),"",N455&amp;"#"&amp;COUNTIFS($N$8:N455,N455,$P$8:P455,0))</f>
        <v/>
      </c>
      <c r="R455" s="9" t="n">
        <f aca="false">IF(N455="",0,IFERROR(MATCH(ROW()-7,'Cash Book'!$U$8:$U$507,0),0))</f>
        <v>0</v>
      </c>
      <c r="V455" s="9" t="str">
        <f aca="false">IF(AND(N455&lt;&gt;"",R455=0),IF(M455="IN",3,4)*100000+ROW(),"")</f>
        <v/>
      </c>
      <c r="W455" s="9" t="n">
        <f aca="false">N(E455)+N(F455)</f>
        <v>0</v>
      </c>
    </row>
    <row r="456" customFormat="false" ht="15" hidden="false" customHeight="false" outlineLevel="0" collapsed="false">
      <c r="A456" s="37" t="str">
        <f aca="false">IF(M456="","",ROW()-7)</f>
        <v/>
      </c>
      <c r="B456" s="70"/>
      <c r="C456" s="72"/>
      <c r="D456" s="71"/>
      <c r="E456" s="73"/>
      <c r="F456" s="73"/>
      <c r="G456" s="73"/>
      <c r="H456" s="42" t="str">
        <f aca="false">IF(M456="","",IF(R456&gt;0,"✔ Matched",IF(M456="IN","Not in cash book (credit)","Not in cash book (debit)")))</f>
        <v/>
      </c>
      <c r="I456" s="43" t="str">
        <f aca="false">IF(N(R456)&gt;0,R456,"")</f>
        <v/>
      </c>
      <c r="J456" s="45" t="str">
        <f aca="false">IF(AND(M456="",B456="",C456=""),"",IF(AND(N(E456)&gt;0,N(F456)&gt;0),"⚠ Fill withdrawal OR deposit",IF(M456="","⚠ Enter amount",IF(B456="","⚠ Enter date",IF(NOT(OR(NOT(ISNUMBER(G456)),NOT(ISNUMBER(G455)),ABS(N(G456)-(N(G455)+N(F456)-N(E456)))&lt;=0.5)),"⚠ Balance does not follow previous row","✔")))))</f>
        <v/>
      </c>
      <c r="M456" s="9" t="str">
        <f aca="false">IF(N(F456)&gt;0,"IN",IF(N(E456)&gt;0,"OUT",""))</f>
        <v/>
      </c>
      <c r="N456" s="9" t="str">
        <f aca="false">IF(M456="","",M456&amp;"|"&amp;TEXT(ROUND(N(E456)+N(F456),2),"0.00"))</f>
        <v/>
      </c>
      <c r="O456" s="9" t="str">
        <f aca="false">IF(OR(N456="",TRIM(D456&amp;"")=""),"",N456&amp;"|"&amp;UPPER(TRIM(D456&amp;"")))</f>
        <v/>
      </c>
      <c r="P456" s="9" t="n">
        <f aca="false">IF(O456="",0,IF(COUNTIF('Cash Book'!$O$8:$O$507,O456)&gt;0,1,0))</f>
        <v>0</v>
      </c>
      <c r="Q456" s="9" t="str">
        <f aca="false">IF(OR(N456="",P456=1),"",N456&amp;"#"&amp;COUNTIFS($N$8:N456,N456,$P$8:P456,0))</f>
        <v/>
      </c>
      <c r="R456" s="9" t="n">
        <f aca="false">IF(N456="",0,IFERROR(MATCH(ROW()-7,'Cash Book'!$U$8:$U$507,0),0))</f>
        <v>0</v>
      </c>
      <c r="V456" s="9" t="str">
        <f aca="false">IF(AND(N456&lt;&gt;"",R456=0),IF(M456="IN",3,4)*100000+ROW(),"")</f>
        <v/>
      </c>
      <c r="W456" s="9" t="n">
        <f aca="false">N(E456)+N(F456)</f>
        <v>0</v>
      </c>
    </row>
    <row r="457" customFormat="false" ht="15" hidden="false" customHeight="false" outlineLevel="0" collapsed="false">
      <c r="A457" s="37" t="str">
        <f aca="false">IF(M457="","",ROW()-7)</f>
        <v/>
      </c>
      <c r="B457" s="70"/>
      <c r="C457" s="72"/>
      <c r="D457" s="71"/>
      <c r="E457" s="73"/>
      <c r="F457" s="73"/>
      <c r="G457" s="73"/>
      <c r="H457" s="42" t="str">
        <f aca="false">IF(M457="","",IF(R457&gt;0,"✔ Matched",IF(M457="IN","Not in cash book (credit)","Not in cash book (debit)")))</f>
        <v/>
      </c>
      <c r="I457" s="43" t="str">
        <f aca="false">IF(N(R457)&gt;0,R457,"")</f>
        <v/>
      </c>
      <c r="J457" s="45" t="str">
        <f aca="false">IF(AND(M457="",B457="",C457=""),"",IF(AND(N(E457)&gt;0,N(F457)&gt;0),"⚠ Fill withdrawal OR deposit",IF(M457="","⚠ Enter amount",IF(B457="","⚠ Enter date",IF(NOT(OR(NOT(ISNUMBER(G457)),NOT(ISNUMBER(G456)),ABS(N(G457)-(N(G456)+N(F457)-N(E457)))&lt;=0.5)),"⚠ Balance does not follow previous row","✔")))))</f>
        <v/>
      </c>
      <c r="M457" s="9" t="str">
        <f aca="false">IF(N(F457)&gt;0,"IN",IF(N(E457)&gt;0,"OUT",""))</f>
        <v/>
      </c>
      <c r="N457" s="9" t="str">
        <f aca="false">IF(M457="","",M457&amp;"|"&amp;TEXT(ROUND(N(E457)+N(F457),2),"0.00"))</f>
        <v/>
      </c>
      <c r="O457" s="9" t="str">
        <f aca="false">IF(OR(N457="",TRIM(D457&amp;"")=""),"",N457&amp;"|"&amp;UPPER(TRIM(D457&amp;"")))</f>
        <v/>
      </c>
      <c r="P457" s="9" t="n">
        <f aca="false">IF(O457="",0,IF(COUNTIF('Cash Book'!$O$8:$O$507,O457)&gt;0,1,0))</f>
        <v>0</v>
      </c>
      <c r="Q457" s="9" t="str">
        <f aca="false">IF(OR(N457="",P457=1),"",N457&amp;"#"&amp;COUNTIFS($N$8:N457,N457,$P$8:P457,0))</f>
        <v/>
      </c>
      <c r="R457" s="9" t="n">
        <f aca="false">IF(N457="",0,IFERROR(MATCH(ROW()-7,'Cash Book'!$U$8:$U$507,0),0))</f>
        <v>0</v>
      </c>
      <c r="V457" s="9" t="str">
        <f aca="false">IF(AND(N457&lt;&gt;"",R457=0),IF(M457="IN",3,4)*100000+ROW(),"")</f>
        <v/>
      </c>
      <c r="W457" s="9" t="n">
        <f aca="false">N(E457)+N(F457)</f>
        <v>0</v>
      </c>
    </row>
    <row r="458" customFormat="false" ht="15" hidden="false" customHeight="false" outlineLevel="0" collapsed="false">
      <c r="A458" s="37" t="str">
        <f aca="false">IF(M458="","",ROW()-7)</f>
        <v/>
      </c>
      <c r="B458" s="70"/>
      <c r="C458" s="72"/>
      <c r="D458" s="71"/>
      <c r="E458" s="73"/>
      <c r="F458" s="73"/>
      <c r="G458" s="73"/>
      <c r="H458" s="42" t="str">
        <f aca="false">IF(M458="","",IF(R458&gt;0,"✔ Matched",IF(M458="IN","Not in cash book (credit)","Not in cash book (debit)")))</f>
        <v/>
      </c>
      <c r="I458" s="43" t="str">
        <f aca="false">IF(N(R458)&gt;0,R458,"")</f>
        <v/>
      </c>
      <c r="J458" s="45" t="str">
        <f aca="false">IF(AND(M458="",B458="",C458=""),"",IF(AND(N(E458)&gt;0,N(F458)&gt;0),"⚠ Fill withdrawal OR deposit",IF(M458="","⚠ Enter amount",IF(B458="","⚠ Enter date",IF(NOT(OR(NOT(ISNUMBER(G458)),NOT(ISNUMBER(G457)),ABS(N(G458)-(N(G457)+N(F458)-N(E458)))&lt;=0.5)),"⚠ Balance does not follow previous row","✔")))))</f>
        <v/>
      </c>
      <c r="M458" s="9" t="str">
        <f aca="false">IF(N(F458)&gt;0,"IN",IF(N(E458)&gt;0,"OUT",""))</f>
        <v/>
      </c>
      <c r="N458" s="9" t="str">
        <f aca="false">IF(M458="","",M458&amp;"|"&amp;TEXT(ROUND(N(E458)+N(F458),2),"0.00"))</f>
        <v/>
      </c>
      <c r="O458" s="9" t="str">
        <f aca="false">IF(OR(N458="",TRIM(D458&amp;"")=""),"",N458&amp;"|"&amp;UPPER(TRIM(D458&amp;"")))</f>
        <v/>
      </c>
      <c r="P458" s="9" t="n">
        <f aca="false">IF(O458="",0,IF(COUNTIF('Cash Book'!$O$8:$O$507,O458)&gt;0,1,0))</f>
        <v>0</v>
      </c>
      <c r="Q458" s="9" t="str">
        <f aca="false">IF(OR(N458="",P458=1),"",N458&amp;"#"&amp;COUNTIFS($N$8:N458,N458,$P$8:P458,0))</f>
        <v/>
      </c>
      <c r="R458" s="9" t="n">
        <f aca="false">IF(N458="",0,IFERROR(MATCH(ROW()-7,'Cash Book'!$U$8:$U$507,0),0))</f>
        <v>0</v>
      </c>
      <c r="V458" s="9" t="str">
        <f aca="false">IF(AND(N458&lt;&gt;"",R458=0),IF(M458="IN",3,4)*100000+ROW(),"")</f>
        <v/>
      </c>
      <c r="W458" s="9" t="n">
        <f aca="false">N(E458)+N(F458)</f>
        <v>0</v>
      </c>
    </row>
    <row r="459" customFormat="false" ht="15" hidden="false" customHeight="false" outlineLevel="0" collapsed="false">
      <c r="A459" s="37" t="str">
        <f aca="false">IF(M459="","",ROW()-7)</f>
        <v/>
      </c>
      <c r="B459" s="70"/>
      <c r="C459" s="72"/>
      <c r="D459" s="71"/>
      <c r="E459" s="73"/>
      <c r="F459" s="73"/>
      <c r="G459" s="73"/>
      <c r="H459" s="42" t="str">
        <f aca="false">IF(M459="","",IF(R459&gt;0,"✔ Matched",IF(M459="IN","Not in cash book (credit)","Not in cash book (debit)")))</f>
        <v/>
      </c>
      <c r="I459" s="43" t="str">
        <f aca="false">IF(N(R459)&gt;0,R459,"")</f>
        <v/>
      </c>
      <c r="J459" s="45" t="str">
        <f aca="false">IF(AND(M459="",B459="",C459=""),"",IF(AND(N(E459)&gt;0,N(F459)&gt;0),"⚠ Fill withdrawal OR deposit",IF(M459="","⚠ Enter amount",IF(B459="","⚠ Enter date",IF(NOT(OR(NOT(ISNUMBER(G459)),NOT(ISNUMBER(G458)),ABS(N(G459)-(N(G458)+N(F459)-N(E459)))&lt;=0.5)),"⚠ Balance does not follow previous row","✔")))))</f>
        <v/>
      </c>
      <c r="M459" s="9" t="str">
        <f aca="false">IF(N(F459)&gt;0,"IN",IF(N(E459)&gt;0,"OUT",""))</f>
        <v/>
      </c>
      <c r="N459" s="9" t="str">
        <f aca="false">IF(M459="","",M459&amp;"|"&amp;TEXT(ROUND(N(E459)+N(F459),2),"0.00"))</f>
        <v/>
      </c>
      <c r="O459" s="9" t="str">
        <f aca="false">IF(OR(N459="",TRIM(D459&amp;"")=""),"",N459&amp;"|"&amp;UPPER(TRIM(D459&amp;"")))</f>
        <v/>
      </c>
      <c r="P459" s="9" t="n">
        <f aca="false">IF(O459="",0,IF(COUNTIF('Cash Book'!$O$8:$O$507,O459)&gt;0,1,0))</f>
        <v>0</v>
      </c>
      <c r="Q459" s="9" t="str">
        <f aca="false">IF(OR(N459="",P459=1),"",N459&amp;"#"&amp;COUNTIFS($N$8:N459,N459,$P$8:P459,0))</f>
        <v/>
      </c>
      <c r="R459" s="9" t="n">
        <f aca="false">IF(N459="",0,IFERROR(MATCH(ROW()-7,'Cash Book'!$U$8:$U$507,0),0))</f>
        <v>0</v>
      </c>
      <c r="V459" s="9" t="str">
        <f aca="false">IF(AND(N459&lt;&gt;"",R459=0),IF(M459="IN",3,4)*100000+ROW(),"")</f>
        <v/>
      </c>
      <c r="W459" s="9" t="n">
        <f aca="false">N(E459)+N(F459)</f>
        <v>0</v>
      </c>
    </row>
    <row r="460" customFormat="false" ht="15" hidden="false" customHeight="false" outlineLevel="0" collapsed="false">
      <c r="A460" s="37" t="str">
        <f aca="false">IF(M460="","",ROW()-7)</f>
        <v/>
      </c>
      <c r="B460" s="70"/>
      <c r="C460" s="72"/>
      <c r="D460" s="71"/>
      <c r="E460" s="73"/>
      <c r="F460" s="73"/>
      <c r="G460" s="73"/>
      <c r="H460" s="42" t="str">
        <f aca="false">IF(M460="","",IF(R460&gt;0,"✔ Matched",IF(M460="IN","Not in cash book (credit)","Not in cash book (debit)")))</f>
        <v/>
      </c>
      <c r="I460" s="43" t="str">
        <f aca="false">IF(N(R460)&gt;0,R460,"")</f>
        <v/>
      </c>
      <c r="J460" s="45" t="str">
        <f aca="false">IF(AND(M460="",B460="",C460=""),"",IF(AND(N(E460)&gt;0,N(F460)&gt;0),"⚠ Fill withdrawal OR deposit",IF(M460="","⚠ Enter amount",IF(B460="","⚠ Enter date",IF(NOT(OR(NOT(ISNUMBER(G460)),NOT(ISNUMBER(G459)),ABS(N(G460)-(N(G459)+N(F460)-N(E460)))&lt;=0.5)),"⚠ Balance does not follow previous row","✔")))))</f>
        <v/>
      </c>
      <c r="M460" s="9" t="str">
        <f aca="false">IF(N(F460)&gt;0,"IN",IF(N(E460)&gt;0,"OUT",""))</f>
        <v/>
      </c>
      <c r="N460" s="9" t="str">
        <f aca="false">IF(M460="","",M460&amp;"|"&amp;TEXT(ROUND(N(E460)+N(F460),2),"0.00"))</f>
        <v/>
      </c>
      <c r="O460" s="9" t="str">
        <f aca="false">IF(OR(N460="",TRIM(D460&amp;"")=""),"",N460&amp;"|"&amp;UPPER(TRIM(D460&amp;"")))</f>
        <v/>
      </c>
      <c r="P460" s="9" t="n">
        <f aca="false">IF(O460="",0,IF(COUNTIF('Cash Book'!$O$8:$O$507,O460)&gt;0,1,0))</f>
        <v>0</v>
      </c>
      <c r="Q460" s="9" t="str">
        <f aca="false">IF(OR(N460="",P460=1),"",N460&amp;"#"&amp;COUNTIFS($N$8:N460,N460,$P$8:P460,0))</f>
        <v/>
      </c>
      <c r="R460" s="9" t="n">
        <f aca="false">IF(N460="",0,IFERROR(MATCH(ROW()-7,'Cash Book'!$U$8:$U$507,0),0))</f>
        <v>0</v>
      </c>
      <c r="V460" s="9" t="str">
        <f aca="false">IF(AND(N460&lt;&gt;"",R460=0),IF(M460="IN",3,4)*100000+ROW(),"")</f>
        <v/>
      </c>
      <c r="W460" s="9" t="n">
        <f aca="false">N(E460)+N(F460)</f>
        <v>0</v>
      </c>
    </row>
    <row r="461" customFormat="false" ht="15" hidden="false" customHeight="false" outlineLevel="0" collapsed="false">
      <c r="A461" s="37" t="str">
        <f aca="false">IF(M461="","",ROW()-7)</f>
        <v/>
      </c>
      <c r="B461" s="70"/>
      <c r="C461" s="72"/>
      <c r="D461" s="71"/>
      <c r="E461" s="73"/>
      <c r="F461" s="73"/>
      <c r="G461" s="73"/>
      <c r="H461" s="42" t="str">
        <f aca="false">IF(M461="","",IF(R461&gt;0,"✔ Matched",IF(M461="IN","Not in cash book (credit)","Not in cash book (debit)")))</f>
        <v/>
      </c>
      <c r="I461" s="43" t="str">
        <f aca="false">IF(N(R461)&gt;0,R461,"")</f>
        <v/>
      </c>
      <c r="J461" s="45" t="str">
        <f aca="false">IF(AND(M461="",B461="",C461=""),"",IF(AND(N(E461)&gt;0,N(F461)&gt;0),"⚠ Fill withdrawal OR deposit",IF(M461="","⚠ Enter amount",IF(B461="","⚠ Enter date",IF(NOT(OR(NOT(ISNUMBER(G461)),NOT(ISNUMBER(G460)),ABS(N(G461)-(N(G460)+N(F461)-N(E461)))&lt;=0.5)),"⚠ Balance does not follow previous row","✔")))))</f>
        <v/>
      </c>
      <c r="M461" s="9" t="str">
        <f aca="false">IF(N(F461)&gt;0,"IN",IF(N(E461)&gt;0,"OUT",""))</f>
        <v/>
      </c>
      <c r="N461" s="9" t="str">
        <f aca="false">IF(M461="","",M461&amp;"|"&amp;TEXT(ROUND(N(E461)+N(F461),2),"0.00"))</f>
        <v/>
      </c>
      <c r="O461" s="9" t="str">
        <f aca="false">IF(OR(N461="",TRIM(D461&amp;"")=""),"",N461&amp;"|"&amp;UPPER(TRIM(D461&amp;"")))</f>
        <v/>
      </c>
      <c r="P461" s="9" t="n">
        <f aca="false">IF(O461="",0,IF(COUNTIF('Cash Book'!$O$8:$O$507,O461)&gt;0,1,0))</f>
        <v>0</v>
      </c>
      <c r="Q461" s="9" t="str">
        <f aca="false">IF(OR(N461="",P461=1),"",N461&amp;"#"&amp;COUNTIFS($N$8:N461,N461,$P$8:P461,0))</f>
        <v/>
      </c>
      <c r="R461" s="9" t="n">
        <f aca="false">IF(N461="",0,IFERROR(MATCH(ROW()-7,'Cash Book'!$U$8:$U$507,0),0))</f>
        <v>0</v>
      </c>
      <c r="V461" s="9" t="str">
        <f aca="false">IF(AND(N461&lt;&gt;"",R461=0),IF(M461="IN",3,4)*100000+ROW(),"")</f>
        <v/>
      </c>
      <c r="W461" s="9" t="n">
        <f aca="false">N(E461)+N(F461)</f>
        <v>0</v>
      </c>
    </row>
    <row r="462" customFormat="false" ht="15" hidden="false" customHeight="false" outlineLevel="0" collapsed="false">
      <c r="A462" s="37" t="str">
        <f aca="false">IF(M462="","",ROW()-7)</f>
        <v/>
      </c>
      <c r="B462" s="70"/>
      <c r="C462" s="72"/>
      <c r="D462" s="71"/>
      <c r="E462" s="73"/>
      <c r="F462" s="73"/>
      <c r="G462" s="73"/>
      <c r="H462" s="42" t="str">
        <f aca="false">IF(M462="","",IF(R462&gt;0,"✔ Matched",IF(M462="IN","Not in cash book (credit)","Not in cash book (debit)")))</f>
        <v/>
      </c>
      <c r="I462" s="43" t="str">
        <f aca="false">IF(N(R462)&gt;0,R462,"")</f>
        <v/>
      </c>
      <c r="J462" s="45" t="str">
        <f aca="false">IF(AND(M462="",B462="",C462=""),"",IF(AND(N(E462)&gt;0,N(F462)&gt;0),"⚠ Fill withdrawal OR deposit",IF(M462="","⚠ Enter amount",IF(B462="","⚠ Enter date",IF(NOT(OR(NOT(ISNUMBER(G462)),NOT(ISNUMBER(G461)),ABS(N(G462)-(N(G461)+N(F462)-N(E462)))&lt;=0.5)),"⚠ Balance does not follow previous row","✔")))))</f>
        <v/>
      </c>
      <c r="M462" s="9" t="str">
        <f aca="false">IF(N(F462)&gt;0,"IN",IF(N(E462)&gt;0,"OUT",""))</f>
        <v/>
      </c>
      <c r="N462" s="9" t="str">
        <f aca="false">IF(M462="","",M462&amp;"|"&amp;TEXT(ROUND(N(E462)+N(F462),2),"0.00"))</f>
        <v/>
      </c>
      <c r="O462" s="9" t="str">
        <f aca="false">IF(OR(N462="",TRIM(D462&amp;"")=""),"",N462&amp;"|"&amp;UPPER(TRIM(D462&amp;"")))</f>
        <v/>
      </c>
      <c r="P462" s="9" t="n">
        <f aca="false">IF(O462="",0,IF(COUNTIF('Cash Book'!$O$8:$O$507,O462)&gt;0,1,0))</f>
        <v>0</v>
      </c>
      <c r="Q462" s="9" t="str">
        <f aca="false">IF(OR(N462="",P462=1),"",N462&amp;"#"&amp;COUNTIFS($N$8:N462,N462,$P$8:P462,0))</f>
        <v/>
      </c>
      <c r="R462" s="9" t="n">
        <f aca="false">IF(N462="",0,IFERROR(MATCH(ROW()-7,'Cash Book'!$U$8:$U$507,0),0))</f>
        <v>0</v>
      </c>
      <c r="V462" s="9" t="str">
        <f aca="false">IF(AND(N462&lt;&gt;"",R462=0),IF(M462="IN",3,4)*100000+ROW(),"")</f>
        <v/>
      </c>
      <c r="W462" s="9" t="n">
        <f aca="false">N(E462)+N(F462)</f>
        <v>0</v>
      </c>
    </row>
    <row r="463" customFormat="false" ht="15" hidden="false" customHeight="false" outlineLevel="0" collapsed="false">
      <c r="A463" s="37" t="str">
        <f aca="false">IF(M463="","",ROW()-7)</f>
        <v/>
      </c>
      <c r="B463" s="70"/>
      <c r="C463" s="72"/>
      <c r="D463" s="71"/>
      <c r="E463" s="73"/>
      <c r="F463" s="73"/>
      <c r="G463" s="73"/>
      <c r="H463" s="42" t="str">
        <f aca="false">IF(M463="","",IF(R463&gt;0,"✔ Matched",IF(M463="IN","Not in cash book (credit)","Not in cash book (debit)")))</f>
        <v/>
      </c>
      <c r="I463" s="43" t="str">
        <f aca="false">IF(N(R463)&gt;0,R463,"")</f>
        <v/>
      </c>
      <c r="J463" s="45" t="str">
        <f aca="false">IF(AND(M463="",B463="",C463=""),"",IF(AND(N(E463)&gt;0,N(F463)&gt;0),"⚠ Fill withdrawal OR deposit",IF(M463="","⚠ Enter amount",IF(B463="","⚠ Enter date",IF(NOT(OR(NOT(ISNUMBER(G463)),NOT(ISNUMBER(G462)),ABS(N(G463)-(N(G462)+N(F463)-N(E463)))&lt;=0.5)),"⚠ Balance does not follow previous row","✔")))))</f>
        <v/>
      </c>
      <c r="M463" s="9" t="str">
        <f aca="false">IF(N(F463)&gt;0,"IN",IF(N(E463)&gt;0,"OUT",""))</f>
        <v/>
      </c>
      <c r="N463" s="9" t="str">
        <f aca="false">IF(M463="","",M463&amp;"|"&amp;TEXT(ROUND(N(E463)+N(F463),2),"0.00"))</f>
        <v/>
      </c>
      <c r="O463" s="9" t="str">
        <f aca="false">IF(OR(N463="",TRIM(D463&amp;"")=""),"",N463&amp;"|"&amp;UPPER(TRIM(D463&amp;"")))</f>
        <v/>
      </c>
      <c r="P463" s="9" t="n">
        <f aca="false">IF(O463="",0,IF(COUNTIF('Cash Book'!$O$8:$O$507,O463)&gt;0,1,0))</f>
        <v>0</v>
      </c>
      <c r="Q463" s="9" t="str">
        <f aca="false">IF(OR(N463="",P463=1),"",N463&amp;"#"&amp;COUNTIFS($N$8:N463,N463,$P$8:P463,0))</f>
        <v/>
      </c>
      <c r="R463" s="9" t="n">
        <f aca="false">IF(N463="",0,IFERROR(MATCH(ROW()-7,'Cash Book'!$U$8:$U$507,0),0))</f>
        <v>0</v>
      </c>
      <c r="V463" s="9" t="str">
        <f aca="false">IF(AND(N463&lt;&gt;"",R463=0),IF(M463="IN",3,4)*100000+ROW(),"")</f>
        <v/>
      </c>
      <c r="W463" s="9" t="n">
        <f aca="false">N(E463)+N(F463)</f>
        <v>0</v>
      </c>
    </row>
    <row r="464" customFormat="false" ht="15" hidden="false" customHeight="false" outlineLevel="0" collapsed="false">
      <c r="A464" s="37" t="str">
        <f aca="false">IF(M464="","",ROW()-7)</f>
        <v/>
      </c>
      <c r="B464" s="70"/>
      <c r="C464" s="72"/>
      <c r="D464" s="71"/>
      <c r="E464" s="73"/>
      <c r="F464" s="73"/>
      <c r="G464" s="73"/>
      <c r="H464" s="42" t="str">
        <f aca="false">IF(M464="","",IF(R464&gt;0,"✔ Matched",IF(M464="IN","Not in cash book (credit)","Not in cash book (debit)")))</f>
        <v/>
      </c>
      <c r="I464" s="43" t="str">
        <f aca="false">IF(N(R464)&gt;0,R464,"")</f>
        <v/>
      </c>
      <c r="J464" s="45" t="str">
        <f aca="false">IF(AND(M464="",B464="",C464=""),"",IF(AND(N(E464)&gt;0,N(F464)&gt;0),"⚠ Fill withdrawal OR deposit",IF(M464="","⚠ Enter amount",IF(B464="","⚠ Enter date",IF(NOT(OR(NOT(ISNUMBER(G464)),NOT(ISNUMBER(G463)),ABS(N(G464)-(N(G463)+N(F464)-N(E464)))&lt;=0.5)),"⚠ Balance does not follow previous row","✔")))))</f>
        <v/>
      </c>
      <c r="M464" s="9" t="str">
        <f aca="false">IF(N(F464)&gt;0,"IN",IF(N(E464)&gt;0,"OUT",""))</f>
        <v/>
      </c>
      <c r="N464" s="9" t="str">
        <f aca="false">IF(M464="","",M464&amp;"|"&amp;TEXT(ROUND(N(E464)+N(F464),2),"0.00"))</f>
        <v/>
      </c>
      <c r="O464" s="9" t="str">
        <f aca="false">IF(OR(N464="",TRIM(D464&amp;"")=""),"",N464&amp;"|"&amp;UPPER(TRIM(D464&amp;"")))</f>
        <v/>
      </c>
      <c r="P464" s="9" t="n">
        <f aca="false">IF(O464="",0,IF(COUNTIF('Cash Book'!$O$8:$O$507,O464)&gt;0,1,0))</f>
        <v>0</v>
      </c>
      <c r="Q464" s="9" t="str">
        <f aca="false">IF(OR(N464="",P464=1),"",N464&amp;"#"&amp;COUNTIFS($N$8:N464,N464,$P$8:P464,0))</f>
        <v/>
      </c>
      <c r="R464" s="9" t="n">
        <f aca="false">IF(N464="",0,IFERROR(MATCH(ROW()-7,'Cash Book'!$U$8:$U$507,0),0))</f>
        <v>0</v>
      </c>
      <c r="V464" s="9" t="str">
        <f aca="false">IF(AND(N464&lt;&gt;"",R464=0),IF(M464="IN",3,4)*100000+ROW(),"")</f>
        <v/>
      </c>
      <c r="W464" s="9" t="n">
        <f aca="false">N(E464)+N(F464)</f>
        <v>0</v>
      </c>
    </row>
    <row r="465" customFormat="false" ht="15" hidden="false" customHeight="false" outlineLevel="0" collapsed="false">
      <c r="A465" s="37" t="str">
        <f aca="false">IF(M465="","",ROW()-7)</f>
        <v/>
      </c>
      <c r="B465" s="70"/>
      <c r="C465" s="72"/>
      <c r="D465" s="71"/>
      <c r="E465" s="73"/>
      <c r="F465" s="73"/>
      <c r="G465" s="73"/>
      <c r="H465" s="42" t="str">
        <f aca="false">IF(M465="","",IF(R465&gt;0,"✔ Matched",IF(M465="IN","Not in cash book (credit)","Not in cash book (debit)")))</f>
        <v/>
      </c>
      <c r="I465" s="43" t="str">
        <f aca="false">IF(N(R465)&gt;0,R465,"")</f>
        <v/>
      </c>
      <c r="J465" s="45" t="str">
        <f aca="false">IF(AND(M465="",B465="",C465=""),"",IF(AND(N(E465)&gt;0,N(F465)&gt;0),"⚠ Fill withdrawal OR deposit",IF(M465="","⚠ Enter amount",IF(B465="","⚠ Enter date",IF(NOT(OR(NOT(ISNUMBER(G465)),NOT(ISNUMBER(G464)),ABS(N(G465)-(N(G464)+N(F465)-N(E465)))&lt;=0.5)),"⚠ Balance does not follow previous row","✔")))))</f>
        <v/>
      </c>
      <c r="M465" s="9" t="str">
        <f aca="false">IF(N(F465)&gt;0,"IN",IF(N(E465)&gt;0,"OUT",""))</f>
        <v/>
      </c>
      <c r="N465" s="9" t="str">
        <f aca="false">IF(M465="","",M465&amp;"|"&amp;TEXT(ROUND(N(E465)+N(F465),2),"0.00"))</f>
        <v/>
      </c>
      <c r="O465" s="9" t="str">
        <f aca="false">IF(OR(N465="",TRIM(D465&amp;"")=""),"",N465&amp;"|"&amp;UPPER(TRIM(D465&amp;"")))</f>
        <v/>
      </c>
      <c r="P465" s="9" t="n">
        <f aca="false">IF(O465="",0,IF(COUNTIF('Cash Book'!$O$8:$O$507,O465)&gt;0,1,0))</f>
        <v>0</v>
      </c>
      <c r="Q465" s="9" t="str">
        <f aca="false">IF(OR(N465="",P465=1),"",N465&amp;"#"&amp;COUNTIFS($N$8:N465,N465,$P$8:P465,0))</f>
        <v/>
      </c>
      <c r="R465" s="9" t="n">
        <f aca="false">IF(N465="",0,IFERROR(MATCH(ROW()-7,'Cash Book'!$U$8:$U$507,0),0))</f>
        <v>0</v>
      </c>
      <c r="V465" s="9" t="str">
        <f aca="false">IF(AND(N465&lt;&gt;"",R465=0),IF(M465="IN",3,4)*100000+ROW(),"")</f>
        <v/>
      </c>
      <c r="W465" s="9" t="n">
        <f aca="false">N(E465)+N(F465)</f>
        <v>0</v>
      </c>
    </row>
    <row r="466" customFormat="false" ht="15" hidden="false" customHeight="false" outlineLevel="0" collapsed="false">
      <c r="A466" s="37" t="str">
        <f aca="false">IF(M466="","",ROW()-7)</f>
        <v/>
      </c>
      <c r="B466" s="70"/>
      <c r="C466" s="72"/>
      <c r="D466" s="71"/>
      <c r="E466" s="73"/>
      <c r="F466" s="73"/>
      <c r="G466" s="73"/>
      <c r="H466" s="42" t="str">
        <f aca="false">IF(M466="","",IF(R466&gt;0,"✔ Matched",IF(M466="IN","Not in cash book (credit)","Not in cash book (debit)")))</f>
        <v/>
      </c>
      <c r="I466" s="43" t="str">
        <f aca="false">IF(N(R466)&gt;0,R466,"")</f>
        <v/>
      </c>
      <c r="J466" s="45" t="str">
        <f aca="false">IF(AND(M466="",B466="",C466=""),"",IF(AND(N(E466)&gt;0,N(F466)&gt;0),"⚠ Fill withdrawal OR deposit",IF(M466="","⚠ Enter amount",IF(B466="","⚠ Enter date",IF(NOT(OR(NOT(ISNUMBER(G466)),NOT(ISNUMBER(G465)),ABS(N(G466)-(N(G465)+N(F466)-N(E466)))&lt;=0.5)),"⚠ Balance does not follow previous row","✔")))))</f>
        <v/>
      </c>
      <c r="M466" s="9" t="str">
        <f aca="false">IF(N(F466)&gt;0,"IN",IF(N(E466)&gt;0,"OUT",""))</f>
        <v/>
      </c>
      <c r="N466" s="9" t="str">
        <f aca="false">IF(M466="","",M466&amp;"|"&amp;TEXT(ROUND(N(E466)+N(F466),2),"0.00"))</f>
        <v/>
      </c>
      <c r="O466" s="9" t="str">
        <f aca="false">IF(OR(N466="",TRIM(D466&amp;"")=""),"",N466&amp;"|"&amp;UPPER(TRIM(D466&amp;"")))</f>
        <v/>
      </c>
      <c r="P466" s="9" t="n">
        <f aca="false">IF(O466="",0,IF(COUNTIF('Cash Book'!$O$8:$O$507,O466)&gt;0,1,0))</f>
        <v>0</v>
      </c>
      <c r="Q466" s="9" t="str">
        <f aca="false">IF(OR(N466="",P466=1),"",N466&amp;"#"&amp;COUNTIFS($N$8:N466,N466,$P$8:P466,0))</f>
        <v/>
      </c>
      <c r="R466" s="9" t="n">
        <f aca="false">IF(N466="",0,IFERROR(MATCH(ROW()-7,'Cash Book'!$U$8:$U$507,0),0))</f>
        <v>0</v>
      </c>
      <c r="V466" s="9" t="str">
        <f aca="false">IF(AND(N466&lt;&gt;"",R466=0),IF(M466="IN",3,4)*100000+ROW(),"")</f>
        <v/>
      </c>
      <c r="W466" s="9" t="n">
        <f aca="false">N(E466)+N(F466)</f>
        <v>0</v>
      </c>
    </row>
    <row r="467" customFormat="false" ht="15" hidden="false" customHeight="false" outlineLevel="0" collapsed="false">
      <c r="A467" s="37" t="str">
        <f aca="false">IF(M467="","",ROW()-7)</f>
        <v/>
      </c>
      <c r="B467" s="70"/>
      <c r="C467" s="72"/>
      <c r="D467" s="71"/>
      <c r="E467" s="73"/>
      <c r="F467" s="73"/>
      <c r="G467" s="73"/>
      <c r="H467" s="42" t="str">
        <f aca="false">IF(M467="","",IF(R467&gt;0,"✔ Matched",IF(M467="IN","Not in cash book (credit)","Not in cash book (debit)")))</f>
        <v/>
      </c>
      <c r="I467" s="43" t="str">
        <f aca="false">IF(N(R467)&gt;0,R467,"")</f>
        <v/>
      </c>
      <c r="J467" s="45" t="str">
        <f aca="false">IF(AND(M467="",B467="",C467=""),"",IF(AND(N(E467)&gt;0,N(F467)&gt;0),"⚠ Fill withdrawal OR deposit",IF(M467="","⚠ Enter amount",IF(B467="","⚠ Enter date",IF(NOT(OR(NOT(ISNUMBER(G467)),NOT(ISNUMBER(G466)),ABS(N(G467)-(N(G466)+N(F467)-N(E467)))&lt;=0.5)),"⚠ Balance does not follow previous row","✔")))))</f>
        <v/>
      </c>
      <c r="M467" s="9" t="str">
        <f aca="false">IF(N(F467)&gt;0,"IN",IF(N(E467)&gt;0,"OUT",""))</f>
        <v/>
      </c>
      <c r="N467" s="9" t="str">
        <f aca="false">IF(M467="","",M467&amp;"|"&amp;TEXT(ROUND(N(E467)+N(F467),2),"0.00"))</f>
        <v/>
      </c>
      <c r="O467" s="9" t="str">
        <f aca="false">IF(OR(N467="",TRIM(D467&amp;"")=""),"",N467&amp;"|"&amp;UPPER(TRIM(D467&amp;"")))</f>
        <v/>
      </c>
      <c r="P467" s="9" t="n">
        <f aca="false">IF(O467="",0,IF(COUNTIF('Cash Book'!$O$8:$O$507,O467)&gt;0,1,0))</f>
        <v>0</v>
      </c>
      <c r="Q467" s="9" t="str">
        <f aca="false">IF(OR(N467="",P467=1),"",N467&amp;"#"&amp;COUNTIFS($N$8:N467,N467,$P$8:P467,0))</f>
        <v/>
      </c>
      <c r="R467" s="9" t="n">
        <f aca="false">IF(N467="",0,IFERROR(MATCH(ROW()-7,'Cash Book'!$U$8:$U$507,0),0))</f>
        <v>0</v>
      </c>
      <c r="V467" s="9" t="str">
        <f aca="false">IF(AND(N467&lt;&gt;"",R467=0),IF(M467="IN",3,4)*100000+ROW(),"")</f>
        <v/>
      </c>
      <c r="W467" s="9" t="n">
        <f aca="false">N(E467)+N(F467)</f>
        <v>0</v>
      </c>
    </row>
    <row r="468" customFormat="false" ht="15" hidden="false" customHeight="false" outlineLevel="0" collapsed="false">
      <c r="A468" s="37" t="str">
        <f aca="false">IF(M468="","",ROW()-7)</f>
        <v/>
      </c>
      <c r="B468" s="70"/>
      <c r="C468" s="72"/>
      <c r="D468" s="71"/>
      <c r="E468" s="73"/>
      <c r="F468" s="73"/>
      <c r="G468" s="73"/>
      <c r="H468" s="42" t="str">
        <f aca="false">IF(M468="","",IF(R468&gt;0,"✔ Matched",IF(M468="IN","Not in cash book (credit)","Not in cash book (debit)")))</f>
        <v/>
      </c>
      <c r="I468" s="43" t="str">
        <f aca="false">IF(N(R468)&gt;0,R468,"")</f>
        <v/>
      </c>
      <c r="J468" s="45" t="str">
        <f aca="false">IF(AND(M468="",B468="",C468=""),"",IF(AND(N(E468)&gt;0,N(F468)&gt;0),"⚠ Fill withdrawal OR deposit",IF(M468="","⚠ Enter amount",IF(B468="","⚠ Enter date",IF(NOT(OR(NOT(ISNUMBER(G468)),NOT(ISNUMBER(G467)),ABS(N(G468)-(N(G467)+N(F468)-N(E468)))&lt;=0.5)),"⚠ Balance does not follow previous row","✔")))))</f>
        <v/>
      </c>
      <c r="M468" s="9" t="str">
        <f aca="false">IF(N(F468)&gt;0,"IN",IF(N(E468)&gt;0,"OUT",""))</f>
        <v/>
      </c>
      <c r="N468" s="9" t="str">
        <f aca="false">IF(M468="","",M468&amp;"|"&amp;TEXT(ROUND(N(E468)+N(F468),2),"0.00"))</f>
        <v/>
      </c>
      <c r="O468" s="9" t="str">
        <f aca="false">IF(OR(N468="",TRIM(D468&amp;"")=""),"",N468&amp;"|"&amp;UPPER(TRIM(D468&amp;"")))</f>
        <v/>
      </c>
      <c r="P468" s="9" t="n">
        <f aca="false">IF(O468="",0,IF(COUNTIF('Cash Book'!$O$8:$O$507,O468)&gt;0,1,0))</f>
        <v>0</v>
      </c>
      <c r="Q468" s="9" t="str">
        <f aca="false">IF(OR(N468="",P468=1),"",N468&amp;"#"&amp;COUNTIFS($N$8:N468,N468,$P$8:P468,0))</f>
        <v/>
      </c>
      <c r="R468" s="9" t="n">
        <f aca="false">IF(N468="",0,IFERROR(MATCH(ROW()-7,'Cash Book'!$U$8:$U$507,0),0))</f>
        <v>0</v>
      </c>
      <c r="V468" s="9" t="str">
        <f aca="false">IF(AND(N468&lt;&gt;"",R468=0),IF(M468="IN",3,4)*100000+ROW(),"")</f>
        <v/>
      </c>
      <c r="W468" s="9" t="n">
        <f aca="false">N(E468)+N(F468)</f>
        <v>0</v>
      </c>
    </row>
    <row r="469" customFormat="false" ht="15" hidden="false" customHeight="false" outlineLevel="0" collapsed="false">
      <c r="A469" s="37" t="str">
        <f aca="false">IF(M469="","",ROW()-7)</f>
        <v/>
      </c>
      <c r="B469" s="70"/>
      <c r="C469" s="72"/>
      <c r="D469" s="71"/>
      <c r="E469" s="73"/>
      <c r="F469" s="73"/>
      <c r="G469" s="73"/>
      <c r="H469" s="42" t="str">
        <f aca="false">IF(M469="","",IF(R469&gt;0,"✔ Matched",IF(M469="IN","Not in cash book (credit)","Not in cash book (debit)")))</f>
        <v/>
      </c>
      <c r="I469" s="43" t="str">
        <f aca="false">IF(N(R469)&gt;0,R469,"")</f>
        <v/>
      </c>
      <c r="J469" s="45" t="str">
        <f aca="false">IF(AND(M469="",B469="",C469=""),"",IF(AND(N(E469)&gt;0,N(F469)&gt;0),"⚠ Fill withdrawal OR deposit",IF(M469="","⚠ Enter amount",IF(B469="","⚠ Enter date",IF(NOT(OR(NOT(ISNUMBER(G469)),NOT(ISNUMBER(G468)),ABS(N(G469)-(N(G468)+N(F469)-N(E469)))&lt;=0.5)),"⚠ Balance does not follow previous row","✔")))))</f>
        <v/>
      </c>
      <c r="M469" s="9" t="str">
        <f aca="false">IF(N(F469)&gt;0,"IN",IF(N(E469)&gt;0,"OUT",""))</f>
        <v/>
      </c>
      <c r="N469" s="9" t="str">
        <f aca="false">IF(M469="","",M469&amp;"|"&amp;TEXT(ROUND(N(E469)+N(F469),2),"0.00"))</f>
        <v/>
      </c>
      <c r="O469" s="9" t="str">
        <f aca="false">IF(OR(N469="",TRIM(D469&amp;"")=""),"",N469&amp;"|"&amp;UPPER(TRIM(D469&amp;"")))</f>
        <v/>
      </c>
      <c r="P469" s="9" t="n">
        <f aca="false">IF(O469="",0,IF(COUNTIF('Cash Book'!$O$8:$O$507,O469)&gt;0,1,0))</f>
        <v>0</v>
      </c>
      <c r="Q469" s="9" t="str">
        <f aca="false">IF(OR(N469="",P469=1),"",N469&amp;"#"&amp;COUNTIFS($N$8:N469,N469,$P$8:P469,0))</f>
        <v/>
      </c>
      <c r="R469" s="9" t="n">
        <f aca="false">IF(N469="",0,IFERROR(MATCH(ROW()-7,'Cash Book'!$U$8:$U$507,0),0))</f>
        <v>0</v>
      </c>
      <c r="V469" s="9" t="str">
        <f aca="false">IF(AND(N469&lt;&gt;"",R469=0),IF(M469="IN",3,4)*100000+ROW(),"")</f>
        <v/>
      </c>
      <c r="W469" s="9" t="n">
        <f aca="false">N(E469)+N(F469)</f>
        <v>0</v>
      </c>
    </row>
    <row r="470" customFormat="false" ht="15" hidden="false" customHeight="false" outlineLevel="0" collapsed="false">
      <c r="A470" s="37" t="str">
        <f aca="false">IF(M470="","",ROW()-7)</f>
        <v/>
      </c>
      <c r="B470" s="70"/>
      <c r="C470" s="72"/>
      <c r="D470" s="71"/>
      <c r="E470" s="73"/>
      <c r="F470" s="73"/>
      <c r="G470" s="73"/>
      <c r="H470" s="42" t="str">
        <f aca="false">IF(M470="","",IF(R470&gt;0,"✔ Matched",IF(M470="IN","Not in cash book (credit)","Not in cash book (debit)")))</f>
        <v/>
      </c>
      <c r="I470" s="43" t="str">
        <f aca="false">IF(N(R470)&gt;0,R470,"")</f>
        <v/>
      </c>
      <c r="J470" s="45" t="str">
        <f aca="false">IF(AND(M470="",B470="",C470=""),"",IF(AND(N(E470)&gt;0,N(F470)&gt;0),"⚠ Fill withdrawal OR deposit",IF(M470="","⚠ Enter amount",IF(B470="","⚠ Enter date",IF(NOT(OR(NOT(ISNUMBER(G470)),NOT(ISNUMBER(G469)),ABS(N(G470)-(N(G469)+N(F470)-N(E470)))&lt;=0.5)),"⚠ Balance does not follow previous row","✔")))))</f>
        <v/>
      </c>
      <c r="M470" s="9" t="str">
        <f aca="false">IF(N(F470)&gt;0,"IN",IF(N(E470)&gt;0,"OUT",""))</f>
        <v/>
      </c>
      <c r="N470" s="9" t="str">
        <f aca="false">IF(M470="","",M470&amp;"|"&amp;TEXT(ROUND(N(E470)+N(F470),2),"0.00"))</f>
        <v/>
      </c>
      <c r="O470" s="9" t="str">
        <f aca="false">IF(OR(N470="",TRIM(D470&amp;"")=""),"",N470&amp;"|"&amp;UPPER(TRIM(D470&amp;"")))</f>
        <v/>
      </c>
      <c r="P470" s="9" t="n">
        <f aca="false">IF(O470="",0,IF(COUNTIF('Cash Book'!$O$8:$O$507,O470)&gt;0,1,0))</f>
        <v>0</v>
      </c>
      <c r="Q470" s="9" t="str">
        <f aca="false">IF(OR(N470="",P470=1),"",N470&amp;"#"&amp;COUNTIFS($N$8:N470,N470,$P$8:P470,0))</f>
        <v/>
      </c>
      <c r="R470" s="9" t="n">
        <f aca="false">IF(N470="",0,IFERROR(MATCH(ROW()-7,'Cash Book'!$U$8:$U$507,0),0))</f>
        <v>0</v>
      </c>
      <c r="V470" s="9" t="str">
        <f aca="false">IF(AND(N470&lt;&gt;"",R470=0),IF(M470="IN",3,4)*100000+ROW(),"")</f>
        <v/>
      </c>
      <c r="W470" s="9" t="n">
        <f aca="false">N(E470)+N(F470)</f>
        <v>0</v>
      </c>
    </row>
    <row r="471" customFormat="false" ht="15" hidden="false" customHeight="false" outlineLevel="0" collapsed="false">
      <c r="A471" s="37" t="str">
        <f aca="false">IF(M471="","",ROW()-7)</f>
        <v/>
      </c>
      <c r="B471" s="70"/>
      <c r="C471" s="72"/>
      <c r="D471" s="71"/>
      <c r="E471" s="73"/>
      <c r="F471" s="73"/>
      <c r="G471" s="73"/>
      <c r="H471" s="42" t="str">
        <f aca="false">IF(M471="","",IF(R471&gt;0,"✔ Matched",IF(M471="IN","Not in cash book (credit)","Not in cash book (debit)")))</f>
        <v/>
      </c>
      <c r="I471" s="43" t="str">
        <f aca="false">IF(N(R471)&gt;0,R471,"")</f>
        <v/>
      </c>
      <c r="J471" s="45" t="str">
        <f aca="false">IF(AND(M471="",B471="",C471=""),"",IF(AND(N(E471)&gt;0,N(F471)&gt;0),"⚠ Fill withdrawal OR deposit",IF(M471="","⚠ Enter amount",IF(B471="","⚠ Enter date",IF(NOT(OR(NOT(ISNUMBER(G471)),NOT(ISNUMBER(G470)),ABS(N(G471)-(N(G470)+N(F471)-N(E471)))&lt;=0.5)),"⚠ Balance does not follow previous row","✔")))))</f>
        <v/>
      </c>
      <c r="M471" s="9" t="str">
        <f aca="false">IF(N(F471)&gt;0,"IN",IF(N(E471)&gt;0,"OUT",""))</f>
        <v/>
      </c>
      <c r="N471" s="9" t="str">
        <f aca="false">IF(M471="","",M471&amp;"|"&amp;TEXT(ROUND(N(E471)+N(F471),2),"0.00"))</f>
        <v/>
      </c>
      <c r="O471" s="9" t="str">
        <f aca="false">IF(OR(N471="",TRIM(D471&amp;"")=""),"",N471&amp;"|"&amp;UPPER(TRIM(D471&amp;"")))</f>
        <v/>
      </c>
      <c r="P471" s="9" t="n">
        <f aca="false">IF(O471="",0,IF(COUNTIF('Cash Book'!$O$8:$O$507,O471)&gt;0,1,0))</f>
        <v>0</v>
      </c>
      <c r="Q471" s="9" t="str">
        <f aca="false">IF(OR(N471="",P471=1),"",N471&amp;"#"&amp;COUNTIFS($N$8:N471,N471,$P$8:P471,0))</f>
        <v/>
      </c>
      <c r="R471" s="9" t="n">
        <f aca="false">IF(N471="",0,IFERROR(MATCH(ROW()-7,'Cash Book'!$U$8:$U$507,0),0))</f>
        <v>0</v>
      </c>
      <c r="V471" s="9" t="str">
        <f aca="false">IF(AND(N471&lt;&gt;"",R471=0),IF(M471="IN",3,4)*100000+ROW(),"")</f>
        <v/>
      </c>
      <c r="W471" s="9" t="n">
        <f aca="false">N(E471)+N(F471)</f>
        <v>0</v>
      </c>
    </row>
    <row r="472" customFormat="false" ht="15" hidden="false" customHeight="false" outlineLevel="0" collapsed="false">
      <c r="A472" s="37" t="str">
        <f aca="false">IF(M472="","",ROW()-7)</f>
        <v/>
      </c>
      <c r="B472" s="70"/>
      <c r="C472" s="72"/>
      <c r="D472" s="71"/>
      <c r="E472" s="73"/>
      <c r="F472" s="73"/>
      <c r="G472" s="73"/>
      <c r="H472" s="42" t="str">
        <f aca="false">IF(M472="","",IF(R472&gt;0,"✔ Matched",IF(M472="IN","Not in cash book (credit)","Not in cash book (debit)")))</f>
        <v/>
      </c>
      <c r="I472" s="43" t="str">
        <f aca="false">IF(N(R472)&gt;0,R472,"")</f>
        <v/>
      </c>
      <c r="J472" s="45" t="str">
        <f aca="false">IF(AND(M472="",B472="",C472=""),"",IF(AND(N(E472)&gt;0,N(F472)&gt;0),"⚠ Fill withdrawal OR deposit",IF(M472="","⚠ Enter amount",IF(B472="","⚠ Enter date",IF(NOT(OR(NOT(ISNUMBER(G472)),NOT(ISNUMBER(G471)),ABS(N(G472)-(N(G471)+N(F472)-N(E472)))&lt;=0.5)),"⚠ Balance does not follow previous row","✔")))))</f>
        <v/>
      </c>
      <c r="M472" s="9" t="str">
        <f aca="false">IF(N(F472)&gt;0,"IN",IF(N(E472)&gt;0,"OUT",""))</f>
        <v/>
      </c>
      <c r="N472" s="9" t="str">
        <f aca="false">IF(M472="","",M472&amp;"|"&amp;TEXT(ROUND(N(E472)+N(F472),2),"0.00"))</f>
        <v/>
      </c>
      <c r="O472" s="9" t="str">
        <f aca="false">IF(OR(N472="",TRIM(D472&amp;"")=""),"",N472&amp;"|"&amp;UPPER(TRIM(D472&amp;"")))</f>
        <v/>
      </c>
      <c r="P472" s="9" t="n">
        <f aca="false">IF(O472="",0,IF(COUNTIF('Cash Book'!$O$8:$O$507,O472)&gt;0,1,0))</f>
        <v>0</v>
      </c>
      <c r="Q472" s="9" t="str">
        <f aca="false">IF(OR(N472="",P472=1),"",N472&amp;"#"&amp;COUNTIFS($N$8:N472,N472,$P$8:P472,0))</f>
        <v/>
      </c>
      <c r="R472" s="9" t="n">
        <f aca="false">IF(N472="",0,IFERROR(MATCH(ROW()-7,'Cash Book'!$U$8:$U$507,0),0))</f>
        <v>0</v>
      </c>
      <c r="V472" s="9" t="str">
        <f aca="false">IF(AND(N472&lt;&gt;"",R472=0),IF(M472="IN",3,4)*100000+ROW(),"")</f>
        <v/>
      </c>
      <c r="W472" s="9" t="n">
        <f aca="false">N(E472)+N(F472)</f>
        <v>0</v>
      </c>
    </row>
    <row r="473" customFormat="false" ht="15" hidden="false" customHeight="false" outlineLevel="0" collapsed="false">
      <c r="A473" s="37" t="str">
        <f aca="false">IF(M473="","",ROW()-7)</f>
        <v/>
      </c>
      <c r="B473" s="70"/>
      <c r="C473" s="72"/>
      <c r="D473" s="71"/>
      <c r="E473" s="73"/>
      <c r="F473" s="73"/>
      <c r="G473" s="73"/>
      <c r="H473" s="42" t="str">
        <f aca="false">IF(M473="","",IF(R473&gt;0,"✔ Matched",IF(M473="IN","Not in cash book (credit)","Not in cash book (debit)")))</f>
        <v/>
      </c>
      <c r="I473" s="43" t="str">
        <f aca="false">IF(N(R473)&gt;0,R473,"")</f>
        <v/>
      </c>
      <c r="J473" s="45" t="str">
        <f aca="false">IF(AND(M473="",B473="",C473=""),"",IF(AND(N(E473)&gt;0,N(F473)&gt;0),"⚠ Fill withdrawal OR deposit",IF(M473="","⚠ Enter amount",IF(B473="","⚠ Enter date",IF(NOT(OR(NOT(ISNUMBER(G473)),NOT(ISNUMBER(G472)),ABS(N(G473)-(N(G472)+N(F473)-N(E473)))&lt;=0.5)),"⚠ Balance does not follow previous row","✔")))))</f>
        <v/>
      </c>
      <c r="M473" s="9" t="str">
        <f aca="false">IF(N(F473)&gt;0,"IN",IF(N(E473)&gt;0,"OUT",""))</f>
        <v/>
      </c>
      <c r="N473" s="9" t="str">
        <f aca="false">IF(M473="","",M473&amp;"|"&amp;TEXT(ROUND(N(E473)+N(F473),2),"0.00"))</f>
        <v/>
      </c>
      <c r="O473" s="9" t="str">
        <f aca="false">IF(OR(N473="",TRIM(D473&amp;"")=""),"",N473&amp;"|"&amp;UPPER(TRIM(D473&amp;"")))</f>
        <v/>
      </c>
      <c r="P473" s="9" t="n">
        <f aca="false">IF(O473="",0,IF(COUNTIF('Cash Book'!$O$8:$O$507,O473)&gt;0,1,0))</f>
        <v>0</v>
      </c>
      <c r="Q473" s="9" t="str">
        <f aca="false">IF(OR(N473="",P473=1),"",N473&amp;"#"&amp;COUNTIFS($N$8:N473,N473,$P$8:P473,0))</f>
        <v/>
      </c>
      <c r="R473" s="9" t="n">
        <f aca="false">IF(N473="",0,IFERROR(MATCH(ROW()-7,'Cash Book'!$U$8:$U$507,0),0))</f>
        <v>0</v>
      </c>
      <c r="V473" s="9" t="str">
        <f aca="false">IF(AND(N473&lt;&gt;"",R473=0),IF(M473="IN",3,4)*100000+ROW(),"")</f>
        <v/>
      </c>
      <c r="W473" s="9" t="n">
        <f aca="false">N(E473)+N(F473)</f>
        <v>0</v>
      </c>
    </row>
    <row r="474" customFormat="false" ht="15" hidden="false" customHeight="false" outlineLevel="0" collapsed="false">
      <c r="A474" s="37" t="str">
        <f aca="false">IF(M474="","",ROW()-7)</f>
        <v/>
      </c>
      <c r="B474" s="70"/>
      <c r="C474" s="72"/>
      <c r="D474" s="71"/>
      <c r="E474" s="73"/>
      <c r="F474" s="73"/>
      <c r="G474" s="73"/>
      <c r="H474" s="42" t="str">
        <f aca="false">IF(M474="","",IF(R474&gt;0,"✔ Matched",IF(M474="IN","Not in cash book (credit)","Not in cash book (debit)")))</f>
        <v/>
      </c>
      <c r="I474" s="43" t="str">
        <f aca="false">IF(N(R474)&gt;0,R474,"")</f>
        <v/>
      </c>
      <c r="J474" s="45" t="str">
        <f aca="false">IF(AND(M474="",B474="",C474=""),"",IF(AND(N(E474)&gt;0,N(F474)&gt;0),"⚠ Fill withdrawal OR deposit",IF(M474="","⚠ Enter amount",IF(B474="","⚠ Enter date",IF(NOT(OR(NOT(ISNUMBER(G474)),NOT(ISNUMBER(G473)),ABS(N(G474)-(N(G473)+N(F474)-N(E474)))&lt;=0.5)),"⚠ Balance does not follow previous row","✔")))))</f>
        <v/>
      </c>
      <c r="M474" s="9" t="str">
        <f aca="false">IF(N(F474)&gt;0,"IN",IF(N(E474)&gt;0,"OUT",""))</f>
        <v/>
      </c>
      <c r="N474" s="9" t="str">
        <f aca="false">IF(M474="","",M474&amp;"|"&amp;TEXT(ROUND(N(E474)+N(F474),2),"0.00"))</f>
        <v/>
      </c>
      <c r="O474" s="9" t="str">
        <f aca="false">IF(OR(N474="",TRIM(D474&amp;"")=""),"",N474&amp;"|"&amp;UPPER(TRIM(D474&amp;"")))</f>
        <v/>
      </c>
      <c r="P474" s="9" t="n">
        <f aca="false">IF(O474="",0,IF(COUNTIF('Cash Book'!$O$8:$O$507,O474)&gt;0,1,0))</f>
        <v>0</v>
      </c>
      <c r="Q474" s="9" t="str">
        <f aca="false">IF(OR(N474="",P474=1),"",N474&amp;"#"&amp;COUNTIFS($N$8:N474,N474,$P$8:P474,0))</f>
        <v/>
      </c>
      <c r="R474" s="9" t="n">
        <f aca="false">IF(N474="",0,IFERROR(MATCH(ROW()-7,'Cash Book'!$U$8:$U$507,0),0))</f>
        <v>0</v>
      </c>
      <c r="V474" s="9" t="str">
        <f aca="false">IF(AND(N474&lt;&gt;"",R474=0),IF(M474="IN",3,4)*100000+ROW(),"")</f>
        <v/>
      </c>
      <c r="W474" s="9" t="n">
        <f aca="false">N(E474)+N(F474)</f>
        <v>0</v>
      </c>
    </row>
    <row r="475" customFormat="false" ht="15" hidden="false" customHeight="false" outlineLevel="0" collapsed="false">
      <c r="A475" s="37" t="str">
        <f aca="false">IF(M475="","",ROW()-7)</f>
        <v/>
      </c>
      <c r="B475" s="70"/>
      <c r="C475" s="72"/>
      <c r="D475" s="71"/>
      <c r="E475" s="73"/>
      <c r="F475" s="73"/>
      <c r="G475" s="73"/>
      <c r="H475" s="42" t="str">
        <f aca="false">IF(M475="","",IF(R475&gt;0,"✔ Matched",IF(M475="IN","Not in cash book (credit)","Not in cash book (debit)")))</f>
        <v/>
      </c>
      <c r="I475" s="43" t="str">
        <f aca="false">IF(N(R475)&gt;0,R475,"")</f>
        <v/>
      </c>
      <c r="J475" s="45" t="str">
        <f aca="false">IF(AND(M475="",B475="",C475=""),"",IF(AND(N(E475)&gt;0,N(F475)&gt;0),"⚠ Fill withdrawal OR deposit",IF(M475="","⚠ Enter amount",IF(B475="","⚠ Enter date",IF(NOT(OR(NOT(ISNUMBER(G475)),NOT(ISNUMBER(G474)),ABS(N(G475)-(N(G474)+N(F475)-N(E475)))&lt;=0.5)),"⚠ Balance does not follow previous row","✔")))))</f>
        <v/>
      </c>
      <c r="M475" s="9" t="str">
        <f aca="false">IF(N(F475)&gt;0,"IN",IF(N(E475)&gt;0,"OUT",""))</f>
        <v/>
      </c>
      <c r="N475" s="9" t="str">
        <f aca="false">IF(M475="","",M475&amp;"|"&amp;TEXT(ROUND(N(E475)+N(F475),2),"0.00"))</f>
        <v/>
      </c>
      <c r="O475" s="9" t="str">
        <f aca="false">IF(OR(N475="",TRIM(D475&amp;"")=""),"",N475&amp;"|"&amp;UPPER(TRIM(D475&amp;"")))</f>
        <v/>
      </c>
      <c r="P475" s="9" t="n">
        <f aca="false">IF(O475="",0,IF(COUNTIF('Cash Book'!$O$8:$O$507,O475)&gt;0,1,0))</f>
        <v>0</v>
      </c>
      <c r="Q475" s="9" t="str">
        <f aca="false">IF(OR(N475="",P475=1),"",N475&amp;"#"&amp;COUNTIFS($N$8:N475,N475,$P$8:P475,0))</f>
        <v/>
      </c>
      <c r="R475" s="9" t="n">
        <f aca="false">IF(N475="",0,IFERROR(MATCH(ROW()-7,'Cash Book'!$U$8:$U$507,0),0))</f>
        <v>0</v>
      </c>
      <c r="V475" s="9" t="str">
        <f aca="false">IF(AND(N475&lt;&gt;"",R475=0),IF(M475="IN",3,4)*100000+ROW(),"")</f>
        <v/>
      </c>
      <c r="W475" s="9" t="n">
        <f aca="false">N(E475)+N(F475)</f>
        <v>0</v>
      </c>
    </row>
    <row r="476" customFormat="false" ht="15" hidden="false" customHeight="false" outlineLevel="0" collapsed="false">
      <c r="A476" s="37" t="str">
        <f aca="false">IF(M476="","",ROW()-7)</f>
        <v/>
      </c>
      <c r="B476" s="70"/>
      <c r="C476" s="72"/>
      <c r="D476" s="71"/>
      <c r="E476" s="73"/>
      <c r="F476" s="73"/>
      <c r="G476" s="73"/>
      <c r="H476" s="42" t="str">
        <f aca="false">IF(M476="","",IF(R476&gt;0,"✔ Matched",IF(M476="IN","Not in cash book (credit)","Not in cash book (debit)")))</f>
        <v/>
      </c>
      <c r="I476" s="43" t="str">
        <f aca="false">IF(N(R476)&gt;0,R476,"")</f>
        <v/>
      </c>
      <c r="J476" s="45" t="str">
        <f aca="false">IF(AND(M476="",B476="",C476=""),"",IF(AND(N(E476)&gt;0,N(F476)&gt;0),"⚠ Fill withdrawal OR deposit",IF(M476="","⚠ Enter amount",IF(B476="","⚠ Enter date",IF(NOT(OR(NOT(ISNUMBER(G476)),NOT(ISNUMBER(G475)),ABS(N(G476)-(N(G475)+N(F476)-N(E476)))&lt;=0.5)),"⚠ Balance does not follow previous row","✔")))))</f>
        <v/>
      </c>
      <c r="M476" s="9" t="str">
        <f aca="false">IF(N(F476)&gt;0,"IN",IF(N(E476)&gt;0,"OUT",""))</f>
        <v/>
      </c>
      <c r="N476" s="9" t="str">
        <f aca="false">IF(M476="","",M476&amp;"|"&amp;TEXT(ROUND(N(E476)+N(F476),2),"0.00"))</f>
        <v/>
      </c>
      <c r="O476" s="9" t="str">
        <f aca="false">IF(OR(N476="",TRIM(D476&amp;"")=""),"",N476&amp;"|"&amp;UPPER(TRIM(D476&amp;"")))</f>
        <v/>
      </c>
      <c r="P476" s="9" t="n">
        <f aca="false">IF(O476="",0,IF(COUNTIF('Cash Book'!$O$8:$O$507,O476)&gt;0,1,0))</f>
        <v>0</v>
      </c>
      <c r="Q476" s="9" t="str">
        <f aca="false">IF(OR(N476="",P476=1),"",N476&amp;"#"&amp;COUNTIFS($N$8:N476,N476,$P$8:P476,0))</f>
        <v/>
      </c>
      <c r="R476" s="9" t="n">
        <f aca="false">IF(N476="",0,IFERROR(MATCH(ROW()-7,'Cash Book'!$U$8:$U$507,0),0))</f>
        <v>0</v>
      </c>
      <c r="V476" s="9" t="str">
        <f aca="false">IF(AND(N476&lt;&gt;"",R476=0),IF(M476="IN",3,4)*100000+ROW(),"")</f>
        <v/>
      </c>
      <c r="W476" s="9" t="n">
        <f aca="false">N(E476)+N(F476)</f>
        <v>0</v>
      </c>
    </row>
    <row r="477" customFormat="false" ht="15" hidden="false" customHeight="false" outlineLevel="0" collapsed="false">
      <c r="A477" s="37" t="str">
        <f aca="false">IF(M477="","",ROW()-7)</f>
        <v/>
      </c>
      <c r="B477" s="70"/>
      <c r="C477" s="72"/>
      <c r="D477" s="71"/>
      <c r="E477" s="73"/>
      <c r="F477" s="73"/>
      <c r="G477" s="73"/>
      <c r="H477" s="42" t="str">
        <f aca="false">IF(M477="","",IF(R477&gt;0,"✔ Matched",IF(M477="IN","Not in cash book (credit)","Not in cash book (debit)")))</f>
        <v/>
      </c>
      <c r="I477" s="43" t="str">
        <f aca="false">IF(N(R477)&gt;0,R477,"")</f>
        <v/>
      </c>
      <c r="J477" s="45" t="str">
        <f aca="false">IF(AND(M477="",B477="",C477=""),"",IF(AND(N(E477)&gt;0,N(F477)&gt;0),"⚠ Fill withdrawal OR deposit",IF(M477="","⚠ Enter amount",IF(B477="","⚠ Enter date",IF(NOT(OR(NOT(ISNUMBER(G477)),NOT(ISNUMBER(G476)),ABS(N(G477)-(N(G476)+N(F477)-N(E477)))&lt;=0.5)),"⚠ Balance does not follow previous row","✔")))))</f>
        <v/>
      </c>
      <c r="M477" s="9" t="str">
        <f aca="false">IF(N(F477)&gt;0,"IN",IF(N(E477)&gt;0,"OUT",""))</f>
        <v/>
      </c>
      <c r="N477" s="9" t="str">
        <f aca="false">IF(M477="","",M477&amp;"|"&amp;TEXT(ROUND(N(E477)+N(F477),2),"0.00"))</f>
        <v/>
      </c>
      <c r="O477" s="9" t="str">
        <f aca="false">IF(OR(N477="",TRIM(D477&amp;"")=""),"",N477&amp;"|"&amp;UPPER(TRIM(D477&amp;"")))</f>
        <v/>
      </c>
      <c r="P477" s="9" t="n">
        <f aca="false">IF(O477="",0,IF(COUNTIF('Cash Book'!$O$8:$O$507,O477)&gt;0,1,0))</f>
        <v>0</v>
      </c>
      <c r="Q477" s="9" t="str">
        <f aca="false">IF(OR(N477="",P477=1),"",N477&amp;"#"&amp;COUNTIFS($N$8:N477,N477,$P$8:P477,0))</f>
        <v/>
      </c>
      <c r="R477" s="9" t="n">
        <f aca="false">IF(N477="",0,IFERROR(MATCH(ROW()-7,'Cash Book'!$U$8:$U$507,0),0))</f>
        <v>0</v>
      </c>
      <c r="V477" s="9" t="str">
        <f aca="false">IF(AND(N477&lt;&gt;"",R477=0),IF(M477="IN",3,4)*100000+ROW(),"")</f>
        <v/>
      </c>
      <c r="W477" s="9" t="n">
        <f aca="false">N(E477)+N(F477)</f>
        <v>0</v>
      </c>
    </row>
    <row r="478" customFormat="false" ht="15" hidden="false" customHeight="false" outlineLevel="0" collapsed="false">
      <c r="A478" s="37" t="str">
        <f aca="false">IF(M478="","",ROW()-7)</f>
        <v/>
      </c>
      <c r="B478" s="70"/>
      <c r="C478" s="72"/>
      <c r="D478" s="71"/>
      <c r="E478" s="73"/>
      <c r="F478" s="73"/>
      <c r="G478" s="73"/>
      <c r="H478" s="42" t="str">
        <f aca="false">IF(M478="","",IF(R478&gt;0,"✔ Matched",IF(M478="IN","Not in cash book (credit)","Not in cash book (debit)")))</f>
        <v/>
      </c>
      <c r="I478" s="43" t="str">
        <f aca="false">IF(N(R478)&gt;0,R478,"")</f>
        <v/>
      </c>
      <c r="J478" s="45" t="str">
        <f aca="false">IF(AND(M478="",B478="",C478=""),"",IF(AND(N(E478)&gt;0,N(F478)&gt;0),"⚠ Fill withdrawal OR deposit",IF(M478="","⚠ Enter amount",IF(B478="","⚠ Enter date",IF(NOT(OR(NOT(ISNUMBER(G478)),NOT(ISNUMBER(G477)),ABS(N(G478)-(N(G477)+N(F478)-N(E478)))&lt;=0.5)),"⚠ Balance does not follow previous row","✔")))))</f>
        <v/>
      </c>
      <c r="M478" s="9" t="str">
        <f aca="false">IF(N(F478)&gt;0,"IN",IF(N(E478)&gt;0,"OUT",""))</f>
        <v/>
      </c>
      <c r="N478" s="9" t="str">
        <f aca="false">IF(M478="","",M478&amp;"|"&amp;TEXT(ROUND(N(E478)+N(F478),2),"0.00"))</f>
        <v/>
      </c>
      <c r="O478" s="9" t="str">
        <f aca="false">IF(OR(N478="",TRIM(D478&amp;"")=""),"",N478&amp;"|"&amp;UPPER(TRIM(D478&amp;"")))</f>
        <v/>
      </c>
      <c r="P478" s="9" t="n">
        <f aca="false">IF(O478="",0,IF(COUNTIF('Cash Book'!$O$8:$O$507,O478)&gt;0,1,0))</f>
        <v>0</v>
      </c>
      <c r="Q478" s="9" t="str">
        <f aca="false">IF(OR(N478="",P478=1),"",N478&amp;"#"&amp;COUNTIFS($N$8:N478,N478,$P$8:P478,0))</f>
        <v/>
      </c>
      <c r="R478" s="9" t="n">
        <f aca="false">IF(N478="",0,IFERROR(MATCH(ROW()-7,'Cash Book'!$U$8:$U$507,0),0))</f>
        <v>0</v>
      </c>
      <c r="V478" s="9" t="str">
        <f aca="false">IF(AND(N478&lt;&gt;"",R478=0),IF(M478="IN",3,4)*100000+ROW(),"")</f>
        <v/>
      </c>
      <c r="W478" s="9" t="n">
        <f aca="false">N(E478)+N(F478)</f>
        <v>0</v>
      </c>
    </row>
    <row r="479" customFormat="false" ht="15" hidden="false" customHeight="false" outlineLevel="0" collapsed="false">
      <c r="A479" s="37" t="str">
        <f aca="false">IF(M479="","",ROW()-7)</f>
        <v/>
      </c>
      <c r="B479" s="70"/>
      <c r="C479" s="72"/>
      <c r="D479" s="71"/>
      <c r="E479" s="73"/>
      <c r="F479" s="73"/>
      <c r="G479" s="73"/>
      <c r="H479" s="42" t="str">
        <f aca="false">IF(M479="","",IF(R479&gt;0,"✔ Matched",IF(M479="IN","Not in cash book (credit)","Not in cash book (debit)")))</f>
        <v/>
      </c>
      <c r="I479" s="43" t="str">
        <f aca="false">IF(N(R479)&gt;0,R479,"")</f>
        <v/>
      </c>
      <c r="J479" s="45" t="str">
        <f aca="false">IF(AND(M479="",B479="",C479=""),"",IF(AND(N(E479)&gt;0,N(F479)&gt;0),"⚠ Fill withdrawal OR deposit",IF(M479="","⚠ Enter amount",IF(B479="","⚠ Enter date",IF(NOT(OR(NOT(ISNUMBER(G479)),NOT(ISNUMBER(G478)),ABS(N(G479)-(N(G478)+N(F479)-N(E479)))&lt;=0.5)),"⚠ Balance does not follow previous row","✔")))))</f>
        <v/>
      </c>
      <c r="M479" s="9" t="str">
        <f aca="false">IF(N(F479)&gt;0,"IN",IF(N(E479)&gt;0,"OUT",""))</f>
        <v/>
      </c>
      <c r="N479" s="9" t="str">
        <f aca="false">IF(M479="","",M479&amp;"|"&amp;TEXT(ROUND(N(E479)+N(F479),2),"0.00"))</f>
        <v/>
      </c>
      <c r="O479" s="9" t="str">
        <f aca="false">IF(OR(N479="",TRIM(D479&amp;"")=""),"",N479&amp;"|"&amp;UPPER(TRIM(D479&amp;"")))</f>
        <v/>
      </c>
      <c r="P479" s="9" t="n">
        <f aca="false">IF(O479="",0,IF(COUNTIF('Cash Book'!$O$8:$O$507,O479)&gt;0,1,0))</f>
        <v>0</v>
      </c>
      <c r="Q479" s="9" t="str">
        <f aca="false">IF(OR(N479="",P479=1),"",N479&amp;"#"&amp;COUNTIFS($N$8:N479,N479,$P$8:P479,0))</f>
        <v/>
      </c>
      <c r="R479" s="9" t="n">
        <f aca="false">IF(N479="",0,IFERROR(MATCH(ROW()-7,'Cash Book'!$U$8:$U$507,0),0))</f>
        <v>0</v>
      </c>
      <c r="V479" s="9" t="str">
        <f aca="false">IF(AND(N479&lt;&gt;"",R479=0),IF(M479="IN",3,4)*100000+ROW(),"")</f>
        <v/>
      </c>
      <c r="W479" s="9" t="n">
        <f aca="false">N(E479)+N(F479)</f>
        <v>0</v>
      </c>
    </row>
    <row r="480" customFormat="false" ht="15" hidden="false" customHeight="false" outlineLevel="0" collapsed="false">
      <c r="A480" s="37" t="str">
        <f aca="false">IF(M480="","",ROW()-7)</f>
        <v/>
      </c>
      <c r="B480" s="70"/>
      <c r="C480" s="72"/>
      <c r="D480" s="71"/>
      <c r="E480" s="73"/>
      <c r="F480" s="73"/>
      <c r="G480" s="73"/>
      <c r="H480" s="42" t="str">
        <f aca="false">IF(M480="","",IF(R480&gt;0,"✔ Matched",IF(M480="IN","Not in cash book (credit)","Not in cash book (debit)")))</f>
        <v/>
      </c>
      <c r="I480" s="43" t="str">
        <f aca="false">IF(N(R480)&gt;0,R480,"")</f>
        <v/>
      </c>
      <c r="J480" s="45" t="str">
        <f aca="false">IF(AND(M480="",B480="",C480=""),"",IF(AND(N(E480)&gt;0,N(F480)&gt;0),"⚠ Fill withdrawal OR deposit",IF(M480="","⚠ Enter amount",IF(B480="","⚠ Enter date",IF(NOT(OR(NOT(ISNUMBER(G480)),NOT(ISNUMBER(G479)),ABS(N(G480)-(N(G479)+N(F480)-N(E480)))&lt;=0.5)),"⚠ Balance does not follow previous row","✔")))))</f>
        <v/>
      </c>
      <c r="M480" s="9" t="str">
        <f aca="false">IF(N(F480)&gt;0,"IN",IF(N(E480)&gt;0,"OUT",""))</f>
        <v/>
      </c>
      <c r="N480" s="9" t="str">
        <f aca="false">IF(M480="","",M480&amp;"|"&amp;TEXT(ROUND(N(E480)+N(F480),2),"0.00"))</f>
        <v/>
      </c>
      <c r="O480" s="9" t="str">
        <f aca="false">IF(OR(N480="",TRIM(D480&amp;"")=""),"",N480&amp;"|"&amp;UPPER(TRIM(D480&amp;"")))</f>
        <v/>
      </c>
      <c r="P480" s="9" t="n">
        <f aca="false">IF(O480="",0,IF(COUNTIF('Cash Book'!$O$8:$O$507,O480)&gt;0,1,0))</f>
        <v>0</v>
      </c>
      <c r="Q480" s="9" t="str">
        <f aca="false">IF(OR(N480="",P480=1),"",N480&amp;"#"&amp;COUNTIFS($N$8:N480,N480,$P$8:P480,0))</f>
        <v/>
      </c>
      <c r="R480" s="9" t="n">
        <f aca="false">IF(N480="",0,IFERROR(MATCH(ROW()-7,'Cash Book'!$U$8:$U$507,0),0))</f>
        <v>0</v>
      </c>
      <c r="V480" s="9" t="str">
        <f aca="false">IF(AND(N480&lt;&gt;"",R480=0),IF(M480="IN",3,4)*100000+ROW(),"")</f>
        <v/>
      </c>
      <c r="W480" s="9" t="n">
        <f aca="false">N(E480)+N(F480)</f>
        <v>0</v>
      </c>
    </row>
    <row r="481" customFormat="false" ht="15" hidden="false" customHeight="false" outlineLevel="0" collapsed="false">
      <c r="A481" s="37" t="str">
        <f aca="false">IF(M481="","",ROW()-7)</f>
        <v/>
      </c>
      <c r="B481" s="70"/>
      <c r="C481" s="72"/>
      <c r="D481" s="71"/>
      <c r="E481" s="73"/>
      <c r="F481" s="73"/>
      <c r="G481" s="73"/>
      <c r="H481" s="42" t="str">
        <f aca="false">IF(M481="","",IF(R481&gt;0,"✔ Matched",IF(M481="IN","Not in cash book (credit)","Not in cash book (debit)")))</f>
        <v/>
      </c>
      <c r="I481" s="43" t="str">
        <f aca="false">IF(N(R481)&gt;0,R481,"")</f>
        <v/>
      </c>
      <c r="J481" s="45" t="str">
        <f aca="false">IF(AND(M481="",B481="",C481=""),"",IF(AND(N(E481)&gt;0,N(F481)&gt;0),"⚠ Fill withdrawal OR deposit",IF(M481="","⚠ Enter amount",IF(B481="","⚠ Enter date",IF(NOT(OR(NOT(ISNUMBER(G481)),NOT(ISNUMBER(G480)),ABS(N(G481)-(N(G480)+N(F481)-N(E481)))&lt;=0.5)),"⚠ Balance does not follow previous row","✔")))))</f>
        <v/>
      </c>
      <c r="M481" s="9" t="str">
        <f aca="false">IF(N(F481)&gt;0,"IN",IF(N(E481)&gt;0,"OUT",""))</f>
        <v/>
      </c>
      <c r="N481" s="9" t="str">
        <f aca="false">IF(M481="","",M481&amp;"|"&amp;TEXT(ROUND(N(E481)+N(F481),2),"0.00"))</f>
        <v/>
      </c>
      <c r="O481" s="9" t="str">
        <f aca="false">IF(OR(N481="",TRIM(D481&amp;"")=""),"",N481&amp;"|"&amp;UPPER(TRIM(D481&amp;"")))</f>
        <v/>
      </c>
      <c r="P481" s="9" t="n">
        <f aca="false">IF(O481="",0,IF(COUNTIF('Cash Book'!$O$8:$O$507,O481)&gt;0,1,0))</f>
        <v>0</v>
      </c>
      <c r="Q481" s="9" t="str">
        <f aca="false">IF(OR(N481="",P481=1),"",N481&amp;"#"&amp;COUNTIFS($N$8:N481,N481,$P$8:P481,0))</f>
        <v/>
      </c>
      <c r="R481" s="9" t="n">
        <f aca="false">IF(N481="",0,IFERROR(MATCH(ROW()-7,'Cash Book'!$U$8:$U$507,0),0))</f>
        <v>0</v>
      </c>
      <c r="V481" s="9" t="str">
        <f aca="false">IF(AND(N481&lt;&gt;"",R481=0),IF(M481="IN",3,4)*100000+ROW(),"")</f>
        <v/>
      </c>
      <c r="W481" s="9" t="n">
        <f aca="false">N(E481)+N(F481)</f>
        <v>0</v>
      </c>
    </row>
    <row r="482" customFormat="false" ht="15" hidden="false" customHeight="false" outlineLevel="0" collapsed="false">
      <c r="A482" s="37" t="str">
        <f aca="false">IF(M482="","",ROW()-7)</f>
        <v/>
      </c>
      <c r="B482" s="70"/>
      <c r="C482" s="72"/>
      <c r="D482" s="71"/>
      <c r="E482" s="73"/>
      <c r="F482" s="73"/>
      <c r="G482" s="73"/>
      <c r="H482" s="42" t="str">
        <f aca="false">IF(M482="","",IF(R482&gt;0,"✔ Matched",IF(M482="IN","Not in cash book (credit)","Not in cash book (debit)")))</f>
        <v/>
      </c>
      <c r="I482" s="43" t="str">
        <f aca="false">IF(N(R482)&gt;0,R482,"")</f>
        <v/>
      </c>
      <c r="J482" s="45" t="str">
        <f aca="false">IF(AND(M482="",B482="",C482=""),"",IF(AND(N(E482)&gt;0,N(F482)&gt;0),"⚠ Fill withdrawal OR deposit",IF(M482="","⚠ Enter amount",IF(B482="","⚠ Enter date",IF(NOT(OR(NOT(ISNUMBER(G482)),NOT(ISNUMBER(G481)),ABS(N(G482)-(N(G481)+N(F482)-N(E482)))&lt;=0.5)),"⚠ Balance does not follow previous row","✔")))))</f>
        <v/>
      </c>
      <c r="M482" s="9" t="str">
        <f aca="false">IF(N(F482)&gt;0,"IN",IF(N(E482)&gt;0,"OUT",""))</f>
        <v/>
      </c>
      <c r="N482" s="9" t="str">
        <f aca="false">IF(M482="","",M482&amp;"|"&amp;TEXT(ROUND(N(E482)+N(F482),2),"0.00"))</f>
        <v/>
      </c>
      <c r="O482" s="9" t="str">
        <f aca="false">IF(OR(N482="",TRIM(D482&amp;"")=""),"",N482&amp;"|"&amp;UPPER(TRIM(D482&amp;"")))</f>
        <v/>
      </c>
      <c r="P482" s="9" t="n">
        <f aca="false">IF(O482="",0,IF(COUNTIF('Cash Book'!$O$8:$O$507,O482)&gt;0,1,0))</f>
        <v>0</v>
      </c>
      <c r="Q482" s="9" t="str">
        <f aca="false">IF(OR(N482="",P482=1),"",N482&amp;"#"&amp;COUNTIFS($N$8:N482,N482,$P$8:P482,0))</f>
        <v/>
      </c>
      <c r="R482" s="9" t="n">
        <f aca="false">IF(N482="",0,IFERROR(MATCH(ROW()-7,'Cash Book'!$U$8:$U$507,0),0))</f>
        <v>0</v>
      </c>
      <c r="V482" s="9" t="str">
        <f aca="false">IF(AND(N482&lt;&gt;"",R482=0),IF(M482="IN",3,4)*100000+ROW(),"")</f>
        <v/>
      </c>
      <c r="W482" s="9" t="n">
        <f aca="false">N(E482)+N(F482)</f>
        <v>0</v>
      </c>
    </row>
    <row r="483" customFormat="false" ht="15" hidden="false" customHeight="false" outlineLevel="0" collapsed="false">
      <c r="A483" s="37" t="str">
        <f aca="false">IF(M483="","",ROW()-7)</f>
        <v/>
      </c>
      <c r="B483" s="70"/>
      <c r="C483" s="72"/>
      <c r="D483" s="71"/>
      <c r="E483" s="73"/>
      <c r="F483" s="73"/>
      <c r="G483" s="73"/>
      <c r="H483" s="42" t="str">
        <f aca="false">IF(M483="","",IF(R483&gt;0,"✔ Matched",IF(M483="IN","Not in cash book (credit)","Not in cash book (debit)")))</f>
        <v/>
      </c>
      <c r="I483" s="43" t="str">
        <f aca="false">IF(N(R483)&gt;0,R483,"")</f>
        <v/>
      </c>
      <c r="J483" s="45" t="str">
        <f aca="false">IF(AND(M483="",B483="",C483=""),"",IF(AND(N(E483)&gt;0,N(F483)&gt;0),"⚠ Fill withdrawal OR deposit",IF(M483="","⚠ Enter amount",IF(B483="","⚠ Enter date",IF(NOT(OR(NOT(ISNUMBER(G483)),NOT(ISNUMBER(G482)),ABS(N(G483)-(N(G482)+N(F483)-N(E483)))&lt;=0.5)),"⚠ Balance does not follow previous row","✔")))))</f>
        <v/>
      </c>
      <c r="M483" s="9" t="str">
        <f aca="false">IF(N(F483)&gt;0,"IN",IF(N(E483)&gt;0,"OUT",""))</f>
        <v/>
      </c>
      <c r="N483" s="9" t="str">
        <f aca="false">IF(M483="","",M483&amp;"|"&amp;TEXT(ROUND(N(E483)+N(F483),2),"0.00"))</f>
        <v/>
      </c>
      <c r="O483" s="9" t="str">
        <f aca="false">IF(OR(N483="",TRIM(D483&amp;"")=""),"",N483&amp;"|"&amp;UPPER(TRIM(D483&amp;"")))</f>
        <v/>
      </c>
      <c r="P483" s="9" t="n">
        <f aca="false">IF(O483="",0,IF(COUNTIF('Cash Book'!$O$8:$O$507,O483)&gt;0,1,0))</f>
        <v>0</v>
      </c>
      <c r="Q483" s="9" t="str">
        <f aca="false">IF(OR(N483="",P483=1),"",N483&amp;"#"&amp;COUNTIFS($N$8:N483,N483,$P$8:P483,0))</f>
        <v/>
      </c>
      <c r="R483" s="9" t="n">
        <f aca="false">IF(N483="",0,IFERROR(MATCH(ROW()-7,'Cash Book'!$U$8:$U$507,0),0))</f>
        <v>0</v>
      </c>
      <c r="V483" s="9" t="str">
        <f aca="false">IF(AND(N483&lt;&gt;"",R483=0),IF(M483="IN",3,4)*100000+ROW(),"")</f>
        <v/>
      </c>
      <c r="W483" s="9" t="n">
        <f aca="false">N(E483)+N(F483)</f>
        <v>0</v>
      </c>
    </row>
    <row r="484" customFormat="false" ht="15" hidden="false" customHeight="false" outlineLevel="0" collapsed="false">
      <c r="A484" s="37" t="str">
        <f aca="false">IF(M484="","",ROW()-7)</f>
        <v/>
      </c>
      <c r="B484" s="70"/>
      <c r="C484" s="72"/>
      <c r="D484" s="71"/>
      <c r="E484" s="73"/>
      <c r="F484" s="73"/>
      <c r="G484" s="73"/>
      <c r="H484" s="42" t="str">
        <f aca="false">IF(M484="","",IF(R484&gt;0,"✔ Matched",IF(M484="IN","Not in cash book (credit)","Not in cash book (debit)")))</f>
        <v/>
      </c>
      <c r="I484" s="43" t="str">
        <f aca="false">IF(N(R484)&gt;0,R484,"")</f>
        <v/>
      </c>
      <c r="J484" s="45" t="str">
        <f aca="false">IF(AND(M484="",B484="",C484=""),"",IF(AND(N(E484)&gt;0,N(F484)&gt;0),"⚠ Fill withdrawal OR deposit",IF(M484="","⚠ Enter amount",IF(B484="","⚠ Enter date",IF(NOT(OR(NOT(ISNUMBER(G484)),NOT(ISNUMBER(G483)),ABS(N(G484)-(N(G483)+N(F484)-N(E484)))&lt;=0.5)),"⚠ Balance does not follow previous row","✔")))))</f>
        <v/>
      </c>
      <c r="M484" s="9" t="str">
        <f aca="false">IF(N(F484)&gt;0,"IN",IF(N(E484)&gt;0,"OUT",""))</f>
        <v/>
      </c>
      <c r="N484" s="9" t="str">
        <f aca="false">IF(M484="","",M484&amp;"|"&amp;TEXT(ROUND(N(E484)+N(F484),2),"0.00"))</f>
        <v/>
      </c>
      <c r="O484" s="9" t="str">
        <f aca="false">IF(OR(N484="",TRIM(D484&amp;"")=""),"",N484&amp;"|"&amp;UPPER(TRIM(D484&amp;"")))</f>
        <v/>
      </c>
      <c r="P484" s="9" t="n">
        <f aca="false">IF(O484="",0,IF(COUNTIF('Cash Book'!$O$8:$O$507,O484)&gt;0,1,0))</f>
        <v>0</v>
      </c>
      <c r="Q484" s="9" t="str">
        <f aca="false">IF(OR(N484="",P484=1),"",N484&amp;"#"&amp;COUNTIFS($N$8:N484,N484,$P$8:P484,0))</f>
        <v/>
      </c>
      <c r="R484" s="9" t="n">
        <f aca="false">IF(N484="",0,IFERROR(MATCH(ROW()-7,'Cash Book'!$U$8:$U$507,0),0))</f>
        <v>0</v>
      </c>
      <c r="V484" s="9" t="str">
        <f aca="false">IF(AND(N484&lt;&gt;"",R484=0),IF(M484="IN",3,4)*100000+ROW(),"")</f>
        <v/>
      </c>
      <c r="W484" s="9" t="n">
        <f aca="false">N(E484)+N(F484)</f>
        <v>0</v>
      </c>
    </row>
    <row r="485" customFormat="false" ht="15" hidden="false" customHeight="false" outlineLevel="0" collapsed="false">
      <c r="A485" s="37" t="str">
        <f aca="false">IF(M485="","",ROW()-7)</f>
        <v/>
      </c>
      <c r="B485" s="70"/>
      <c r="C485" s="72"/>
      <c r="D485" s="71"/>
      <c r="E485" s="73"/>
      <c r="F485" s="73"/>
      <c r="G485" s="73"/>
      <c r="H485" s="42" t="str">
        <f aca="false">IF(M485="","",IF(R485&gt;0,"✔ Matched",IF(M485="IN","Not in cash book (credit)","Not in cash book (debit)")))</f>
        <v/>
      </c>
      <c r="I485" s="43" t="str">
        <f aca="false">IF(N(R485)&gt;0,R485,"")</f>
        <v/>
      </c>
      <c r="J485" s="45" t="str">
        <f aca="false">IF(AND(M485="",B485="",C485=""),"",IF(AND(N(E485)&gt;0,N(F485)&gt;0),"⚠ Fill withdrawal OR deposit",IF(M485="","⚠ Enter amount",IF(B485="","⚠ Enter date",IF(NOT(OR(NOT(ISNUMBER(G485)),NOT(ISNUMBER(G484)),ABS(N(G485)-(N(G484)+N(F485)-N(E485)))&lt;=0.5)),"⚠ Balance does not follow previous row","✔")))))</f>
        <v/>
      </c>
      <c r="M485" s="9" t="str">
        <f aca="false">IF(N(F485)&gt;0,"IN",IF(N(E485)&gt;0,"OUT",""))</f>
        <v/>
      </c>
      <c r="N485" s="9" t="str">
        <f aca="false">IF(M485="","",M485&amp;"|"&amp;TEXT(ROUND(N(E485)+N(F485),2),"0.00"))</f>
        <v/>
      </c>
      <c r="O485" s="9" t="str">
        <f aca="false">IF(OR(N485="",TRIM(D485&amp;"")=""),"",N485&amp;"|"&amp;UPPER(TRIM(D485&amp;"")))</f>
        <v/>
      </c>
      <c r="P485" s="9" t="n">
        <f aca="false">IF(O485="",0,IF(COUNTIF('Cash Book'!$O$8:$O$507,O485)&gt;0,1,0))</f>
        <v>0</v>
      </c>
      <c r="Q485" s="9" t="str">
        <f aca="false">IF(OR(N485="",P485=1),"",N485&amp;"#"&amp;COUNTIFS($N$8:N485,N485,$P$8:P485,0))</f>
        <v/>
      </c>
      <c r="R485" s="9" t="n">
        <f aca="false">IF(N485="",0,IFERROR(MATCH(ROW()-7,'Cash Book'!$U$8:$U$507,0),0))</f>
        <v>0</v>
      </c>
      <c r="V485" s="9" t="str">
        <f aca="false">IF(AND(N485&lt;&gt;"",R485=0),IF(M485="IN",3,4)*100000+ROW(),"")</f>
        <v/>
      </c>
      <c r="W485" s="9" t="n">
        <f aca="false">N(E485)+N(F485)</f>
        <v>0</v>
      </c>
    </row>
    <row r="486" customFormat="false" ht="15" hidden="false" customHeight="false" outlineLevel="0" collapsed="false">
      <c r="A486" s="37" t="str">
        <f aca="false">IF(M486="","",ROW()-7)</f>
        <v/>
      </c>
      <c r="B486" s="70"/>
      <c r="C486" s="72"/>
      <c r="D486" s="71"/>
      <c r="E486" s="73"/>
      <c r="F486" s="73"/>
      <c r="G486" s="73"/>
      <c r="H486" s="42" t="str">
        <f aca="false">IF(M486="","",IF(R486&gt;0,"✔ Matched",IF(M486="IN","Not in cash book (credit)","Not in cash book (debit)")))</f>
        <v/>
      </c>
      <c r="I486" s="43" t="str">
        <f aca="false">IF(N(R486)&gt;0,R486,"")</f>
        <v/>
      </c>
      <c r="J486" s="45" t="str">
        <f aca="false">IF(AND(M486="",B486="",C486=""),"",IF(AND(N(E486)&gt;0,N(F486)&gt;0),"⚠ Fill withdrawal OR deposit",IF(M486="","⚠ Enter amount",IF(B486="","⚠ Enter date",IF(NOT(OR(NOT(ISNUMBER(G486)),NOT(ISNUMBER(G485)),ABS(N(G486)-(N(G485)+N(F486)-N(E486)))&lt;=0.5)),"⚠ Balance does not follow previous row","✔")))))</f>
        <v/>
      </c>
      <c r="M486" s="9" t="str">
        <f aca="false">IF(N(F486)&gt;0,"IN",IF(N(E486)&gt;0,"OUT",""))</f>
        <v/>
      </c>
      <c r="N486" s="9" t="str">
        <f aca="false">IF(M486="","",M486&amp;"|"&amp;TEXT(ROUND(N(E486)+N(F486),2),"0.00"))</f>
        <v/>
      </c>
      <c r="O486" s="9" t="str">
        <f aca="false">IF(OR(N486="",TRIM(D486&amp;"")=""),"",N486&amp;"|"&amp;UPPER(TRIM(D486&amp;"")))</f>
        <v/>
      </c>
      <c r="P486" s="9" t="n">
        <f aca="false">IF(O486="",0,IF(COUNTIF('Cash Book'!$O$8:$O$507,O486)&gt;0,1,0))</f>
        <v>0</v>
      </c>
      <c r="Q486" s="9" t="str">
        <f aca="false">IF(OR(N486="",P486=1),"",N486&amp;"#"&amp;COUNTIFS($N$8:N486,N486,$P$8:P486,0))</f>
        <v/>
      </c>
      <c r="R486" s="9" t="n">
        <f aca="false">IF(N486="",0,IFERROR(MATCH(ROW()-7,'Cash Book'!$U$8:$U$507,0),0))</f>
        <v>0</v>
      </c>
      <c r="V486" s="9" t="str">
        <f aca="false">IF(AND(N486&lt;&gt;"",R486=0),IF(M486="IN",3,4)*100000+ROW(),"")</f>
        <v/>
      </c>
      <c r="W486" s="9" t="n">
        <f aca="false">N(E486)+N(F486)</f>
        <v>0</v>
      </c>
    </row>
    <row r="487" customFormat="false" ht="15" hidden="false" customHeight="false" outlineLevel="0" collapsed="false">
      <c r="A487" s="37" t="str">
        <f aca="false">IF(M487="","",ROW()-7)</f>
        <v/>
      </c>
      <c r="B487" s="70"/>
      <c r="C487" s="72"/>
      <c r="D487" s="71"/>
      <c r="E487" s="73"/>
      <c r="F487" s="73"/>
      <c r="G487" s="73"/>
      <c r="H487" s="42" t="str">
        <f aca="false">IF(M487="","",IF(R487&gt;0,"✔ Matched",IF(M487="IN","Not in cash book (credit)","Not in cash book (debit)")))</f>
        <v/>
      </c>
      <c r="I487" s="43" t="str">
        <f aca="false">IF(N(R487)&gt;0,R487,"")</f>
        <v/>
      </c>
      <c r="J487" s="45" t="str">
        <f aca="false">IF(AND(M487="",B487="",C487=""),"",IF(AND(N(E487)&gt;0,N(F487)&gt;0),"⚠ Fill withdrawal OR deposit",IF(M487="","⚠ Enter amount",IF(B487="","⚠ Enter date",IF(NOT(OR(NOT(ISNUMBER(G487)),NOT(ISNUMBER(G486)),ABS(N(G487)-(N(G486)+N(F487)-N(E487)))&lt;=0.5)),"⚠ Balance does not follow previous row","✔")))))</f>
        <v/>
      </c>
      <c r="M487" s="9" t="str">
        <f aca="false">IF(N(F487)&gt;0,"IN",IF(N(E487)&gt;0,"OUT",""))</f>
        <v/>
      </c>
      <c r="N487" s="9" t="str">
        <f aca="false">IF(M487="","",M487&amp;"|"&amp;TEXT(ROUND(N(E487)+N(F487),2),"0.00"))</f>
        <v/>
      </c>
      <c r="O487" s="9" t="str">
        <f aca="false">IF(OR(N487="",TRIM(D487&amp;"")=""),"",N487&amp;"|"&amp;UPPER(TRIM(D487&amp;"")))</f>
        <v/>
      </c>
      <c r="P487" s="9" t="n">
        <f aca="false">IF(O487="",0,IF(COUNTIF('Cash Book'!$O$8:$O$507,O487)&gt;0,1,0))</f>
        <v>0</v>
      </c>
      <c r="Q487" s="9" t="str">
        <f aca="false">IF(OR(N487="",P487=1),"",N487&amp;"#"&amp;COUNTIFS($N$8:N487,N487,$P$8:P487,0))</f>
        <v/>
      </c>
      <c r="R487" s="9" t="n">
        <f aca="false">IF(N487="",0,IFERROR(MATCH(ROW()-7,'Cash Book'!$U$8:$U$507,0),0))</f>
        <v>0</v>
      </c>
      <c r="V487" s="9" t="str">
        <f aca="false">IF(AND(N487&lt;&gt;"",R487=0),IF(M487="IN",3,4)*100000+ROW(),"")</f>
        <v/>
      </c>
      <c r="W487" s="9" t="n">
        <f aca="false">N(E487)+N(F487)</f>
        <v>0</v>
      </c>
    </row>
    <row r="488" customFormat="false" ht="15" hidden="false" customHeight="false" outlineLevel="0" collapsed="false">
      <c r="A488" s="37" t="str">
        <f aca="false">IF(M488="","",ROW()-7)</f>
        <v/>
      </c>
      <c r="B488" s="70"/>
      <c r="C488" s="72"/>
      <c r="D488" s="71"/>
      <c r="E488" s="73"/>
      <c r="F488" s="73"/>
      <c r="G488" s="73"/>
      <c r="H488" s="42" t="str">
        <f aca="false">IF(M488="","",IF(R488&gt;0,"✔ Matched",IF(M488="IN","Not in cash book (credit)","Not in cash book (debit)")))</f>
        <v/>
      </c>
      <c r="I488" s="43" t="str">
        <f aca="false">IF(N(R488)&gt;0,R488,"")</f>
        <v/>
      </c>
      <c r="J488" s="45" t="str">
        <f aca="false">IF(AND(M488="",B488="",C488=""),"",IF(AND(N(E488)&gt;0,N(F488)&gt;0),"⚠ Fill withdrawal OR deposit",IF(M488="","⚠ Enter amount",IF(B488="","⚠ Enter date",IF(NOT(OR(NOT(ISNUMBER(G488)),NOT(ISNUMBER(G487)),ABS(N(G488)-(N(G487)+N(F488)-N(E488)))&lt;=0.5)),"⚠ Balance does not follow previous row","✔")))))</f>
        <v/>
      </c>
      <c r="M488" s="9" t="str">
        <f aca="false">IF(N(F488)&gt;0,"IN",IF(N(E488)&gt;0,"OUT",""))</f>
        <v/>
      </c>
      <c r="N488" s="9" t="str">
        <f aca="false">IF(M488="","",M488&amp;"|"&amp;TEXT(ROUND(N(E488)+N(F488),2),"0.00"))</f>
        <v/>
      </c>
      <c r="O488" s="9" t="str">
        <f aca="false">IF(OR(N488="",TRIM(D488&amp;"")=""),"",N488&amp;"|"&amp;UPPER(TRIM(D488&amp;"")))</f>
        <v/>
      </c>
      <c r="P488" s="9" t="n">
        <f aca="false">IF(O488="",0,IF(COUNTIF('Cash Book'!$O$8:$O$507,O488)&gt;0,1,0))</f>
        <v>0</v>
      </c>
      <c r="Q488" s="9" t="str">
        <f aca="false">IF(OR(N488="",P488=1),"",N488&amp;"#"&amp;COUNTIFS($N$8:N488,N488,$P$8:P488,0))</f>
        <v/>
      </c>
      <c r="R488" s="9" t="n">
        <f aca="false">IF(N488="",0,IFERROR(MATCH(ROW()-7,'Cash Book'!$U$8:$U$507,0),0))</f>
        <v>0</v>
      </c>
      <c r="V488" s="9" t="str">
        <f aca="false">IF(AND(N488&lt;&gt;"",R488=0),IF(M488="IN",3,4)*100000+ROW(),"")</f>
        <v/>
      </c>
      <c r="W488" s="9" t="n">
        <f aca="false">N(E488)+N(F488)</f>
        <v>0</v>
      </c>
    </row>
    <row r="489" customFormat="false" ht="15" hidden="false" customHeight="false" outlineLevel="0" collapsed="false">
      <c r="A489" s="37" t="str">
        <f aca="false">IF(M489="","",ROW()-7)</f>
        <v/>
      </c>
      <c r="B489" s="70"/>
      <c r="C489" s="72"/>
      <c r="D489" s="71"/>
      <c r="E489" s="73"/>
      <c r="F489" s="73"/>
      <c r="G489" s="73"/>
      <c r="H489" s="42" t="str">
        <f aca="false">IF(M489="","",IF(R489&gt;0,"✔ Matched",IF(M489="IN","Not in cash book (credit)","Not in cash book (debit)")))</f>
        <v/>
      </c>
      <c r="I489" s="43" t="str">
        <f aca="false">IF(N(R489)&gt;0,R489,"")</f>
        <v/>
      </c>
      <c r="J489" s="45" t="str">
        <f aca="false">IF(AND(M489="",B489="",C489=""),"",IF(AND(N(E489)&gt;0,N(F489)&gt;0),"⚠ Fill withdrawal OR deposit",IF(M489="","⚠ Enter amount",IF(B489="","⚠ Enter date",IF(NOT(OR(NOT(ISNUMBER(G489)),NOT(ISNUMBER(G488)),ABS(N(G489)-(N(G488)+N(F489)-N(E489)))&lt;=0.5)),"⚠ Balance does not follow previous row","✔")))))</f>
        <v/>
      </c>
      <c r="M489" s="9" t="str">
        <f aca="false">IF(N(F489)&gt;0,"IN",IF(N(E489)&gt;0,"OUT",""))</f>
        <v/>
      </c>
      <c r="N489" s="9" t="str">
        <f aca="false">IF(M489="","",M489&amp;"|"&amp;TEXT(ROUND(N(E489)+N(F489),2),"0.00"))</f>
        <v/>
      </c>
      <c r="O489" s="9" t="str">
        <f aca="false">IF(OR(N489="",TRIM(D489&amp;"")=""),"",N489&amp;"|"&amp;UPPER(TRIM(D489&amp;"")))</f>
        <v/>
      </c>
      <c r="P489" s="9" t="n">
        <f aca="false">IF(O489="",0,IF(COUNTIF('Cash Book'!$O$8:$O$507,O489)&gt;0,1,0))</f>
        <v>0</v>
      </c>
      <c r="Q489" s="9" t="str">
        <f aca="false">IF(OR(N489="",P489=1),"",N489&amp;"#"&amp;COUNTIFS($N$8:N489,N489,$P$8:P489,0))</f>
        <v/>
      </c>
      <c r="R489" s="9" t="n">
        <f aca="false">IF(N489="",0,IFERROR(MATCH(ROW()-7,'Cash Book'!$U$8:$U$507,0),0))</f>
        <v>0</v>
      </c>
      <c r="V489" s="9" t="str">
        <f aca="false">IF(AND(N489&lt;&gt;"",R489=0),IF(M489="IN",3,4)*100000+ROW(),"")</f>
        <v/>
      </c>
      <c r="W489" s="9" t="n">
        <f aca="false">N(E489)+N(F489)</f>
        <v>0</v>
      </c>
    </row>
    <row r="490" customFormat="false" ht="15" hidden="false" customHeight="false" outlineLevel="0" collapsed="false">
      <c r="A490" s="37" t="str">
        <f aca="false">IF(M490="","",ROW()-7)</f>
        <v/>
      </c>
      <c r="B490" s="70"/>
      <c r="C490" s="72"/>
      <c r="D490" s="71"/>
      <c r="E490" s="73"/>
      <c r="F490" s="73"/>
      <c r="G490" s="73"/>
      <c r="H490" s="42" t="str">
        <f aca="false">IF(M490="","",IF(R490&gt;0,"✔ Matched",IF(M490="IN","Not in cash book (credit)","Not in cash book (debit)")))</f>
        <v/>
      </c>
      <c r="I490" s="43" t="str">
        <f aca="false">IF(N(R490)&gt;0,R490,"")</f>
        <v/>
      </c>
      <c r="J490" s="45" t="str">
        <f aca="false">IF(AND(M490="",B490="",C490=""),"",IF(AND(N(E490)&gt;0,N(F490)&gt;0),"⚠ Fill withdrawal OR deposit",IF(M490="","⚠ Enter amount",IF(B490="","⚠ Enter date",IF(NOT(OR(NOT(ISNUMBER(G490)),NOT(ISNUMBER(G489)),ABS(N(G490)-(N(G489)+N(F490)-N(E490)))&lt;=0.5)),"⚠ Balance does not follow previous row","✔")))))</f>
        <v/>
      </c>
      <c r="M490" s="9" t="str">
        <f aca="false">IF(N(F490)&gt;0,"IN",IF(N(E490)&gt;0,"OUT",""))</f>
        <v/>
      </c>
      <c r="N490" s="9" t="str">
        <f aca="false">IF(M490="","",M490&amp;"|"&amp;TEXT(ROUND(N(E490)+N(F490),2),"0.00"))</f>
        <v/>
      </c>
      <c r="O490" s="9" t="str">
        <f aca="false">IF(OR(N490="",TRIM(D490&amp;"")=""),"",N490&amp;"|"&amp;UPPER(TRIM(D490&amp;"")))</f>
        <v/>
      </c>
      <c r="P490" s="9" t="n">
        <f aca="false">IF(O490="",0,IF(COUNTIF('Cash Book'!$O$8:$O$507,O490)&gt;0,1,0))</f>
        <v>0</v>
      </c>
      <c r="Q490" s="9" t="str">
        <f aca="false">IF(OR(N490="",P490=1),"",N490&amp;"#"&amp;COUNTIFS($N$8:N490,N490,$P$8:P490,0))</f>
        <v/>
      </c>
      <c r="R490" s="9" t="n">
        <f aca="false">IF(N490="",0,IFERROR(MATCH(ROW()-7,'Cash Book'!$U$8:$U$507,0),0))</f>
        <v>0</v>
      </c>
      <c r="V490" s="9" t="str">
        <f aca="false">IF(AND(N490&lt;&gt;"",R490=0),IF(M490="IN",3,4)*100000+ROW(),"")</f>
        <v/>
      </c>
      <c r="W490" s="9" t="n">
        <f aca="false">N(E490)+N(F490)</f>
        <v>0</v>
      </c>
    </row>
    <row r="491" customFormat="false" ht="15" hidden="false" customHeight="false" outlineLevel="0" collapsed="false">
      <c r="A491" s="37" t="str">
        <f aca="false">IF(M491="","",ROW()-7)</f>
        <v/>
      </c>
      <c r="B491" s="70"/>
      <c r="C491" s="72"/>
      <c r="D491" s="71"/>
      <c r="E491" s="73"/>
      <c r="F491" s="73"/>
      <c r="G491" s="73"/>
      <c r="H491" s="42" t="str">
        <f aca="false">IF(M491="","",IF(R491&gt;0,"✔ Matched",IF(M491="IN","Not in cash book (credit)","Not in cash book (debit)")))</f>
        <v/>
      </c>
      <c r="I491" s="43" t="str">
        <f aca="false">IF(N(R491)&gt;0,R491,"")</f>
        <v/>
      </c>
      <c r="J491" s="45" t="str">
        <f aca="false">IF(AND(M491="",B491="",C491=""),"",IF(AND(N(E491)&gt;0,N(F491)&gt;0),"⚠ Fill withdrawal OR deposit",IF(M491="","⚠ Enter amount",IF(B491="","⚠ Enter date",IF(NOT(OR(NOT(ISNUMBER(G491)),NOT(ISNUMBER(G490)),ABS(N(G491)-(N(G490)+N(F491)-N(E491)))&lt;=0.5)),"⚠ Balance does not follow previous row","✔")))))</f>
        <v/>
      </c>
      <c r="M491" s="9" t="str">
        <f aca="false">IF(N(F491)&gt;0,"IN",IF(N(E491)&gt;0,"OUT",""))</f>
        <v/>
      </c>
      <c r="N491" s="9" t="str">
        <f aca="false">IF(M491="","",M491&amp;"|"&amp;TEXT(ROUND(N(E491)+N(F491),2),"0.00"))</f>
        <v/>
      </c>
      <c r="O491" s="9" t="str">
        <f aca="false">IF(OR(N491="",TRIM(D491&amp;"")=""),"",N491&amp;"|"&amp;UPPER(TRIM(D491&amp;"")))</f>
        <v/>
      </c>
      <c r="P491" s="9" t="n">
        <f aca="false">IF(O491="",0,IF(COUNTIF('Cash Book'!$O$8:$O$507,O491)&gt;0,1,0))</f>
        <v>0</v>
      </c>
      <c r="Q491" s="9" t="str">
        <f aca="false">IF(OR(N491="",P491=1),"",N491&amp;"#"&amp;COUNTIFS($N$8:N491,N491,$P$8:P491,0))</f>
        <v/>
      </c>
      <c r="R491" s="9" t="n">
        <f aca="false">IF(N491="",0,IFERROR(MATCH(ROW()-7,'Cash Book'!$U$8:$U$507,0),0))</f>
        <v>0</v>
      </c>
      <c r="V491" s="9" t="str">
        <f aca="false">IF(AND(N491&lt;&gt;"",R491=0),IF(M491="IN",3,4)*100000+ROW(),"")</f>
        <v/>
      </c>
      <c r="W491" s="9" t="n">
        <f aca="false">N(E491)+N(F491)</f>
        <v>0</v>
      </c>
    </row>
    <row r="492" customFormat="false" ht="15" hidden="false" customHeight="false" outlineLevel="0" collapsed="false">
      <c r="A492" s="37" t="str">
        <f aca="false">IF(M492="","",ROW()-7)</f>
        <v/>
      </c>
      <c r="B492" s="70"/>
      <c r="C492" s="72"/>
      <c r="D492" s="71"/>
      <c r="E492" s="73"/>
      <c r="F492" s="73"/>
      <c r="G492" s="73"/>
      <c r="H492" s="42" t="str">
        <f aca="false">IF(M492="","",IF(R492&gt;0,"✔ Matched",IF(M492="IN","Not in cash book (credit)","Not in cash book (debit)")))</f>
        <v/>
      </c>
      <c r="I492" s="43" t="str">
        <f aca="false">IF(N(R492)&gt;0,R492,"")</f>
        <v/>
      </c>
      <c r="J492" s="45" t="str">
        <f aca="false">IF(AND(M492="",B492="",C492=""),"",IF(AND(N(E492)&gt;0,N(F492)&gt;0),"⚠ Fill withdrawal OR deposit",IF(M492="","⚠ Enter amount",IF(B492="","⚠ Enter date",IF(NOT(OR(NOT(ISNUMBER(G492)),NOT(ISNUMBER(G491)),ABS(N(G492)-(N(G491)+N(F492)-N(E492)))&lt;=0.5)),"⚠ Balance does not follow previous row","✔")))))</f>
        <v/>
      </c>
      <c r="M492" s="9" t="str">
        <f aca="false">IF(N(F492)&gt;0,"IN",IF(N(E492)&gt;0,"OUT",""))</f>
        <v/>
      </c>
      <c r="N492" s="9" t="str">
        <f aca="false">IF(M492="","",M492&amp;"|"&amp;TEXT(ROUND(N(E492)+N(F492),2),"0.00"))</f>
        <v/>
      </c>
      <c r="O492" s="9" t="str">
        <f aca="false">IF(OR(N492="",TRIM(D492&amp;"")=""),"",N492&amp;"|"&amp;UPPER(TRIM(D492&amp;"")))</f>
        <v/>
      </c>
      <c r="P492" s="9" t="n">
        <f aca="false">IF(O492="",0,IF(COUNTIF('Cash Book'!$O$8:$O$507,O492)&gt;0,1,0))</f>
        <v>0</v>
      </c>
      <c r="Q492" s="9" t="str">
        <f aca="false">IF(OR(N492="",P492=1),"",N492&amp;"#"&amp;COUNTIFS($N$8:N492,N492,$P$8:P492,0))</f>
        <v/>
      </c>
      <c r="R492" s="9" t="n">
        <f aca="false">IF(N492="",0,IFERROR(MATCH(ROW()-7,'Cash Book'!$U$8:$U$507,0),0))</f>
        <v>0</v>
      </c>
      <c r="V492" s="9" t="str">
        <f aca="false">IF(AND(N492&lt;&gt;"",R492=0),IF(M492="IN",3,4)*100000+ROW(),"")</f>
        <v/>
      </c>
      <c r="W492" s="9" t="n">
        <f aca="false">N(E492)+N(F492)</f>
        <v>0</v>
      </c>
    </row>
    <row r="493" customFormat="false" ht="15" hidden="false" customHeight="false" outlineLevel="0" collapsed="false">
      <c r="A493" s="37" t="str">
        <f aca="false">IF(M493="","",ROW()-7)</f>
        <v/>
      </c>
      <c r="B493" s="70"/>
      <c r="C493" s="72"/>
      <c r="D493" s="71"/>
      <c r="E493" s="73"/>
      <c r="F493" s="73"/>
      <c r="G493" s="73"/>
      <c r="H493" s="42" t="str">
        <f aca="false">IF(M493="","",IF(R493&gt;0,"✔ Matched",IF(M493="IN","Not in cash book (credit)","Not in cash book (debit)")))</f>
        <v/>
      </c>
      <c r="I493" s="43" t="str">
        <f aca="false">IF(N(R493)&gt;0,R493,"")</f>
        <v/>
      </c>
      <c r="J493" s="45" t="str">
        <f aca="false">IF(AND(M493="",B493="",C493=""),"",IF(AND(N(E493)&gt;0,N(F493)&gt;0),"⚠ Fill withdrawal OR deposit",IF(M493="","⚠ Enter amount",IF(B493="","⚠ Enter date",IF(NOT(OR(NOT(ISNUMBER(G493)),NOT(ISNUMBER(G492)),ABS(N(G493)-(N(G492)+N(F493)-N(E493)))&lt;=0.5)),"⚠ Balance does not follow previous row","✔")))))</f>
        <v/>
      </c>
      <c r="M493" s="9" t="str">
        <f aca="false">IF(N(F493)&gt;0,"IN",IF(N(E493)&gt;0,"OUT",""))</f>
        <v/>
      </c>
      <c r="N493" s="9" t="str">
        <f aca="false">IF(M493="","",M493&amp;"|"&amp;TEXT(ROUND(N(E493)+N(F493),2),"0.00"))</f>
        <v/>
      </c>
      <c r="O493" s="9" t="str">
        <f aca="false">IF(OR(N493="",TRIM(D493&amp;"")=""),"",N493&amp;"|"&amp;UPPER(TRIM(D493&amp;"")))</f>
        <v/>
      </c>
      <c r="P493" s="9" t="n">
        <f aca="false">IF(O493="",0,IF(COUNTIF('Cash Book'!$O$8:$O$507,O493)&gt;0,1,0))</f>
        <v>0</v>
      </c>
      <c r="Q493" s="9" t="str">
        <f aca="false">IF(OR(N493="",P493=1),"",N493&amp;"#"&amp;COUNTIFS($N$8:N493,N493,$P$8:P493,0))</f>
        <v/>
      </c>
      <c r="R493" s="9" t="n">
        <f aca="false">IF(N493="",0,IFERROR(MATCH(ROW()-7,'Cash Book'!$U$8:$U$507,0),0))</f>
        <v>0</v>
      </c>
      <c r="V493" s="9" t="str">
        <f aca="false">IF(AND(N493&lt;&gt;"",R493=0),IF(M493="IN",3,4)*100000+ROW(),"")</f>
        <v/>
      </c>
      <c r="W493" s="9" t="n">
        <f aca="false">N(E493)+N(F493)</f>
        <v>0</v>
      </c>
    </row>
    <row r="494" customFormat="false" ht="15" hidden="false" customHeight="false" outlineLevel="0" collapsed="false">
      <c r="A494" s="37" t="str">
        <f aca="false">IF(M494="","",ROW()-7)</f>
        <v/>
      </c>
      <c r="B494" s="70"/>
      <c r="C494" s="72"/>
      <c r="D494" s="71"/>
      <c r="E494" s="73"/>
      <c r="F494" s="73"/>
      <c r="G494" s="73"/>
      <c r="H494" s="42" t="str">
        <f aca="false">IF(M494="","",IF(R494&gt;0,"✔ Matched",IF(M494="IN","Not in cash book (credit)","Not in cash book (debit)")))</f>
        <v/>
      </c>
      <c r="I494" s="43" t="str">
        <f aca="false">IF(N(R494)&gt;0,R494,"")</f>
        <v/>
      </c>
      <c r="J494" s="45" t="str">
        <f aca="false">IF(AND(M494="",B494="",C494=""),"",IF(AND(N(E494)&gt;0,N(F494)&gt;0),"⚠ Fill withdrawal OR deposit",IF(M494="","⚠ Enter amount",IF(B494="","⚠ Enter date",IF(NOT(OR(NOT(ISNUMBER(G494)),NOT(ISNUMBER(G493)),ABS(N(G494)-(N(G493)+N(F494)-N(E494)))&lt;=0.5)),"⚠ Balance does not follow previous row","✔")))))</f>
        <v/>
      </c>
      <c r="M494" s="9" t="str">
        <f aca="false">IF(N(F494)&gt;0,"IN",IF(N(E494)&gt;0,"OUT",""))</f>
        <v/>
      </c>
      <c r="N494" s="9" t="str">
        <f aca="false">IF(M494="","",M494&amp;"|"&amp;TEXT(ROUND(N(E494)+N(F494),2),"0.00"))</f>
        <v/>
      </c>
      <c r="O494" s="9" t="str">
        <f aca="false">IF(OR(N494="",TRIM(D494&amp;"")=""),"",N494&amp;"|"&amp;UPPER(TRIM(D494&amp;"")))</f>
        <v/>
      </c>
      <c r="P494" s="9" t="n">
        <f aca="false">IF(O494="",0,IF(COUNTIF('Cash Book'!$O$8:$O$507,O494)&gt;0,1,0))</f>
        <v>0</v>
      </c>
      <c r="Q494" s="9" t="str">
        <f aca="false">IF(OR(N494="",P494=1),"",N494&amp;"#"&amp;COUNTIFS($N$8:N494,N494,$P$8:P494,0))</f>
        <v/>
      </c>
      <c r="R494" s="9" t="n">
        <f aca="false">IF(N494="",0,IFERROR(MATCH(ROW()-7,'Cash Book'!$U$8:$U$507,0),0))</f>
        <v>0</v>
      </c>
      <c r="V494" s="9" t="str">
        <f aca="false">IF(AND(N494&lt;&gt;"",R494=0),IF(M494="IN",3,4)*100000+ROW(),"")</f>
        <v/>
      </c>
      <c r="W494" s="9" t="n">
        <f aca="false">N(E494)+N(F494)</f>
        <v>0</v>
      </c>
    </row>
    <row r="495" customFormat="false" ht="15" hidden="false" customHeight="false" outlineLevel="0" collapsed="false">
      <c r="A495" s="37" t="str">
        <f aca="false">IF(M495="","",ROW()-7)</f>
        <v/>
      </c>
      <c r="B495" s="70"/>
      <c r="C495" s="72"/>
      <c r="D495" s="71"/>
      <c r="E495" s="73"/>
      <c r="F495" s="73"/>
      <c r="G495" s="73"/>
      <c r="H495" s="42" t="str">
        <f aca="false">IF(M495="","",IF(R495&gt;0,"✔ Matched",IF(M495="IN","Not in cash book (credit)","Not in cash book (debit)")))</f>
        <v/>
      </c>
      <c r="I495" s="43" t="str">
        <f aca="false">IF(N(R495)&gt;0,R495,"")</f>
        <v/>
      </c>
      <c r="J495" s="45" t="str">
        <f aca="false">IF(AND(M495="",B495="",C495=""),"",IF(AND(N(E495)&gt;0,N(F495)&gt;0),"⚠ Fill withdrawal OR deposit",IF(M495="","⚠ Enter amount",IF(B495="","⚠ Enter date",IF(NOT(OR(NOT(ISNUMBER(G495)),NOT(ISNUMBER(G494)),ABS(N(G495)-(N(G494)+N(F495)-N(E495)))&lt;=0.5)),"⚠ Balance does not follow previous row","✔")))))</f>
        <v/>
      </c>
      <c r="M495" s="9" t="str">
        <f aca="false">IF(N(F495)&gt;0,"IN",IF(N(E495)&gt;0,"OUT",""))</f>
        <v/>
      </c>
      <c r="N495" s="9" t="str">
        <f aca="false">IF(M495="","",M495&amp;"|"&amp;TEXT(ROUND(N(E495)+N(F495),2),"0.00"))</f>
        <v/>
      </c>
      <c r="O495" s="9" t="str">
        <f aca="false">IF(OR(N495="",TRIM(D495&amp;"")=""),"",N495&amp;"|"&amp;UPPER(TRIM(D495&amp;"")))</f>
        <v/>
      </c>
      <c r="P495" s="9" t="n">
        <f aca="false">IF(O495="",0,IF(COUNTIF('Cash Book'!$O$8:$O$507,O495)&gt;0,1,0))</f>
        <v>0</v>
      </c>
      <c r="Q495" s="9" t="str">
        <f aca="false">IF(OR(N495="",P495=1),"",N495&amp;"#"&amp;COUNTIFS($N$8:N495,N495,$P$8:P495,0))</f>
        <v/>
      </c>
      <c r="R495" s="9" t="n">
        <f aca="false">IF(N495="",0,IFERROR(MATCH(ROW()-7,'Cash Book'!$U$8:$U$507,0),0))</f>
        <v>0</v>
      </c>
      <c r="V495" s="9" t="str">
        <f aca="false">IF(AND(N495&lt;&gt;"",R495=0),IF(M495="IN",3,4)*100000+ROW(),"")</f>
        <v/>
      </c>
      <c r="W495" s="9" t="n">
        <f aca="false">N(E495)+N(F495)</f>
        <v>0</v>
      </c>
    </row>
    <row r="496" customFormat="false" ht="15" hidden="false" customHeight="false" outlineLevel="0" collapsed="false">
      <c r="A496" s="37" t="str">
        <f aca="false">IF(M496="","",ROW()-7)</f>
        <v/>
      </c>
      <c r="B496" s="70"/>
      <c r="C496" s="72"/>
      <c r="D496" s="71"/>
      <c r="E496" s="73"/>
      <c r="F496" s="73"/>
      <c r="G496" s="73"/>
      <c r="H496" s="42" t="str">
        <f aca="false">IF(M496="","",IF(R496&gt;0,"✔ Matched",IF(M496="IN","Not in cash book (credit)","Not in cash book (debit)")))</f>
        <v/>
      </c>
      <c r="I496" s="43" t="str">
        <f aca="false">IF(N(R496)&gt;0,R496,"")</f>
        <v/>
      </c>
      <c r="J496" s="45" t="str">
        <f aca="false">IF(AND(M496="",B496="",C496=""),"",IF(AND(N(E496)&gt;0,N(F496)&gt;0),"⚠ Fill withdrawal OR deposit",IF(M496="","⚠ Enter amount",IF(B496="","⚠ Enter date",IF(NOT(OR(NOT(ISNUMBER(G496)),NOT(ISNUMBER(G495)),ABS(N(G496)-(N(G495)+N(F496)-N(E496)))&lt;=0.5)),"⚠ Balance does not follow previous row","✔")))))</f>
        <v/>
      </c>
      <c r="M496" s="9" t="str">
        <f aca="false">IF(N(F496)&gt;0,"IN",IF(N(E496)&gt;0,"OUT",""))</f>
        <v/>
      </c>
      <c r="N496" s="9" t="str">
        <f aca="false">IF(M496="","",M496&amp;"|"&amp;TEXT(ROUND(N(E496)+N(F496),2),"0.00"))</f>
        <v/>
      </c>
      <c r="O496" s="9" t="str">
        <f aca="false">IF(OR(N496="",TRIM(D496&amp;"")=""),"",N496&amp;"|"&amp;UPPER(TRIM(D496&amp;"")))</f>
        <v/>
      </c>
      <c r="P496" s="9" t="n">
        <f aca="false">IF(O496="",0,IF(COUNTIF('Cash Book'!$O$8:$O$507,O496)&gt;0,1,0))</f>
        <v>0</v>
      </c>
      <c r="Q496" s="9" t="str">
        <f aca="false">IF(OR(N496="",P496=1),"",N496&amp;"#"&amp;COUNTIFS($N$8:N496,N496,$P$8:P496,0))</f>
        <v/>
      </c>
      <c r="R496" s="9" t="n">
        <f aca="false">IF(N496="",0,IFERROR(MATCH(ROW()-7,'Cash Book'!$U$8:$U$507,0),0))</f>
        <v>0</v>
      </c>
      <c r="V496" s="9" t="str">
        <f aca="false">IF(AND(N496&lt;&gt;"",R496=0),IF(M496="IN",3,4)*100000+ROW(),"")</f>
        <v/>
      </c>
      <c r="W496" s="9" t="n">
        <f aca="false">N(E496)+N(F496)</f>
        <v>0</v>
      </c>
    </row>
    <row r="497" customFormat="false" ht="15" hidden="false" customHeight="false" outlineLevel="0" collapsed="false">
      <c r="A497" s="37" t="str">
        <f aca="false">IF(M497="","",ROW()-7)</f>
        <v/>
      </c>
      <c r="B497" s="70"/>
      <c r="C497" s="72"/>
      <c r="D497" s="71"/>
      <c r="E497" s="73"/>
      <c r="F497" s="73"/>
      <c r="G497" s="73"/>
      <c r="H497" s="42" t="str">
        <f aca="false">IF(M497="","",IF(R497&gt;0,"✔ Matched",IF(M497="IN","Not in cash book (credit)","Not in cash book (debit)")))</f>
        <v/>
      </c>
      <c r="I497" s="43" t="str">
        <f aca="false">IF(N(R497)&gt;0,R497,"")</f>
        <v/>
      </c>
      <c r="J497" s="45" t="str">
        <f aca="false">IF(AND(M497="",B497="",C497=""),"",IF(AND(N(E497)&gt;0,N(F497)&gt;0),"⚠ Fill withdrawal OR deposit",IF(M497="","⚠ Enter amount",IF(B497="","⚠ Enter date",IF(NOT(OR(NOT(ISNUMBER(G497)),NOT(ISNUMBER(G496)),ABS(N(G497)-(N(G496)+N(F497)-N(E497)))&lt;=0.5)),"⚠ Balance does not follow previous row","✔")))))</f>
        <v/>
      </c>
      <c r="M497" s="9" t="str">
        <f aca="false">IF(N(F497)&gt;0,"IN",IF(N(E497)&gt;0,"OUT",""))</f>
        <v/>
      </c>
      <c r="N497" s="9" t="str">
        <f aca="false">IF(M497="","",M497&amp;"|"&amp;TEXT(ROUND(N(E497)+N(F497),2),"0.00"))</f>
        <v/>
      </c>
      <c r="O497" s="9" t="str">
        <f aca="false">IF(OR(N497="",TRIM(D497&amp;"")=""),"",N497&amp;"|"&amp;UPPER(TRIM(D497&amp;"")))</f>
        <v/>
      </c>
      <c r="P497" s="9" t="n">
        <f aca="false">IF(O497="",0,IF(COUNTIF('Cash Book'!$O$8:$O$507,O497)&gt;0,1,0))</f>
        <v>0</v>
      </c>
      <c r="Q497" s="9" t="str">
        <f aca="false">IF(OR(N497="",P497=1),"",N497&amp;"#"&amp;COUNTIFS($N$8:N497,N497,$P$8:P497,0))</f>
        <v/>
      </c>
      <c r="R497" s="9" t="n">
        <f aca="false">IF(N497="",0,IFERROR(MATCH(ROW()-7,'Cash Book'!$U$8:$U$507,0),0))</f>
        <v>0</v>
      </c>
      <c r="V497" s="9" t="str">
        <f aca="false">IF(AND(N497&lt;&gt;"",R497=0),IF(M497="IN",3,4)*100000+ROW(),"")</f>
        <v/>
      </c>
      <c r="W497" s="9" t="n">
        <f aca="false">N(E497)+N(F497)</f>
        <v>0</v>
      </c>
    </row>
    <row r="498" customFormat="false" ht="15" hidden="false" customHeight="false" outlineLevel="0" collapsed="false">
      <c r="A498" s="37" t="str">
        <f aca="false">IF(M498="","",ROW()-7)</f>
        <v/>
      </c>
      <c r="B498" s="70"/>
      <c r="C498" s="72"/>
      <c r="D498" s="71"/>
      <c r="E498" s="73"/>
      <c r="F498" s="73"/>
      <c r="G498" s="73"/>
      <c r="H498" s="42" t="str">
        <f aca="false">IF(M498="","",IF(R498&gt;0,"✔ Matched",IF(M498="IN","Not in cash book (credit)","Not in cash book (debit)")))</f>
        <v/>
      </c>
      <c r="I498" s="43" t="str">
        <f aca="false">IF(N(R498)&gt;0,R498,"")</f>
        <v/>
      </c>
      <c r="J498" s="45" t="str">
        <f aca="false">IF(AND(M498="",B498="",C498=""),"",IF(AND(N(E498)&gt;0,N(F498)&gt;0),"⚠ Fill withdrawal OR deposit",IF(M498="","⚠ Enter amount",IF(B498="","⚠ Enter date",IF(NOT(OR(NOT(ISNUMBER(G498)),NOT(ISNUMBER(G497)),ABS(N(G498)-(N(G497)+N(F498)-N(E498)))&lt;=0.5)),"⚠ Balance does not follow previous row","✔")))))</f>
        <v/>
      </c>
      <c r="M498" s="9" t="str">
        <f aca="false">IF(N(F498)&gt;0,"IN",IF(N(E498)&gt;0,"OUT",""))</f>
        <v/>
      </c>
      <c r="N498" s="9" t="str">
        <f aca="false">IF(M498="","",M498&amp;"|"&amp;TEXT(ROUND(N(E498)+N(F498),2),"0.00"))</f>
        <v/>
      </c>
      <c r="O498" s="9" t="str">
        <f aca="false">IF(OR(N498="",TRIM(D498&amp;"")=""),"",N498&amp;"|"&amp;UPPER(TRIM(D498&amp;"")))</f>
        <v/>
      </c>
      <c r="P498" s="9" t="n">
        <f aca="false">IF(O498="",0,IF(COUNTIF('Cash Book'!$O$8:$O$507,O498)&gt;0,1,0))</f>
        <v>0</v>
      </c>
      <c r="Q498" s="9" t="str">
        <f aca="false">IF(OR(N498="",P498=1),"",N498&amp;"#"&amp;COUNTIFS($N$8:N498,N498,$P$8:P498,0))</f>
        <v/>
      </c>
      <c r="R498" s="9" t="n">
        <f aca="false">IF(N498="",0,IFERROR(MATCH(ROW()-7,'Cash Book'!$U$8:$U$507,0),0))</f>
        <v>0</v>
      </c>
      <c r="V498" s="9" t="str">
        <f aca="false">IF(AND(N498&lt;&gt;"",R498=0),IF(M498="IN",3,4)*100000+ROW(),"")</f>
        <v/>
      </c>
      <c r="W498" s="9" t="n">
        <f aca="false">N(E498)+N(F498)</f>
        <v>0</v>
      </c>
    </row>
    <row r="499" customFormat="false" ht="15" hidden="false" customHeight="false" outlineLevel="0" collapsed="false">
      <c r="A499" s="37" t="str">
        <f aca="false">IF(M499="","",ROW()-7)</f>
        <v/>
      </c>
      <c r="B499" s="70"/>
      <c r="C499" s="72"/>
      <c r="D499" s="71"/>
      <c r="E499" s="73"/>
      <c r="F499" s="73"/>
      <c r="G499" s="73"/>
      <c r="H499" s="42" t="str">
        <f aca="false">IF(M499="","",IF(R499&gt;0,"✔ Matched",IF(M499="IN","Not in cash book (credit)","Not in cash book (debit)")))</f>
        <v/>
      </c>
      <c r="I499" s="43" t="str">
        <f aca="false">IF(N(R499)&gt;0,R499,"")</f>
        <v/>
      </c>
      <c r="J499" s="45" t="str">
        <f aca="false">IF(AND(M499="",B499="",C499=""),"",IF(AND(N(E499)&gt;0,N(F499)&gt;0),"⚠ Fill withdrawal OR deposit",IF(M499="","⚠ Enter amount",IF(B499="","⚠ Enter date",IF(NOT(OR(NOT(ISNUMBER(G499)),NOT(ISNUMBER(G498)),ABS(N(G499)-(N(G498)+N(F499)-N(E499)))&lt;=0.5)),"⚠ Balance does not follow previous row","✔")))))</f>
        <v/>
      </c>
      <c r="M499" s="9" t="str">
        <f aca="false">IF(N(F499)&gt;0,"IN",IF(N(E499)&gt;0,"OUT",""))</f>
        <v/>
      </c>
      <c r="N499" s="9" t="str">
        <f aca="false">IF(M499="","",M499&amp;"|"&amp;TEXT(ROUND(N(E499)+N(F499),2),"0.00"))</f>
        <v/>
      </c>
      <c r="O499" s="9" t="str">
        <f aca="false">IF(OR(N499="",TRIM(D499&amp;"")=""),"",N499&amp;"|"&amp;UPPER(TRIM(D499&amp;"")))</f>
        <v/>
      </c>
      <c r="P499" s="9" t="n">
        <f aca="false">IF(O499="",0,IF(COUNTIF('Cash Book'!$O$8:$O$507,O499)&gt;0,1,0))</f>
        <v>0</v>
      </c>
      <c r="Q499" s="9" t="str">
        <f aca="false">IF(OR(N499="",P499=1),"",N499&amp;"#"&amp;COUNTIFS($N$8:N499,N499,$P$8:P499,0))</f>
        <v/>
      </c>
      <c r="R499" s="9" t="n">
        <f aca="false">IF(N499="",0,IFERROR(MATCH(ROW()-7,'Cash Book'!$U$8:$U$507,0),0))</f>
        <v>0</v>
      </c>
      <c r="V499" s="9" t="str">
        <f aca="false">IF(AND(N499&lt;&gt;"",R499=0),IF(M499="IN",3,4)*100000+ROW(),"")</f>
        <v/>
      </c>
      <c r="W499" s="9" t="n">
        <f aca="false">N(E499)+N(F499)</f>
        <v>0</v>
      </c>
    </row>
    <row r="500" customFormat="false" ht="15" hidden="false" customHeight="false" outlineLevel="0" collapsed="false">
      <c r="A500" s="37" t="str">
        <f aca="false">IF(M500="","",ROW()-7)</f>
        <v/>
      </c>
      <c r="B500" s="70"/>
      <c r="C500" s="72"/>
      <c r="D500" s="71"/>
      <c r="E500" s="73"/>
      <c r="F500" s="73"/>
      <c r="G500" s="73"/>
      <c r="H500" s="42" t="str">
        <f aca="false">IF(M500="","",IF(R500&gt;0,"✔ Matched",IF(M500="IN","Not in cash book (credit)","Not in cash book (debit)")))</f>
        <v/>
      </c>
      <c r="I500" s="43" t="str">
        <f aca="false">IF(N(R500)&gt;0,R500,"")</f>
        <v/>
      </c>
      <c r="J500" s="45" t="str">
        <f aca="false">IF(AND(M500="",B500="",C500=""),"",IF(AND(N(E500)&gt;0,N(F500)&gt;0),"⚠ Fill withdrawal OR deposit",IF(M500="","⚠ Enter amount",IF(B500="","⚠ Enter date",IF(NOT(OR(NOT(ISNUMBER(G500)),NOT(ISNUMBER(G499)),ABS(N(G500)-(N(G499)+N(F500)-N(E500)))&lt;=0.5)),"⚠ Balance does not follow previous row","✔")))))</f>
        <v/>
      </c>
      <c r="M500" s="9" t="str">
        <f aca="false">IF(N(F500)&gt;0,"IN",IF(N(E500)&gt;0,"OUT",""))</f>
        <v/>
      </c>
      <c r="N500" s="9" t="str">
        <f aca="false">IF(M500="","",M500&amp;"|"&amp;TEXT(ROUND(N(E500)+N(F500),2),"0.00"))</f>
        <v/>
      </c>
      <c r="O500" s="9" t="str">
        <f aca="false">IF(OR(N500="",TRIM(D500&amp;"")=""),"",N500&amp;"|"&amp;UPPER(TRIM(D500&amp;"")))</f>
        <v/>
      </c>
      <c r="P500" s="9" t="n">
        <f aca="false">IF(O500="",0,IF(COUNTIF('Cash Book'!$O$8:$O$507,O500)&gt;0,1,0))</f>
        <v>0</v>
      </c>
      <c r="Q500" s="9" t="str">
        <f aca="false">IF(OR(N500="",P500=1),"",N500&amp;"#"&amp;COUNTIFS($N$8:N500,N500,$P$8:P500,0))</f>
        <v/>
      </c>
      <c r="R500" s="9" t="n">
        <f aca="false">IF(N500="",0,IFERROR(MATCH(ROW()-7,'Cash Book'!$U$8:$U$507,0),0))</f>
        <v>0</v>
      </c>
      <c r="V500" s="9" t="str">
        <f aca="false">IF(AND(N500&lt;&gt;"",R500=0),IF(M500="IN",3,4)*100000+ROW(),"")</f>
        <v/>
      </c>
      <c r="W500" s="9" t="n">
        <f aca="false">N(E500)+N(F500)</f>
        <v>0</v>
      </c>
    </row>
    <row r="501" customFormat="false" ht="15" hidden="false" customHeight="false" outlineLevel="0" collapsed="false">
      <c r="A501" s="37" t="str">
        <f aca="false">IF(M501="","",ROW()-7)</f>
        <v/>
      </c>
      <c r="B501" s="70"/>
      <c r="C501" s="72"/>
      <c r="D501" s="71"/>
      <c r="E501" s="73"/>
      <c r="F501" s="73"/>
      <c r="G501" s="73"/>
      <c r="H501" s="42" t="str">
        <f aca="false">IF(M501="","",IF(R501&gt;0,"✔ Matched",IF(M501="IN","Not in cash book (credit)","Not in cash book (debit)")))</f>
        <v/>
      </c>
      <c r="I501" s="43" t="str">
        <f aca="false">IF(N(R501)&gt;0,R501,"")</f>
        <v/>
      </c>
      <c r="J501" s="45" t="str">
        <f aca="false">IF(AND(M501="",B501="",C501=""),"",IF(AND(N(E501)&gt;0,N(F501)&gt;0),"⚠ Fill withdrawal OR deposit",IF(M501="","⚠ Enter amount",IF(B501="","⚠ Enter date",IF(NOT(OR(NOT(ISNUMBER(G501)),NOT(ISNUMBER(G500)),ABS(N(G501)-(N(G500)+N(F501)-N(E501)))&lt;=0.5)),"⚠ Balance does not follow previous row","✔")))))</f>
        <v/>
      </c>
      <c r="M501" s="9" t="str">
        <f aca="false">IF(N(F501)&gt;0,"IN",IF(N(E501)&gt;0,"OUT",""))</f>
        <v/>
      </c>
      <c r="N501" s="9" t="str">
        <f aca="false">IF(M501="","",M501&amp;"|"&amp;TEXT(ROUND(N(E501)+N(F501),2),"0.00"))</f>
        <v/>
      </c>
      <c r="O501" s="9" t="str">
        <f aca="false">IF(OR(N501="",TRIM(D501&amp;"")=""),"",N501&amp;"|"&amp;UPPER(TRIM(D501&amp;"")))</f>
        <v/>
      </c>
      <c r="P501" s="9" t="n">
        <f aca="false">IF(O501="",0,IF(COUNTIF('Cash Book'!$O$8:$O$507,O501)&gt;0,1,0))</f>
        <v>0</v>
      </c>
      <c r="Q501" s="9" t="str">
        <f aca="false">IF(OR(N501="",P501=1),"",N501&amp;"#"&amp;COUNTIFS($N$8:N501,N501,$P$8:P501,0))</f>
        <v/>
      </c>
      <c r="R501" s="9" t="n">
        <f aca="false">IF(N501="",0,IFERROR(MATCH(ROW()-7,'Cash Book'!$U$8:$U$507,0),0))</f>
        <v>0</v>
      </c>
      <c r="V501" s="9" t="str">
        <f aca="false">IF(AND(N501&lt;&gt;"",R501=0),IF(M501="IN",3,4)*100000+ROW(),"")</f>
        <v/>
      </c>
      <c r="W501" s="9" t="n">
        <f aca="false">N(E501)+N(F501)</f>
        <v>0</v>
      </c>
    </row>
    <row r="502" customFormat="false" ht="15" hidden="false" customHeight="false" outlineLevel="0" collapsed="false">
      <c r="A502" s="37" t="str">
        <f aca="false">IF(M502="","",ROW()-7)</f>
        <v/>
      </c>
      <c r="B502" s="70"/>
      <c r="C502" s="72"/>
      <c r="D502" s="71"/>
      <c r="E502" s="73"/>
      <c r="F502" s="73"/>
      <c r="G502" s="73"/>
      <c r="H502" s="42" t="str">
        <f aca="false">IF(M502="","",IF(R502&gt;0,"✔ Matched",IF(M502="IN","Not in cash book (credit)","Not in cash book (debit)")))</f>
        <v/>
      </c>
      <c r="I502" s="43" t="str">
        <f aca="false">IF(N(R502)&gt;0,R502,"")</f>
        <v/>
      </c>
      <c r="J502" s="45" t="str">
        <f aca="false">IF(AND(M502="",B502="",C502=""),"",IF(AND(N(E502)&gt;0,N(F502)&gt;0),"⚠ Fill withdrawal OR deposit",IF(M502="","⚠ Enter amount",IF(B502="","⚠ Enter date",IF(NOT(OR(NOT(ISNUMBER(G502)),NOT(ISNUMBER(G501)),ABS(N(G502)-(N(G501)+N(F502)-N(E502)))&lt;=0.5)),"⚠ Balance does not follow previous row","✔")))))</f>
        <v/>
      </c>
      <c r="M502" s="9" t="str">
        <f aca="false">IF(N(F502)&gt;0,"IN",IF(N(E502)&gt;0,"OUT",""))</f>
        <v/>
      </c>
      <c r="N502" s="9" t="str">
        <f aca="false">IF(M502="","",M502&amp;"|"&amp;TEXT(ROUND(N(E502)+N(F502),2),"0.00"))</f>
        <v/>
      </c>
      <c r="O502" s="9" t="str">
        <f aca="false">IF(OR(N502="",TRIM(D502&amp;"")=""),"",N502&amp;"|"&amp;UPPER(TRIM(D502&amp;"")))</f>
        <v/>
      </c>
      <c r="P502" s="9" t="n">
        <f aca="false">IF(O502="",0,IF(COUNTIF('Cash Book'!$O$8:$O$507,O502)&gt;0,1,0))</f>
        <v>0</v>
      </c>
      <c r="Q502" s="9" t="str">
        <f aca="false">IF(OR(N502="",P502=1),"",N502&amp;"#"&amp;COUNTIFS($N$8:N502,N502,$P$8:P502,0))</f>
        <v/>
      </c>
      <c r="R502" s="9" t="n">
        <f aca="false">IF(N502="",0,IFERROR(MATCH(ROW()-7,'Cash Book'!$U$8:$U$507,0),0))</f>
        <v>0</v>
      </c>
      <c r="V502" s="9" t="str">
        <f aca="false">IF(AND(N502&lt;&gt;"",R502=0),IF(M502="IN",3,4)*100000+ROW(),"")</f>
        <v/>
      </c>
      <c r="W502" s="9" t="n">
        <f aca="false">N(E502)+N(F502)</f>
        <v>0</v>
      </c>
    </row>
    <row r="503" customFormat="false" ht="15" hidden="false" customHeight="false" outlineLevel="0" collapsed="false">
      <c r="A503" s="37" t="str">
        <f aca="false">IF(M503="","",ROW()-7)</f>
        <v/>
      </c>
      <c r="B503" s="70"/>
      <c r="C503" s="72"/>
      <c r="D503" s="71"/>
      <c r="E503" s="73"/>
      <c r="F503" s="73"/>
      <c r="G503" s="73"/>
      <c r="H503" s="42" t="str">
        <f aca="false">IF(M503="","",IF(R503&gt;0,"✔ Matched",IF(M503="IN","Not in cash book (credit)","Not in cash book (debit)")))</f>
        <v/>
      </c>
      <c r="I503" s="43" t="str">
        <f aca="false">IF(N(R503)&gt;0,R503,"")</f>
        <v/>
      </c>
      <c r="J503" s="45" t="str">
        <f aca="false">IF(AND(M503="",B503="",C503=""),"",IF(AND(N(E503)&gt;0,N(F503)&gt;0),"⚠ Fill withdrawal OR deposit",IF(M503="","⚠ Enter amount",IF(B503="","⚠ Enter date",IF(NOT(OR(NOT(ISNUMBER(G503)),NOT(ISNUMBER(G502)),ABS(N(G503)-(N(G502)+N(F503)-N(E503)))&lt;=0.5)),"⚠ Balance does not follow previous row","✔")))))</f>
        <v/>
      </c>
      <c r="M503" s="9" t="str">
        <f aca="false">IF(N(F503)&gt;0,"IN",IF(N(E503)&gt;0,"OUT",""))</f>
        <v/>
      </c>
      <c r="N503" s="9" t="str">
        <f aca="false">IF(M503="","",M503&amp;"|"&amp;TEXT(ROUND(N(E503)+N(F503),2),"0.00"))</f>
        <v/>
      </c>
      <c r="O503" s="9" t="str">
        <f aca="false">IF(OR(N503="",TRIM(D503&amp;"")=""),"",N503&amp;"|"&amp;UPPER(TRIM(D503&amp;"")))</f>
        <v/>
      </c>
      <c r="P503" s="9" t="n">
        <f aca="false">IF(O503="",0,IF(COUNTIF('Cash Book'!$O$8:$O$507,O503)&gt;0,1,0))</f>
        <v>0</v>
      </c>
      <c r="Q503" s="9" t="str">
        <f aca="false">IF(OR(N503="",P503=1),"",N503&amp;"#"&amp;COUNTIFS($N$8:N503,N503,$P$8:P503,0))</f>
        <v/>
      </c>
      <c r="R503" s="9" t="n">
        <f aca="false">IF(N503="",0,IFERROR(MATCH(ROW()-7,'Cash Book'!$U$8:$U$507,0),0))</f>
        <v>0</v>
      </c>
      <c r="V503" s="9" t="str">
        <f aca="false">IF(AND(N503&lt;&gt;"",R503=0),IF(M503="IN",3,4)*100000+ROW(),"")</f>
        <v/>
      </c>
      <c r="W503" s="9" t="n">
        <f aca="false">N(E503)+N(F503)</f>
        <v>0</v>
      </c>
    </row>
    <row r="504" customFormat="false" ht="15" hidden="false" customHeight="false" outlineLevel="0" collapsed="false">
      <c r="A504" s="37" t="str">
        <f aca="false">IF(M504="","",ROW()-7)</f>
        <v/>
      </c>
      <c r="B504" s="70"/>
      <c r="C504" s="72"/>
      <c r="D504" s="71"/>
      <c r="E504" s="73"/>
      <c r="F504" s="73"/>
      <c r="G504" s="73"/>
      <c r="H504" s="42" t="str">
        <f aca="false">IF(M504="","",IF(R504&gt;0,"✔ Matched",IF(M504="IN","Not in cash book (credit)","Not in cash book (debit)")))</f>
        <v/>
      </c>
      <c r="I504" s="43" t="str">
        <f aca="false">IF(N(R504)&gt;0,R504,"")</f>
        <v/>
      </c>
      <c r="J504" s="45" t="str">
        <f aca="false">IF(AND(M504="",B504="",C504=""),"",IF(AND(N(E504)&gt;0,N(F504)&gt;0),"⚠ Fill withdrawal OR deposit",IF(M504="","⚠ Enter amount",IF(B504="","⚠ Enter date",IF(NOT(OR(NOT(ISNUMBER(G504)),NOT(ISNUMBER(G503)),ABS(N(G504)-(N(G503)+N(F504)-N(E504)))&lt;=0.5)),"⚠ Balance does not follow previous row","✔")))))</f>
        <v/>
      </c>
      <c r="M504" s="9" t="str">
        <f aca="false">IF(N(F504)&gt;0,"IN",IF(N(E504)&gt;0,"OUT",""))</f>
        <v/>
      </c>
      <c r="N504" s="9" t="str">
        <f aca="false">IF(M504="","",M504&amp;"|"&amp;TEXT(ROUND(N(E504)+N(F504),2),"0.00"))</f>
        <v/>
      </c>
      <c r="O504" s="9" t="str">
        <f aca="false">IF(OR(N504="",TRIM(D504&amp;"")=""),"",N504&amp;"|"&amp;UPPER(TRIM(D504&amp;"")))</f>
        <v/>
      </c>
      <c r="P504" s="9" t="n">
        <f aca="false">IF(O504="",0,IF(COUNTIF('Cash Book'!$O$8:$O$507,O504)&gt;0,1,0))</f>
        <v>0</v>
      </c>
      <c r="Q504" s="9" t="str">
        <f aca="false">IF(OR(N504="",P504=1),"",N504&amp;"#"&amp;COUNTIFS($N$8:N504,N504,$P$8:P504,0))</f>
        <v/>
      </c>
      <c r="R504" s="9" t="n">
        <f aca="false">IF(N504="",0,IFERROR(MATCH(ROW()-7,'Cash Book'!$U$8:$U$507,0),0))</f>
        <v>0</v>
      </c>
      <c r="V504" s="9" t="str">
        <f aca="false">IF(AND(N504&lt;&gt;"",R504=0),IF(M504="IN",3,4)*100000+ROW(),"")</f>
        <v/>
      </c>
      <c r="W504" s="9" t="n">
        <f aca="false">N(E504)+N(F504)</f>
        <v>0</v>
      </c>
    </row>
    <row r="505" customFormat="false" ht="15" hidden="false" customHeight="false" outlineLevel="0" collapsed="false">
      <c r="A505" s="37" t="str">
        <f aca="false">IF(M505="","",ROW()-7)</f>
        <v/>
      </c>
      <c r="B505" s="70"/>
      <c r="C505" s="72"/>
      <c r="D505" s="71"/>
      <c r="E505" s="73"/>
      <c r="F505" s="73"/>
      <c r="G505" s="73"/>
      <c r="H505" s="42" t="str">
        <f aca="false">IF(M505="","",IF(R505&gt;0,"✔ Matched",IF(M505="IN","Not in cash book (credit)","Not in cash book (debit)")))</f>
        <v/>
      </c>
      <c r="I505" s="43" t="str">
        <f aca="false">IF(N(R505)&gt;0,R505,"")</f>
        <v/>
      </c>
      <c r="J505" s="45" t="str">
        <f aca="false">IF(AND(M505="",B505="",C505=""),"",IF(AND(N(E505)&gt;0,N(F505)&gt;0),"⚠ Fill withdrawal OR deposit",IF(M505="","⚠ Enter amount",IF(B505="","⚠ Enter date",IF(NOT(OR(NOT(ISNUMBER(G505)),NOT(ISNUMBER(G504)),ABS(N(G505)-(N(G504)+N(F505)-N(E505)))&lt;=0.5)),"⚠ Balance does not follow previous row","✔")))))</f>
        <v/>
      </c>
      <c r="M505" s="9" t="str">
        <f aca="false">IF(N(F505)&gt;0,"IN",IF(N(E505)&gt;0,"OUT",""))</f>
        <v/>
      </c>
      <c r="N505" s="9" t="str">
        <f aca="false">IF(M505="","",M505&amp;"|"&amp;TEXT(ROUND(N(E505)+N(F505),2),"0.00"))</f>
        <v/>
      </c>
      <c r="O505" s="9" t="str">
        <f aca="false">IF(OR(N505="",TRIM(D505&amp;"")=""),"",N505&amp;"|"&amp;UPPER(TRIM(D505&amp;"")))</f>
        <v/>
      </c>
      <c r="P505" s="9" t="n">
        <f aca="false">IF(O505="",0,IF(COUNTIF('Cash Book'!$O$8:$O$507,O505)&gt;0,1,0))</f>
        <v>0</v>
      </c>
      <c r="Q505" s="9" t="str">
        <f aca="false">IF(OR(N505="",P505=1),"",N505&amp;"#"&amp;COUNTIFS($N$8:N505,N505,$P$8:P505,0))</f>
        <v/>
      </c>
      <c r="R505" s="9" t="n">
        <f aca="false">IF(N505="",0,IFERROR(MATCH(ROW()-7,'Cash Book'!$U$8:$U$507,0),0))</f>
        <v>0</v>
      </c>
      <c r="V505" s="9" t="str">
        <f aca="false">IF(AND(N505&lt;&gt;"",R505=0),IF(M505="IN",3,4)*100000+ROW(),"")</f>
        <v/>
      </c>
      <c r="W505" s="9" t="n">
        <f aca="false">N(E505)+N(F505)</f>
        <v>0</v>
      </c>
    </row>
    <row r="506" customFormat="false" ht="15" hidden="false" customHeight="false" outlineLevel="0" collapsed="false">
      <c r="A506" s="37" t="str">
        <f aca="false">IF(M506="","",ROW()-7)</f>
        <v/>
      </c>
      <c r="B506" s="70"/>
      <c r="C506" s="72"/>
      <c r="D506" s="71"/>
      <c r="E506" s="73"/>
      <c r="F506" s="73"/>
      <c r="G506" s="73"/>
      <c r="H506" s="42" t="str">
        <f aca="false">IF(M506="","",IF(R506&gt;0,"✔ Matched",IF(M506="IN","Not in cash book (credit)","Not in cash book (debit)")))</f>
        <v/>
      </c>
      <c r="I506" s="43" t="str">
        <f aca="false">IF(N(R506)&gt;0,R506,"")</f>
        <v/>
      </c>
      <c r="J506" s="45" t="str">
        <f aca="false">IF(AND(M506="",B506="",C506=""),"",IF(AND(N(E506)&gt;0,N(F506)&gt;0),"⚠ Fill withdrawal OR deposit",IF(M506="","⚠ Enter amount",IF(B506="","⚠ Enter date",IF(NOT(OR(NOT(ISNUMBER(G506)),NOT(ISNUMBER(G505)),ABS(N(G506)-(N(G505)+N(F506)-N(E506)))&lt;=0.5)),"⚠ Balance does not follow previous row","✔")))))</f>
        <v/>
      </c>
      <c r="M506" s="9" t="str">
        <f aca="false">IF(N(F506)&gt;0,"IN",IF(N(E506)&gt;0,"OUT",""))</f>
        <v/>
      </c>
      <c r="N506" s="9" t="str">
        <f aca="false">IF(M506="","",M506&amp;"|"&amp;TEXT(ROUND(N(E506)+N(F506),2),"0.00"))</f>
        <v/>
      </c>
      <c r="O506" s="9" t="str">
        <f aca="false">IF(OR(N506="",TRIM(D506&amp;"")=""),"",N506&amp;"|"&amp;UPPER(TRIM(D506&amp;"")))</f>
        <v/>
      </c>
      <c r="P506" s="9" t="n">
        <f aca="false">IF(O506="",0,IF(COUNTIF('Cash Book'!$O$8:$O$507,O506)&gt;0,1,0))</f>
        <v>0</v>
      </c>
      <c r="Q506" s="9" t="str">
        <f aca="false">IF(OR(N506="",P506=1),"",N506&amp;"#"&amp;COUNTIFS($N$8:N506,N506,$P$8:P506,0))</f>
        <v/>
      </c>
      <c r="R506" s="9" t="n">
        <f aca="false">IF(N506="",0,IFERROR(MATCH(ROW()-7,'Cash Book'!$U$8:$U$507,0),0))</f>
        <v>0</v>
      </c>
      <c r="V506" s="9" t="str">
        <f aca="false">IF(AND(N506&lt;&gt;"",R506=0),IF(M506="IN",3,4)*100000+ROW(),"")</f>
        <v/>
      </c>
      <c r="W506" s="9" t="n">
        <f aca="false">N(E506)+N(F506)</f>
        <v>0</v>
      </c>
    </row>
    <row r="507" customFormat="false" ht="15" hidden="false" customHeight="false" outlineLevel="0" collapsed="false">
      <c r="A507" s="37" t="str">
        <f aca="false">IF(M507="","",ROW()-7)</f>
        <v/>
      </c>
      <c r="B507" s="70"/>
      <c r="C507" s="72"/>
      <c r="D507" s="71"/>
      <c r="E507" s="73"/>
      <c r="F507" s="73"/>
      <c r="G507" s="73"/>
      <c r="H507" s="42" t="str">
        <f aca="false">IF(M507="","",IF(R507&gt;0,"✔ Matched",IF(M507="IN","Not in cash book (credit)","Not in cash book (debit)")))</f>
        <v/>
      </c>
      <c r="I507" s="43" t="str">
        <f aca="false">IF(N(R507)&gt;0,R507,"")</f>
        <v/>
      </c>
      <c r="J507" s="45" t="str">
        <f aca="false">IF(AND(M507="",B507="",C507=""),"",IF(AND(N(E507)&gt;0,N(F507)&gt;0),"⚠ Fill withdrawal OR deposit",IF(M507="","⚠ Enter amount",IF(B507="","⚠ Enter date",IF(NOT(OR(NOT(ISNUMBER(G507)),NOT(ISNUMBER(G506)),ABS(N(G507)-(N(G506)+N(F507)-N(E507)))&lt;=0.5)),"⚠ Balance does not follow previous row","✔")))))</f>
        <v/>
      </c>
      <c r="M507" s="9" t="str">
        <f aca="false">IF(N(F507)&gt;0,"IN",IF(N(E507)&gt;0,"OUT",""))</f>
        <v/>
      </c>
      <c r="N507" s="9" t="str">
        <f aca="false">IF(M507="","",M507&amp;"|"&amp;TEXT(ROUND(N(E507)+N(F507),2),"0.00"))</f>
        <v/>
      </c>
      <c r="O507" s="9" t="str">
        <f aca="false">IF(OR(N507="",TRIM(D507&amp;"")=""),"",N507&amp;"|"&amp;UPPER(TRIM(D507&amp;"")))</f>
        <v/>
      </c>
      <c r="P507" s="9" t="n">
        <f aca="false">IF(O507="",0,IF(COUNTIF('Cash Book'!$O$8:$O$507,O507)&gt;0,1,0))</f>
        <v>0</v>
      </c>
      <c r="Q507" s="9" t="str">
        <f aca="false">IF(OR(N507="",P507=1),"",N507&amp;"#"&amp;COUNTIFS($N$8:N507,N507,$P$8:P507,0))</f>
        <v/>
      </c>
      <c r="R507" s="9" t="n">
        <f aca="false">IF(N507="",0,IFERROR(MATCH(ROW()-7,'Cash Book'!$U$8:$U$507,0),0))</f>
        <v>0</v>
      </c>
      <c r="V507" s="9" t="str">
        <f aca="false">IF(AND(N507&lt;&gt;"",R507=0),IF(M507="IN",3,4)*100000+ROW(),"")</f>
        <v/>
      </c>
      <c r="W507" s="9" t="n">
        <f aca="false">N(E507)+N(F507)</f>
        <v>0</v>
      </c>
    </row>
  </sheetData>
  <sheetProtection sheet="1" objects="1" scenarios="1" formatColumns="0" formatRows="0" algorithmName="SHA-512" hashValue="iEBUl7z44sskuKuaWmRYMXUnAmc7yAqLYwLfgeBTLw5MUfsLhISi5cZ5DZQ9wibj0awxPRkgCmzjjNQbT/6vIg==" saltValue="bRfny350hjLkteP54CLDqA==" spinCount="100000"/>
  <mergeCells count="2">
    <mergeCell ref="A2:J2"/>
    <mergeCell ref="A3:J3"/>
  </mergeCells>
  <conditionalFormatting sqref="J8:J507">
    <cfRule type="expression" priority="2" aboveAverage="0" equalAverage="0" bottom="0" percent="0" rank="0" text="" dxfId="2">
      <formula>LEFT($J8,1)="⚠"</formula>
    </cfRule>
    <cfRule type="expression" priority="3" aboveAverage="0" equalAverage="0" bottom="0" percent="0" rank="0" text="" dxfId="3">
      <formula>$J8="✔"</formula>
    </cfRule>
  </conditionalFormatting>
  <conditionalFormatting sqref="H8:H507">
    <cfRule type="expression" priority="4" aboveAverage="0" equalAverage="0" bottom="0" percent="0" rank="0" text="" dxfId="3">
      <formula>$H8="✔ Matched"</formula>
    </cfRule>
    <cfRule type="expression" priority="5" aboveAverage="0" equalAverage="0" bottom="0" percent="0" rank="0" text="" dxfId="2">
      <formula>LEFT($H8,3)="Not"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L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5" min="5" style="0" width="34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8" min="8" style="0" width="34"/>
    <col collapsed="false" customWidth="true" hidden="true" outlineLevel="0" max="12" min="10" style="0" width="13"/>
  </cols>
  <sheetData>
    <row r="1" customFormat="false" ht="15" hidden="false" customHeight="false" outlineLevel="0" collapsed="false">
      <c r="A1" s="17" t="s">
        <v>24</v>
      </c>
    </row>
    <row r="2" customFormat="false" ht="30" hidden="false" customHeight="true" outlineLevel="0" collapsed="false">
      <c r="A2" s="34" t="s">
        <v>131</v>
      </c>
      <c r="B2" s="34"/>
      <c r="C2" s="34"/>
      <c r="D2" s="34"/>
      <c r="E2" s="34"/>
      <c r="F2" s="34"/>
      <c r="G2" s="34"/>
      <c r="H2" s="34"/>
    </row>
    <row r="3" customFormat="false" ht="30" hidden="false" customHeight="true" outlineLevel="0" collapsed="false">
      <c r="A3" s="33" t="s">
        <v>132</v>
      </c>
      <c r="B3" s="33"/>
      <c r="C3" s="33"/>
      <c r="D3" s="33"/>
      <c r="E3" s="33"/>
      <c r="F3" s="33"/>
      <c r="G3" s="33"/>
      <c r="H3" s="33"/>
    </row>
    <row r="4" customFormat="false" ht="15" hidden="false" customHeight="false" outlineLevel="0" collapsed="false">
      <c r="B4" s="46" t="s">
        <v>133</v>
      </c>
      <c r="C4" s="47" t="n">
        <f aca="false">COUNT('Cash Book'!$V$8:$V$507)+COUNT('Bank Statement'!$V$8:$V$507)</f>
        <v>8</v>
      </c>
      <c r="J4" s="9" t="n">
        <f aca="false">COUNT('Cash Book'!$V$8:$V$507)</f>
        <v>3</v>
      </c>
      <c r="K4" s="9" t="n">
        <f aca="false">COUNT('Bank Statement'!$V$8:$V$507)</f>
        <v>5</v>
      </c>
    </row>
    <row r="6" customFormat="false" ht="31.5" hidden="false" customHeight="true" outlineLevel="0" collapsed="false">
      <c r="A6" s="35" t="s">
        <v>62</v>
      </c>
      <c r="B6" s="35" t="s">
        <v>134</v>
      </c>
      <c r="C6" s="35" t="s">
        <v>63</v>
      </c>
      <c r="D6" s="35" t="s">
        <v>135</v>
      </c>
      <c r="E6" s="35" t="s">
        <v>65</v>
      </c>
      <c r="F6" s="35" t="s">
        <v>3</v>
      </c>
      <c r="G6" s="35" t="s">
        <v>136</v>
      </c>
      <c r="H6" s="35" t="s">
        <v>137</v>
      </c>
    </row>
    <row r="7" customFormat="false" ht="15" hidden="false" customHeight="false" outlineLevel="0" collapsed="false">
      <c r="A7" s="37" t="n">
        <f aca="false">IF(J7="","",1)</f>
        <v>1</v>
      </c>
      <c r="B7" s="45" t="str">
        <f aca="false">IF(J7="","",INDEX(Lists!$A$1:$A$4,K7))</f>
        <v>Cheques issued, not yet presented</v>
      </c>
      <c r="C7" s="48" t="n">
        <f aca="false">IF(J7="","",IF(K7&lt;=2,INDEX('Cash Book'!$B$8:$B$507,L7),INDEX('Bank Statement'!$B$8:$B$507,L7)))</f>
        <v>46291</v>
      </c>
      <c r="D7" s="49" t="str">
        <f aca="false">IF(J7="","",IF(K7&lt;=2,INDEX('Cash Book'!$E$8:$E$507,L7),INDEX('Bank Statement'!$D$8:$D$507,L7))&amp;"")</f>
        <v>000783</v>
      </c>
      <c r="E7" s="45" t="str">
        <f aca="false">IF(J7="","",IF(K7&lt;=2,INDEX('Cash Book'!$D$8:$D$507,L7),INDEX('Bank Statement'!$C$8:$C$507,L7))&amp;"")</f>
        <v>Delhi Switchgear – cheque</v>
      </c>
      <c r="F7" s="50" t="n">
        <f aca="false">IF(J7="","",IF(K7&lt;=2,INDEX('Cash Book'!$W$8:$W$507,L7),INDEX('Bank Statement'!$W$8:$W$507,L7)))</f>
        <v>21240</v>
      </c>
      <c r="G7" s="49" t="str">
        <f aca="false">IF(J7="","",INDEX(Lists!$B$1:$B$4,K7))</f>
        <v>Add</v>
      </c>
      <c r="H7" s="45" t="str">
        <f aca="false">IF(J7="","",INDEX(Lists!$C$1:$C$4,K7))</f>
        <v>Wait – clears when the bank presents it</v>
      </c>
      <c r="J7" s="9" t="n">
        <f aca="false">IF(1&lt;=$J$4,SMALL('Cash Book'!$V$8:$V$507,1),IF(1&lt;=$J$4+$K$4,SMALL('Bank Statement'!$V$8:$V$507,1-$J$4),""))</f>
        <v>100020</v>
      </c>
      <c r="K7" s="9" t="n">
        <f aca="false">IF(J7="","",INT(J7/100000))</f>
        <v>1</v>
      </c>
      <c r="L7" s="9" t="n">
        <f aca="false">IF(J7="","",MOD(J7,100000)-7)</f>
        <v>13</v>
      </c>
    </row>
    <row r="8" customFormat="false" ht="15" hidden="false" customHeight="false" outlineLevel="0" collapsed="false">
      <c r="A8" s="37" t="n">
        <f aca="false">IF(J8="","",2)</f>
        <v>2</v>
      </c>
      <c r="B8" s="45" t="str">
        <f aca="false">IF(J8="","",INDEX(Lists!$A$1:$A$4,K8))</f>
        <v>Cheques issued, not yet presented</v>
      </c>
      <c r="C8" s="48" t="n">
        <f aca="false">IF(J8="","",IF(K8&lt;=2,INDEX('Cash Book'!$B$8:$B$507,L8),INDEX('Bank Statement'!$B$8:$B$507,L8)))</f>
        <v>46293</v>
      </c>
      <c r="D8" s="49" t="str">
        <f aca="false">IF(J8="","",IF(K8&lt;=2,INDEX('Cash Book'!$E$8:$E$507,L8),INDEX('Bank Statement'!$D$8:$D$507,L8))&amp;"")</f>
        <v>000784</v>
      </c>
      <c r="E8" s="45" t="str">
        <f aca="false">IF(J8="","",IF(K8&lt;=2,INDEX('Cash Book'!$D$8:$D$507,L8),INDEX('Bank Statement'!$C$8:$C$507,L8))&amp;"")</f>
        <v>Sharma Lighting Co. – cheque</v>
      </c>
      <c r="F8" s="50" t="n">
        <f aca="false">IF(J8="","",IF(K8&lt;=2,INDEX('Cash Book'!$W$8:$W$507,L8),INDEX('Bank Statement'!$W$8:$W$507,L8)))</f>
        <v>8880</v>
      </c>
      <c r="G8" s="49" t="str">
        <f aca="false">IF(J8="","",INDEX(Lists!$B$1:$B$4,K8))</f>
        <v>Add</v>
      </c>
      <c r="H8" s="45" t="str">
        <f aca="false">IF(J8="","",INDEX(Lists!$C$1:$C$4,K8))</f>
        <v>Wait – clears when the bank presents it</v>
      </c>
      <c r="J8" s="9" t="n">
        <f aca="false">IF(2&lt;=$J$4,SMALL('Cash Book'!$V$8:$V$507,2),IF(2&lt;=$J$4+$K$4,SMALL('Bank Statement'!$V$8:$V$507,2-$J$4),""))</f>
        <v>100021</v>
      </c>
      <c r="K8" s="9" t="n">
        <f aca="false">IF(J8="","",INT(J8/100000))</f>
        <v>1</v>
      </c>
      <c r="L8" s="9" t="n">
        <f aca="false">IF(J8="","",MOD(J8,100000)-7)</f>
        <v>14</v>
      </c>
    </row>
    <row r="9" customFormat="false" ht="15" hidden="false" customHeight="false" outlineLevel="0" collapsed="false">
      <c r="A9" s="37" t="n">
        <f aca="false">IF(J9="","",3)</f>
        <v>3</v>
      </c>
      <c r="B9" s="45" t="str">
        <f aca="false">IF(J9="","",INDEX(Lists!$A$1:$A$4,K9))</f>
        <v>Deposited, not yet credited by bank</v>
      </c>
      <c r="C9" s="48" t="n">
        <f aca="false">IF(J9="","",IF(K9&lt;=2,INDEX('Cash Book'!$B$8:$B$507,L9),INDEX('Bank Statement'!$B$8:$B$507,L9)))</f>
        <v>46294</v>
      </c>
      <c r="D9" s="49" t="str">
        <f aca="false">IF(J9="","",IF(K9&lt;=2,INDEX('Cash Book'!$E$8:$E$507,L9),INDEX('Bank Statement'!$D$8:$D$507,L9))&amp;"")</f>
        <v>456789</v>
      </c>
      <c r="E9" s="45" t="str">
        <f aca="false">IF(J9="","",IF(K9&lt;=2,INDEX('Cash Book'!$D$8:$D$507,L9),INDEX('Bank Statement'!$C$8:$C$507,L9))&amp;"")</f>
        <v>Gill Electricals – cheque deposited</v>
      </c>
      <c r="F9" s="50" t="n">
        <f aca="false">IF(J9="","",IF(K9&lt;=2,INDEX('Cash Book'!$W$8:$W$507,L9),INDEX('Bank Statement'!$W$8:$W$507,L9)))</f>
        <v>15340</v>
      </c>
      <c r="G9" s="49" t="str">
        <f aca="false">IF(J9="","",INDEX(Lists!$B$1:$B$4,K9))</f>
        <v>Less</v>
      </c>
      <c r="H9" s="45" t="str">
        <f aca="false">IF(J9="","",INDEX(Lists!$C$1:$C$4,K9))</f>
        <v>Follow up if not credited in 3 working days</v>
      </c>
      <c r="J9" s="9" t="n">
        <f aca="false">IF(3&lt;=$J$4,SMALL('Cash Book'!$V$8:$V$507,3),IF(3&lt;=$J$4+$K$4,SMALL('Bank Statement'!$V$8:$V$507,3-$J$4),""))</f>
        <v>200022</v>
      </c>
      <c r="K9" s="9" t="n">
        <f aca="false">IF(J9="","",INT(J9/100000))</f>
        <v>2</v>
      </c>
      <c r="L9" s="9" t="n">
        <f aca="false">IF(J9="","",MOD(J9,100000)-7)</f>
        <v>15</v>
      </c>
    </row>
    <row r="10" customFormat="false" ht="15" hidden="false" customHeight="false" outlineLevel="0" collapsed="false">
      <c r="A10" s="37" t="n">
        <f aca="false">IF(J10="","",4)</f>
        <v>4</v>
      </c>
      <c r="B10" s="45" t="str">
        <f aca="false">IF(J10="","",INDEX(Lists!$A$1:$A$4,K10))</f>
        <v>Credited by bank, not in cash book</v>
      </c>
      <c r="C10" s="48" t="n">
        <f aca="false">IF(J10="","",IF(K10&lt;=2,INDEX('Cash Book'!$B$8:$B$507,L10),INDEX('Bank Statement'!$B$8:$B$507,L10)))</f>
        <v>46273</v>
      </c>
      <c r="D10" s="49" t="str">
        <f aca="false">IF(J10="","",IF(K10&lt;=2,INDEX('Cash Book'!$E$8:$E$507,L10),INDEX('Bank Statement'!$D$8:$D$507,L10))&amp;"")</f>
        <v/>
      </c>
      <c r="E10" s="45" t="str">
        <f aca="false">IF(J10="","",IF(K10&lt;=2,INDEX('Cash Book'!$D$8:$D$507,L10),INDEX('Bank Statement'!$C$8:$C$507,L10))&amp;"")</f>
        <v>NEFT CR – BAJWA BUILDERS</v>
      </c>
      <c r="F10" s="50" t="n">
        <f aca="false">IF(J10="","",IF(K10&lt;=2,INDEX('Cash Book'!$W$8:$W$507,L10),INDEX('Bank Statement'!$W$8:$W$507,L10)))</f>
        <v>9440</v>
      </c>
      <c r="G10" s="49" t="str">
        <f aca="false">IF(J10="","",INDEX(Lists!$B$1:$B$4,K10))</f>
        <v>Add</v>
      </c>
      <c r="H10" s="45" t="str">
        <f aca="false">IF(J10="","",INDEX(Lists!$C$1:$C$4,K10))</f>
        <v>Record in cash book</v>
      </c>
      <c r="J10" s="9" t="n">
        <f aca="false">IF(4&lt;=$J$4,SMALL('Cash Book'!$V$8:$V$507,4),IF(4&lt;=$J$4+$K$4,SMALL('Bank Statement'!$V$8:$V$507,4-$J$4),""))</f>
        <v>300012</v>
      </c>
      <c r="K10" s="9" t="n">
        <f aca="false">IF(J10="","",INT(J10/100000))</f>
        <v>3</v>
      </c>
      <c r="L10" s="9" t="n">
        <f aca="false">IF(J10="","",MOD(J10,100000)-7)</f>
        <v>5</v>
      </c>
    </row>
    <row r="11" customFormat="false" ht="15" hidden="false" customHeight="false" outlineLevel="0" collapsed="false">
      <c r="A11" s="37" t="n">
        <f aca="false">IF(J11="","",5)</f>
        <v>5</v>
      </c>
      <c r="B11" s="45" t="str">
        <f aca="false">IF(J11="","",INDEX(Lists!$A$1:$A$4,K11))</f>
        <v>Credited by bank, not in cash book</v>
      </c>
      <c r="C11" s="48" t="n">
        <f aca="false">IF(J11="","",IF(K11&lt;=2,INDEX('Cash Book'!$B$8:$B$507,L11),INDEX('Bank Statement'!$B$8:$B$507,L11)))</f>
        <v>46295</v>
      </c>
      <c r="D11" s="49" t="str">
        <f aca="false">IF(J11="","",IF(K11&lt;=2,INDEX('Cash Book'!$E$8:$E$507,L11),INDEX('Bank Statement'!$D$8:$D$507,L11))&amp;"")</f>
        <v/>
      </c>
      <c r="E11" s="45" t="str">
        <f aca="false">IF(J11="","",IF(K11&lt;=2,INDEX('Cash Book'!$D$8:$D$507,L11),INDEX('Bank Statement'!$C$8:$C$507,L11))&amp;"")</f>
        <v>INTEREST CREDIT</v>
      </c>
      <c r="F11" s="50" t="n">
        <f aca="false">IF(J11="","",IF(K11&lt;=2,INDEX('Cash Book'!$W$8:$W$507,L11),INDEX('Bank Statement'!$W$8:$W$507,L11)))</f>
        <v>412</v>
      </c>
      <c r="G11" s="49" t="str">
        <f aca="false">IF(J11="","",INDEX(Lists!$B$1:$B$4,K11))</f>
        <v>Add</v>
      </c>
      <c r="H11" s="45" t="str">
        <f aca="false">IF(J11="","",INDEX(Lists!$C$1:$C$4,K11))</f>
        <v>Record in cash book</v>
      </c>
      <c r="J11" s="9" t="n">
        <f aca="false">IF(5&lt;=$J$4,SMALL('Cash Book'!$V$8:$V$507,5),IF(5&lt;=$J$4+$K$4,SMALL('Bank Statement'!$V$8:$V$507,5-$J$4),""))</f>
        <v>300025</v>
      </c>
      <c r="K11" s="9" t="n">
        <f aca="false">IF(J11="","",INT(J11/100000))</f>
        <v>3</v>
      </c>
      <c r="L11" s="9" t="n">
        <f aca="false">IF(J11="","",MOD(J11,100000)-7)</f>
        <v>18</v>
      </c>
    </row>
    <row r="12" customFormat="false" ht="15" hidden="false" customHeight="false" outlineLevel="0" collapsed="false">
      <c r="A12" s="37" t="n">
        <f aca="false">IF(J12="","",6)</f>
        <v>6</v>
      </c>
      <c r="B12" s="45" t="str">
        <f aca="false">IF(J12="","",INDEX(Lists!$A$1:$A$4,K12))</f>
        <v>Debited by bank, not in cash book</v>
      </c>
      <c r="C12" s="48" t="n">
        <f aca="false">IF(J12="","",IF(K12&lt;=2,INDEX('Cash Book'!$B$8:$B$507,L12),INDEX('Bank Statement'!$B$8:$B$507,L12)))</f>
        <v>46275</v>
      </c>
      <c r="D12" s="49" t="str">
        <f aca="false">IF(J12="","",IF(K12&lt;=2,INDEX('Cash Book'!$E$8:$E$507,L12),INDEX('Bank Statement'!$D$8:$D$507,L12))&amp;"")</f>
        <v/>
      </c>
      <c r="E12" s="45" t="str">
        <f aca="false">IF(J12="","",IF(K12&lt;=2,INDEX('Cash Book'!$D$8:$D$507,L12),INDEX('Bank Statement'!$C$8:$C$507,L12))&amp;"")</f>
        <v>NACH DR – HDFC LOAN EMI</v>
      </c>
      <c r="F12" s="50" t="n">
        <f aca="false">IF(J12="","",IF(K12&lt;=2,INDEX('Cash Book'!$W$8:$W$507,L12),INDEX('Bank Statement'!$W$8:$W$507,L12)))</f>
        <v>11250</v>
      </c>
      <c r="G12" s="49" t="str">
        <f aca="false">IF(J12="","",INDEX(Lists!$B$1:$B$4,K12))</f>
        <v>Less</v>
      </c>
      <c r="H12" s="45" t="str">
        <f aca="false">IF(J12="","",INDEX(Lists!$C$1:$C$4,K12))</f>
        <v>Record in cash book</v>
      </c>
      <c r="J12" s="9" t="n">
        <f aca="false">IF(6&lt;=$J$4,SMALL('Cash Book'!$V$8:$V$507,6),IF(6&lt;=$J$4+$K$4,SMALL('Bank Statement'!$V$8:$V$507,6-$J$4),""))</f>
        <v>400014</v>
      </c>
      <c r="K12" s="9" t="n">
        <f aca="false">IF(J12="","",INT(J12/100000))</f>
        <v>4</v>
      </c>
      <c r="L12" s="9" t="n">
        <f aca="false">IF(J12="","",MOD(J12,100000)-7)</f>
        <v>7</v>
      </c>
    </row>
    <row r="13" customFormat="false" ht="15" hidden="false" customHeight="false" outlineLevel="0" collapsed="false">
      <c r="A13" s="37" t="n">
        <f aca="false">IF(J13="","",7)</f>
        <v>7</v>
      </c>
      <c r="B13" s="45" t="str">
        <f aca="false">IF(J13="","",INDEX(Lists!$A$1:$A$4,K13))</f>
        <v>Debited by bank, not in cash book</v>
      </c>
      <c r="C13" s="48" t="n">
        <f aca="false">IF(J13="","",IF(K13&lt;=2,INDEX('Cash Book'!$B$8:$B$507,L13),INDEX('Bank Statement'!$B$8:$B$507,L13)))</f>
        <v>46295</v>
      </c>
      <c r="D13" s="49" t="str">
        <f aca="false">IF(J13="","",IF(K13&lt;=2,INDEX('Cash Book'!$E$8:$E$507,L13),INDEX('Bank Statement'!$D$8:$D$507,L13))&amp;"")</f>
        <v/>
      </c>
      <c r="E13" s="45" t="str">
        <f aca="false">IF(J13="","",IF(K13&lt;=2,INDEX('Cash Book'!$D$8:$D$507,L13),INDEX('Bank Statement'!$C$8:$C$507,L13))&amp;"")</f>
        <v>SMS ALERT CHARGES</v>
      </c>
      <c r="F13" s="50" t="n">
        <f aca="false">IF(J13="","",IF(K13&lt;=2,INDEX('Cash Book'!$W$8:$W$507,L13),INDEX('Bank Statement'!$W$8:$W$507,L13)))</f>
        <v>17.7</v>
      </c>
      <c r="G13" s="49" t="str">
        <f aca="false">IF(J13="","",INDEX(Lists!$B$1:$B$4,K13))</f>
        <v>Less</v>
      </c>
      <c r="H13" s="45" t="str">
        <f aca="false">IF(J13="","",INDEX(Lists!$C$1:$C$4,K13))</f>
        <v>Record in cash book</v>
      </c>
      <c r="J13" s="9" t="n">
        <f aca="false">IF(7&lt;=$J$4,SMALL('Cash Book'!$V$8:$V$507,7),IF(7&lt;=$J$4+$K$4,SMALL('Bank Statement'!$V$8:$V$507,7-$J$4),""))</f>
        <v>400023</v>
      </c>
      <c r="K13" s="9" t="n">
        <f aca="false">IF(J13="","",INT(J13/100000))</f>
        <v>4</v>
      </c>
      <c r="L13" s="9" t="n">
        <f aca="false">IF(J13="","",MOD(J13,100000)-7)</f>
        <v>16</v>
      </c>
    </row>
    <row r="14" customFormat="false" ht="15" hidden="false" customHeight="false" outlineLevel="0" collapsed="false">
      <c r="A14" s="37" t="n">
        <f aca="false">IF(J14="","",8)</f>
        <v>8</v>
      </c>
      <c r="B14" s="45" t="str">
        <f aca="false">IF(J14="","",INDEX(Lists!$A$1:$A$4,K14))</f>
        <v>Debited by bank, not in cash book</v>
      </c>
      <c r="C14" s="48" t="n">
        <f aca="false">IF(J14="","",IF(K14&lt;=2,INDEX('Cash Book'!$B$8:$B$507,L14),INDEX('Bank Statement'!$B$8:$B$507,L14)))</f>
        <v>46295</v>
      </c>
      <c r="D14" s="49" t="str">
        <f aca="false">IF(J14="","",IF(K14&lt;=2,INDEX('Cash Book'!$E$8:$E$507,L14),INDEX('Bank Statement'!$D$8:$D$507,L14))&amp;"")</f>
        <v/>
      </c>
      <c r="E14" s="45" t="str">
        <f aca="false">IF(J14="","",IF(K14&lt;=2,INDEX('Cash Book'!$D$8:$D$507,L14),INDEX('Bank Statement'!$C$8:$C$507,L14))&amp;"")</f>
        <v>SERVICE CHARGES INCL GST</v>
      </c>
      <c r="F14" s="50" t="n">
        <f aca="false">IF(J14="","",IF(K14&lt;=2,INDEX('Cash Book'!$W$8:$W$507,L14),INDEX('Bank Statement'!$W$8:$W$507,L14)))</f>
        <v>236</v>
      </c>
      <c r="G14" s="49" t="str">
        <f aca="false">IF(J14="","",INDEX(Lists!$B$1:$B$4,K14))</f>
        <v>Less</v>
      </c>
      <c r="H14" s="45" t="str">
        <f aca="false">IF(J14="","",INDEX(Lists!$C$1:$C$4,K14))</f>
        <v>Record in cash book</v>
      </c>
      <c r="J14" s="9" t="n">
        <f aca="false">IF(8&lt;=$J$4,SMALL('Cash Book'!$V$8:$V$507,8),IF(8&lt;=$J$4+$K$4,SMALL('Bank Statement'!$V$8:$V$507,8-$J$4),""))</f>
        <v>400024</v>
      </c>
      <c r="K14" s="9" t="n">
        <f aca="false">IF(J14="","",INT(J14/100000))</f>
        <v>4</v>
      </c>
      <c r="L14" s="9" t="n">
        <f aca="false">IF(J14="","",MOD(J14,100000)-7)</f>
        <v>17</v>
      </c>
    </row>
    <row r="15" customFormat="false" ht="15" hidden="false" customHeight="false" outlineLevel="0" collapsed="false">
      <c r="A15" s="37" t="str">
        <f aca="false">IF(J15="","",9)</f>
        <v/>
      </c>
      <c r="B15" s="45" t="str">
        <f aca="false">IF(J15="","",INDEX(Lists!$A$1:$A$4,K15))</f>
        <v/>
      </c>
      <c r="C15" s="48" t="str">
        <f aca="false">IF(J15="","",IF(K15&lt;=2,INDEX('Cash Book'!$B$8:$B$507,L15),INDEX('Bank Statement'!$B$8:$B$507,L15)))</f>
        <v/>
      </c>
      <c r="D15" s="49" t="str">
        <f aca="false">IF(J15="","",IF(K15&lt;=2,INDEX('Cash Book'!$E$8:$E$507,L15),INDEX('Bank Statement'!$D$8:$D$507,L15))&amp;"")</f>
        <v/>
      </c>
      <c r="E15" s="45" t="str">
        <f aca="false">IF(J15="","",IF(K15&lt;=2,INDEX('Cash Book'!$D$8:$D$507,L15),INDEX('Bank Statement'!$C$8:$C$507,L15))&amp;"")</f>
        <v/>
      </c>
      <c r="F15" s="50" t="str">
        <f aca="false">IF(J15="","",IF(K15&lt;=2,INDEX('Cash Book'!$W$8:$W$507,L15),INDEX('Bank Statement'!$W$8:$W$507,L15)))</f>
        <v/>
      </c>
      <c r="G15" s="49" t="str">
        <f aca="false">IF(J15="","",INDEX(Lists!$B$1:$B$4,K15))</f>
        <v/>
      </c>
      <c r="H15" s="45" t="str">
        <f aca="false">IF(J15="","",INDEX(Lists!$C$1:$C$4,K15))</f>
        <v/>
      </c>
      <c r="J15" s="9" t="str">
        <f aca="false">IF(9&lt;=$J$4,SMALL('Cash Book'!$V$8:$V$507,9),IF(9&lt;=$J$4+$K$4,SMALL('Bank Statement'!$V$8:$V$507,9-$J$4),""))</f>
        <v/>
      </c>
      <c r="K15" s="9" t="str">
        <f aca="false">IF(J15="","",INT(J15/100000))</f>
        <v/>
      </c>
      <c r="L15" s="9" t="str">
        <f aca="false">IF(J15="","",MOD(J15,100000)-7)</f>
        <v/>
      </c>
    </row>
    <row r="16" customFormat="false" ht="15" hidden="false" customHeight="false" outlineLevel="0" collapsed="false">
      <c r="A16" s="37" t="str">
        <f aca="false">IF(J16="","",10)</f>
        <v/>
      </c>
      <c r="B16" s="45" t="str">
        <f aca="false">IF(J16="","",INDEX(Lists!$A$1:$A$4,K16))</f>
        <v/>
      </c>
      <c r="C16" s="48" t="str">
        <f aca="false">IF(J16="","",IF(K16&lt;=2,INDEX('Cash Book'!$B$8:$B$507,L16),INDEX('Bank Statement'!$B$8:$B$507,L16)))</f>
        <v/>
      </c>
      <c r="D16" s="49" t="str">
        <f aca="false">IF(J16="","",IF(K16&lt;=2,INDEX('Cash Book'!$E$8:$E$507,L16),INDEX('Bank Statement'!$D$8:$D$507,L16))&amp;"")</f>
        <v/>
      </c>
      <c r="E16" s="45" t="str">
        <f aca="false">IF(J16="","",IF(K16&lt;=2,INDEX('Cash Book'!$D$8:$D$507,L16),INDEX('Bank Statement'!$C$8:$C$507,L16))&amp;"")</f>
        <v/>
      </c>
      <c r="F16" s="50" t="str">
        <f aca="false">IF(J16="","",IF(K16&lt;=2,INDEX('Cash Book'!$W$8:$W$507,L16),INDEX('Bank Statement'!$W$8:$W$507,L16)))</f>
        <v/>
      </c>
      <c r="G16" s="49" t="str">
        <f aca="false">IF(J16="","",INDEX(Lists!$B$1:$B$4,K16))</f>
        <v/>
      </c>
      <c r="H16" s="45" t="str">
        <f aca="false">IF(J16="","",INDEX(Lists!$C$1:$C$4,K16))</f>
        <v/>
      </c>
      <c r="J16" s="9" t="str">
        <f aca="false">IF(10&lt;=$J$4,SMALL('Cash Book'!$V$8:$V$507,10),IF(10&lt;=$J$4+$K$4,SMALL('Bank Statement'!$V$8:$V$507,10-$J$4),""))</f>
        <v/>
      </c>
      <c r="K16" s="9" t="str">
        <f aca="false">IF(J16="","",INT(J16/100000))</f>
        <v/>
      </c>
      <c r="L16" s="9" t="str">
        <f aca="false">IF(J16="","",MOD(J16,100000)-7)</f>
        <v/>
      </c>
    </row>
    <row r="17" customFormat="false" ht="15" hidden="false" customHeight="false" outlineLevel="0" collapsed="false">
      <c r="A17" s="37" t="str">
        <f aca="false">IF(J17="","",11)</f>
        <v/>
      </c>
      <c r="B17" s="45" t="str">
        <f aca="false">IF(J17="","",INDEX(Lists!$A$1:$A$4,K17))</f>
        <v/>
      </c>
      <c r="C17" s="48" t="str">
        <f aca="false">IF(J17="","",IF(K17&lt;=2,INDEX('Cash Book'!$B$8:$B$507,L17),INDEX('Bank Statement'!$B$8:$B$507,L17)))</f>
        <v/>
      </c>
      <c r="D17" s="49" t="str">
        <f aca="false">IF(J17="","",IF(K17&lt;=2,INDEX('Cash Book'!$E$8:$E$507,L17),INDEX('Bank Statement'!$D$8:$D$507,L17))&amp;"")</f>
        <v/>
      </c>
      <c r="E17" s="45" t="str">
        <f aca="false">IF(J17="","",IF(K17&lt;=2,INDEX('Cash Book'!$D$8:$D$507,L17),INDEX('Bank Statement'!$C$8:$C$507,L17))&amp;"")</f>
        <v/>
      </c>
      <c r="F17" s="50" t="str">
        <f aca="false">IF(J17="","",IF(K17&lt;=2,INDEX('Cash Book'!$W$8:$W$507,L17),INDEX('Bank Statement'!$W$8:$W$507,L17)))</f>
        <v/>
      </c>
      <c r="G17" s="49" t="str">
        <f aca="false">IF(J17="","",INDEX(Lists!$B$1:$B$4,K17))</f>
        <v/>
      </c>
      <c r="H17" s="45" t="str">
        <f aca="false">IF(J17="","",INDEX(Lists!$C$1:$C$4,K17))</f>
        <v/>
      </c>
      <c r="J17" s="9" t="str">
        <f aca="false">IF(11&lt;=$J$4,SMALL('Cash Book'!$V$8:$V$507,11),IF(11&lt;=$J$4+$K$4,SMALL('Bank Statement'!$V$8:$V$507,11-$J$4),""))</f>
        <v/>
      </c>
      <c r="K17" s="9" t="str">
        <f aca="false">IF(J17="","",INT(J17/100000))</f>
        <v/>
      </c>
      <c r="L17" s="9" t="str">
        <f aca="false">IF(J17="","",MOD(J17,100000)-7)</f>
        <v/>
      </c>
    </row>
    <row r="18" customFormat="false" ht="15" hidden="false" customHeight="false" outlineLevel="0" collapsed="false">
      <c r="A18" s="37" t="str">
        <f aca="false">IF(J18="","",12)</f>
        <v/>
      </c>
      <c r="B18" s="45" t="str">
        <f aca="false">IF(J18="","",INDEX(Lists!$A$1:$A$4,K18))</f>
        <v/>
      </c>
      <c r="C18" s="48" t="str">
        <f aca="false">IF(J18="","",IF(K18&lt;=2,INDEX('Cash Book'!$B$8:$B$507,L18),INDEX('Bank Statement'!$B$8:$B$507,L18)))</f>
        <v/>
      </c>
      <c r="D18" s="49" t="str">
        <f aca="false">IF(J18="","",IF(K18&lt;=2,INDEX('Cash Book'!$E$8:$E$507,L18),INDEX('Bank Statement'!$D$8:$D$507,L18))&amp;"")</f>
        <v/>
      </c>
      <c r="E18" s="45" t="str">
        <f aca="false">IF(J18="","",IF(K18&lt;=2,INDEX('Cash Book'!$D$8:$D$507,L18),INDEX('Bank Statement'!$C$8:$C$507,L18))&amp;"")</f>
        <v/>
      </c>
      <c r="F18" s="50" t="str">
        <f aca="false">IF(J18="","",IF(K18&lt;=2,INDEX('Cash Book'!$W$8:$W$507,L18),INDEX('Bank Statement'!$W$8:$W$507,L18)))</f>
        <v/>
      </c>
      <c r="G18" s="49" t="str">
        <f aca="false">IF(J18="","",INDEX(Lists!$B$1:$B$4,K18))</f>
        <v/>
      </c>
      <c r="H18" s="45" t="str">
        <f aca="false">IF(J18="","",INDEX(Lists!$C$1:$C$4,K18))</f>
        <v/>
      </c>
      <c r="J18" s="9" t="str">
        <f aca="false">IF(12&lt;=$J$4,SMALL('Cash Book'!$V$8:$V$507,12),IF(12&lt;=$J$4+$K$4,SMALL('Bank Statement'!$V$8:$V$507,12-$J$4),""))</f>
        <v/>
      </c>
      <c r="K18" s="9" t="str">
        <f aca="false">IF(J18="","",INT(J18/100000))</f>
        <v/>
      </c>
      <c r="L18" s="9" t="str">
        <f aca="false">IF(J18="","",MOD(J18,100000)-7)</f>
        <v/>
      </c>
    </row>
    <row r="19" customFormat="false" ht="15" hidden="false" customHeight="false" outlineLevel="0" collapsed="false">
      <c r="A19" s="37" t="str">
        <f aca="false">IF(J19="","",13)</f>
        <v/>
      </c>
      <c r="B19" s="45" t="str">
        <f aca="false">IF(J19="","",INDEX(Lists!$A$1:$A$4,K19))</f>
        <v/>
      </c>
      <c r="C19" s="48" t="str">
        <f aca="false">IF(J19="","",IF(K19&lt;=2,INDEX('Cash Book'!$B$8:$B$507,L19),INDEX('Bank Statement'!$B$8:$B$507,L19)))</f>
        <v/>
      </c>
      <c r="D19" s="49" t="str">
        <f aca="false">IF(J19="","",IF(K19&lt;=2,INDEX('Cash Book'!$E$8:$E$507,L19),INDEX('Bank Statement'!$D$8:$D$507,L19))&amp;"")</f>
        <v/>
      </c>
      <c r="E19" s="45" t="str">
        <f aca="false">IF(J19="","",IF(K19&lt;=2,INDEX('Cash Book'!$D$8:$D$507,L19),INDEX('Bank Statement'!$C$8:$C$507,L19))&amp;"")</f>
        <v/>
      </c>
      <c r="F19" s="50" t="str">
        <f aca="false">IF(J19="","",IF(K19&lt;=2,INDEX('Cash Book'!$W$8:$W$507,L19),INDEX('Bank Statement'!$W$8:$W$507,L19)))</f>
        <v/>
      </c>
      <c r="G19" s="49" t="str">
        <f aca="false">IF(J19="","",INDEX(Lists!$B$1:$B$4,K19))</f>
        <v/>
      </c>
      <c r="H19" s="45" t="str">
        <f aca="false">IF(J19="","",INDEX(Lists!$C$1:$C$4,K19))</f>
        <v/>
      </c>
      <c r="J19" s="9" t="str">
        <f aca="false">IF(13&lt;=$J$4,SMALL('Cash Book'!$V$8:$V$507,13),IF(13&lt;=$J$4+$K$4,SMALL('Bank Statement'!$V$8:$V$507,13-$J$4),""))</f>
        <v/>
      </c>
      <c r="K19" s="9" t="str">
        <f aca="false">IF(J19="","",INT(J19/100000))</f>
        <v/>
      </c>
      <c r="L19" s="9" t="str">
        <f aca="false">IF(J19="","",MOD(J19,100000)-7)</f>
        <v/>
      </c>
    </row>
    <row r="20" customFormat="false" ht="15" hidden="false" customHeight="false" outlineLevel="0" collapsed="false">
      <c r="A20" s="37" t="str">
        <f aca="false">IF(J20="","",14)</f>
        <v/>
      </c>
      <c r="B20" s="45" t="str">
        <f aca="false">IF(J20="","",INDEX(Lists!$A$1:$A$4,K20))</f>
        <v/>
      </c>
      <c r="C20" s="48" t="str">
        <f aca="false">IF(J20="","",IF(K20&lt;=2,INDEX('Cash Book'!$B$8:$B$507,L20),INDEX('Bank Statement'!$B$8:$B$507,L20)))</f>
        <v/>
      </c>
      <c r="D20" s="49" t="str">
        <f aca="false">IF(J20="","",IF(K20&lt;=2,INDEX('Cash Book'!$E$8:$E$507,L20),INDEX('Bank Statement'!$D$8:$D$507,L20))&amp;"")</f>
        <v/>
      </c>
      <c r="E20" s="45" t="str">
        <f aca="false">IF(J20="","",IF(K20&lt;=2,INDEX('Cash Book'!$D$8:$D$507,L20),INDEX('Bank Statement'!$C$8:$C$507,L20))&amp;"")</f>
        <v/>
      </c>
      <c r="F20" s="50" t="str">
        <f aca="false">IF(J20="","",IF(K20&lt;=2,INDEX('Cash Book'!$W$8:$W$507,L20),INDEX('Bank Statement'!$W$8:$W$507,L20)))</f>
        <v/>
      </c>
      <c r="G20" s="49" t="str">
        <f aca="false">IF(J20="","",INDEX(Lists!$B$1:$B$4,K20))</f>
        <v/>
      </c>
      <c r="H20" s="45" t="str">
        <f aca="false">IF(J20="","",INDEX(Lists!$C$1:$C$4,K20))</f>
        <v/>
      </c>
      <c r="J20" s="9" t="str">
        <f aca="false">IF(14&lt;=$J$4,SMALL('Cash Book'!$V$8:$V$507,14),IF(14&lt;=$J$4+$K$4,SMALL('Bank Statement'!$V$8:$V$507,14-$J$4),""))</f>
        <v/>
      </c>
      <c r="K20" s="9" t="str">
        <f aca="false">IF(J20="","",INT(J20/100000))</f>
        <v/>
      </c>
      <c r="L20" s="9" t="str">
        <f aca="false">IF(J20="","",MOD(J20,100000)-7)</f>
        <v/>
      </c>
    </row>
    <row r="21" customFormat="false" ht="15" hidden="false" customHeight="false" outlineLevel="0" collapsed="false">
      <c r="A21" s="37" t="str">
        <f aca="false">IF(J21="","",15)</f>
        <v/>
      </c>
      <c r="B21" s="45" t="str">
        <f aca="false">IF(J21="","",INDEX(Lists!$A$1:$A$4,K21))</f>
        <v/>
      </c>
      <c r="C21" s="48" t="str">
        <f aca="false">IF(J21="","",IF(K21&lt;=2,INDEX('Cash Book'!$B$8:$B$507,L21),INDEX('Bank Statement'!$B$8:$B$507,L21)))</f>
        <v/>
      </c>
      <c r="D21" s="49" t="str">
        <f aca="false">IF(J21="","",IF(K21&lt;=2,INDEX('Cash Book'!$E$8:$E$507,L21),INDEX('Bank Statement'!$D$8:$D$507,L21))&amp;"")</f>
        <v/>
      </c>
      <c r="E21" s="45" t="str">
        <f aca="false">IF(J21="","",IF(K21&lt;=2,INDEX('Cash Book'!$D$8:$D$507,L21),INDEX('Bank Statement'!$C$8:$C$507,L21))&amp;"")</f>
        <v/>
      </c>
      <c r="F21" s="50" t="str">
        <f aca="false">IF(J21="","",IF(K21&lt;=2,INDEX('Cash Book'!$W$8:$W$507,L21),INDEX('Bank Statement'!$W$8:$W$507,L21)))</f>
        <v/>
      </c>
      <c r="G21" s="49" t="str">
        <f aca="false">IF(J21="","",INDEX(Lists!$B$1:$B$4,K21))</f>
        <v/>
      </c>
      <c r="H21" s="45" t="str">
        <f aca="false">IF(J21="","",INDEX(Lists!$C$1:$C$4,K21))</f>
        <v/>
      </c>
      <c r="J21" s="9" t="str">
        <f aca="false">IF(15&lt;=$J$4,SMALL('Cash Book'!$V$8:$V$507,15),IF(15&lt;=$J$4+$K$4,SMALL('Bank Statement'!$V$8:$V$507,15-$J$4),""))</f>
        <v/>
      </c>
      <c r="K21" s="9" t="str">
        <f aca="false">IF(J21="","",INT(J21/100000))</f>
        <v/>
      </c>
      <c r="L21" s="9" t="str">
        <f aca="false">IF(J21="","",MOD(J21,100000)-7)</f>
        <v/>
      </c>
    </row>
    <row r="22" customFormat="false" ht="15" hidden="false" customHeight="false" outlineLevel="0" collapsed="false">
      <c r="A22" s="37" t="str">
        <f aca="false">IF(J22="","",16)</f>
        <v/>
      </c>
      <c r="B22" s="45" t="str">
        <f aca="false">IF(J22="","",INDEX(Lists!$A$1:$A$4,K22))</f>
        <v/>
      </c>
      <c r="C22" s="48" t="str">
        <f aca="false">IF(J22="","",IF(K22&lt;=2,INDEX('Cash Book'!$B$8:$B$507,L22),INDEX('Bank Statement'!$B$8:$B$507,L22)))</f>
        <v/>
      </c>
      <c r="D22" s="49" t="str">
        <f aca="false">IF(J22="","",IF(K22&lt;=2,INDEX('Cash Book'!$E$8:$E$507,L22),INDEX('Bank Statement'!$D$8:$D$507,L22))&amp;"")</f>
        <v/>
      </c>
      <c r="E22" s="45" t="str">
        <f aca="false">IF(J22="","",IF(K22&lt;=2,INDEX('Cash Book'!$D$8:$D$507,L22),INDEX('Bank Statement'!$C$8:$C$507,L22))&amp;"")</f>
        <v/>
      </c>
      <c r="F22" s="50" t="str">
        <f aca="false">IF(J22="","",IF(K22&lt;=2,INDEX('Cash Book'!$W$8:$W$507,L22),INDEX('Bank Statement'!$W$8:$W$507,L22)))</f>
        <v/>
      </c>
      <c r="G22" s="49" t="str">
        <f aca="false">IF(J22="","",INDEX(Lists!$B$1:$B$4,K22))</f>
        <v/>
      </c>
      <c r="H22" s="45" t="str">
        <f aca="false">IF(J22="","",INDEX(Lists!$C$1:$C$4,K22))</f>
        <v/>
      </c>
      <c r="J22" s="9" t="str">
        <f aca="false">IF(16&lt;=$J$4,SMALL('Cash Book'!$V$8:$V$507,16),IF(16&lt;=$J$4+$K$4,SMALL('Bank Statement'!$V$8:$V$507,16-$J$4),""))</f>
        <v/>
      </c>
      <c r="K22" s="9" t="str">
        <f aca="false">IF(J22="","",INT(J22/100000))</f>
        <v/>
      </c>
      <c r="L22" s="9" t="str">
        <f aca="false">IF(J22="","",MOD(J22,100000)-7)</f>
        <v/>
      </c>
    </row>
    <row r="23" customFormat="false" ht="15" hidden="false" customHeight="false" outlineLevel="0" collapsed="false">
      <c r="A23" s="37" t="str">
        <f aca="false">IF(J23="","",17)</f>
        <v/>
      </c>
      <c r="B23" s="45" t="str">
        <f aca="false">IF(J23="","",INDEX(Lists!$A$1:$A$4,K23))</f>
        <v/>
      </c>
      <c r="C23" s="48" t="str">
        <f aca="false">IF(J23="","",IF(K23&lt;=2,INDEX('Cash Book'!$B$8:$B$507,L23),INDEX('Bank Statement'!$B$8:$B$507,L23)))</f>
        <v/>
      </c>
      <c r="D23" s="49" t="str">
        <f aca="false">IF(J23="","",IF(K23&lt;=2,INDEX('Cash Book'!$E$8:$E$507,L23),INDEX('Bank Statement'!$D$8:$D$507,L23))&amp;"")</f>
        <v/>
      </c>
      <c r="E23" s="45" t="str">
        <f aca="false">IF(J23="","",IF(K23&lt;=2,INDEX('Cash Book'!$D$8:$D$507,L23),INDEX('Bank Statement'!$C$8:$C$507,L23))&amp;"")</f>
        <v/>
      </c>
      <c r="F23" s="50" t="str">
        <f aca="false">IF(J23="","",IF(K23&lt;=2,INDEX('Cash Book'!$W$8:$W$507,L23),INDEX('Bank Statement'!$W$8:$W$507,L23)))</f>
        <v/>
      </c>
      <c r="G23" s="49" t="str">
        <f aca="false">IF(J23="","",INDEX(Lists!$B$1:$B$4,K23))</f>
        <v/>
      </c>
      <c r="H23" s="45" t="str">
        <f aca="false">IF(J23="","",INDEX(Lists!$C$1:$C$4,K23))</f>
        <v/>
      </c>
      <c r="J23" s="9" t="str">
        <f aca="false">IF(17&lt;=$J$4,SMALL('Cash Book'!$V$8:$V$507,17),IF(17&lt;=$J$4+$K$4,SMALL('Bank Statement'!$V$8:$V$507,17-$J$4),""))</f>
        <v/>
      </c>
      <c r="K23" s="9" t="str">
        <f aca="false">IF(J23="","",INT(J23/100000))</f>
        <v/>
      </c>
      <c r="L23" s="9" t="str">
        <f aca="false">IF(J23="","",MOD(J23,100000)-7)</f>
        <v/>
      </c>
    </row>
    <row r="24" customFormat="false" ht="15" hidden="false" customHeight="false" outlineLevel="0" collapsed="false">
      <c r="A24" s="37" t="str">
        <f aca="false">IF(J24="","",18)</f>
        <v/>
      </c>
      <c r="B24" s="45" t="str">
        <f aca="false">IF(J24="","",INDEX(Lists!$A$1:$A$4,K24))</f>
        <v/>
      </c>
      <c r="C24" s="48" t="str">
        <f aca="false">IF(J24="","",IF(K24&lt;=2,INDEX('Cash Book'!$B$8:$B$507,L24),INDEX('Bank Statement'!$B$8:$B$507,L24)))</f>
        <v/>
      </c>
      <c r="D24" s="49" t="str">
        <f aca="false">IF(J24="","",IF(K24&lt;=2,INDEX('Cash Book'!$E$8:$E$507,L24),INDEX('Bank Statement'!$D$8:$D$507,L24))&amp;"")</f>
        <v/>
      </c>
      <c r="E24" s="45" t="str">
        <f aca="false">IF(J24="","",IF(K24&lt;=2,INDEX('Cash Book'!$D$8:$D$507,L24),INDEX('Bank Statement'!$C$8:$C$507,L24))&amp;"")</f>
        <v/>
      </c>
      <c r="F24" s="50" t="str">
        <f aca="false">IF(J24="","",IF(K24&lt;=2,INDEX('Cash Book'!$W$8:$W$507,L24),INDEX('Bank Statement'!$W$8:$W$507,L24)))</f>
        <v/>
      </c>
      <c r="G24" s="49" t="str">
        <f aca="false">IF(J24="","",INDEX(Lists!$B$1:$B$4,K24))</f>
        <v/>
      </c>
      <c r="H24" s="45" t="str">
        <f aca="false">IF(J24="","",INDEX(Lists!$C$1:$C$4,K24))</f>
        <v/>
      </c>
      <c r="J24" s="9" t="str">
        <f aca="false">IF(18&lt;=$J$4,SMALL('Cash Book'!$V$8:$V$507,18),IF(18&lt;=$J$4+$K$4,SMALL('Bank Statement'!$V$8:$V$507,18-$J$4),""))</f>
        <v/>
      </c>
      <c r="K24" s="9" t="str">
        <f aca="false">IF(J24="","",INT(J24/100000))</f>
        <v/>
      </c>
      <c r="L24" s="9" t="str">
        <f aca="false">IF(J24="","",MOD(J24,100000)-7)</f>
        <v/>
      </c>
    </row>
    <row r="25" customFormat="false" ht="15" hidden="false" customHeight="false" outlineLevel="0" collapsed="false">
      <c r="A25" s="37" t="str">
        <f aca="false">IF(J25="","",19)</f>
        <v/>
      </c>
      <c r="B25" s="45" t="str">
        <f aca="false">IF(J25="","",INDEX(Lists!$A$1:$A$4,K25))</f>
        <v/>
      </c>
      <c r="C25" s="48" t="str">
        <f aca="false">IF(J25="","",IF(K25&lt;=2,INDEX('Cash Book'!$B$8:$B$507,L25),INDEX('Bank Statement'!$B$8:$B$507,L25)))</f>
        <v/>
      </c>
      <c r="D25" s="49" t="str">
        <f aca="false">IF(J25="","",IF(K25&lt;=2,INDEX('Cash Book'!$E$8:$E$507,L25),INDEX('Bank Statement'!$D$8:$D$507,L25))&amp;"")</f>
        <v/>
      </c>
      <c r="E25" s="45" t="str">
        <f aca="false">IF(J25="","",IF(K25&lt;=2,INDEX('Cash Book'!$D$8:$D$507,L25),INDEX('Bank Statement'!$C$8:$C$507,L25))&amp;"")</f>
        <v/>
      </c>
      <c r="F25" s="50" t="str">
        <f aca="false">IF(J25="","",IF(K25&lt;=2,INDEX('Cash Book'!$W$8:$W$507,L25),INDEX('Bank Statement'!$W$8:$W$507,L25)))</f>
        <v/>
      </c>
      <c r="G25" s="49" t="str">
        <f aca="false">IF(J25="","",INDEX(Lists!$B$1:$B$4,K25))</f>
        <v/>
      </c>
      <c r="H25" s="45" t="str">
        <f aca="false">IF(J25="","",INDEX(Lists!$C$1:$C$4,K25))</f>
        <v/>
      </c>
      <c r="J25" s="9" t="str">
        <f aca="false">IF(19&lt;=$J$4,SMALL('Cash Book'!$V$8:$V$507,19),IF(19&lt;=$J$4+$K$4,SMALL('Bank Statement'!$V$8:$V$507,19-$J$4),""))</f>
        <v/>
      </c>
      <c r="K25" s="9" t="str">
        <f aca="false">IF(J25="","",INT(J25/100000))</f>
        <v/>
      </c>
      <c r="L25" s="9" t="str">
        <f aca="false">IF(J25="","",MOD(J25,100000)-7)</f>
        <v/>
      </c>
    </row>
    <row r="26" customFormat="false" ht="15" hidden="false" customHeight="false" outlineLevel="0" collapsed="false">
      <c r="A26" s="37" t="str">
        <f aca="false">IF(J26="","",20)</f>
        <v/>
      </c>
      <c r="B26" s="45" t="str">
        <f aca="false">IF(J26="","",INDEX(Lists!$A$1:$A$4,K26))</f>
        <v/>
      </c>
      <c r="C26" s="48" t="str">
        <f aca="false">IF(J26="","",IF(K26&lt;=2,INDEX('Cash Book'!$B$8:$B$507,L26),INDEX('Bank Statement'!$B$8:$B$507,L26)))</f>
        <v/>
      </c>
      <c r="D26" s="49" t="str">
        <f aca="false">IF(J26="","",IF(K26&lt;=2,INDEX('Cash Book'!$E$8:$E$507,L26),INDEX('Bank Statement'!$D$8:$D$507,L26))&amp;"")</f>
        <v/>
      </c>
      <c r="E26" s="45" t="str">
        <f aca="false">IF(J26="","",IF(K26&lt;=2,INDEX('Cash Book'!$D$8:$D$507,L26),INDEX('Bank Statement'!$C$8:$C$507,L26))&amp;"")</f>
        <v/>
      </c>
      <c r="F26" s="50" t="str">
        <f aca="false">IF(J26="","",IF(K26&lt;=2,INDEX('Cash Book'!$W$8:$W$507,L26),INDEX('Bank Statement'!$W$8:$W$507,L26)))</f>
        <v/>
      </c>
      <c r="G26" s="49" t="str">
        <f aca="false">IF(J26="","",INDEX(Lists!$B$1:$B$4,K26))</f>
        <v/>
      </c>
      <c r="H26" s="45" t="str">
        <f aca="false">IF(J26="","",INDEX(Lists!$C$1:$C$4,K26))</f>
        <v/>
      </c>
      <c r="J26" s="9" t="str">
        <f aca="false">IF(20&lt;=$J$4,SMALL('Cash Book'!$V$8:$V$507,20),IF(20&lt;=$J$4+$K$4,SMALL('Bank Statement'!$V$8:$V$507,20-$J$4),""))</f>
        <v/>
      </c>
      <c r="K26" s="9" t="str">
        <f aca="false">IF(J26="","",INT(J26/100000))</f>
        <v/>
      </c>
      <c r="L26" s="9" t="str">
        <f aca="false">IF(J26="","",MOD(J26,100000)-7)</f>
        <v/>
      </c>
    </row>
    <row r="27" customFormat="false" ht="15" hidden="false" customHeight="false" outlineLevel="0" collapsed="false">
      <c r="A27" s="37" t="str">
        <f aca="false">IF(J27="","",21)</f>
        <v/>
      </c>
      <c r="B27" s="45" t="str">
        <f aca="false">IF(J27="","",INDEX(Lists!$A$1:$A$4,K27))</f>
        <v/>
      </c>
      <c r="C27" s="48" t="str">
        <f aca="false">IF(J27="","",IF(K27&lt;=2,INDEX('Cash Book'!$B$8:$B$507,L27),INDEX('Bank Statement'!$B$8:$B$507,L27)))</f>
        <v/>
      </c>
      <c r="D27" s="49" t="str">
        <f aca="false">IF(J27="","",IF(K27&lt;=2,INDEX('Cash Book'!$E$8:$E$507,L27),INDEX('Bank Statement'!$D$8:$D$507,L27))&amp;"")</f>
        <v/>
      </c>
      <c r="E27" s="45" t="str">
        <f aca="false">IF(J27="","",IF(K27&lt;=2,INDEX('Cash Book'!$D$8:$D$507,L27),INDEX('Bank Statement'!$C$8:$C$507,L27))&amp;"")</f>
        <v/>
      </c>
      <c r="F27" s="50" t="str">
        <f aca="false">IF(J27="","",IF(K27&lt;=2,INDEX('Cash Book'!$W$8:$W$507,L27),INDEX('Bank Statement'!$W$8:$W$507,L27)))</f>
        <v/>
      </c>
      <c r="G27" s="49" t="str">
        <f aca="false">IF(J27="","",INDEX(Lists!$B$1:$B$4,K27))</f>
        <v/>
      </c>
      <c r="H27" s="45" t="str">
        <f aca="false">IF(J27="","",INDEX(Lists!$C$1:$C$4,K27))</f>
        <v/>
      </c>
      <c r="J27" s="9" t="str">
        <f aca="false">IF(21&lt;=$J$4,SMALL('Cash Book'!$V$8:$V$507,21),IF(21&lt;=$J$4+$K$4,SMALL('Bank Statement'!$V$8:$V$507,21-$J$4),""))</f>
        <v/>
      </c>
      <c r="K27" s="9" t="str">
        <f aca="false">IF(J27="","",INT(J27/100000))</f>
        <v/>
      </c>
      <c r="L27" s="9" t="str">
        <f aca="false">IF(J27="","",MOD(J27,100000)-7)</f>
        <v/>
      </c>
    </row>
    <row r="28" customFormat="false" ht="15" hidden="false" customHeight="false" outlineLevel="0" collapsed="false">
      <c r="A28" s="37" t="str">
        <f aca="false">IF(J28="","",22)</f>
        <v/>
      </c>
      <c r="B28" s="45" t="str">
        <f aca="false">IF(J28="","",INDEX(Lists!$A$1:$A$4,K28))</f>
        <v/>
      </c>
      <c r="C28" s="48" t="str">
        <f aca="false">IF(J28="","",IF(K28&lt;=2,INDEX('Cash Book'!$B$8:$B$507,L28),INDEX('Bank Statement'!$B$8:$B$507,L28)))</f>
        <v/>
      </c>
      <c r="D28" s="49" t="str">
        <f aca="false">IF(J28="","",IF(K28&lt;=2,INDEX('Cash Book'!$E$8:$E$507,L28),INDEX('Bank Statement'!$D$8:$D$507,L28))&amp;"")</f>
        <v/>
      </c>
      <c r="E28" s="45" t="str">
        <f aca="false">IF(J28="","",IF(K28&lt;=2,INDEX('Cash Book'!$D$8:$D$507,L28),INDEX('Bank Statement'!$C$8:$C$507,L28))&amp;"")</f>
        <v/>
      </c>
      <c r="F28" s="50" t="str">
        <f aca="false">IF(J28="","",IF(K28&lt;=2,INDEX('Cash Book'!$W$8:$W$507,L28),INDEX('Bank Statement'!$W$8:$W$507,L28)))</f>
        <v/>
      </c>
      <c r="G28" s="49" t="str">
        <f aca="false">IF(J28="","",INDEX(Lists!$B$1:$B$4,K28))</f>
        <v/>
      </c>
      <c r="H28" s="45" t="str">
        <f aca="false">IF(J28="","",INDEX(Lists!$C$1:$C$4,K28))</f>
        <v/>
      </c>
      <c r="J28" s="9" t="str">
        <f aca="false">IF(22&lt;=$J$4,SMALL('Cash Book'!$V$8:$V$507,22),IF(22&lt;=$J$4+$K$4,SMALL('Bank Statement'!$V$8:$V$507,22-$J$4),""))</f>
        <v/>
      </c>
      <c r="K28" s="9" t="str">
        <f aca="false">IF(J28="","",INT(J28/100000))</f>
        <v/>
      </c>
      <c r="L28" s="9" t="str">
        <f aca="false">IF(J28="","",MOD(J28,100000)-7)</f>
        <v/>
      </c>
    </row>
    <row r="29" customFormat="false" ht="15" hidden="false" customHeight="false" outlineLevel="0" collapsed="false">
      <c r="A29" s="37" t="str">
        <f aca="false">IF(J29="","",23)</f>
        <v/>
      </c>
      <c r="B29" s="45" t="str">
        <f aca="false">IF(J29="","",INDEX(Lists!$A$1:$A$4,K29))</f>
        <v/>
      </c>
      <c r="C29" s="48" t="str">
        <f aca="false">IF(J29="","",IF(K29&lt;=2,INDEX('Cash Book'!$B$8:$B$507,L29),INDEX('Bank Statement'!$B$8:$B$507,L29)))</f>
        <v/>
      </c>
      <c r="D29" s="49" t="str">
        <f aca="false">IF(J29="","",IF(K29&lt;=2,INDEX('Cash Book'!$E$8:$E$507,L29),INDEX('Bank Statement'!$D$8:$D$507,L29))&amp;"")</f>
        <v/>
      </c>
      <c r="E29" s="45" t="str">
        <f aca="false">IF(J29="","",IF(K29&lt;=2,INDEX('Cash Book'!$D$8:$D$507,L29),INDEX('Bank Statement'!$C$8:$C$507,L29))&amp;"")</f>
        <v/>
      </c>
      <c r="F29" s="50" t="str">
        <f aca="false">IF(J29="","",IF(K29&lt;=2,INDEX('Cash Book'!$W$8:$W$507,L29),INDEX('Bank Statement'!$W$8:$W$507,L29)))</f>
        <v/>
      </c>
      <c r="G29" s="49" t="str">
        <f aca="false">IF(J29="","",INDEX(Lists!$B$1:$B$4,K29))</f>
        <v/>
      </c>
      <c r="H29" s="45" t="str">
        <f aca="false">IF(J29="","",INDEX(Lists!$C$1:$C$4,K29))</f>
        <v/>
      </c>
      <c r="J29" s="9" t="str">
        <f aca="false">IF(23&lt;=$J$4,SMALL('Cash Book'!$V$8:$V$507,23),IF(23&lt;=$J$4+$K$4,SMALL('Bank Statement'!$V$8:$V$507,23-$J$4),""))</f>
        <v/>
      </c>
      <c r="K29" s="9" t="str">
        <f aca="false">IF(J29="","",INT(J29/100000))</f>
        <v/>
      </c>
      <c r="L29" s="9" t="str">
        <f aca="false">IF(J29="","",MOD(J29,100000)-7)</f>
        <v/>
      </c>
    </row>
    <row r="30" customFormat="false" ht="15" hidden="false" customHeight="false" outlineLevel="0" collapsed="false">
      <c r="A30" s="37" t="str">
        <f aca="false">IF(J30="","",24)</f>
        <v/>
      </c>
      <c r="B30" s="45" t="str">
        <f aca="false">IF(J30="","",INDEX(Lists!$A$1:$A$4,K30))</f>
        <v/>
      </c>
      <c r="C30" s="48" t="str">
        <f aca="false">IF(J30="","",IF(K30&lt;=2,INDEX('Cash Book'!$B$8:$B$507,L30),INDEX('Bank Statement'!$B$8:$B$507,L30)))</f>
        <v/>
      </c>
      <c r="D30" s="49" t="str">
        <f aca="false">IF(J30="","",IF(K30&lt;=2,INDEX('Cash Book'!$E$8:$E$507,L30),INDEX('Bank Statement'!$D$8:$D$507,L30))&amp;"")</f>
        <v/>
      </c>
      <c r="E30" s="45" t="str">
        <f aca="false">IF(J30="","",IF(K30&lt;=2,INDEX('Cash Book'!$D$8:$D$507,L30),INDEX('Bank Statement'!$C$8:$C$507,L30))&amp;"")</f>
        <v/>
      </c>
      <c r="F30" s="50" t="str">
        <f aca="false">IF(J30="","",IF(K30&lt;=2,INDEX('Cash Book'!$W$8:$W$507,L30),INDEX('Bank Statement'!$W$8:$W$507,L30)))</f>
        <v/>
      </c>
      <c r="G30" s="49" t="str">
        <f aca="false">IF(J30="","",INDEX(Lists!$B$1:$B$4,K30))</f>
        <v/>
      </c>
      <c r="H30" s="45" t="str">
        <f aca="false">IF(J30="","",INDEX(Lists!$C$1:$C$4,K30))</f>
        <v/>
      </c>
      <c r="J30" s="9" t="str">
        <f aca="false">IF(24&lt;=$J$4,SMALL('Cash Book'!$V$8:$V$507,24),IF(24&lt;=$J$4+$K$4,SMALL('Bank Statement'!$V$8:$V$507,24-$J$4),""))</f>
        <v/>
      </c>
      <c r="K30" s="9" t="str">
        <f aca="false">IF(J30="","",INT(J30/100000))</f>
        <v/>
      </c>
      <c r="L30" s="9" t="str">
        <f aca="false">IF(J30="","",MOD(J30,100000)-7)</f>
        <v/>
      </c>
    </row>
    <row r="31" customFormat="false" ht="15" hidden="false" customHeight="false" outlineLevel="0" collapsed="false">
      <c r="A31" s="37" t="str">
        <f aca="false">IF(J31="","",25)</f>
        <v/>
      </c>
      <c r="B31" s="45" t="str">
        <f aca="false">IF(J31="","",INDEX(Lists!$A$1:$A$4,K31))</f>
        <v/>
      </c>
      <c r="C31" s="48" t="str">
        <f aca="false">IF(J31="","",IF(K31&lt;=2,INDEX('Cash Book'!$B$8:$B$507,L31),INDEX('Bank Statement'!$B$8:$B$507,L31)))</f>
        <v/>
      </c>
      <c r="D31" s="49" t="str">
        <f aca="false">IF(J31="","",IF(K31&lt;=2,INDEX('Cash Book'!$E$8:$E$507,L31),INDEX('Bank Statement'!$D$8:$D$507,L31))&amp;"")</f>
        <v/>
      </c>
      <c r="E31" s="45" t="str">
        <f aca="false">IF(J31="","",IF(K31&lt;=2,INDEX('Cash Book'!$D$8:$D$507,L31),INDEX('Bank Statement'!$C$8:$C$507,L31))&amp;"")</f>
        <v/>
      </c>
      <c r="F31" s="50" t="str">
        <f aca="false">IF(J31="","",IF(K31&lt;=2,INDEX('Cash Book'!$W$8:$W$507,L31),INDEX('Bank Statement'!$W$8:$W$507,L31)))</f>
        <v/>
      </c>
      <c r="G31" s="49" t="str">
        <f aca="false">IF(J31="","",INDEX(Lists!$B$1:$B$4,K31))</f>
        <v/>
      </c>
      <c r="H31" s="45" t="str">
        <f aca="false">IF(J31="","",INDEX(Lists!$C$1:$C$4,K31))</f>
        <v/>
      </c>
      <c r="J31" s="9" t="str">
        <f aca="false">IF(25&lt;=$J$4,SMALL('Cash Book'!$V$8:$V$507,25),IF(25&lt;=$J$4+$K$4,SMALL('Bank Statement'!$V$8:$V$507,25-$J$4),""))</f>
        <v/>
      </c>
      <c r="K31" s="9" t="str">
        <f aca="false">IF(J31="","",INT(J31/100000))</f>
        <v/>
      </c>
      <c r="L31" s="9" t="str">
        <f aca="false">IF(J31="","",MOD(J31,100000)-7)</f>
        <v/>
      </c>
    </row>
    <row r="32" customFormat="false" ht="15" hidden="false" customHeight="false" outlineLevel="0" collapsed="false">
      <c r="A32" s="37" t="str">
        <f aca="false">IF(J32="","",26)</f>
        <v/>
      </c>
      <c r="B32" s="45" t="str">
        <f aca="false">IF(J32="","",INDEX(Lists!$A$1:$A$4,K32))</f>
        <v/>
      </c>
      <c r="C32" s="48" t="str">
        <f aca="false">IF(J32="","",IF(K32&lt;=2,INDEX('Cash Book'!$B$8:$B$507,L32),INDEX('Bank Statement'!$B$8:$B$507,L32)))</f>
        <v/>
      </c>
      <c r="D32" s="49" t="str">
        <f aca="false">IF(J32="","",IF(K32&lt;=2,INDEX('Cash Book'!$E$8:$E$507,L32),INDEX('Bank Statement'!$D$8:$D$507,L32))&amp;"")</f>
        <v/>
      </c>
      <c r="E32" s="45" t="str">
        <f aca="false">IF(J32="","",IF(K32&lt;=2,INDEX('Cash Book'!$D$8:$D$507,L32),INDEX('Bank Statement'!$C$8:$C$507,L32))&amp;"")</f>
        <v/>
      </c>
      <c r="F32" s="50" t="str">
        <f aca="false">IF(J32="","",IF(K32&lt;=2,INDEX('Cash Book'!$W$8:$W$507,L32),INDEX('Bank Statement'!$W$8:$W$507,L32)))</f>
        <v/>
      </c>
      <c r="G32" s="49" t="str">
        <f aca="false">IF(J32="","",INDEX(Lists!$B$1:$B$4,K32))</f>
        <v/>
      </c>
      <c r="H32" s="45" t="str">
        <f aca="false">IF(J32="","",INDEX(Lists!$C$1:$C$4,K32))</f>
        <v/>
      </c>
      <c r="J32" s="9" t="str">
        <f aca="false">IF(26&lt;=$J$4,SMALL('Cash Book'!$V$8:$V$507,26),IF(26&lt;=$J$4+$K$4,SMALL('Bank Statement'!$V$8:$V$507,26-$J$4),""))</f>
        <v/>
      </c>
      <c r="K32" s="9" t="str">
        <f aca="false">IF(J32="","",INT(J32/100000))</f>
        <v/>
      </c>
      <c r="L32" s="9" t="str">
        <f aca="false">IF(J32="","",MOD(J32,100000)-7)</f>
        <v/>
      </c>
    </row>
    <row r="33" customFormat="false" ht="15" hidden="false" customHeight="false" outlineLevel="0" collapsed="false">
      <c r="A33" s="37" t="str">
        <f aca="false">IF(J33="","",27)</f>
        <v/>
      </c>
      <c r="B33" s="45" t="str">
        <f aca="false">IF(J33="","",INDEX(Lists!$A$1:$A$4,K33))</f>
        <v/>
      </c>
      <c r="C33" s="48" t="str">
        <f aca="false">IF(J33="","",IF(K33&lt;=2,INDEX('Cash Book'!$B$8:$B$507,L33),INDEX('Bank Statement'!$B$8:$B$507,L33)))</f>
        <v/>
      </c>
      <c r="D33" s="49" t="str">
        <f aca="false">IF(J33="","",IF(K33&lt;=2,INDEX('Cash Book'!$E$8:$E$507,L33),INDEX('Bank Statement'!$D$8:$D$507,L33))&amp;"")</f>
        <v/>
      </c>
      <c r="E33" s="45" t="str">
        <f aca="false">IF(J33="","",IF(K33&lt;=2,INDEX('Cash Book'!$D$8:$D$507,L33),INDEX('Bank Statement'!$C$8:$C$507,L33))&amp;"")</f>
        <v/>
      </c>
      <c r="F33" s="50" t="str">
        <f aca="false">IF(J33="","",IF(K33&lt;=2,INDEX('Cash Book'!$W$8:$W$507,L33),INDEX('Bank Statement'!$W$8:$W$507,L33)))</f>
        <v/>
      </c>
      <c r="G33" s="49" t="str">
        <f aca="false">IF(J33="","",INDEX(Lists!$B$1:$B$4,K33))</f>
        <v/>
      </c>
      <c r="H33" s="45" t="str">
        <f aca="false">IF(J33="","",INDEX(Lists!$C$1:$C$4,K33))</f>
        <v/>
      </c>
      <c r="J33" s="9" t="str">
        <f aca="false">IF(27&lt;=$J$4,SMALL('Cash Book'!$V$8:$V$507,27),IF(27&lt;=$J$4+$K$4,SMALL('Bank Statement'!$V$8:$V$507,27-$J$4),""))</f>
        <v/>
      </c>
      <c r="K33" s="9" t="str">
        <f aca="false">IF(J33="","",INT(J33/100000))</f>
        <v/>
      </c>
      <c r="L33" s="9" t="str">
        <f aca="false">IF(J33="","",MOD(J33,100000)-7)</f>
        <v/>
      </c>
    </row>
    <row r="34" customFormat="false" ht="15" hidden="false" customHeight="false" outlineLevel="0" collapsed="false">
      <c r="A34" s="37" t="str">
        <f aca="false">IF(J34="","",28)</f>
        <v/>
      </c>
      <c r="B34" s="45" t="str">
        <f aca="false">IF(J34="","",INDEX(Lists!$A$1:$A$4,K34))</f>
        <v/>
      </c>
      <c r="C34" s="48" t="str">
        <f aca="false">IF(J34="","",IF(K34&lt;=2,INDEX('Cash Book'!$B$8:$B$507,L34),INDEX('Bank Statement'!$B$8:$B$507,L34)))</f>
        <v/>
      </c>
      <c r="D34" s="49" t="str">
        <f aca="false">IF(J34="","",IF(K34&lt;=2,INDEX('Cash Book'!$E$8:$E$507,L34),INDEX('Bank Statement'!$D$8:$D$507,L34))&amp;"")</f>
        <v/>
      </c>
      <c r="E34" s="45" t="str">
        <f aca="false">IF(J34="","",IF(K34&lt;=2,INDEX('Cash Book'!$D$8:$D$507,L34),INDEX('Bank Statement'!$C$8:$C$507,L34))&amp;"")</f>
        <v/>
      </c>
      <c r="F34" s="50" t="str">
        <f aca="false">IF(J34="","",IF(K34&lt;=2,INDEX('Cash Book'!$W$8:$W$507,L34),INDEX('Bank Statement'!$W$8:$W$507,L34)))</f>
        <v/>
      </c>
      <c r="G34" s="49" t="str">
        <f aca="false">IF(J34="","",INDEX(Lists!$B$1:$B$4,K34))</f>
        <v/>
      </c>
      <c r="H34" s="45" t="str">
        <f aca="false">IF(J34="","",INDEX(Lists!$C$1:$C$4,K34))</f>
        <v/>
      </c>
      <c r="J34" s="9" t="str">
        <f aca="false">IF(28&lt;=$J$4,SMALL('Cash Book'!$V$8:$V$507,28),IF(28&lt;=$J$4+$K$4,SMALL('Bank Statement'!$V$8:$V$507,28-$J$4),""))</f>
        <v/>
      </c>
      <c r="K34" s="9" t="str">
        <f aca="false">IF(J34="","",INT(J34/100000))</f>
        <v/>
      </c>
      <c r="L34" s="9" t="str">
        <f aca="false">IF(J34="","",MOD(J34,100000)-7)</f>
        <v/>
      </c>
    </row>
    <row r="35" customFormat="false" ht="15" hidden="false" customHeight="false" outlineLevel="0" collapsed="false">
      <c r="A35" s="37" t="str">
        <f aca="false">IF(J35="","",29)</f>
        <v/>
      </c>
      <c r="B35" s="45" t="str">
        <f aca="false">IF(J35="","",INDEX(Lists!$A$1:$A$4,K35))</f>
        <v/>
      </c>
      <c r="C35" s="48" t="str">
        <f aca="false">IF(J35="","",IF(K35&lt;=2,INDEX('Cash Book'!$B$8:$B$507,L35),INDEX('Bank Statement'!$B$8:$B$507,L35)))</f>
        <v/>
      </c>
      <c r="D35" s="49" t="str">
        <f aca="false">IF(J35="","",IF(K35&lt;=2,INDEX('Cash Book'!$E$8:$E$507,L35),INDEX('Bank Statement'!$D$8:$D$507,L35))&amp;"")</f>
        <v/>
      </c>
      <c r="E35" s="45" t="str">
        <f aca="false">IF(J35="","",IF(K35&lt;=2,INDEX('Cash Book'!$D$8:$D$507,L35),INDEX('Bank Statement'!$C$8:$C$507,L35))&amp;"")</f>
        <v/>
      </c>
      <c r="F35" s="50" t="str">
        <f aca="false">IF(J35="","",IF(K35&lt;=2,INDEX('Cash Book'!$W$8:$W$507,L35),INDEX('Bank Statement'!$W$8:$W$507,L35)))</f>
        <v/>
      </c>
      <c r="G35" s="49" t="str">
        <f aca="false">IF(J35="","",INDEX(Lists!$B$1:$B$4,K35))</f>
        <v/>
      </c>
      <c r="H35" s="45" t="str">
        <f aca="false">IF(J35="","",INDEX(Lists!$C$1:$C$4,K35))</f>
        <v/>
      </c>
      <c r="J35" s="9" t="str">
        <f aca="false">IF(29&lt;=$J$4,SMALL('Cash Book'!$V$8:$V$507,29),IF(29&lt;=$J$4+$K$4,SMALL('Bank Statement'!$V$8:$V$507,29-$J$4),""))</f>
        <v/>
      </c>
      <c r="K35" s="9" t="str">
        <f aca="false">IF(J35="","",INT(J35/100000))</f>
        <v/>
      </c>
      <c r="L35" s="9" t="str">
        <f aca="false">IF(J35="","",MOD(J35,100000)-7)</f>
        <v/>
      </c>
    </row>
    <row r="36" customFormat="false" ht="15" hidden="false" customHeight="false" outlineLevel="0" collapsed="false">
      <c r="A36" s="37" t="str">
        <f aca="false">IF(J36="","",30)</f>
        <v/>
      </c>
      <c r="B36" s="45" t="str">
        <f aca="false">IF(J36="","",INDEX(Lists!$A$1:$A$4,K36))</f>
        <v/>
      </c>
      <c r="C36" s="48" t="str">
        <f aca="false">IF(J36="","",IF(K36&lt;=2,INDEX('Cash Book'!$B$8:$B$507,L36),INDEX('Bank Statement'!$B$8:$B$507,L36)))</f>
        <v/>
      </c>
      <c r="D36" s="49" t="str">
        <f aca="false">IF(J36="","",IF(K36&lt;=2,INDEX('Cash Book'!$E$8:$E$507,L36),INDEX('Bank Statement'!$D$8:$D$507,L36))&amp;"")</f>
        <v/>
      </c>
      <c r="E36" s="45" t="str">
        <f aca="false">IF(J36="","",IF(K36&lt;=2,INDEX('Cash Book'!$D$8:$D$507,L36),INDEX('Bank Statement'!$C$8:$C$507,L36))&amp;"")</f>
        <v/>
      </c>
      <c r="F36" s="50" t="str">
        <f aca="false">IF(J36="","",IF(K36&lt;=2,INDEX('Cash Book'!$W$8:$W$507,L36),INDEX('Bank Statement'!$W$8:$W$507,L36)))</f>
        <v/>
      </c>
      <c r="G36" s="49" t="str">
        <f aca="false">IF(J36="","",INDEX(Lists!$B$1:$B$4,K36))</f>
        <v/>
      </c>
      <c r="H36" s="45" t="str">
        <f aca="false">IF(J36="","",INDEX(Lists!$C$1:$C$4,K36))</f>
        <v/>
      </c>
      <c r="J36" s="9" t="str">
        <f aca="false">IF(30&lt;=$J$4,SMALL('Cash Book'!$V$8:$V$507,30),IF(30&lt;=$J$4+$K$4,SMALL('Bank Statement'!$V$8:$V$507,30-$J$4),""))</f>
        <v/>
      </c>
      <c r="K36" s="9" t="str">
        <f aca="false">IF(J36="","",INT(J36/100000))</f>
        <v/>
      </c>
      <c r="L36" s="9" t="str">
        <f aca="false">IF(J36="","",MOD(J36,100000)-7)</f>
        <v/>
      </c>
    </row>
    <row r="37" customFormat="false" ht="15" hidden="false" customHeight="false" outlineLevel="0" collapsed="false">
      <c r="A37" s="37" t="str">
        <f aca="false">IF(J37="","",31)</f>
        <v/>
      </c>
      <c r="B37" s="45" t="str">
        <f aca="false">IF(J37="","",INDEX(Lists!$A$1:$A$4,K37))</f>
        <v/>
      </c>
      <c r="C37" s="48" t="str">
        <f aca="false">IF(J37="","",IF(K37&lt;=2,INDEX('Cash Book'!$B$8:$B$507,L37),INDEX('Bank Statement'!$B$8:$B$507,L37)))</f>
        <v/>
      </c>
      <c r="D37" s="49" t="str">
        <f aca="false">IF(J37="","",IF(K37&lt;=2,INDEX('Cash Book'!$E$8:$E$507,L37),INDEX('Bank Statement'!$D$8:$D$507,L37))&amp;"")</f>
        <v/>
      </c>
      <c r="E37" s="45" t="str">
        <f aca="false">IF(J37="","",IF(K37&lt;=2,INDEX('Cash Book'!$D$8:$D$507,L37),INDEX('Bank Statement'!$C$8:$C$507,L37))&amp;"")</f>
        <v/>
      </c>
      <c r="F37" s="50" t="str">
        <f aca="false">IF(J37="","",IF(K37&lt;=2,INDEX('Cash Book'!$W$8:$W$507,L37),INDEX('Bank Statement'!$W$8:$W$507,L37)))</f>
        <v/>
      </c>
      <c r="G37" s="49" t="str">
        <f aca="false">IF(J37="","",INDEX(Lists!$B$1:$B$4,K37))</f>
        <v/>
      </c>
      <c r="H37" s="45" t="str">
        <f aca="false">IF(J37="","",INDEX(Lists!$C$1:$C$4,K37))</f>
        <v/>
      </c>
      <c r="J37" s="9" t="str">
        <f aca="false">IF(31&lt;=$J$4,SMALL('Cash Book'!$V$8:$V$507,31),IF(31&lt;=$J$4+$K$4,SMALL('Bank Statement'!$V$8:$V$507,31-$J$4),""))</f>
        <v/>
      </c>
      <c r="K37" s="9" t="str">
        <f aca="false">IF(J37="","",INT(J37/100000))</f>
        <v/>
      </c>
      <c r="L37" s="9" t="str">
        <f aca="false">IF(J37="","",MOD(J37,100000)-7)</f>
        <v/>
      </c>
    </row>
    <row r="38" customFormat="false" ht="15" hidden="false" customHeight="false" outlineLevel="0" collapsed="false">
      <c r="A38" s="37" t="str">
        <f aca="false">IF(J38="","",32)</f>
        <v/>
      </c>
      <c r="B38" s="45" t="str">
        <f aca="false">IF(J38="","",INDEX(Lists!$A$1:$A$4,K38))</f>
        <v/>
      </c>
      <c r="C38" s="48" t="str">
        <f aca="false">IF(J38="","",IF(K38&lt;=2,INDEX('Cash Book'!$B$8:$B$507,L38),INDEX('Bank Statement'!$B$8:$B$507,L38)))</f>
        <v/>
      </c>
      <c r="D38" s="49" t="str">
        <f aca="false">IF(J38="","",IF(K38&lt;=2,INDEX('Cash Book'!$E$8:$E$507,L38),INDEX('Bank Statement'!$D$8:$D$507,L38))&amp;"")</f>
        <v/>
      </c>
      <c r="E38" s="45" t="str">
        <f aca="false">IF(J38="","",IF(K38&lt;=2,INDEX('Cash Book'!$D$8:$D$507,L38),INDEX('Bank Statement'!$C$8:$C$507,L38))&amp;"")</f>
        <v/>
      </c>
      <c r="F38" s="50" t="str">
        <f aca="false">IF(J38="","",IF(K38&lt;=2,INDEX('Cash Book'!$W$8:$W$507,L38),INDEX('Bank Statement'!$W$8:$W$507,L38)))</f>
        <v/>
      </c>
      <c r="G38" s="49" t="str">
        <f aca="false">IF(J38="","",INDEX(Lists!$B$1:$B$4,K38))</f>
        <v/>
      </c>
      <c r="H38" s="45" t="str">
        <f aca="false">IF(J38="","",INDEX(Lists!$C$1:$C$4,K38))</f>
        <v/>
      </c>
      <c r="J38" s="9" t="str">
        <f aca="false">IF(32&lt;=$J$4,SMALL('Cash Book'!$V$8:$V$507,32),IF(32&lt;=$J$4+$K$4,SMALL('Bank Statement'!$V$8:$V$507,32-$J$4),""))</f>
        <v/>
      </c>
      <c r="K38" s="9" t="str">
        <f aca="false">IF(J38="","",INT(J38/100000))</f>
        <v/>
      </c>
      <c r="L38" s="9" t="str">
        <f aca="false">IF(J38="","",MOD(J38,100000)-7)</f>
        <v/>
      </c>
    </row>
    <row r="39" customFormat="false" ht="15" hidden="false" customHeight="false" outlineLevel="0" collapsed="false">
      <c r="A39" s="37" t="str">
        <f aca="false">IF(J39="","",33)</f>
        <v/>
      </c>
      <c r="B39" s="45" t="str">
        <f aca="false">IF(J39="","",INDEX(Lists!$A$1:$A$4,K39))</f>
        <v/>
      </c>
      <c r="C39" s="48" t="str">
        <f aca="false">IF(J39="","",IF(K39&lt;=2,INDEX('Cash Book'!$B$8:$B$507,L39),INDEX('Bank Statement'!$B$8:$B$507,L39)))</f>
        <v/>
      </c>
      <c r="D39" s="49" t="str">
        <f aca="false">IF(J39="","",IF(K39&lt;=2,INDEX('Cash Book'!$E$8:$E$507,L39),INDEX('Bank Statement'!$D$8:$D$507,L39))&amp;"")</f>
        <v/>
      </c>
      <c r="E39" s="45" t="str">
        <f aca="false">IF(J39="","",IF(K39&lt;=2,INDEX('Cash Book'!$D$8:$D$507,L39),INDEX('Bank Statement'!$C$8:$C$507,L39))&amp;"")</f>
        <v/>
      </c>
      <c r="F39" s="50" t="str">
        <f aca="false">IF(J39="","",IF(K39&lt;=2,INDEX('Cash Book'!$W$8:$W$507,L39),INDEX('Bank Statement'!$W$8:$W$507,L39)))</f>
        <v/>
      </c>
      <c r="G39" s="49" t="str">
        <f aca="false">IF(J39="","",INDEX(Lists!$B$1:$B$4,K39))</f>
        <v/>
      </c>
      <c r="H39" s="45" t="str">
        <f aca="false">IF(J39="","",INDEX(Lists!$C$1:$C$4,K39))</f>
        <v/>
      </c>
      <c r="J39" s="9" t="str">
        <f aca="false">IF(33&lt;=$J$4,SMALL('Cash Book'!$V$8:$V$507,33),IF(33&lt;=$J$4+$K$4,SMALL('Bank Statement'!$V$8:$V$507,33-$J$4),""))</f>
        <v/>
      </c>
      <c r="K39" s="9" t="str">
        <f aca="false">IF(J39="","",INT(J39/100000))</f>
        <v/>
      </c>
      <c r="L39" s="9" t="str">
        <f aca="false">IF(J39="","",MOD(J39,100000)-7)</f>
        <v/>
      </c>
    </row>
    <row r="40" customFormat="false" ht="15" hidden="false" customHeight="false" outlineLevel="0" collapsed="false">
      <c r="A40" s="37" t="str">
        <f aca="false">IF(J40="","",34)</f>
        <v/>
      </c>
      <c r="B40" s="45" t="str">
        <f aca="false">IF(J40="","",INDEX(Lists!$A$1:$A$4,K40))</f>
        <v/>
      </c>
      <c r="C40" s="48" t="str">
        <f aca="false">IF(J40="","",IF(K40&lt;=2,INDEX('Cash Book'!$B$8:$B$507,L40),INDEX('Bank Statement'!$B$8:$B$507,L40)))</f>
        <v/>
      </c>
      <c r="D40" s="49" t="str">
        <f aca="false">IF(J40="","",IF(K40&lt;=2,INDEX('Cash Book'!$E$8:$E$507,L40),INDEX('Bank Statement'!$D$8:$D$507,L40))&amp;"")</f>
        <v/>
      </c>
      <c r="E40" s="45" t="str">
        <f aca="false">IF(J40="","",IF(K40&lt;=2,INDEX('Cash Book'!$D$8:$D$507,L40),INDEX('Bank Statement'!$C$8:$C$507,L40))&amp;"")</f>
        <v/>
      </c>
      <c r="F40" s="50" t="str">
        <f aca="false">IF(J40="","",IF(K40&lt;=2,INDEX('Cash Book'!$W$8:$W$507,L40),INDEX('Bank Statement'!$W$8:$W$507,L40)))</f>
        <v/>
      </c>
      <c r="G40" s="49" t="str">
        <f aca="false">IF(J40="","",INDEX(Lists!$B$1:$B$4,K40))</f>
        <v/>
      </c>
      <c r="H40" s="45" t="str">
        <f aca="false">IF(J40="","",INDEX(Lists!$C$1:$C$4,K40))</f>
        <v/>
      </c>
      <c r="J40" s="9" t="str">
        <f aca="false">IF(34&lt;=$J$4,SMALL('Cash Book'!$V$8:$V$507,34),IF(34&lt;=$J$4+$K$4,SMALL('Bank Statement'!$V$8:$V$507,34-$J$4),""))</f>
        <v/>
      </c>
      <c r="K40" s="9" t="str">
        <f aca="false">IF(J40="","",INT(J40/100000))</f>
        <v/>
      </c>
      <c r="L40" s="9" t="str">
        <f aca="false">IF(J40="","",MOD(J40,100000)-7)</f>
        <v/>
      </c>
    </row>
    <row r="41" customFormat="false" ht="15" hidden="false" customHeight="false" outlineLevel="0" collapsed="false">
      <c r="A41" s="37" t="str">
        <f aca="false">IF(J41="","",35)</f>
        <v/>
      </c>
      <c r="B41" s="45" t="str">
        <f aca="false">IF(J41="","",INDEX(Lists!$A$1:$A$4,K41))</f>
        <v/>
      </c>
      <c r="C41" s="48" t="str">
        <f aca="false">IF(J41="","",IF(K41&lt;=2,INDEX('Cash Book'!$B$8:$B$507,L41),INDEX('Bank Statement'!$B$8:$B$507,L41)))</f>
        <v/>
      </c>
      <c r="D41" s="49" t="str">
        <f aca="false">IF(J41="","",IF(K41&lt;=2,INDEX('Cash Book'!$E$8:$E$507,L41),INDEX('Bank Statement'!$D$8:$D$507,L41))&amp;"")</f>
        <v/>
      </c>
      <c r="E41" s="45" t="str">
        <f aca="false">IF(J41="","",IF(K41&lt;=2,INDEX('Cash Book'!$D$8:$D$507,L41),INDEX('Bank Statement'!$C$8:$C$507,L41))&amp;"")</f>
        <v/>
      </c>
      <c r="F41" s="50" t="str">
        <f aca="false">IF(J41="","",IF(K41&lt;=2,INDEX('Cash Book'!$W$8:$W$507,L41),INDEX('Bank Statement'!$W$8:$W$507,L41)))</f>
        <v/>
      </c>
      <c r="G41" s="49" t="str">
        <f aca="false">IF(J41="","",INDEX(Lists!$B$1:$B$4,K41))</f>
        <v/>
      </c>
      <c r="H41" s="45" t="str">
        <f aca="false">IF(J41="","",INDEX(Lists!$C$1:$C$4,K41))</f>
        <v/>
      </c>
      <c r="J41" s="9" t="str">
        <f aca="false">IF(35&lt;=$J$4,SMALL('Cash Book'!$V$8:$V$507,35),IF(35&lt;=$J$4+$K$4,SMALL('Bank Statement'!$V$8:$V$507,35-$J$4),""))</f>
        <v/>
      </c>
      <c r="K41" s="9" t="str">
        <f aca="false">IF(J41="","",INT(J41/100000))</f>
        <v/>
      </c>
      <c r="L41" s="9" t="str">
        <f aca="false">IF(J41="","",MOD(J41,100000)-7)</f>
        <v/>
      </c>
    </row>
    <row r="42" customFormat="false" ht="15" hidden="false" customHeight="false" outlineLevel="0" collapsed="false">
      <c r="A42" s="37" t="str">
        <f aca="false">IF(J42="","",36)</f>
        <v/>
      </c>
      <c r="B42" s="45" t="str">
        <f aca="false">IF(J42="","",INDEX(Lists!$A$1:$A$4,K42))</f>
        <v/>
      </c>
      <c r="C42" s="48" t="str">
        <f aca="false">IF(J42="","",IF(K42&lt;=2,INDEX('Cash Book'!$B$8:$B$507,L42),INDEX('Bank Statement'!$B$8:$B$507,L42)))</f>
        <v/>
      </c>
      <c r="D42" s="49" t="str">
        <f aca="false">IF(J42="","",IF(K42&lt;=2,INDEX('Cash Book'!$E$8:$E$507,L42),INDEX('Bank Statement'!$D$8:$D$507,L42))&amp;"")</f>
        <v/>
      </c>
      <c r="E42" s="45" t="str">
        <f aca="false">IF(J42="","",IF(K42&lt;=2,INDEX('Cash Book'!$D$8:$D$507,L42),INDEX('Bank Statement'!$C$8:$C$507,L42))&amp;"")</f>
        <v/>
      </c>
      <c r="F42" s="50" t="str">
        <f aca="false">IF(J42="","",IF(K42&lt;=2,INDEX('Cash Book'!$W$8:$W$507,L42),INDEX('Bank Statement'!$W$8:$W$507,L42)))</f>
        <v/>
      </c>
      <c r="G42" s="49" t="str">
        <f aca="false">IF(J42="","",INDEX(Lists!$B$1:$B$4,K42))</f>
        <v/>
      </c>
      <c r="H42" s="45" t="str">
        <f aca="false">IF(J42="","",INDEX(Lists!$C$1:$C$4,K42))</f>
        <v/>
      </c>
      <c r="J42" s="9" t="str">
        <f aca="false">IF(36&lt;=$J$4,SMALL('Cash Book'!$V$8:$V$507,36),IF(36&lt;=$J$4+$K$4,SMALL('Bank Statement'!$V$8:$V$507,36-$J$4),""))</f>
        <v/>
      </c>
      <c r="K42" s="9" t="str">
        <f aca="false">IF(J42="","",INT(J42/100000))</f>
        <v/>
      </c>
      <c r="L42" s="9" t="str">
        <f aca="false">IF(J42="","",MOD(J42,100000)-7)</f>
        <v/>
      </c>
    </row>
    <row r="43" customFormat="false" ht="15" hidden="false" customHeight="false" outlineLevel="0" collapsed="false">
      <c r="A43" s="37" t="str">
        <f aca="false">IF(J43="","",37)</f>
        <v/>
      </c>
      <c r="B43" s="45" t="str">
        <f aca="false">IF(J43="","",INDEX(Lists!$A$1:$A$4,K43))</f>
        <v/>
      </c>
      <c r="C43" s="48" t="str">
        <f aca="false">IF(J43="","",IF(K43&lt;=2,INDEX('Cash Book'!$B$8:$B$507,L43),INDEX('Bank Statement'!$B$8:$B$507,L43)))</f>
        <v/>
      </c>
      <c r="D43" s="49" t="str">
        <f aca="false">IF(J43="","",IF(K43&lt;=2,INDEX('Cash Book'!$E$8:$E$507,L43),INDEX('Bank Statement'!$D$8:$D$507,L43))&amp;"")</f>
        <v/>
      </c>
      <c r="E43" s="45" t="str">
        <f aca="false">IF(J43="","",IF(K43&lt;=2,INDEX('Cash Book'!$D$8:$D$507,L43),INDEX('Bank Statement'!$C$8:$C$507,L43))&amp;"")</f>
        <v/>
      </c>
      <c r="F43" s="50" t="str">
        <f aca="false">IF(J43="","",IF(K43&lt;=2,INDEX('Cash Book'!$W$8:$W$507,L43),INDEX('Bank Statement'!$W$8:$W$507,L43)))</f>
        <v/>
      </c>
      <c r="G43" s="49" t="str">
        <f aca="false">IF(J43="","",INDEX(Lists!$B$1:$B$4,K43))</f>
        <v/>
      </c>
      <c r="H43" s="45" t="str">
        <f aca="false">IF(J43="","",INDEX(Lists!$C$1:$C$4,K43))</f>
        <v/>
      </c>
      <c r="J43" s="9" t="str">
        <f aca="false">IF(37&lt;=$J$4,SMALL('Cash Book'!$V$8:$V$507,37),IF(37&lt;=$J$4+$K$4,SMALL('Bank Statement'!$V$8:$V$507,37-$J$4),""))</f>
        <v/>
      </c>
      <c r="K43" s="9" t="str">
        <f aca="false">IF(J43="","",INT(J43/100000))</f>
        <v/>
      </c>
      <c r="L43" s="9" t="str">
        <f aca="false">IF(J43="","",MOD(J43,100000)-7)</f>
        <v/>
      </c>
    </row>
    <row r="44" customFormat="false" ht="15" hidden="false" customHeight="false" outlineLevel="0" collapsed="false">
      <c r="A44" s="37" t="str">
        <f aca="false">IF(J44="","",38)</f>
        <v/>
      </c>
      <c r="B44" s="45" t="str">
        <f aca="false">IF(J44="","",INDEX(Lists!$A$1:$A$4,K44))</f>
        <v/>
      </c>
      <c r="C44" s="48" t="str">
        <f aca="false">IF(J44="","",IF(K44&lt;=2,INDEX('Cash Book'!$B$8:$B$507,L44),INDEX('Bank Statement'!$B$8:$B$507,L44)))</f>
        <v/>
      </c>
      <c r="D44" s="49" t="str">
        <f aca="false">IF(J44="","",IF(K44&lt;=2,INDEX('Cash Book'!$E$8:$E$507,L44),INDEX('Bank Statement'!$D$8:$D$507,L44))&amp;"")</f>
        <v/>
      </c>
      <c r="E44" s="45" t="str">
        <f aca="false">IF(J44="","",IF(K44&lt;=2,INDEX('Cash Book'!$D$8:$D$507,L44),INDEX('Bank Statement'!$C$8:$C$507,L44))&amp;"")</f>
        <v/>
      </c>
      <c r="F44" s="50" t="str">
        <f aca="false">IF(J44="","",IF(K44&lt;=2,INDEX('Cash Book'!$W$8:$W$507,L44),INDEX('Bank Statement'!$W$8:$W$507,L44)))</f>
        <v/>
      </c>
      <c r="G44" s="49" t="str">
        <f aca="false">IF(J44="","",INDEX(Lists!$B$1:$B$4,K44))</f>
        <v/>
      </c>
      <c r="H44" s="45" t="str">
        <f aca="false">IF(J44="","",INDEX(Lists!$C$1:$C$4,K44))</f>
        <v/>
      </c>
      <c r="J44" s="9" t="str">
        <f aca="false">IF(38&lt;=$J$4,SMALL('Cash Book'!$V$8:$V$507,38),IF(38&lt;=$J$4+$K$4,SMALL('Bank Statement'!$V$8:$V$507,38-$J$4),""))</f>
        <v/>
      </c>
      <c r="K44" s="9" t="str">
        <f aca="false">IF(J44="","",INT(J44/100000))</f>
        <v/>
      </c>
      <c r="L44" s="9" t="str">
        <f aca="false">IF(J44="","",MOD(J44,100000)-7)</f>
        <v/>
      </c>
    </row>
    <row r="45" customFormat="false" ht="15" hidden="false" customHeight="false" outlineLevel="0" collapsed="false">
      <c r="A45" s="37" t="str">
        <f aca="false">IF(J45="","",39)</f>
        <v/>
      </c>
      <c r="B45" s="45" t="str">
        <f aca="false">IF(J45="","",INDEX(Lists!$A$1:$A$4,K45))</f>
        <v/>
      </c>
      <c r="C45" s="48" t="str">
        <f aca="false">IF(J45="","",IF(K45&lt;=2,INDEX('Cash Book'!$B$8:$B$507,L45),INDEX('Bank Statement'!$B$8:$B$507,L45)))</f>
        <v/>
      </c>
      <c r="D45" s="49" t="str">
        <f aca="false">IF(J45="","",IF(K45&lt;=2,INDEX('Cash Book'!$E$8:$E$507,L45),INDEX('Bank Statement'!$D$8:$D$507,L45))&amp;"")</f>
        <v/>
      </c>
      <c r="E45" s="45" t="str">
        <f aca="false">IF(J45="","",IF(K45&lt;=2,INDEX('Cash Book'!$D$8:$D$507,L45),INDEX('Bank Statement'!$C$8:$C$507,L45))&amp;"")</f>
        <v/>
      </c>
      <c r="F45" s="50" t="str">
        <f aca="false">IF(J45="","",IF(K45&lt;=2,INDEX('Cash Book'!$W$8:$W$507,L45),INDEX('Bank Statement'!$W$8:$W$507,L45)))</f>
        <v/>
      </c>
      <c r="G45" s="49" t="str">
        <f aca="false">IF(J45="","",INDEX(Lists!$B$1:$B$4,K45))</f>
        <v/>
      </c>
      <c r="H45" s="45" t="str">
        <f aca="false">IF(J45="","",INDEX(Lists!$C$1:$C$4,K45))</f>
        <v/>
      </c>
      <c r="J45" s="9" t="str">
        <f aca="false">IF(39&lt;=$J$4,SMALL('Cash Book'!$V$8:$V$507,39),IF(39&lt;=$J$4+$K$4,SMALL('Bank Statement'!$V$8:$V$507,39-$J$4),""))</f>
        <v/>
      </c>
      <c r="K45" s="9" t="str">
        <f aca="false">IF(J45="","",INT(J45/100000))</f>
        <v/>
      </c>
      <c r="L45" s="9" t="str">
        <f aca="false">IF(J45="","",MOD(J45,100000)-7)</f>
        <v/>
      </c>
    </row>
    <row r="46" customFormat="false" ht="15" hidden="false" customHeight="false" outlineLevel="0" collapsed="false">
      <c r="A46" s="37" t="str">
        <f aca="false">IF(J46="","",40)</f>
        <v/>
      </c>
      <c r="B46" s="45" t="str">
        <f aca="false">IF(J46="","",INDEX(Lists!$A$1:$A$4,K46))</f>
        <v/>
      </c>
      <c r="C46" s="48" t="str">
        <f aca="false">IF(J46="","",IF(K46&lt;=2,INDEX('Cash Book'!$B$8:$B$507,L46),INDEX('Bank Statement'!$B$8:$B$507,L46)))</f>
        <v/>
      </c>
      <c r="D46" s="49" t="str">
        <f aca="false">IF(J46="","",IF(K46&lt;=2,INDEX('Cash Book'!$E$8:$E$507,L46),INDEX('Bank Statement'!$D$8:$D$507,L46))&amp;"")</f>
        <v/>
      </c>
      <c r="E46" s="45" t="str">
        <f aca="false">IF(J46="","",IF(K46&lt;=2,INDEX('Cash Book'!$D$8:$D$507,L46),INDEX('Bank Statement'!$C$8:$C$507,L46))&amp;"")</f>
        <v/>
      </c>
      <c r="F46" s="50" t="str">
        <f aca="false">IF(J46="","",IF(K46&lt;=2,INDEX('Cash Book'!$W$8:$W$507,L46),INDEX('Bank Statement'!$W$8:$W$507,L46)))</f>
        <v/>
      </c>
      <c r="G46" s="49" t="str">
        <f aca="false">IF(J46="","",INDEX(Lists!$B$1:$B$4,K46))</f>
        <v/>
      </c>
      <c r="H46" s="45" t="str">
        <f aca="false">IF(J46="","",INDEX(Lists!$C$1:$C$4,K46))</f>
        <v/>
      </c>
      <c r="J46" s="9" t="str">
        <f aca="false">IF(40&lt;=$J$4,SMALL('Cash Book'!$V$8:$V$507,40),IF(40&lt;=$J$4+$K$4,SMALL('Bank Statement'!$V$8:$V$507,40-$J$4),""))</f>
        <v/>
      </c>
      <c r="K46" s="9" t="str">
        <f aca="false">IF(J46="","",INT(J46/100000))</f>
        <v/>
      </c>
      <c r="L46" s="9" t="str">
        <f aca="false">IF(J46="","",MOD(J46,100000)-7)</f>
        <v/>
      </c>
    </row>
    <row r="47" customFormat="false" ht="15" hidden="false" customHeight="false" outlineLevel="0" collapsed="false">
      <c r="A47" s="37" t="str">
        <f aca="false">IF(J47="","",41)</f>
        <v/>
      </c>
      <c r="B47" s="45" t="str">
        <f aca="false">IF(J47="","",INDEX(Lists!$A$1:$A$4,K47))</f>
        <v/>
      </c>
      <c r="C47" s="48" t="str">
        <f aca="false">IF(J47="","",IF(K47&lt;=2,INDEX('Cash Book'!$B$8:$B$507,L47),INDEX('Bank Statement'!$B$8:$B$507,L47)))</f>
        <v/>
      </c>
      <c r="D47" s="49" t="str">
        <f aca="false">IF(J47="","",IF(K47&lt;=2,INDEX('Cash Book'!$E$8:$E$507,L47),INDEX('Bank Statement'!$D$8:$D$507,L47))&amp;"")</f>
        <v/>
      </c>
      <c r="E47" s="45" t="str">
        <f aca="false">IF(J47="","",IF(K47&lt;=2,INDEX('Cash Book'!$D$8:$D$507,L47),INDEX('Bank Statement'!$C$8:$C$507,L47))&amp;"")</f>
        <v/>
      </c>
      <c r="F47" s="50" t="str">
        <f aca="false">IF(J47="","",IF(K47&lt;=2,INDEX('Cash Book'!$W$8:$W$507,L47),INDEX('Bank Statement'!$W$8:$W$507,L47)))</f>
        <v/>
      </c>
      <c r="G47" s="49" t="str">
        <f aca="false">IF(J47="","",INDEX(Lists!$B$1:$B$4,K47))</f>
        <v/>
      </c>
      <c r="H47" s="45" t="str">
        <f aca="false">IF(J47="","",INDEX(Lists!$C$1:$C$4,K47))</f>
        <v/>
      </c>
      <c r="J47" s="9" t="str">
        <f aca="false">IF(41&lt;=$J$4,SMALL('Cash Book'!$V$8:$V$507,41),IF(41&lt;=$J$4+$K$4,SMALL('Bank Statement'!$V$8:$V$507,41-$J$4),""))</f>
        <v/>
      </c>
      <c r="K47" s="9" t="str">
        <f aca="false">IF(J47="","",INT(J47/100000))</f>
        <v/>
      </c>
      <c r="L47" s="9" t="str">
        <f aca="false">IF(J47="","",MOD(J47,100000)-7)</f>
        <v/>
      </c>
    </row>
    <row r="48" customFormat="false" ht="15" hidden="false" customHeight="false" outlineLevel="0" collapsed="false">
      <c r="A48" s="37" t="str">
        <f aca="false">IF(J48="","",42)</f>
        <v/>
      </c>
      <c r="B48" s="45" t="str">
        <f aca="false">IF(J48="","",INDEX(Lists!$A$1:$A$4,K48))</f>
        <v/>
      </c>
      <c r="C48" s="48" t="str">
        <f aca="false">IF(J48="","",IF(K48&lt;=2,INDEX('Cash Book'!$B$8:$B$507,L48),INDEX('Bank Statement'!$B$8:$B$507,L48)))</f>
        <v/>
      </c>
      <c r="D48" s="49" t="str">
        <f aca="false">IF(J48="","",IF(K48&lt;=2,INDEX('Cash Book'!$E$8:$E$507,L48),INDEX('Bank Statement'!$D$8:$D$507,L48))&amp;"")</f>
        <v/>
      </c>
      <c r="E48" s="45" t="str">
        <f aca="false">IF(J48="","",IF(K48&lt;=2,INDEX('Cash Book'!$D$8:$D$507,L48),INDEX('Bank Statement'!$C$8:$C$507,L48))&amp;"")</f>
        <v/>
      </c>
      <c r="F48" s="50" t="str">
        <f aca="false">IF(J48="","",IF(K48&lt;=2,INDEX('Cash Book'!$W$8:$W$507,L48),INDEX('Bank Statement'!$W$8:$W$507,L48)))</f>
        <v/>
      </c>
      <c r="G48" s="49" t="str">
        <f aca="false">IF(J48="","",INDEX(Lists!$B$1:$B$4,K48))</f>
        <v/>
      </c>
      <c r="H48" s="45" t="str">
        <f aca="false">IF(J48="","",INDEX(Lists!$C$1:$C$4,K48))</f>
        <v/>
      </c>
      <c r="J48" s="9" t="str">
        <f aca="false">IF(42&lt;=$J$4,SMALL('Cash Book'!$V$8:$V$507,42),IF(42&lt;=$J$4+$K$4,SMALL('Bank Statement'!$V$8:$V$507,42-$J$4),""))</f>
        <v/>
      </c>
      <c r="K48" s="9" t="str">
        <f aca="false">IF(J48="","",INT(J48/100000))</f>
        <v/>
      </c>
      <c r="L48" s="9" t="str">
        <f aca="false">IF(J48="","",MOD(J48,100000)-7)</f>
        <v/>
      </c>
    </row>
    <row r="49" customFormat="false" ht="15" hidden="false" customHeight="false" outlineLevel="0" collapsed="false">
      <c r="A49" s="37" t="str">
        <f aca="false">IF(J49="","",43)</f>
        <v/>
      </c>
      <c r="B49" s="45" t="str">
        <f aca="false">IF(J49="","",INDEX(Lists!$A$1:$A$4,K49))</f>
        <v/>
      </c>
      <c r="C49" s="48" t="str">
        <f aca="false">IF(J49="","",IF(K49&lt;=2,INDEX('Cash Book'!$B$8:$B$507,L49),INDEX('Bank Statement'!$B$8:$B$507,L49)))</f>
        <v/>
      </c>
      <c r="D49" s="49" t="str">
        <f aca="false">IF(J49="","",IF(K49&lt;=2,INDEX('Cash Book'!$E$8:$E$507,L49),INDEX('Bank Statement'!$D$8:$D$507,L49))&amp;"")</f>
        <v/>
      </c>
      <c r="E49" s="45" t="str">
        <f aca="false">IF(J49="","",IF(K49&lt;=2,INDEX('Cash Book'!$D$8:$D$507,L49),INDEX('Bank Statement'!$C$8:$C$507,L49))&amp;"")</f>
        <v/>
      </c>
      <c r="F49" s="50" t="str">
        <f aca="false">IF(J49="","",IF(K49&lt;=2,INDEX('Cash Book'!$W$8:$W$507,L49),INDEX('Bank Statement'!$W$8:$W$507,L49)))</f>
        <v/>
      </c>
      <c r="G49" s="49" t="str">
        <f aca="false">IF(J49="","",INDEX(Lists!$B$1:$B$4,K49))</f>
        <v/>
      </c>
      <c r="H49" s="45" t="str">
        <f aca="false">IF(J49="","",INDEX(Lists!$C$1:$C$4,K49))</f>
        <v/>
      </c>
      <c r="J49" s="9" t="str">
        <f aca="false">IF(43&lt;=$J$4,SMALL('Cash Book'!$V$8:$V$507,43),IF(43&lt;=$J$4+$K$4,SMALL('Bank Statement'!$V$8:$V$507,43-$J$4),""))</f>
        <v/>
      </c>
      <c r="K49" s="9" t="str">
        <f aca="false">IF(J49="","",INT(J49/100000))</f>
        <v/>
      </c>
      <c r="L49" s="9" t="str">
        <f aca="false">IF(J49="","",MOD(J49,100000)-7)</f>
        <v/>
      </c>
    </row>
    <row r="50" customFormat="false" ht="15" hidden="false" customHeight="false" outlineLevel="0" collapsed="false">
      <c r="A50" s="37" t="str">
        <f aca="false">IF(J50="","",44)</f>
        <v/>
      </c>
      <c r="B50" s="45" t="str">
        <f aca="false">IF(J50="","",INDEX(Lists!$A$1:$A$4,K50))</f>
        <v/>
      </c>
      <c r="C50" s="48" t="str">
        <f aca="false">IF(J50="","",IF(K50&lt;=2,INDEX('Cash Book'!$B$8:$B$507,L50),INDEX('Bank Statement'!$B$8:$B$507,L50)))</f>
        <v/>
      </c>
      <c r="D50" s="49" t="str">
        <f aca="false">IF(J50="","",IF(K50&lt;=2,INDEX('Cash Book'!$E$8:$E$507,L50),INDEX('Bank Statement'!$D$8:$D$507,L50))&amp;"")</f>
        <v/>
      </c>
      <c r="E50" s="45" t="str">
        <f aca="false">IF(J50="","",IF(K50&lt;=2,INDEX('Cash Book'!$D$8:$D$507,L50),INDEX('Bank Statement'!$C$8:$C$507,L50))&amp;"")</f>
        <v/>
      </c>
      <c r="F50" s="50" t="str">
        <f aca="false">IF(J50="","",IF(K50&lt;=2,INDEX('Cash Book'!$W$8:$W$507,L50),INDEX('Bank Statement'!$W$8:$W$507,L50)))</f>
        <v/>
      </c>
      <c r="G50" s="49" t="str">
        <f aca="false">IF(J50="","",INDEX(Lists!$B$1:$B$4,K50))</f>
        <v/>
      </c>
      <c r="H50" s="45" t="str">
        <f aca="false">IF(J50="","",INDEX(Lists!$C$1:$C$4,K50))</f>
        <v/>
      </c>
      <c r="J50" s="9" t="str">
        <f aca="false">IF(44&lt;=$J$4,SMALL('Cash Book'!$V$8:$V$507,44),IF(44&lt;=$J$4+$K$4,SMALL('Bank Statement'!$V$8:$V$507,44-$J$4),""))</f>
        <v/>
      </c>
      <c r="K50" s="9" t="str">
        <f aca="false">IF(J50="","",INT(J50/100000))</f>
        <v/>
      </c>
      <c r="L50" s="9" t="str">
        <f aca="false">IF(J50="","",MOD(J50,100000)-7)</f>
        <v/>
      </c>
    </row>
    <row r="51" customFormat="false" ht="15" hidden="false" customHeight="false" outlineLevel="0" collapsed="false">
      <c r="A51" s="37" t="str">
        <f aca="false">IF(J51="","",45)</f>
        <v/>
      </c>
      <c r="B51" s="45" t="str">
        <f aca="false">IF(J51="","",INDEX(Lists!$A$1:$A$4,K51))</f>
        <v/>
      </c>
      <c r="C51" s="48" t="str">
        <f aca="false">IF(J51="","",IF(K51&lt;=2,INDEX('Cash Book'!$B$8:$B$507,L51),INDEX('Bank Statement'!$B$8:$B$507,L51)))</f>
        <v/>
      </c>
      <c r="D51" s="49" t="str">
        <f aca="false">IF(J51="","",IF(K51&lt;=2,INDEX('Cash Book'!$E$8:$E$507,L51),INDEX('Bank Statement'!$D$8:$D$507,L51))&amp;"")</f>
        <v/>
      </c>
      <c r="E51" s="45" t="str">
        <f aca="false">IF(J51="","",IF(K51&lt;=2,INDEX('Cash Book'!$D$8:$D$507,L51),INDEX('Bank Statement'!$C$8:$C$507,L51))&amp;"")</f>
        <v/>
      </c>
      <c r="F51" s="50" t="str">
        <f aca="false">IF(J51="","",IF(K51&lt;=2,INDEX('Cash Book'!$W$8:$W$507,L51),INDEX('Bank Statement'!$W$8:$W$507,L51)))</f>
        <v/>
      </c>
      <c r="G51" s="49" t="str">
        <f aca="false">IF(J51="","",INDEX(Lists!$B$1:$B$4,K51))</f>
        <v/>
      </c>
      <c r="H51" s="45" t="str">
        <f aca="false">IF(J51="","",INDEX(Lists!$C$1:$C$4,K51))</f>
        <v/>
      </c>
      <c r="J51" s="9" t="str">
        <f aca="false">IF(45&lt;=$J$4,SMALL('Cash Book'!$V$8:$V$507,45),IF(45&lt;=$J$4+$K$4,SMALL('Bank Statement'!$V$8:$V$507,45-$J$4),""))</f>
        <v/>
      </c>
      <c r="K51" s="9" t="str">
        <f aca="false">IF(J51="","",INT(J51/100000))</f>
        <v/>
      </c>
      <c r="L51" s="9" t="str">
        <f aca="false">IF(J51="","",MOD(J51,100000)-7)</f>
        <v/>
      </c>
    </row>
    <row r="52" customFormat="false" ht="15" hidden="false" customHeight="false" outlineLevel="0" collapsed="false">
      <c r="A52" s="37" t="str">
        <f aca="false">IF(J52="","",46)</f>
        <v/>
      </c>
      <c r="B52" s="45" t="str">
        <f aca="false">IF(J52="","",INDEX(Lists!$A$1:$A$4,K52))</f>
        <v/>
      </c>
      <c r="C52" s="48" t="str">
        <f aca="false">IF(J52="","",IF(K52&lt;=2,INDEX('Cash Book'!$B$8:$B$507,L52),INDEX('Bank Statement'!$B$8:$B$507,L52)))</f>
        <v/>
      </c>
      <c r="D52" s="49" t="str">
        <f aca="false">IF(J52="","",IF(K52&lt;=2,INDEX('Cash Book'!$E$8:$E$507,L52),INDEX('Bank Statement'!$D$8:$D$507,L52))&amp;"")</f>
        <v/>
      </c>
      <c r="E52" s="45" t="str">
        <f aca="false">IF(J52="","",IF(K52&lt;=2,INDEX('Cash Book'!$D$8:$D$507,L52),INDEX('Bank Statement'!$C$8:$C$507,L52))&amp;"")</f>
        <v/>
      </c>
      <c r="F52" s="50" t="str">
        <f aca="false">IF(J52="","",IF(K52&lt;=2,INDEX('Cash Book'!$W$8:$W$507,L52),INDEX('Bank Statement'!$W$8:$W$507,L52)))</f>
        <v/>
      </c>
      <c r="G52" s="49" t="str">
        <f aca="false">IF(J52="","",INDEX(Lists!$B$1:$B$4,K52))</f>
        <v/>
      </c>
      <c r="H52" s="45" t="str">
        <f aca="false">IF(J52="","",INDEX(Lists!$C$1:$C$4,K52))</f>
        <v/>
      </c>
      <c r="J52" s="9" t="str">
        <f aca="false">IF(46&lt;=$J$4,SMALL('Cash Book'!$V$8:$V$507,46),IF(46&lt;=$J$4+$K$4,SMALL('Bank Statement'!$V$8:$V$507,46-$J$4),""))</f>
        <v/>
      </c>
      <c r="K52" s="9" t="str">
        <f aca="false">IF(J52="","",INT(J52/100000))</f>
        <v/>
      </c>
      <c r="L52" s="9" t="str">
        <f aca="false">IF(J52="","",MOD(J52,100000)-7)</f>
        <v/>
      </c>
    </row>
    <row r="53" customFormat="false" ht="15" hidden="false" customHeight="false" outlineLevel="0" collapsed="false">
      <c r="A53" s="37" t="str">
        <f aca="false">IF(J53="","",47)</f>
        <v/>
      </c>
      <c r="B53" s="45" t="str">
        <f aca="false">IF(J53="","",INDEX(Lists!$A$1:$A$4,K53))</f>
        <v/>
      </c>
      <c r="C53" s="48" t="str">
        <f aca="false">IF(J53="","",IF(K53&lt;=2,INDEX('Cash Book'!$B$8:$B$507,L53),INDEX('Bank Statement'!$B$8:$B$507,L53)))</f>
        <v/>
      </c>
      <c r="D53" s="49" t="str">
        <f aca="false">IF(J53="","",IF(K53&lt;=2,INDEX('Cash Book'!$E$8:$E$507,L53),INDEX('Bank Statement'!$D$8:$D$507,L53))&amp;"")</f>
        <v/>
      </c>
      <c r="E53" s="45" t="str">
        <f aca="false">IF(J53="","",IF(K53&lt;=2,INDEX('Cash Book'!$D$8:$D$507,L53),INDEX('Bank Statement'!$C$8:$C$507,L53))&amp;"")</f>
        <v/>
      </c>
      <c r="F53" s="50" t="str">
        <f aca="false">IF(J53="","",IF(K53&lt;=2,INDEX('Cash Book'!$W$8:$W$507,L53),INDEX('Bank Statement'!$W$8:$W$507,L53)))</f>
        <v/>
      </c>
      <c r="G53" s="49" t="str">
        <f aca="false">IF(J53="","",INDEX(Lists!$B$1:$B$4,K53))</f>
        <v/>
      </c>
      <c r="H53" s="45" t="str">
        <f aca="false">IF(J53="","",INDEX(Lists!$C$1:$C$4,K53))</f>
        <v/>
      </c>
      <c r="J53" s="9" t="str">
        <f aca="false">IF(47&lt;=$J$4,SMALL('Cash Book'!$V$8:$V$507,47),IF(47&lt;=$J$4+$K$4,SMALL('Bank Statement'!$V$8:$V$507,47-$J$4),""))</f>
        <v/>
      </c>
      <c r="K53" s="9" t="str">
        <f aca="false">IF(J53="","",INT(J53/100000))</f>
        <v/>
      </c>
      <c r="L53" s="9" t="str">
        <f aca="false">IF(J53="","",MOD(J53,100000)-7)</f>
        <v/>
      </c>
    </row>
    <row r="54" customFormat="false" ht="15" hidden="false" customHeight="false" outlineLevel="0" collapsed="false">
      <c r="A54" s="37" t="str">
        <f aca="false">IF(J54="","",48)</f>
        <v/>
      </c>
      <c r="B54" s="45" t="str">
        <f aca="false">IF(J54="","",INDEX(Lists!$A$1:$A$4,K54))</f>
        <v/>
      </c>
      <c r="C54" s="48" t="str">
        <f aca="false">IF(J54="","",IF(K54&lt;=2,INDEX('Cash Book'!$B$8:$B$507,L54),INDEX('Bank Statement'!$B$8:$B$507,L54)))</f>
        <v/>
      </c>
      <c r="D54" s="49" t="str">
        <f aca="false">IF(J54="","",IF(K54&lt;=2,INDEX('Cash Book'!$E$8:$E$507,L54),INDEX('Bank Statement'!$D$8:$D$507,L54))&amp;"")</f>
        <v/>
      </c>
      <c r="E54" s="45" t="str">
        <f aca="false">IF(J54="","",IF(K54&lt;=2,INDEX('Cash Book'!$D$8:$D$507,L54),INDEX('Bank Statement'!$C$8:$C$507,L54))&amp;"")</f>
        <v/>
      </c>
      <c r="F54" s="50" t="str">
        <f aca="false">IF(J54="","",IF(K54&lt;=2,INDEX('Cash Book'!$W$8:$W$507,L54),INDEX('Bank Statement'!$W$8:$W$507,L54)))</f>
        <v/>
      </c>
      <c r="G54" s="49" t="str">
        <f aca="false">IF(J54="","",INDEX(Lists!$B$1:$B$4,K54))</f>
        <v/>
      </c>
      <c r="H54" s="45" t="str">
        <f aca="false">IF(J54="","",INDEX(Lists!$C$1:$C$4,K54))</f>
        <v/>
      </c>
      <c r="J54" s="9" t="str">
        <f aca="false">IF(48&lt;=$J$4,SMALL('Cash Book'!$V$8:$V$507,48),IF(48&lt;=$J$4+$K$4,SMALL('Bank Statement'!$V$8:$V$507,48-$J$4),""))</f>
        <v/>
      </c>
      <c r="K54" s="9" t="str">
        <f aca="false">IF(J54="","",INT(J54/100000))</f>
        <v/>
      </c>
      <c r="L54" s="9" t="str">
        <f aca="false">IF(J54="","",MOD(J54,100000)-7)</f>
        <v/>
      </c>
    </row>
    <row r="55" customFormat="false" ht="15" hidden="false" customHeight="false" outlineLevel="0" collapsed="false">
      <c r="A55" s="37" t="str">
        <f aca="false">IF(J55="","",49)</f>
        <v/>
      </c>
      <c r="B55" s="45" t="str">
        <f aca="false">IF(J55="","",INDEX(Lists!$A$1:$A$4,K55))</f>
        <v/>
      </c>
      <c r="C55" s="48" t="str">
        <f aca="false">IF(J55="","",IF(K55&lt;=2,INDEX('Cash Book'!$B$8:$B$507,L55),INDEX('Bank Statement'!$B$8:$B$507,L55)))</f>
        <v/>
      </c>
      <c r="D55" s="49" t="str">
        <f aca="false">IF(J55="","",IF(K55&lt;=2,INDEX('Cash Book'!$E$8:$E$507,L55),INDEX('Bank Statement'!$D$8:$D$507,L55))&amp;"")</f>
        <v/>
      </c>
      <c r="E55" s="45" t="str">
        <f aca="false">IF(J55="","",IF(K55&lt;=2,INDEX('Cash Book'!$D$8:$D$507,L55),INDEX('Bank Statement'!$C$8:$C$507,L55))&amp;"")</f>
        <v/>
      </c>
      <c r="F55" s="50" t="str">
        <f aca="false">IF(J55="","",IF(K55&lt;=2,INDEX('Cash Book'!$W$8:$W$507,L55),INDEX('Bank Statement'!$W$8:$W$507,L55)))</f>
        <v/>
      </c>
      <c r="G55" s="49" t="str">
        <f aca="false">IF(J55="","",INDEX(Lists!$B$1:$B$4,K55))</f>
        <v/>
      </c>
      <c r="H55" s="45" t="str">
        <f aca="false">IF(J55="","",INDEX(Lists!$C$1:$C$4,K55))</f>
        <v/>
      </c>
      <c r="J55" s="9" t="str">
        <f aca="false">IF(49&lt;=$J$4,SMALL('Cash Book'!$V$8:$V$507,49),IF(49&lt;=$J$4+$K$4,SMALL('Bank Statement'!$V$8:$V$507,49-$J$4),""))</f>
        <v/>
      </c>
      <c r="K55" s="9" t="str">
        <f aca="false">IF(J55="","",INT(J55/100000))</f>
        <v/>
      </c>
      <c r="L55" s="9" t="str">
        <f aca="false">IF(J55="","",MOD(J55,100000)-7)</f>
        <v/>
      </c>
    </row>
    <row r="56" customFormat="false" ht="15" hidden="false" customHeight="false" outlineLevel="0" collapsed="false">
      <c r="A56" s="37" t="str">
        <f aca="false">IF(J56="","",50)</f>
        <v/>
      </c>
      <c r="B56" s="45" t="str">
        <f aca="false">IF(J56="","",INDEX(Lists!$A$1:$A$4,K56))</f>
        <v/>
      </c>
      <c r="C56" s="48" t="str">
        <f aca="false">IF(J56="","",IF(K56&lt;=2,INDEX('Cash Book'!$B$8:$B$507,L56),INDEX('Bank Statement'!$B$8:$B$507,L56)))</f>
        <v/>
      </c>
      <c r="D56" s="49" t="str">
        <f aca="false">IF(J56="","",IF(K56&lt;=2,INDEX('Cash Book'!$E$8:$E$507,L56),INDEX('Bank Statement'!$D$8:$D$507,L56))&amp;"")</f>
        <v/>
      </c>
      <c r="E56" s="45" t="str">
        <f aca="false">IF(J56="","",IF(K56&lt;=2,INDEX('Cash Book'!$D$8:$D$507,L56),INDEX('Bank Statement'!$C$8:$C$507,L56))&amp;"")</f>
        <v/>
      </c>
      <c r="F56" s="50" t="str">
        <f aca="false">IF(J56="","",IF(K56&lt;=2,INDEX('Cash Book'!$W$8:$W$507,L56),INDEX('Bank Statement'!$W$8:$W$507,L56)))</f>
        <v/>
      </c>
      <c r="G56" s="49" t="str">
        <f aca="false">IF(J56="","",INDEX(Lists!$B$1:$B$4,K56))</f>
        <v/>
      </c>
      <c r="H56" s="45" t="str">
        <f aca="false">IF(J56="","",INDEX(Lists!$C$1:$C$4,K56))</f>
        <v/>
      </c>
      <c r="J56" s="9" t="str">
        <f aca="false">IF(50&lt;=$J$4,SMALL('Cash Book'!$V$8:$V$507,50),IF(50&lt;=$J$4+$K$4,SMALL('Bank Statement'!$V$8:$V$507,50-$J$4),""))</f>
        <v/>
      </c>
      <c r="K56" s="9" t="str">
        <f aca="false">IF(J56="","",INT(J56/100000))</f>
        <v/>
      </c>
      <c r="L56" s="9" t="str">
        <f aca="false">IF(J56="","",MOD(J56,100000)-7)</f>
        <v/>
      </c>
    </row>
    <row r="57" customFormat="false" ht="15" hidden="false" customHeight="false" outlineLevel="0" collapsed="false">
      <c r="A57" s="37" t="str">
        <f aca="false">IF(J57="","",51)</f>
        <v/>
      </c>
      <c r="B57" s="45" t="str">
        <f aca="false">IF(J57="","",INDEX(Lists!$A$1:$A$4,K57))</f>
        <v/>
      </c>
      <c r="C57" s="48" t="str">
        <f aca="false">IF(J57="","",IF(K57&lt;=2,INDEX('Cash Book'!$B$8:$B$507,L57),INDEX('Bank Statement'!$B$8:$B$507,L57)))</f>
        <v/>
      </c>
      <c r="D57" s="49" t="str">
        <f aca="false">IF(J57="","",IF(K57&lt;=2,INDEX('Cash Book'!$E$8:$E$507,L57),INDEX('Bank Statement'!$D$8:$D$507,L57))&amp;"")</f>
        <v/>
      </c>
      <c r="E57" s="45" t="str">
        <f aca="false">IF(J57="","",IF(K57&lt;=2,INDEX('Cash Book'!$D$8:$D$507,L57),INDEX('Bank Statement'!$C$8:$C$507,L57))&amp;"")</f>
        <v/>
      </c>
      <c r="F57" s="50" t="str">
        <f aca="false">IF(J57="","",IF(K57&lt;=2,INDEX('Cash Book'!$W$8:$W$507,L57),INDEX('Bank Statement'!$W$8:$W$507,L57)))</f>
        <v/>
      </c>
      <c r="G57" s="49" t="str">
        <f aca="false">IF(J57="","",INDEX(Lists!$B$1:$B$4,K57))</f>
        <v/>
      </c>
      <c r="H57" s="45" t="str">
        <f aca="false">IF(J57="","",INDEX(Lists!$C$1:$C$4,K57))</f>
        <v/>
      </c>
      <c r="J57" s="9" t="str">
        <f aca="false">IF(51&lt;=$J$4,SMALL('Cash Book'!$V$8:$V$507,51),IF(51&lt;=$J$4+$K$4,SMALL('Bank Statement'!$V$8:$V$507,51-$J$4),""))</f>
        <v/>
      </c>
      <c r="K57" s="9" t="str">
        <f aca="false">IF(J57="","",INT(J57/100000))</f>
        <v/>
      </c>
      <c r="L57" s="9" t="str">
        <f aca="false">IF(J57="","",MOD(J57,100000)-7)</f>
        <v/>
      </c>
    </row>
    <row r="58" customFormat="false" ht="15" hidden="false" customHeight="false" outlineLevel="0" collapsed="false">
      <c r="A58" s="37" t="str">
        <f aca="false">IF(J58="","",52)</f>
        <v/>
      </c>
      <c r="B58" s="45" t="str">
        <f aca="false">IF(J58="","",INDEX(Lists!$A$1:$A$4,K58))</f>
        <v/>
      </c>
      <c r="C58" s="48" t="str">
        <f aca="false">IF(J58="","",IF(K58&lt;=2,INDEX('Cash Book'!$B$8:$B$507,L58),INDEX('Bank Statement'!$B$8:$B$507,L58)))</f>
        <v/>
      </c>
      <c r="D58" s="49" t="str">
        <f aca="false">IF(J58="","",IF(K58&lt;=2,INDEX('Cash Book'!$E$8:$E$507,L58),INDEX('Bank Statement'!$D$8:$D$507,L58))&amp;"")</f>
        <v/>
      </c>
      <c r="E58" s="45" t="str">
        <f aca="false">IF(J58="","",IF(K58&lt;=2,INDEX('Cash Book'!$D$8:$D$507,L58),INDEX('Bank Statement'!$C$8:$C$507,L58))&amp;"")</f>
        <v/>
      </c>
      <c r="F58" s="50" t="str">
        <f aca="false">IF(J58="","",IF(K58&lt;=2,INDEX('Cash Book'!$W$8:$W$507,L58),INDEX('Bank Statement'!$W$8:$W$507,L58)))</f>
        <v/>
      </c>
      <c r="G58" s="49" t="str">
        <f aca="false">IF(J58="","",INDEX(Lists!$B$1:$B$4,K58))</f>
        <v/>
      </c>
      <c r="H58" s="45" t="str">
        <f aca="false">IF(J58="","",INDEX(Lists!$C$1:$C$4,K58))</f>
        <v/>
      </c>
      <c r="J58" s="9" t="str">
        <f aca="false">IF(52&lt;=$J$4,SMALL('Cash Book'!$V$8:$V$507,52),IF(52&lt;=$J$4+$K$4,SMALL('Bank Statement'!$V$8:$V$507,52-$J$4),""))</f>
        <v/>
      </c>
      <c r="K58" s="9" t="str">
        <f aca="false">IF(J58="","",INT(J58/100000))</f>
        <v/>
      </c>
      <c r="L58" s="9" t="str">
        <f aca="false">IF(J58="","",MOD(J58,100000)-7)</f>
        <v/>
      </c>
    </row>
    <row r="59" customFormat="false" ht="15" hidden="false" customHeight="false" outlineLevel="0" collapsed="false">
      <c r="A59" s="37" t="str">
        <f aca="false">IF(J59="","",53)</f>
        <v/>
      </c>
      <c r="B59" s="45" t="str">
        <f aca="false">IF(J59="","",INDEX(Lists!$A$1:$A$4,K59))</f>
        <v/>
      </c>
      <c r="C59" s="48" t="str">
        <f aca="false">IF(J59="","",IF(K59&lt;=2,INDEX('Cash Book'!$B$8:$B$507,L59),INDEX('Bank Statement'!$B$8:$B$507,L59)))</f>
        <v/>
      </c>
      <c r="D59" s="49" t="str">
        <f aca="false">IF(J59="","",IF(K59&lt;=2,INDEX('Cash Book'!$E$8:$E$507,L59),INDEX('Bank Statement'!$D$8:$D$507,L59))&amp;"")</f>
        <v/>
      </c>
      <c r="E59" s="45" t="str">
        <f aca="false">IF(J59="","",IF(K59&lt;=2,INDEX('Cash Book'!$D$8:$D$507,L59),INDEX('Bank Statement'!$C$8:$C$507,L59))&amp;"")</f>
        <v/>
      </c>
      <c r="F59" s="50" t="str">
        <f aca="false">IF(J59="","",IF(K59&lt;=2,INDEX('Cash Book'!$W$8:$W$507,L59),INDEX('Bank Statement'!$W$8:$W$507,L59)))</f>
        <v/>
      </c>
      <c r="G59" s="49" t="str">
        <f aca="false">IF(J59="","",INDEX(Lists!$B$1:$B$4,K59))</f>
        <v/>
      </c>
      <c r="H59" s="45" t="str">
        <f aca="false">IF(J59="","",INDEX(Lists!$C$1:$C$4,K59))</f>
        <v/>
      </c>
      <c r="J59" s="9" t="str">
        <f aca="false">IF(53&lt;=$J$4,SMALL('Cash Book'!$V$8:$V$507,53),IF(53&lt;=$J$4+$K$4,SMALL('Bank Statement'!$V$8:$V$507,53-$J$4),""))</f>
        <v/>
      </c>
      <c r="K59" s="9" t="str">
        <f aca="false">IF(J59="","",INT(J59/100000))</f>
        <v/>
      </c>
      <c r="L59" s="9" t="str">
        <f aca="false">IF(J59="","",MOD(J59,100000)-7)</f>
        <v/>
      </c>
    </row>
    <row r="60" customFormat="false" ht="15" hidden="false" customHeight="false" outlineLevel="0" collapsed="false">
      <c r="A60" s="37" t="str">
        <f aca="false">IF(J60="","",54)</f>
        <v/>
      </c>
      <c r="B60" s="45" t="str">
        <f aca="false">IF(J60="","",INDEX(Lists!$A$1:$A$4,K60))</f>
        <v/>
      </c>
      <c r="C60" s="48" t="str">
        <f aca="false">IF(J60="","",IF(K60&lt;=2,INDEX('Cash Book'!$B$8:$B$507,L60),INDEX('Bank Statement'!$B$8:$B$507,L60)))</f>
        <v/>
      </c>
      <c r="D60" s="49" t="str">
        <f aca="false">IF(J60="","",IF(K60&lt;=2,INDEX('Cash Book'!$E$8:$E$507,L60),INDEX('Bank Statement'!$D$8:$D$507,L60))&amp;"")</f>
        <v/>
      </c>
      <c r="E60" s="45" t="str">
        <f aca="false">IF(J60="","",IF(K60&lt;=2,INDEX('Cash Book'!$D$8:$D$507,L60),INDEX('Bank Statement'!$C$8:$C$507,L60))&amp;"")</f>
        <v/>
      </c>
      <c r="F60" s="50" t="str">
        <f aca="false">IF(J60="","",IF(K60&lt;=2,INDEX('Cash Book'!$W$8:$W$507,L60),INDEX('Bank Statement'!$W$8:$W$507,L60)))</f>
        <v/>
      </c>
      <c r="G60" s="49" t="str">
        <f aca="false">IF(J60="","",INDEX(Lists!$B$1:$B$4,K60))</f>
        <v/>
      </c>
      <c r="H60" s="45" t="str">
        <f aca="false">IF(J60="","",INDEX(Lists!$C$1:$C$4,K60))</f>
        <v/>
      </c>
      <c r="J60" s="9" t="str">
        <f aca="false">IF(54&lt;=$J$4,SMALL('Cash Book'!$V$8:$V$507,54),IF(54&lt;=$J$4+$K$4,SMALL('Bank Statement'!$V$8:$V$507,54-$J$4),""))</f>
        <v/>
      </c>
      <c r="K60" s="9" t="str">
        <f aca="false">IF(J60="","",INT(J60/100000))</f>
        <v/>
      </c>
      <c r="L60" s="9" t="str">
        <f aca="false">IF(J60="","",MOD(J60,100000)-7)</f>
        <v/>
      </c>
    </row>
    <row r="61" customFormat="false" ht="15" hidden="false" customHeight="false" outlineLevel="0" collapsed="false">
      <c r="A61" s="37" t="str">
        <f aca="false">IF(J61="","",55)</f>
        <v/>
      </c>
      <c r="B61" s="45" t="str">
        <f aca="false">IF(J61="","",INDEX(Lists!$A$1:$A$4,K61))</f>
        <v/>
      </c>
      <c r="C61" s="48" t="str">
        <f aca="false">IF(J61="","",IF(K61&lt;=2,INDEX('Cash Book'!$B$8:$B$507,L61),INDEX('Bank Statement'!$B$8:$B$507,L61)))</f>
        <v/>
      </c>
      <c r="D61" s="49" t="str">
        <f aca="false">IF(J61="","",IF(K61&lt;=2,INDEX('Cash Book'!$E$8:$E$507,L61),INDEX('Bank Statement'!$D$8:$D$507,L61))&amp;"")</f>
        <v/>
      </c>
      <c r="E61" s="45" t="str">
        <f aca="false">IF(J61="","",IF(K61&lt;=2,INDEX('Cash Book'!$D$8:$D$507,L61),INDEX('Bank Statement'!$C$8:$C$507,L61))&amp;"")</f>
        <v/>
      </c>
      <c r="F61" s="50" t="str">
        <f aca="false">IF(J61="","",IF(K61&lt;=2,INDEX('Cash Book'!$W$8:$W$507,L61),INDEX('Bank Statement'!$W$8:$W$507,L61)))</f>
        <v/>
      </c>
      <c r="G61" s="49" t="str">
        <f aca="false">IF(J61="","",INDEX(Lists!$B$1:$B$4,K61))</f>
        <v/>
      </c>
      <c r="H61" s="45" t="str">
        <f aca="false">IF(J61="","",INDEX(Lists!$C$1:$C$4,K61))</f>
        <v/>
      </c>
      <c r="J61" s="9" t="str">
        <f aca="false">IF(55&lt;=$J$4,SMALL('Cash Book'!$V$8:$V$507,55),IF(55&lt;=$J$4+$K$4,SMALL('Bank Statement'!$V$8:$V$507,55-$J$4),""))</f>
        <v/>
      </c>
      <c r="K61" s="9" t="str">
        <f aca="false">IF(J61="","",INT(J61/100000))</f>
        <v/>
      </c>
      <c r="L61" s="9" t="str">
        <f aca="false">IF(J61="","",MOD(J61,100000)-7)</f>
        <v/>
      </c>
    </row>
    <row r="62" customFormat="false" ht="15" hidden="false" customHeight="false" outlineLevel="0" collapsed="false">
      <c r="A62" s="37" t="str">
        <f aca="false">IF(J62="","",56)</f>
        <v/>
      </c>
      <c r="B62" s="45" t="str">
        <f aca="false">IF(J62="","",INDEX(Lists!$A$1:$A$4,K62))</f>
        <v/>
      </c>
      <c r="C62" s="48" t="str">
        <f aca="false">IF(J62="","",IF(K62&lt;=2,INDEX('Cash Book'!$B$8:$B$507,L62),INDEX('Bank Statement'!$B$8:$B$507,L62)))</f>
        <v/>
      </c>
      <c r="D62" s="49" t="str">
        <f aca="false">IF(J62="","",IF(K62&lt;=2,INDEX('Cash Book'!$E$8:$E$507,L62),INDEX('Bank Statement'!$D$8:$D$507,L62))&amp;"")</f>
        <v/>
      </c>
      <c r="E62" s="45" t="str">
        <f aca="false">IF(J62="","",IF(K62&lt;=2,INDEX('Cash Book'!$D$8:$D$507,L62),INDEX('Bank Statement'!$C$8:$C$507,L62))&amp;"")</f>
        <v/>
      </c>
      <c r="F62" s="50" t="str">
        <f aca="false">IF(J62="","",IF(K62&lt;=2,INDEX('Cash Book'!$W$8:$W$507,L62),INDEX('Bank Statement'!$W$8:$W$507,L62)))</f>
        <v/>
      </c>
      <c r="G62" s="49" t="str">
        <f aca="false">IF(J62="","",INDEX(Lists!$B$1:$B$4,K62))</f>
        <v/>
      </c>
      <c r="H62" s="45" t="str">
        <f aca="false">IF(J62="","",INDEX(Lists!$C$1:$C$4,K62))</f>
        <v/>
      </c>
      <c r="J62" s="9" t="str">
        <f aca="false">IF(56&lt;=$J$4,SMALL('Cash Book'!$V$8:$V$507,56),IF(56&lt;=$J$4+$K$4,SMALL('Bank Statement'!$V$8:$V$507,56-$J$4),""))</f>
        <v/>
      </c>
      <c r="K62" s="9" t="str">
        <f aca="false">IF(J62="","",INT(J62/100000))</f>
        <v/>
      </c>
      <c r="L62" s="9" t="str">
        <f aca="false">IF(J62="","",MOD(J62,100000)-7)</f>
        <v/>
      </c>
    </row>
    <row r="63" customFormat="false" ht="15" hidden="false" customHeight="false" outlineLevel="0" collapsed="false">
      <c r="A63" s="37" t="str">
        <f aca="false">IF(J63="","",57)</f>
        <v/>
      </c>
      <c r="B63" s="45" t="str">
        <f aca="false">IF(J63="","",INDEX(Lists!$A$1:$A$4,K63))</f>
        <v/>
      </c>
      <c r="C63" s="48" t="str">
        <f aca="false">IF(J63="","",IF(K63&lt;=2,INDEX('Cash Book'!$B$8:$B$507,L63),INDEX('Bank Statement'!$B$8:$B$507,L63)))</f>
        <v/>
      </c>
      <c r="D63" s="49" t="str">
        <f aca="false">IF(J63="","",IF(K63&lt;=2,INDEX('Cash Book'!$E$8:$E$507,L63),INDEX('Bank Statement'!$D$8:$D$507,L63))&amp;"")</f>
        <v/>
      </c>
      <c r="E63" s="45" t="str">
        <f aca="false">IF(J63="","",IF(K63&lt;=2,INDEX('Cash Book'!$D$8:$D$507,L63),INDEX('Bank Statement'!$C$8:$C$507,L63))&amp;"")</f>
        <v/>
      </c>
      <c r="F63" s="50" t="str">
        <f aca="false">IF(J63="","",IF(K63&lt;=2,INDEX('Cash Book'!$W$8:$W$507,L63),INDEX('Bank Statement'!$W$8:$W$507,L63)))</f>
        <v/>
      </c>
      <c r="G63" s="49" t="str">
        <f aca="false">IF(J63="","",INDEX(Lists!$B$1:$B$4,K63))</f>
        <v/>
      </c>
      <c r="H63" s="45" t="str">
        <f aca="false">IF(J63="","",INDEX(Lists!$C$1:$C$4,K63))</f>
        <v/>
      </c>
      <c r="J63" s="9" t="str">
        <f aca="false">IF(57&lt;=$J$4,SMALL('Cash Book'!$V$8:$V$507,57),IF(57&lt;=$J$4+$K$4,SMALL('Bank Statement'!$V$8:$V$507,57-$J$4),""))</f>
        <v/>
      </c>
      <c r="K63" s="9" t="str">
        <f aca="false">IF(J63="","",INT(J63/100000))</f>
        <v/>
      </c>
      <c r="L63" s="9" t="str">
        <f aca="false">IF(J63="","",MOD(J63,100000)-7)</f>
        <v/>
      </c>
    </row>
    <row r="64" customFormat="false" ht="15" hidden="false" customHeight="false" outlineLevel="0" collapsed="false">
      <c r="A64" s="37" t="str">
        <f aca="false">IF(J64="","",58)</f>
        <v/>
      </c>
      <c r="B64" s="45" t="str">
        <f aca="false">IF(J64="","",INDEX(Lists!$A$1:$A$4,K64))</f>
        <v/>
      </c>
      <c r="C64" s="48" t="str">
        <f aca="false">IF(J64="","",IF(K64&lt;=2,INDEX('Cash Book'!$B$8:$B$507,L64),INDEX('Bank Statement'!$B$8:$B$507,L64)))</f>
        <v/>
      </c>
      <c r="D64" s="49" t="str">
        <f aca="false">IF(J64="","",IF(K64&lt;=2,INDEX('Cash Book'!$E$8:$E$507,L64),INDEX('Bank Statement'!$D$8:$D$507,L64))&amp;"")</f>
        <v/>
      </c>
      <c r="E64" s="45" t="str">
        <f aca="false">IF(J64="","",IF(K64&lt;=2,INDEX('Cash Book'!$D$8:$D$507,L64),INDEX('Bank Statement'!$C$8:$C$507,L64))&amp;"")</f>
        <v/>
      </c>
      <c r="F64" s="50" t="str">
        <f aca="false">IF(J64="","",IF(K64&lt;=2,INDEX('Cash Book'!$W$8:$W$507,L64),INDEX('Bank Statement'!$W$8:$W$507,L64)))</f>
        <v/>
      </c>
      <c r="G64" s="49" t="str">
        <f aca="false">IF(J64="","",INDEX(Lists!$B$1:$B$4,K64))</f>
        <v/>
      </c>
      <c r="H64" s="45" t="str">
        <f aca="false">IF(J64="","",INDEX(Lists!$C$1:$C$4,K64))</f>
        <v/>
      </c>
      <c r="J64" s="9" t="str">
        <f aca="false">IF(58&lt;=$J$4,SMALL('Cash Book'!$V$8:$V$507,58),IF(58&lt;=$J$4+$K$4,SMALL('Bank Statement'!$V$8:$V$507,58-$J$4),""))</f>
        <v/>
      </c>
      <c r="K64" s="9" t="str">
        <f aca="false">IF(J64="","",INT(J64/100000))</f>
        <v/>
      </c>
      <c r="L64" s="9" t="str">
        <f aca="false">IF(J64="","",MOD(J64,100000)-7)</f>
        <v/>
      </c>
    </row>
    <row r="65" customFormat="false" ht="15" hidden="false" customHeight="false" outlineLevel="0" collapsed="false">
      <c r="A65" s="37" t="str">
        <f aca="false">IF(J65="","",59)</f>
        <v/>
      </c>
      <c r="B65" s="45" t="str">
        <f aca="false">IF(J65="","",INDEX(Lists!$A$1:$A$4,K65))</f>
        <v/>
      </c>
      <c r="C65" s="48" t="str">
        <f aca="false">IF(J65="","",IF(K65&lt;=2,INDEX('Cash Book'!$B$8:$B$507,L65),INDEX('Bank Statement'!$B$8:$B$507,L65)))</f>
        <v/>
      </c>
      <c r="D65" s="49" t="str">
        <f aca="false">IF(J65="","",IF(K65&lt;=2,INDEX('Cash Book'!$E$8:$E$507,L65),INDEX('Bank Statement'!$D$8:$D$507,L65))&amp;"")</f>
        <v/>
      </c>
      <c r="E65" s="45" t="str">
        <f aca="false">IF(J65="","",IF(K65&lt;=2,INDEX('Cash Book'!$D$8:$D$507,L65),INDEX('Bank Statement'!$C$8:$C$507,L65))&amp;"")</f>
        <v/>
      </c>
      <c r="F65" s="50" t="str">
        <f aca="false">IF(J65="","",IF(K65&lt;=2,INDEX('Cash Book'!$W$8:$W$507,L65),INDEX('Bank Statement'!$W$8:$W$507,L65)))</f>
        <v/>
      </c>
      <c r="G65" s="49" t="str">
        <f aca="false">IF(J65="","",INDEX(Lists!$B$1:$B$4,K65))</f>
        <v/>
      </c>
      <c r="H65" s="45" t="str">
        <f aca="false">IF(J65="","",INDEX(Lists!$C$1:$C$4,K65))</f>
        <v/>
      </c>
      <c r="J65" s="9" t="str">
        <f aca="false">IF(59&lt;=$J$4,SMALL('Cash Book'!$V$8:$V$507,59),IF(59&lt;=$J$4+$K$4,SMALL('Bank Statement'!$V$8:$V$507,59-$J$4),""))</f>
        <v/>
      </c>
      <c r="K65" s="9" t="str">
        <f aca="false">IF(J65="","",INT(J65/100000))</f>
        <v/>
      </c>
      <c r="L65" s="9" t="str">
        <f aca="false">IF(J65="","",MOD(J65,100000)-7)</f>
        <v/>
      </c>
    </row>
    <row r="66" customFormat="false" ht="15" hidden="false" customHeight="false" outlineLevel="0" collapsed="false">
      <c r="A66" s="37" t="str">
        <f aca="false">IF(J66="","",60)</f>
        <v/>
      </c>
      <c r="B66" s="45" t="str">
        <f aca="false">IF(J66="","",INDEX(Lists!$A$1:$A$4,K66))</f>
        <v/>
      </c>
      <c r="C66" s="48" t="str">
        <f aca="false">IF(J66="","",IF(K66&lt;=2,INDEX('Cash Book'!$B$8:$B$507,L66),INDEX('Bank Statement'!$B$8:$B$507,L66)))</f>
        <v/>
      </c>
      <c r="D66" s="49" t="str">
        <f aca="false">IF(J66="","",IF(K66&lt;=2,INDEX('Cash Book'!$E$8:$E$507,L66),INDEX('Bank Statement'!$D$8:$D$507,L66))&amp;"")</f>
        <v/>
      </c>
      <c r="E66" s="45" t="str">
        <f aca="false">IF(J66="","",IF(K66&lt;=2,INDEX('Cash Book'!$D$8:$D$507,L66),INDEX('Bank Statement'!$C$8:$C$507,L66))&amp;"")</f>
        <v/>
      </c>
      <c r="F66" s="50" t="str">
        <f aca="false">IF(J66="","",IF(K66&lt;=2,INDEX('Cash Book'!$W$8:$W$507,L66),INDEX('Bank Statement'!$W$8:$W$507,L66)))</f>
        <v/>
      </c>
      <c r="G66" s="49" t="str">
        <f aca="false">IF(J66="","",INDEX(Lists!$B$1:$B$4,K66))</f>
        <v/>
      </c>
      <c r="H66" s="45" t="str">
        <f aca="false">IF(J66="","",INDEX(Lists!$C$1:$C$4,K66))</f>
        <v/>
      </c>
      <c r="J66" s="9" t="str">
        <f aca="false">IF(60&lt;=$J$4,SMALL('Cash Book'!$V$8:$V$507,60),IF(60&lt;=$J$4+$K$4,SMALL('Bank Statement'!$V$8:$V$507,60-$J$4),""))</f>
        <v/>
      </c>
      <c r="K66" s="9" t="str">
        <f aca="false">IF(J66="","",INT(J66/100000))</f>
        <v/>
      </c>
      <c r="L66" s="9" t="str">
        <f aca="false">IF(J66="","",MOD(J66,100000)-7)</f>
        <v/>
      </c>
    </row>
    <row r="67" customFormat="false" ht="15" hidden="false" customHeight="false" outlineLevel="0" collapsed="false">
      <c r="A67" s="37" t="str">
        <f aca="false">IF(J67="","",61)</f>
        <v/>
      </c>
      <c r="B67" s="45" t="str">
        <f aca="false">IF(J67="","",INDEX(Lists!$A$1:$A$4,K67))</f>
        <v/>
      </c>
      <c r="C67" s="48" t="str">
        <f aca="false">IF(J67="","",IF(K67&lt;=2,INDEX('Cash Book'!$B$8:$B$507,L67),INDEX('Bank Statement'!$B$8:$B$507,L67)))</f>
        <v/>
      </c>
      <c r="D67" s="49" t="str">
        <f aca="false">IF(J67="","",IF(K67&lt;=2,INDEX('Cash Book'!$E$8:$E$507,L67),INDEX('Bank Statement'!$D$8:$D$507,L67))&amp;"")</f>
        <v/>
      </c>
      <c r="E67" s="45" t="str">
        <f aca="false">IF(J67="","",IF(K67&lt;=2,INDEX('Cash Book'!$D$8:$D$507,L67),INDEX('Bank Statement'!$C$8:$C$507,L67))&amp;"")</f>
        <v/>
      </c>
      <c r="F67" s="50" t="str">
        <f aca="false">IF(J67="","",IF(K67&lt;=2,INDEX('Cash Book'!$W$8:$W$507,L67),INDEX('Bank Statement'!$W$8:$W$507,L67)))</f>
        <v/>
      </c>
      <c r="G67" s="49" t="str">
        <f aca="false">IF(J67="","",INDEX(Lists!$B$1:$B$4,K67))</f>
        <v/>
      </c>
      <c r="H67" s="45" t="str">
        <f aca="false">IF(J67="","",INDEX(Lists!$C$1:$C$4,K67))</f>
        <v/>
      </c>
      <c r="J67" s="9" t="str">
        <f aca="false">IF(61&lt;=$J$4,SMALL('Cash Book'!$V$8:$V$507,61),IF(61&lt;=$J$4+$K$4,SMALL('Bank Statement'!$V$8:$V$507,61-$J$4),""))</f>
        <v/>
      </c>
      <c r="K67" s="9" t="str">
        <f aca="false">IF(J67="","",INT(J67/100000))</f>
        <v/>
      </c>
      <c r="L67" s="9" t="str">
        <f aca="false">IF(J67="","",MOD(J67,100000)-7)</f>
        <v/>
      </c>
    </row>
    <row r="68" customFormat="false" ht="15" hidden="false" customHeight="false" outlineLevel="0" collapsed="false">
      <c r="A68" s="37" t="str">
        <f aca="false">IF(J68="","",62)</f>
        <v/>
      </c>
      <c r="B68" s="45" t="str">
        <f aca="false">IF(J68="","",INDEX(Lists!$A$1:$A$4,K68))</f>
        <v/>
      </c>
      <c r="C68" s="48" t="str">
        <f aca="false">IF(J68="","",IF(K68&lt;=2,INDEX('Cash Book'!$B$8:$B$507,L68),INDEX('Bank Statement'!$B$8:$B$507,L68)))</f>
        <v/>
      </c>
      <c r="D68" s="49" t="str">
        <f aca="false">IF(J68="","",IF(K68&lt;=2,INDEX('Cash Book'!$E$8:$E$507,L68),INDEX('Bank Statement'!$D$8:$D$507,L68))&amp;"")</f>
        <v/>
      </c>
      <c r="E68" s="45" t="str">
        <f aca="false">IF(J68="","",IF(K68&lt;=2,INDEX('Cash Book'!$D$8:$D$507,L68),INDEX('Bank Statement'!$C$8:$C$507,L68))&amp;"")</f>
        <v/>
      </c>
      <c r="F68" s="50" t="str">
        <f aca="false">IF(J68="","",IF(K68&lt;=2,INDEX('Cash Book'!$W$8:$W$507,L68),INDEX('Bank Statement'!$W$8:$W$507,L68)))</f>
        <v/>
      </c>
      <c r="G68" s="49" t="str">
        <f aca="false">IF(J68="","",INDEX(Lists!$B$1:$B$4,K68))</f>
        <v/>
      </c>
      <c r="H68" s="45" t="str">
        <f aca="false">IF(J68="","",INDEX(Lists!$C$1:$C$4,K68))</f>
        <v/>
      </c>
      <c r="J68" s="9" t="str">
        <f aca="false">IF(62&lt;=$J$4,SMALL('Cash Book'!$V$8:$V$507,62),IF(62&lt;=$J$4+$K$4,SMALL('Bank Statement'!$V$8:$V$507,62-$J$4),""))</f>
        <v/>
      </c>
      <c r="K68" s="9" t="str">
        <f aca="false">IF(J68="","",INT(J68/100000))</f>
        <v/>
      </c>
      <c r="L68" s="9" t="str">
        <f aca="false">IF(J68="","",MOD(J68,100000)-7)</f>
        <v/>
      </c>
    </row>
    <row r="69" customFormat="false" ht="15" hidden="false" customHeight="false" outlineLevel="0" collapsed="false">
      <c r="A69" s="37" t="str">
        <f aca="false">IF(J69="","",63)</f>
        <v/>
      </c>
      <c r="B69" s="45" t="str">
        <f aca="false">IF(J69="","",INDEX(Lists!$A$1:$A$4,K69))</f>
        <v/>
      </c>
      <c r="C69" s="48" t="str">
        <f aca="false">IF(J69="","",IF(K69&lt;=2,INDEX('Cash Book'!$B$8:$B$507,L69),INDEX('Bank Statement'!$B$8:$B$507,L69)))</f>
        <v/>
      </c>
      <c r="D69" s="49" t="str">
        <f aca="false">IF(J69="","",IF(K69&lt;=2,INDEX('Cash Book'!$E$8:$E$507,L69),INDEX('Bank Statement'!$D$8:$D$507,L69))&amp;"")</f>
        <v/>
      </c>
      <c r="E69" s="45" t="str">
        <f aca="false">IF(J69="","",IF(K69&lt;=2,INDEX('Cash Book'!$D$8:$D$507,L69),INDEX('Bank Statement'!$C$8:$C$507,L69))&amp;"")</f>
        <v/>
      </c>
      <c r="F69" s="50" t="str">
        <f aca="false">IF(J69="","",IF(K69&lt;=2,INDEX('Cash Book'!$W$8:$W$507,L69),INDEX('Bank Statement'!$W$8:$W$507,L69)))</f>
        <v/>
      </c>
      <c r="G69" s="49" t="str">
        <f aca="false">IF(J69="","",INDEX(Lists!$B$1:$B$4,K69))</f>
        <v/>
      </c>
      <c r="H69" s="45" t="str">
        <f aca="false">IF(J69="","",INDEX(Lists!$C$1:$C$4,K69))</f>
        <v/>
      </c>
      <c r="J69" s="9" t="str">
        <f aca="false">IF(63&lt;=$J$4,SMALL('Cash Book'!$V$8:$V$507,63),IF(63&lt;=$J$4+$K$4,SMALL('Bank Statement'!$V$8:$V$507,63-$J$4),""))</f>
        <v/>
      </c>
      <c r="K69" s="9" t="str">
        <f aca="false">IF(J69="","",INT(J69/100000))</f>
        <v/>
      </c>
      <c r="L69" s="9" t="str">
        <f aca="false">IF(J69="","",MOD(J69,100000)-7)</f>
        <v/>
      </c>
    </row>
    <row r="70" customFormat="false" ht="15" hidden="false" customHeight="false" outlineLevel="0" collapsed="false">
      <c r="A70" s="37" t="str">
        <f aca="false">IF(J70="","",64)</f>
        <v/>
      </c>
      <c r="B70" s="45" t="str">
        <f aca="false">IF(J70="","",INDEX(Lists!$A$1:$A$4,K70))</f>
        <v/>
      </c>
      <c r="C70" s="48" t="str">
        <f aca="false">IF(J70="","",IF(K70&lt;=2,INDEX('Cash Book'!$B$8:$B$507,L70),INDEX('Bank Statement'!$B$8:$B$507,L70)))</f>
        <v/>
      </c>
      <c r="D70" s="49" t="str">
        <f aca="false">IF(J70="","",IF(K70&lt;=2,INDEX('Cash Book'!$E$8:$E$507,L70),INDEX('Bank Statement'!$D$8:$D$507,L70))&amp;"")</f>
        <v/>
      </c>
      <c r="E70" s="45" t="str">
        <f aca="false">IF(J70="","",IF(K70&lt;=2,INDEX('Cash Book'!$D$8:$D$507,L70),INDEX('Bank Statement'!$C$8:$C$507,L70))&amp;"")</f>
        <v/>
      </c>
      <c r="F70" s="50" t="str">
        <f aca="false">IF(J70="","",IF(K70&lt;=2,INDEX('Cash Book'!$W$8:$W$507,L70),INDEX('Bank Statement'!$W$8:$W$507,L70)))</f>
        <v/>
      </c>
      <c r="G70" s="49" t="str">
        <f aca="false">IF(J70="","",INDEX(Lists!$B$1:$B$4,K70))</f>
        <v/>
      </c>
      <c r="H70" s="45" t="str">
        <f aca="false">IF(J70="","",INDEX(Lists!$C$1:$C$4,K70))</f>
        <v/>
      </c>
      <c r="J70" s="9" t="str">
        <f aca="false">IF(64&lt;=$J$4,SMALL('Cash Book'!$V$8:$V$507,64),IF(64&lt;=$J$4+$K$4,SMALL('Bank Statement'!$V$8:$V$507,64-$J$4),""))</f>
        <v/>
      </c>
      <c r="K70" s="9" t="str">
        <f aca="false">IF(J70="","",INT(J70/100000))</f>
        <v/>
      </c>
      <c r="L70" s="9" t="str">
        <f aca="false">IF(J70="","",MOD(J70,100000)-7)</f>
        <v/>
      </c>
    </row>
    <row r="71" customFormat="false" ht="15" hidden="false" customHeight="false" outlineLevel="0" collapsed="false">
      <c r="A71" s="37" t="str">
        <f aca="false">IF(J71="","",65)</f>
        <v/>
      </c>
      <c r="B71" s="45" t="str">
        <f aca="false">IF(J71="","",INDEX(Lists!$A$1:$A$4,K71))</f>
        <v/>
      </c>
      <c r="C71" s="48" t="str">
        <f aca="false">IF(J71="","",IF(K71&lt;=2,INDEX('Cash Book'!$B$8:$B$507,L71),INDEX('Bank Statement'!$B$8:$B$507,L71)))</f>
        <v/>
      </c>
      <c r="D71" s="49" t="str">
        <f aca="false">IF(J71="","",IF(K71&lt;=2,INDEX('Cash Book'!$E$8:$E$507,L71),INDEX('Bank Statement'!$D$8:$D$507,L71))&amp;"")</f>
        <v/>
      </c>
      <c r="E71" s="45" t="str">
        <f aca="false">IF(J71="","",IF(K71&lt;=2,INDEX('Cash Book'!$D$8:$D$507,L71),INDEX('Bank Statement'!$C$8:$C$507,L71))&amp;"")</f>
        <v/>
      </c>
      <c r="F71" s="50" t="str">
        <f aca="false">IF(J71="","",IF(K71&lt;=2,INDEX('Cash Book'!$W$8:$W$507,L71),INDEX('Bank Statement'!$W$8:$W$507,L71)))</f>
        <v/>
      </c>
      <c r="G71" s="49" t="str">
        <f aca="false">IF(J71="","",INDEX(Lists!$B$1:$B$4,K71))</f>
        <v/>
      </c>
      <c r="H71" s="45" t="str">
        <f aca="false">IF(J71="","",INDEX(Lists!$C$1:$C$4,K71))</f>
        <v/>
      </c>
      <c r="J71" s="9" t="str">
        <f aca="false">IF(65&lt;=$J$4,SMALL('Cash Book'!$V$8:$V$507,65),IF(65&lt;=$J$4+$K$4,SMALL('Bank Statement'!$V$8:$V$507,65-$J$4),""))</f>
        <v/>
      </c>
      <c r="K71" s="9" t="str">
        <f aca="false">IF(J71="","",INT(J71/100000))</f>
        <v/>
      </c>
      <c r="L71" s="9" t="str">
        <f aca="false">IF(J71="","",MOD(J71,100000)-7)</f>
        <v/>
      </c>
    </row>
    <row r="72" customFormat="false" ht="15" hidden="false" customHeight="false" outlineLevel="0" collapsed="false">
      <c r="A72" s="37" t="str">
        <f aca="false">IF(J72="","",66)</f>
        <v/>
      </c>
      <c r="B72" s="45" t="str">
        <f aca="false">IF(J72="","",INDEX(Lists!$A$1:$A$4,K72))</f>
        <v/>
      </c>
      <c r="C72" s="48" t="str">
        <f aca="false">IF(J72="","",IF(K72&lt;=2,INDEX('Cash Book'!$B$8:$B$507,L72),INDEX('Bank Statement'!$B$8:$B$507,L72)))</f>
        <v/>
      </c>
      <c r="D72" s="49" t="str">
        <f aca="false">IF(J72="","",IF(K72&lt;=2,INDEX('Cash Book'!$E$8:$E$507,L72),INDEX('Bank Statement'!$D$8:$D$507,L72))&amp;"")</f>
        <v/>
      </c>
      <c r="E72" s="45" t="str">
        <f aca="false">IF(J72="","",IF(K72&lt;=2,INDEX('Cash Book'!$D$8:$D$507,L72),INDEX('Bank Statement'!$C$8:$C$507,L72))&amp;"")</f>
        <v/>
      </c>
      <c r="F72" s="50" t="str">
        <f aca="false">IF(J72="","",IF(K72&lt;=2,INDEX('Cash Book'!$W$8:$W$507,L72),INDEX('Bank Statement'!$W$8:$W$507,L72)))</f>
        <v/>
      </c>
      <c r="G72" s="49" t="str">
        <f aca="false">IF(J72="","",INDEX(Lists!$B$1:$B$4,K72))</f>
        <v/>
      </c>
      <c r="H72" s="45" t="str">
        <f aca="false">IF(J72="","",INDEX(Lists!$C$1:$C$4,K72))</f>
        <v/>
      </c>
      <c r="J72" s="9" t="str">
        <f aca="false">IF(66&lt;=$J$4,SMALL('Cash Book'!$V$8:$V$507,66),IF(66&lt;=$J$4+$K$4,SMALL('Bank Statement'!$V$8:$V$507,66-$J$4),""))</f>
        <v/>
      </c>
      <c r="K72" s="9" t="str">
        <f aca="false">IF(J72="","",INT(J72/100000))</f>
        <v/>
      </c>
      <c r="L72" s="9" t="str">
        <f aca="false">IF(J72="","",MOD(J72,100000)-7)</f>
        <v/>
      </c>
    </row>
    <row r="73" customFormat="false" ht="15" hidden="false" customHeight="false" outlineLevel="0" collapsed="false">
      <c r="A73" s="37" t="str">
        <f aca="false">IF(J73="","",67)</f>
        <v/>
      </c>
      <c r="B73" s="45" t="str">
        <f aca="false">IF(J73="","",INDEX(Lists!$A$1:$A$4,K73))</f>
        <v/>
      </c>
      <c r="C73" s="48" t="str">
        <f aca="false">IF(J73="","",IF(K73&lt;=2,INDEX('Cash Book'!$B$8:$B$507,L73),INDEX('Bank Statement'!$B$8:$B$507,L73)))</f>
        <v/>
      </c>
      <c r="D73" s="49" t="str">
        <f aca="false">IF(J73="","",IF(K73&lt;=2,INDEX('Cash Book'!$E$8:$E$507,L73),INDEX('Bank Statement'!$D$8:$D$507,L73))&amp;"")</f>
        <v/>
      </c>
      <c r="E73" s="45" t="str">
        <f aca="false">IF(J73="","",IF(K73&lt;=2,INDEX('Cash Book'!$D$8:$D$507,L73),INDEX('Bank Statement'!$C$8:$C$507,L73))&amp;"")</f>
        <v/>
      </c>
      <c r="F73" s="50" t="str">
        <f aca="false">IF(J73="","",IF(K73&lt;=2,INDEX('Cash Book'!$W$8:$W$507,L73),INDEX('Bank Statement'!$W$8:$W$507,L73)))</f>
        <v/>
      </c>
      <c r="G73" s="49" t="str">
        <f aca="false">IF(J73="","",INDEX(Lists!$B$1:$B$4,K73))</f>
        <v/>
      </c>
      <c r="H73" s="45" t="str">
        <f aca="false">IF(J73="","",INDEX(Lists!$C$1:$C$4,K73))</f>
        <v/>
      </c>
      <c r="J73" s="9" t="str">
        <f aca="false">IF(67&lt;=$J$4,SMALL('Cash Book'!$V$8:$V$507,67),IF(67&lt;=$J$4+$K$4,SMALL('Bank Statement'!$V$8:$V$507,67-$J$4),""))</f>
        <v/>
      </c>
      <c r="K73" s="9" t="str">
        <f aca="false">IF(J73="","",INT(J73/100000))</f>
        <v/>
      </c>
      <c r="L73" s="9" t="str">
        <f aca="false">IF(J73="","",MOD(J73,100000)-7)</f>
        <v/>
      </c>
    </row>
    <row r="74" customFormat="false" ht="15" hidden="false" customHeight="false" outlineLevel="0" collapsed="false">
      <c r="A74" s="37" t="str">
        <f aca="false">IF(J74="","",68)</f>
        <v/>
      </c>
      <c r="B74" s="45" t="str">
        <f aca="false">IF(J74="","",INDEX(Lists!$A$1:$A$4,K74))</f>
        <v/>
      </c>
      <c r="C74" s="48" t="str">
        <f aca="false">IF(J74="","",IF(K74&lt;=2,INDEX('Cash Book'!$B$8:$B$507,L74),INDEX('Bank Statement'!$B$8:$B$507,L74)))</f>
        <v/>
      </c>
      <c r="D74" s="49" t="str">
        <f aca="false">IF(J74="","",IF(K74&lt;=2,INDEX('Cash Book'!$E$8:$E$507,L74),INDEX('Bank Statement'!$D$8:$D$507,L74))&amp;"")</f>
        <v/>
      </c>
      <c r="E74" s="45" t="str">
        <f aca="false">IF(J74="","",IF(K74&lt;=2,INDEX('Cash Book'!$D$8:$D$507,L74),INDEX('Bank Statement'!$C$8:$C$507,L74))&amp;"")</f>
        <v/>
      </c>
      <c r="F74" s="50" t="str">
        <f aca="false">IF(J74="","",IF(K74&lt;=2,INDEX('Cash Book'!$W$8:$W$507,L74),INDEX('Bank Statement'!$W$8:$W$507,L74)))</f>
        <v/>
      </c>
      <c r="G74" s="49" t="str">
        <f aca="false">IF(J74="","",INDEX(Lists!$B$1:$B$4,K74))</f>
        <v/>
      </c>
      <c r="H74" s="45" t="str">
        <f aca="false">IF(J74="","",INDEX(Lists!$C$1:$C$4,K74))</f>
        <v/>
      </c>
      <c r="J74" s="9" t="str">
        <f aca="false">IF(68&lt;=$J$4,SMALL('Cash Book'!$V$8:$V$507,68),IF(68&lt;=$J$4+$K$4,SMALL('Bank Statement'!$V$8:$V$507,68-$J$4),""))</f>
        <v/>
      </c>
      <c r="K74" s="9" t="str">
        <f aca="false">IF(J74="","",INT(J74/100000))</f>
        <v/>
      </c>
      <c r="L74" s="9" t="str">
        <f aca="false">IF(J74="","",MOD(J74,100000)-7)</f>
        <v/>
      </c>
    </row>
    <row r="75" customFormat="false" ht="15" hidden="false" customHeight="false" outlineLevel="0" collapsed="false">
      <c r="A75" s="37" t="str">
        <f aca="false">IF(J75="","",69)</f>
        <v/>
      </c>
      <c r="B75" s="45" t="str">
        <f aca="false">IF(J75="","",INDEX(Lists!$A$1:$A$4,K75))</f>
        <v/>
      </c>
      <c r="C75" s="48" t="str">
        <f aca="false">IF(J75="","",IF(K75&lt;=2,INDEX('Cash Book'!$B$8:$B$507,L75),INDEX('Bank Statement'!$B$8:$B$507,L75)))</f>
        <v/>
      </c>
      <c r="D75" s="49" t="str">
        <f aca="false">IF(J75="","",IF(K75&lt;=2,INDEX('Cash Book'!$E$8:$E$507,L75),INDEX('Bank Statement'!$D$8:$D$507,L75))&amp;"")</f>
        <v/>
      </c>
      <c r="E75" s="45" t="str">
        <f aca="false">IF(J75="","",IF(K75&lt;=2,INDEX('Cash Book'!$D$8:$D$507,L75),INDEX('Bank Statement'!$C$8:$C$507,L75))&amp;"")</f>
        <v/>
      </c>
      <c r="F75" s="50" t="str">
        <f aca="false">IF(J75="","",IF(K75&lt;=2,INDEX('Cash Book'!$W$8:$W$507,L75),INDEX('Bank Statement'!$W$8:$W$507,L75)))</f>
        <v/>
      </c>
      <c r="G75" s="49" t="str">
        <f aca="false">IF(J75="","",INDEX(Lists!$B$1:$B$4,K75))</f>
        <v/>
      </c>
      <c r="H75" s="45" t="str">
        <f aca="false">IF(J75="","",INDEX(Lists!$C$1:$C$4,K75))</f>
        <v/>
      </c>
      <c r="J75" s="9" t="str">
        <f aca="false">IF(69&lt;=$J$4,SMALL('Cash Book'!$V$8:$V$507,69),IF(69&lt;=$J$4+$K$4,SMALL('Bank Statement'!$V$8:$V$507,69-$J$4),""))</f>
        <v/>
      </c>
      <c r="K75" s="9" t="str">
        <f aca="false">IF(J75="","",INT(J75/100000))</f>
        <v/>
      </c>
      <c r="L75" s="9" t="str">
        <f aca="false">IF(J75="","",MOD(J75,100000)-7)</f>
        <v/>
      </c>
    </row>
    <row r="76" customFormat="false" ht="15" hidden="false" customHeight="false" outlineLevel="0" collapsed="false">
      <c r="A76" s="37" t="str">
        <f aca="false">IF(J76="","",70)</f>
        <v/>
      </c>
      <c r="B76" s="45" t="str">
        <f aca="false">IF(J76="","",INDEX(Lists!$A$1:$A$4,K76))</f>
        <v/>
      </c>
      <c r="C76" s="48" t="str">
        <f aca="false">IF(J76="","",IF(K76&lt;=2,INDEX('Cash Book'!$B$8:$B$507,L76),INDEX('Bank Statement'!$B$8:$B$507,L76)))</f>
        <v/>
      </c>
      <c r="D76" s="49" t="str">
        <f aca="false">IF(J76="","",IF(K76&lt;=2,INDEX('Cash Book'!$E$8:$E$507,L76),INDEX('Bank Statement'!$D$8:$D$507,L76))&amp;"")</f>
        <v/>
      </c>
      <c r="E76" s="45" t="str">
        <f aca="false">IF(J76="","",IF(K76&lt;=2,INDEX('Cash Book'!$D$8:$D$507,L76),INDEX('Bank Statement'!$C$8:$C$507,L76))&amp;"")</f>
        <v/>
      </c>
      <c r="F76" s="50" t="str">
        <f aca="false">IF(J76="","",IF(K76&lt;=2,INDEX('Cash Book'!$W$8:$W$507,L76),INDEX('Bank Statement'!$W$8:$W$507,L76)))</f>
        <v/>
      </c>
      <c r="G76" s="49" t="str">
        <f aca="false">IF(J76="","",INDEX(Lists!$B$1:$B$4,K76))</f>
        <v/>
      </c>
      <c r="H76" s="45" t="str">
        <f aca="false">IF(J76="","",INDEX(Lists!$C$1:$C$4,K76))</f>
        <v/>
      </c>
      <c r="J76" s="9" t="str">
        <f aca="false">IF(70&lt;=$J$4,SMALL('Cash Book'!$V$8:$V$507,70),IF(70&lt;=$J$4+$K$4,SMALL('Bank Statement'!$V$8:$V$507,70-$J$4),""))</f>
        <v/>
      </c>
      <c r="K76" s="9" t="str">
        <f aca="false">IF(J76="","",INT(J76/100000))</f>
        <v/>
      </c>
      <c r="L76" s="9" t="str">
        <f aca="false">IF(J76="","",MOD(J76,100000)-7)</f>
        <v/>
      </c>
    </row>
    <row r="77" customFormat="false" ht="15" hidden="false" customHeight="false" outlineLevel="0" collapsed="false">
      <c r="A77" s="37" t="str">
        <f aca="false">IF(J77="","",71)</f>
        <v/>
      </c>
      <c r="B77" s="45" t="str">
        <f aca="false">IF(J77="","",INDEX(Lists!$A$1:$A$4,K77))</f>
        <v/>
      </c>
      <c r="C77" s="48" t="str">
        <f aca="false">IF(J77="","",IF(K77&lt;=2,INDEX('Cash Book'!$B$8:$B$507,L77),INDEX('Bank Statement'!$B$8:$B$507,L77)))</f>
        <v/>
      </c>
      <c r="D77" s="49" t="str">
        <f aca="false">IF(J77="","",IF(K77&lt;=2,INDEX('Cash Book'!$E$8:$E$507,L77),INDEX('Bank Statement'!$D$8:$D$507,L77))&amp;"")</f>
        <v/>
      </c>
      <c r="E77" s="45" t="str">
        <f aca="false">IF(J77="","",IF(K77&lt;=2,INDEX('Cash Book'!$D$8:$D$507,L77),INDEX('Bank Statement'!$C$8:$C$507,L77))&amp;"")</f>
        <v/>
      </c>
      <c r="F77" s="50" t="str">
        <f aca="false">IF(J77="","",IF(K77&lt;=2,INDEX('Cash Book'!$W$8:$W$507,L77),INDEX('Bank Statement'!$W$8:$W$507,L77)))</f>
        <v/>
      </c>
      <c r="G77" s="49" t="str">
        <f aca="false">IF(J77="","",INDEX(Lists!$B$1:$B$4,K77))</f>
        <v/>
      </c>
      <c r="H77" s="45" t="str">
        <f aca="false">IF(J77="","",INDEX(Lists!$C$1:$C$4,K77))</f>
        <v/>
      </c>
      <c r="J77" s="9" t="str">
        <f aca="false">IF(71&lt;=$J$4,SMALL('Cash Book'!$V$8:$V$507,71),IF(71&lt;=$J$4+$K$4,SMALL('Bank Statement'!$V$8:$V$507,71-$J$4),""))</f>
        <v/>
      </c>
      <c r="K77" s="9" t="str">
        <f aca="false">IF(J77="","",INT(J77/100000))</f>
        <v/>
      </c>
      <c r="L77" s="9" t="str">
        <f aca="false">IF(J77="","",MOD(J77,100000)-7)</f>
        <v/>
      </c>
    </row>
    <row r="78" customFormat="false" ht="15" hidden="false" customHeight="false" outlineLevel="0" collapsed="false">
      <c r="A78" s="37" t="str">
        <f aca="false">IF(J78="","",72)</f>
        <v/>
      </c>
      <c r="B78" s="45" t="str">
        <f aca="false">IF(J78="","",INDEX(Lists!$A$1:$A$4,K78))</f>
        <v/>
      </c>
      <c r="C78" s="48" t="str">
        <f aca="false">IF(J78="","",IF(K78&lt;=2,INDEX('Cash Book'!$B$8:$B$507,L78),INDEX('Bank Statement'!$B$8:$B$507,L78)))</f>
        <v/>
      </c>
      <c r="D78" s="49" t="str">
        <f aca="false">IF(J78="","",IF(K78&lt;=2,INDEX('Cash Book'!$E$8:$E$507,L78),INDEX('Bank Statement'!$D$8:$D$507,L78))&amp;"")</f>
        <v/>
      </c>
      <c r="E78" s="45" t="str">
        <f aca="false">IF(J78="","",IF(K78&lt;=2,INDEX('Cash Book'!$D$8:$D$507,L78),INDEX('Bank Statement'!$C$8:$C$507,L78))&amp;"")</f>
        <v/>
      </c>
      <c r="F78" s="50" t="str">
        <f aca="false">IF(J78="","",IF(K78&lt;=2,INDEX('Cash Book'!$W$8:$W$507,L78),INDEX('Bank Statement'!$W$8:$W$507,L78)))</f>
        <v/>
      </c>
      <c r="G78" s="49" t="str">
        <f aca="false">IF(J78="","",INDEX(Lists!$B$1:$B$4,K78))</f>
        <v/>
      </c>
      <c r="H78" s="45" t="str">
        <f aca="false">IF(J78="","",INDEX(Lists!$C$1:$C$4,K78))</f>
        <v/>
      </c>
      <c r="J78" s="9" t="str">
        <f aca="false">IF(72&lt;=$J$4,SMALL('Cash Book'!$V$8:$V$507,72),IF(72&lt;=$J$4+$K$4,SMALL('Bank Statement'!$V$8:$V$507,72-$J$4),""))</f>
        <v/>
      </c>
      <c r="K78" s="9" t="str">
        <f aca="false">IF(J78="","",INT(J78/100000))</f>
        <v/>
      </c>
      <c r="L78" s="9" t="str">
        <f aca="false">IF(J78="","",MOD(J78,100000)-7)</f>
        <v/>
      </c>
    </row>
    <row r="79" customFormat="false" ht="15" hidden="false" customHeight="false" outlineLevel="0" collapsed="false">
      <c r="A79" s="37" t="str">
        <f aca="false">IF(J79="","",73)</f>
        <v/>
      </c>
      <c r="B79" s="45" t="str">
        <f aca="false">IF(J79="","",INDEX(Lists!$A$1:$A$4,K79))</f>
        <v/>
      </c>
      <c r="C79" s="48" t="str">
        <f aca="false">IF(J79="","",IF(K79&lt;=2,INDEX('Cash Book'!$B$8:$B$507,L79),INDEX('Bank Statement'!$B$8:$B$507,L79)))</f>
        <v/>
      </c>
      <c r="D79" s="49" t="str">
        <f aca="false">IF(J79="","",IF(K79&lt;=2,INDEX('Cash Book'!$E$8:$E$507,L79),INDEX('Bank Statement'!$D$8:$D$507,L79))&amp;"")</f>
        <v/>
      </c>
      <c r="E79" s="45" t="str">
        <f aca="false">IF(J79="","",IF(K79&lt;=2,INDEX('Cash Book'!$D$8:$D$507,L79),INDEX('Bank Statement'!$C$8:$C$507,L79))&amp;"")</f>
        <v/>
      </c>
      <c r="F79" s="50" t="str">
        <f aca="false">IF(J79="","",IF(K79&lt;=2,INDEX('Cash Book'!$W$8:$W$507,L79),INDEX('Bank Statement'!$W$8:$W$507,L79)))</f>
        <v/>
      </c>
      <c r="G79" s="49" t="str">
        <f aca="false">IF(J79="","",INDEX(Lists!$B$1:$B$4,K79))</f>
        <v/>
      </c>
      <c r="H79" s="45" t="str">
        <f aca="false">IF(J79="","",INDEX(Lists!$C$1:$C$4,K79))</f>
        <v/>
      </c>
      <c r="J79" s="9" t="str">
        <f aca="false">IF(73&lt;=$J$4,SMALL('Cash Book'!$V$8:$V$507,73),IF(73&lt;=$J$4+$K$4,SMALL('Bank Statement'!$V$8:$V$507,73-$J$4),""))</f>
        <v/>
      </c>
      <c r="K79" s="9" t="str">
        <f aca="false">IF(J79="","",INT(J79/100000))</f>
        <v/>
      </c>
      <c r="L79" s="9" t="str">
        <f aca="false">IF(J79="","",MOD(J79,100000)-7)</f>
        <v/>
      </c>
    </row>
    <row r="80" customFormat="false" ht="15" hidden="false" customHeight="false" outlineLevel="0" collapsed="false">
      <c r="A80" s="37" t="str">
        <f aca="false">IF(J80="","",74)</f>
        <v/>
      </c>
      <c r="B80" s="45" t="str">
        <f aca="false">IF(J80="","",INDEX(Lists!$A$1:$A$4,K80))</f>
        <v/>
      </c>
      <c r="C80" s="48" t="str">
        <f aca="false">IF(J80="","",IF(K80&lt;=2,INDEX('Cash Book'!$B$8:$B$507,L80),INDEX('Bank Statement'!$B$8:$B$507,L80)))</f>
        <v/>
      </c>
      <c r="D80" s="49" t="str">
        <f aca="false">IF(J80="","",IF(K80&lt;=2,INDEX('Cash Book'!$E$8:$E$507,L80),INDEX('Bank Statement'!$D$8:$D$507,L80))&amp;"")</f>
        <v/>
      </c>
      <c r="E80" s="45" t="str">
        <f aca="false">IF(J80="","",IF(K80&lt;=2,INDEX('Cash Book'!$D$8:$D$507,L80),INDEX('Bank Statement'!$C$8:$C$507,L80))&amp;"")</f>
        <v/>
      </c>
      <c r="F80" s="50" t="str">
        <f aca="false">IF(J80="","",IF(K80&lt;=2,INDEX('Cash Book'!$W$8:$W$507,L80),INDEX('Bank Statement'!$W$8:$W$507,L80)))</f>
        <v/>
      </c>
      <c r="G80" s="49" t="str">
        <f aca="false">IF(J80="","",INDEX(Lists!$B$1:$B$4,K80))</f>
        <v/>
      </c>
      <c r="H80" s="45" t="str">
        <f aca="false">IF(J80="","",INDEX(Lists!$C$1:$C$4,K80))</f>
        <v/>
      </c>
      <c r="J80" s="9" t="str">
        <f aca="false">IF(74&lt;=$J$4,SMALL('Cash Book'!$V$8:$V$507,74),IF(74&lt;=$J$4+$K$4,SMALL('Bank Statement'!$V$8:$V$507,74-$J$4),""))</f>
        <v/>
      </c>
      <c r="K80" s="9" t="str">
        <f aca="false">IF(J80="","",INT(J80/100000))</f>
        <v/>
      </c>
      <c r="L80" s="9" t="str">
        <f aca="false">IF(J80="","",MOD(J80,100000)-7)</f>
        <v/>
      </c>
    </row>
    <row r="81" customFormat="false" ht="15" hidden="false" customHeight="false" outlineLevel="0" collapsed="false">
      <c r="A81" s="37" t="str">
        <f aca="false">IF(J81="","",75)</f>
        <v/>
      </c>
      <c r="B81" s="45" t="str">
        <f aca="false">IF(J81="","",INDEX(Lists!$A$1:$A$4,K81))</f>
        <v/>
      </c>
      <c r="C81" s="48" t="str">
        <f aca="false">IF(J81="","",IF(K81&lt;=2,INDEX('Cash Book'!$B$8:$B$507,L81),INDEX('Bank Statement'!$B$8:$B$507,L81)))</f>
        <v/>
      </c>
      <c r="D81" s="49" t="str">
        <f aca="false">IF(J81="","",IF(K81&lt;=2,INDEX('Cash Book'!$E$8:$E$507,L81),INDEX('Bank Statement'!$D$8:$D$507,L81))&amp;"")</f>
        <v/>
      </c>
      <c r="E81" s="45" t="str">
        <f aca="false">IF(J81="","",IF(K81&lt;=2,INDEX('Cash Book'!$D$8:$D$507,L81),INDEX('Bank Statement'!$C$8:$C$507,L81))&amp;"")</f>
        <v/>
      </c>
      <c r="F81" s="50" t="str">
        <f aca="false">IF(J81="","",IF(K81&lt;=2,INDEX('Cash Book'!$W$8:$W$507,L81),INDEX('Bank Statement'!$W$8:$W$507,L81)))</f>
        <v/>
      </c>
      <c r="G81" s="49" t="str">
        <f aca="false">IF(J81="","",INDEX(Lists!$B$1:$B$4,K81))</f>
        <v/>
      </c>
      <c r="H81" s="45" t="str">
        <f aca="false">IF(J81="","",INDEX(Lists!$C$1:$C$4,K81))</f>
        <v/>
      </c>
      <c r="J81" s="9" t="str">
        <f aca="false">IF(75&lt;=$J$4,SMALL('Cash Book'!$V$8:$V$507,75),IF(75&lt;=$J$4+$K$4,SMALL('Bank Statement'!$V$8:$V$507,75-$J$4),""))</f>
        <v/>
      </c>
      <c r="K81" s="9" t="str">
        <f aca="false">IF(J81="","",INT(J81/100000))</f>
        <v/>
      </c>
      <c r="L81" s="9" t="str">
        <f aca="false">IF(J81="","",MOD(J81,100000)-7)</f>
        <v/>
      </c>
    </row>
    <row r="82" customFormat="false" ht="15" hidden="false" customHeight="false" outlineLevel="0" collapsed="false">
      <c r="A82" s="37" t="str">
        <f aca="false">IF(J82="","",76)</f>
        <v/>
      </c>
      <c r="B82" s="45" t="str">
        <f aca="false">IF(J82="","",INDEX(Lists!$A$1:$A$4,K82))</f>
        <v/>
      </c>
      <c r="C82" s="48" t="str">
        <f aca="false">IF(J82="","",IF(K82&lt;=2,INDEX('Cash Book'!$B$8:$B$507,L82),INDEX('Bank Statement'!$B$8:$B$507,L82)))</f>
        <v/>
      </c>
      <c r="D82" s="49" t="str">
        <f aca="false">IF(J82="","",IF(K82&lt;=2,INDEX('Cash Book'!$E$8:$E$507,L82),INDEX('Bank Statement'!$D$8:$D$507,L82))&amp;"")</f>
        <v/>
      </c>
      <c r="E82" s="45" t="str">
        <f aca="false">IF(J82="","",IF(K82&lt;=2,INDEX('Cash Book'!$D$8:$D$507,L82),INDEX('Bank Statement'!$C$8:$C$507,L82))&amp;"")</f>
        <v/>
      </c>
      <c r="F82" s="50" t="str">
        <f aca="false">IF(J82="","",IF(K82&lt;=2,INDEX('Cash Book'!$W$8:$W$507,L82),INDEX('Bank Statement'!$W$8:$W$507,L82)))</f>
        <v/>
      </c>
      <c r="G82" s="49" t="str">
        <f aca="false">IF(J82="","",INDEX(Lists!$B$1:$B$4,K82))</f>
        <v/>
      </c>
      <c r="H82" s="45" t="str">
        <f aca="false">IF(J82="","",INDEX(Lists!$C$1:$C$4,K82))</f>
        <v/>
      </c>
      <c r="J82" s="9" t="str">
        <f aca="false">IF(76&lt;=$J$4,SMALL('Cash Book'!$V$8:$V$507,76),IF(76&lt;=$J$4+$K$4,SMALL('Bank Statement'!$V$8:$V$507,76-$J$4),""))</f>
        <v/>
      </c>
      <c r="K82" s="9" t="str">
        <f aca="false">IF(J82="","",INT(J82/100000))</f>
        <v/>
      </c>
      <c r="L82" s="9" t="str">
        <f aca="false">IF(J82="","",MOD(J82,100000)-7)</f>
        <v/>
      </c>
    </row>
    <row r="83" customFormat="false" ht="15" hidden="false" customHeight="false" outlineLevel="0" collapsed="false">
      <c r="A83" s="37" t="str">
        <f aca="false">IF(J83="","",77)</f>
        <v/>
      </c>
      <c r="B83" s="45" t="str">
        <f aca="false">IF(J83="","",INDEX(Lists!$A$1:$A$4,K83))</f>
        <v/>
      </c>
      <c r="C83" s="48" t="str">
        <f aca="false">IF(J83="","",IF(K83&lt;=2,INDEX('Cash Book'!$B$8:$B$507,L83),INDEX('Bank Statement'!$B$8:$B$507,L83)))</f>
        <v/>
      </c>
      <c r="D83" s="49" t="str">
        <f aca="false">IF(J83="","",IF(K83&lt;=2,INDEX('Cash Book'!$E$8:$E$507,L83),INDEX('Bank Statement'!$D$8:$D$507,L83))&amp;"")</f>
        <v/>
      </c>
      <c r="E83" s="45" t="str">
        <f aca="false">IF(J83="","",IF(K83&lt;=2,INDEX('Cash Book'!$D$8:$D$507,L83),INDEX('Bank Statement'!$C$8:$C$507,L83))&amp;"")</f>
        <v/>
      </c>
      <c r="F83" s="50" t="str">
        <f aca="false">IF(J83="","",IF(K83&lt;=2,INDEX('Cash Book'!$W$8:$W$507,L83),INDEX('Bank Statement'!$W$8:$W$507,L83)))</f>
        <v/>
      </c>
      <c r="G83" s="49" t="str">
        <f aca="false">IF(J83="","",INDEX(Lists!$B$1:$B$4,K83))</f>
        <v/>
      </c>
      <c r="H83" s="45" t="str">
        <f aca="false">IF(J83="","",INDEX(Lists!$C$1:$C$4,K83))</f>
        <v/>
      </c>
      <c r="J83" s="9" t="str">
        <f aca="false">IF(77&lt;=$J$4,SMALL('Cash Book'!$V$8:$V$507,77),IF(77&lt;=$J$4+$K$4,SMALL('Bank Statement'!$V$8:$V$507,77-$J$4),""))</f>
        <v/>
      </c>
      <c r="K83" s="9" t="str">
        <f aca="false">IF(J83="","",INT(J83/100000))</f>
        <v/>
      </c>
      <c r="L83" s="9" t="str">
        <f aca="false">IF(J83="","",MOD(J83,100000)-7)</f>
        <v/>
      </c>
    </row>
    <row r="84" customFormat="false" ht="15" hidden="false" customHeight="false" outlineLevel="0" collapsed="false">
      <c r="A84" s="37" t="str">
        <f aca="false">IF(J84="","",78)</f>
        <v/>
      </c>
      <c r="B84" s="45" t="str">
        <f aca="false">IF(J84="","",INDEX(Lists!$A$1:$A$4,K84))</f>
        <v/>
      </c>
      <c r="C84" s="48" t="str">
        <f aca="false">IF(J84="","",IF(K84&lt;=2,INDEX('Cash Book'!$B$8:$B$507,L84),INDEX('Bank Statement'!$B$8:$B$507,L84)))</f>
        <v/>
      </c>
      <c r="D84" s="49" t="str">
        <f aca="false">IF(J84="","",IF(K84&lt;=2,INDEX('Cash Book'!$E$8:$E$507,L84),INDEX('Bank Statement'!$D$8:$D$507,L84))&amp;"")</f>
        <v/>
      </c>
      <c r="E84" s="45" t="str">
        <f aca="false">IF(J84="","",IF(K84&lt;=2,INDEX('Cash Book'!$D$8:$D$507,L84),INDEX('Bank Statement'!$C$8:$C$507,L84))&amp;"")</f>
        <v/>
      </c>
      <c r="F84" s="50" t="str">
        <f aca="false">IF(J84="","",IF(K84&lt;=2,INDEX('Cash Book'!$W$8:$W$507,L84),INDEX('Bank Statement'!$W$8:$W$507,L84)))</f>
        <v/>
      </c>
      <c r="G84" s="49" t="str">
        <f aca="false">IF(J84="","",INDEX(Lists!$B$1:$B$4,K84))</f>
        <v/>
      </c>
      <c r="H84" s="45" t="str">
        <f aca="false">IF(J84="","",INDEX(Lists!$C$1:$C$4,K84))</f>
        <v/>
      </c>
      <c r="J84" s="9" t="str">
        <f aca="false">IF(78&lt;=$J$4,SMALL('Cash Book'!$V$8:$V$507,78),IF(78&lt;=$J$4+$K$4,SMALL('Bank Statement'!$V$8:$V$507,78-$J$4),""))</f>
        <v/>
      </c>
      <c r="K84" s="9" t="str">
        <f aca="false">IF(J84="","",INT(J84/100000))</f>
        <v/>
      </c>
      <c r="L84" s="9" t="str">
        <f aca="false">IF(J84="","",MOD(J84,100000)-7)</f>
        <v/>
      </c>
    </row>
    <row r="85" customFormat="false" ht="15" hidden="false" customHeight="false" outlineLevel="0" collapsed="false">
      <c r="A85" s="37" t="str">
        <f aca="false">IF(J85="","",79)</f>
        <v/>
      </c>
      <c r="B85" s="45" t="str">
        <f aca="false">IF(J85="","",INDEX(Lists!$A$1:$A$4,K85))</f>
        <v/>
      </c>
      <c r="C85" s="48" t="str">
        <f aca="false">IF(J85="","",IF(K85&lt;=2,INDEX('Cash Book'!$B$8:$B$507,L85),INDEX('Bank Statement'!$B$8:$B$507,L85)))</f>
        <v/>
      </c>
      <c r="D85" s="49" t="str">
        <f aca="false">IF(J85="","",IF(K85&lt;=2,INDEX('Cash Book'!$E$8:$E$507,L85),INDEX('Bank Statement'!$D$8:$D$507,L85))&amp;"")</f>
        <v/>
      </c>
      <c r="E85" s="45" t="str">
        <f aca="false">IF(J85="","",IF(K85&lt;=2,INDEX('Cash Book'!$D$8:$D$507,L85),INDEX('Bank Statement'!$C$8:$C$507,L85))&amp;"")</f>
        <v/>
      </c>
      <c r="F85" s="50" t="str">
        <f aca="false">IF(J85="","",IF(K85&lt;=2,INDEX('Cash Book'!$W$8:$W$507,L85),INDEX('Bank Statement'!$W$8:$W$507,L85)))</f>
        <v/>
      </c>
      <c r="G85" s="49" t="str">
        <f aca="false">IF(J85="","",INDEX(Lists!$B$1:$B$4,K85))</f>
        <v/>
      </c>
      <c r="H85" s="45" t="str">
        <f aca="false">IF(J85="","",INDEX(Lists!$C$1:$C$4,K85))</f>
        <v/>
      </c>
      <c r="J85" s="9" t="str">
        <f aca="false">IF(79&lt;=$J$4,SMALL('Cash Book'!$V$8:$V$507,79),IF(79&lt;=$J$4+$K$4,SMALL('Bank Statement'!$V$8:$V$507,79-$J$4),""))</f>
        <v/>
      </c>
      <c r="K85" s="9" t="str">
        <f aca="false">IF(J85="","",INT(J85/100000))</f>
        <v/>
      </c>
      <c r="L85" s="9" t="str">
        <f aca="false">IF(J85="","",MOD(J85,100000)-7)</f>
        <v/>
      </c>
    </row>
    <row r="86" customFormat="false" ht="15" hidden="false" customHeight="false" outlineLevel="0" collapsed="false">
      <c r="A86" s="37" t="str">
        <f aca="false">IF(J86="","",80)</f>
        <v/>
      </c>
      <c r="B86" s="45" t="str">
        <f aca="false">IF(J86="","",INDEX(Lists!$A$1:$A$4,K86))</f>
        <v/>
      </c>
      <c r="C86" s="48" t="str">
        <f aca="false">IF(J86="","",IF(K86&lt;=2,INDEX('Cash Book'!$B$8:$B$507,L86),INDEX('Bank Statement'!$B$8:$B$507,L86)))</f>
        <v/>
      </c>
      <c r="D86" s="49" t="str">
        <f aca="false">IF(J86="","",IF(K86&lt;=2,INDEX('Cash Book'!$E$8:$E$507,L86),INDEX('Bank Statement'!$D$8:$D$507,L86))&amp;"")</f>
        <v/>
      </c>
      <c r="E86" s="45" t="str">
        <f aca="false">IF(J86="","",IF(K86&lt;=2,INDEX('Cash Book'!$D$8:$D$507,L86),INDEX('Bank Statement'!$C$8:$C$507,L86))&amp;"")</f>
        <v/>
      </c>
      <c r="F86" s="50" t="str">
        <f aca="false">IF(J86="","",IF(K86&lt;=2,INDEX('Cash Book'!$W$8:$W$507,L86),INDEX('Bank Statement'!$W$8:$W$507,L86)))</f>
        <v/>
      </c>
      <c r="G86" s="49" t="str">
        <f aca="false">IF(J86="","",INDEX(Lists!$B$1:$B$4,K86))</f>
        <v/>
      </c>
      <c r="H86" s="45" t="str">
        <f aca="false">IF(J86="","",INDEX(Lists!$C$1:$C$4,K86))</f>
        <v/>
      </c>
      <c r="J86" s="9" t="str">
        <f aca="false">IF(80&lt;=$J$4,SMALL('Cash Book'!$V$8:$V$507,80),IF(80&lt;=$J$4+$K$4,SMALL('Bank Statement'!$V$8:$V$507,80-$J$4),""))</f>
        <v/>
      </c>
      <c r="K86" s="9" t="str">
        <f aca="false">IF(J86="","",INT(J86/100000))</f>
        <v/>
      </c>
      <c r="L86" s="9" t="str">
        <f aca="false">IF(J86="","",MOD(J86,100000)-7)</f>
        <v/>
      </c>
    </row>
    <row r="87" customFormat="false" ht="15" hidden="false" customHeight="false" outlineLevel="0" collapsed="false">
      <c r="A87" s="37" t="str">
        <f aca="false">IF(J87="","",81)</f>
        <v/>
      </c>
      <c r="B87" s="45" t="str">
        <f aca="false">IF(J87="","",INDEX(Lists!$A$1:$A$4,K87))</f>
        <v/>
      </c>
      <c r="C87" s="48" t="str">
        <f aca="false">IF(J87="","",IF(K87&lt;=2,INDEX('Cash Book'!$B$8:$B$507,L87),INDEX('Bank Statement'!$B$8:$B$507,L87)))</f>
        <v/>
      </c>
      <c r="D87" s="49" t="str">
        <f aca="false">IF(J87="","",IF(K87&lt;=2,INDEX('Cash Book'!$E$8:$E$507,L87),INDEX('Bank Statement'!$D$8:$D$507,L87))&amp;"")</f>
        <v/>
      </c>
      <c r="E87" s="45" t="str">
        <f aca="false">IF(J87="","",IF(K87&lt;=2,INDEX('Cash Book'!$D$8:$D$507,L87),INDEX('Bank Statement'!$C$8:$C$507,L87))&amp;"")</f>
        <v/>
      </c>
      <c r="F87" s="50" t="str">
        <f aca="false">IF(J87="","",IF(K87&lt;=2,INDEX('Cash Book'!$W$8:$W$507,L87),INDEX('Bank Statement'!$W$8:$W$507,L87)))</f>
        <v/>
      </c>
      <c r="G87" s="49" t="str">
        <f aca="false">IF(J87="","",INDEX(Lists!$B$1:$B$4,K87))</f>
        <v/>
      </c>
      <c r="H87" s="45" t="str">
        <f aca="false">IF(J87="","",INDEX(Lists!$C$1:$C$4,K87))</f>
        <v/>
      </c>
      <c r="J87" s="9" t="str">
        <f aca="false">IF(81&lt;=$J$4,SMALL('Cash Book'!$V$8:$V$507,81),IF(81&lt;=$J$4+$K$4,SMALL('Bank Statement'!$V$8:$V$507,81-$J$4),""))</f>
        <v/>
      </c>
      <c r="K87" s="9" t="str">
        <f aca="false">IF(J87="","",INT(J87/100000))</f>
        <v/>
      </c>
      <c r="L87" s="9" t="str">
        <f aca="false">IF(J87="","",MOD(J87,100000)-7)</f>
        <v/>
      </c>
    </row>
    <row r="88" customFormat="false" ht="15" hidden="false" customHeight="false" outlineLevel="0" collapsed="false">
      <c r="A88" s="37" t="str">
        <f aca="false">IF(J88="","",82)</f>
        <v/>
      </c>
      <c r="B88" s="45" t="str">
        <f aca="false">IF(J88="","",INDEX(Lists!$A$1:$A$4,K88))</f>
        <v/>
      </c>
      <c r="C88" s="48" t="str">
        <f aca="false">IF(J88="","",IF(K88&lt;=2,INDEX('Cash Book'!$B$8:$B$507,L88),INDEX('Bank Statement'!$B$8:$B$507,L88)))</f>
        <v/>
      </c>
      <c r="D88" s="49" t="str">
        <f aca="false">IF(J88="","",IF(K88&lt;=2,INDEX('Cash Book'!$E$8:$E$507,L88),INDEX('Bank Statement'!$D$8:$D$507,L88))&amp;"")</f>
        <v/>
      </c>
      <c r="E88" s="45" t="str">
        <f aca="false">IF(J88="","",IF(K88&lt;=2,INDEX('Cash Book'!$D$8:$D$507,L88),INDEX('Bank Statement'!$C$8:$C$507,L88))&amp;"")</f>
        <v/>
      </c>
      <c r="F88" s="50" t="str">
        <f aca="false">IF(J88="","",IF(K88&lt;=2,INDEX('Cash Book'!$W$8:$W$507,L88),INDEX('Bank Statement'!$W$8:$W$507,L88)))</f>
        <v/>
      </c>
      <c r="G88" s="49" t="str">
        <f aca="false">IF(J88="","",INDEX(Lists!$B$1:$B$4,K88))</f>
        <v/>
      </c>
      <c r="H88" s="45" t="str">
        <f aca="false">IF(J88="","",INDEX(Lists!$C$1:$C$4,K88))</f>
        <v/>
      </c>
      <c r="J88" s="9" t="str">
        <f aca="false">IF(82&lt;=$J$4,SMALL('Cash Book'!$V$8:$V$507,82),IF(82&lt;=$J$4+$K$4,SMALL('Bank Statement'!$V$8:$V$507,82-$J$4),""))</f>
        <v/>
      </c>
      <c r="K88" s="9" t="str">
        <f aca="false">IF(J88="","",INT(J88/100000))</f>
        <v/>
      </c>
      <c r="L88" s="9" t="str">
        <f aca="false">IF(J88="","",MOD(J88,100000)-7)</f>
        <v/>
      </c>
    </row>
    <row r="89" customFormat="false" ht="15" hidden="false" customHeight="false" outlineLevel="0" collapsed="false">
      <c r="A89" s="37" t="str">
        <f aca="false">IF(J89="","",83)</f>
        <v/>
      </c>
      <c r="B89" s="45" t="str">
        <f aca="false">IF(J89="","",INDEX(Lists!$A$1:$A$4,K89))</f>
        <v/>
      </c>
      <c r="C89" s="48" t="str">
        <f aca="false">IF(J89="","",IF(K89&lt;=2,INDEX('Cash Book'!$B$8:$B$507,L89),INDEX('Bank Statement'!$B$8:$B$507,L89)))</f>
        <v/>
      </c>
      <c r="D89" s="49" t="str">
        <f aca="false">IF(J89="","",IF(K89&lt;=2,INDEX('Cash Book'!$E$8:$E$507,L89),INDEX('Bank Statement'!$D$8:$D$507,L89))&amp;"")</f>
        <v/>
      </c>
      <c r="E89" s="45" t="str">
        <f aca="false">IF(J89="","",IF(K89&lt;=2,INDEX('Cash Book'!$D$8:$D$507,L89),INDEX('Bank Statement'!$C$8:$C$507,L89))&amp;"")</f>
        <v/>
      </c>
      <c r="F89" s="50" t="str">
        <f aca="false">IF(J89="","",IF(K89&lt;=2,INDEX('Cash Book'!$W$8:$W$507,L89),INDEX('Bank Statement'!$W$8:$W$507,L89)))</f>
        <v/>
      </c>
      <c r="G89" s="49" t="str">
        <f aca="false">IF(J89="","",INDEX(Lists!$B$1:$B$4,K89))</f>
        <v/>
      </c>
      <c r="H89" s="45" t="str">
        <f aca="false">IF(J89="","",INDEX(Lists!$C$1:$C$4,K89))</f>
        <v/>
      </c>
      <c r="J89" s="9" t="str">
        <f aca="false">IF(83&lt;=$J$4,SMALL('Cash Book'!$V$8:$V$507,83),IF(83&lt;=$J$4+$K$4,SMALL('Bank Statement'!$V$8:$V$507,83-$J$4),""))</f>
        <v/>
      </c>
      <c r="K89" s="9" t="str">
        <f aca="false">IF(J89="","",INT(J89/100000))</f>
        <v/>
      </c>
      <c r="L89" s="9" t="str">
        <f aca="false">IF(J89="","",MOD(J89,100000)-7)</f>
        <v/>
      </c>
    </row>
    <row r="90" customFormat="false" ht="15" hidden="false" customHeight="false" outlineLevel="0" collapsed="false">
      <c r="A90" s="37" t="str">
        <f aca="false">IF(J90="","",84)</f>
        <v/>
      </c>
      <c r="B90" s="45" t="str">
        <f aca="false">IF(J90="","",INDEX(Lists!$A$1:$A$4,K90))</f>
        <v/>
      </c>
      <c r="C90" s="48" t="str">
        <f aca="false">IF(J90="","",IF(K90&lt;=2,INDEX('Cash Book'!$B$8:$B$507,L90),INDEX('Bank Statement'!$B$8:$B$507,L90)))</f>
        <v/>
      </c>
      <c r="D90" s="49" t="str">
        <f aca="false">IF(J90="","",IF(K90&lt;=2,INDEX('Cash Book'!$E$8:$E$507,L90),INDEX('Bank Statement'!$D$8:$D$507,L90))&amp;"")</f>
        <v/>
      </c>
      <c r="E90" s="45" t="str">
        <f aca="false">IF(J90="","",IF(K90&lt;=2,INDEX('Cash Book'!$D$8:$D$507,L90),INDEX('Bank Statement'!$C$8:$C$507,L90))&amp;"")</f>
        <v/>
      </c>
      <c r="F90" s="50" t="str">
        <f aca="false">IF(J90="","",IF(K90&lt;=2,INDEX('Cash Book'!$W$8:$W$507,L90),INDEX('Bank Statement'!$W$8:$W$507,L90)))</f>
        <v/>
      </c>
      <c r="G90" s="49" t="str">
        <f aca="false">IF(J90="","",INDEX(Lists!$B$1:$B$4,K90))</f>
        <v/>
      </c>
      <c r="H90" s="45" t="str">
        <f aca="false">IF(J90="","",INDEX(Lists!$C$1:$C$4,K90))</f>
        <v/>
      </c>
      <c r="J90" s="9" t="str">
        <f aca="false">IF(84&lt;=$J$4,SMALL('Cash Book'!$V$8:$V$507,84),IF(84&lt;=$J$4+$K$4,SMALL('Bank Statement'!$V$8:$V$507,84-$J$4),""))</f>
        <v/>
      </c>
      <c r="K90" s="9" t="str">
        <f aca="false">IF(J90="","",INT(J90/100000))</f>
        <v/>
      </c>
      <c r="L90" s="9" t="str">
        <f aca="false">IF(J90="","",MOD(J90,100000)-7)</f>
        <v/>
      </c>
    </row>
    <row r="91" customFormat="false" ht="15" hidden="false" customHeight="false" outlineLevel="0" collapsed="false">
      <c r="A91" s="37" t="str">
        <f aca="false">IF(J91="","",85)</f>
        <v/>
      </c>
      <c r="B91" s="45" t="str">
        <f aca="false">IF(J91="","",INDEX(Lists!$A$1:$A$4,K91))</f>
        <v/>
      </c>
      <c r="C91" s="48" t="str">
        <f aca="false">IF(J91="","",IF(K91&lt;=2,INDEX('Cash Book'!$B$8:$B$507,L91),INDEX('Bank Statement'!$B$8:$B$507,L91)))</f>
        <v/>
      </c>
      <c r="D91" s="49" t="str">
        <f aca="false">IF(J91="","",IF(K91&lt;=2,INDEX('Cash Book'!$E$8:$E$507,L91),INDEX('Bank Statement'!$D$8:$D$507,L91))&amp;"")</f>
        <v/>
      </c>
      <c r="E91" s="45" t="str">
        <f aca="false">IF(J91="","",IF(K91&lt;=2,INDEX('Cash Book'!$D$8:$D$507,L91),INDEX('Bank Statement'!$C$8:$C$507,L91))&amp;"")</f>
        <v/>
      </c>
      <c r="F91" s="50" t="str">
        <f aca="false">IF(J91="","",IF(K91&lt;=2,INDEX('Cash Book'!$W$8:$W$507,L91),INDEX('Bank Statement'!$W$8:$W$507,L91)))</f>
        <v/>
      </c>
      <c r="G91" s="49" t="str">
        <f aca="false">IF(J91="","",INDEX(Lists!$B$1:$B$4,K91))</f>
        <v/>
      </c>
      <c r="H91" s="45" t="str">
        <f aca="false">IF(J91="","",INDEX(Lists!$C$1:$C$4,K91))</f>
        <v/>
      </c>
      <c r="J91" s="9" t="str">
        <f aca="false">IF(85&lt;=$J$4,SMALL('Cash Book'!$V$8:$V$507,85),IF(85&lt;=$J$4+$K$4,SMALL('Bank Statement'!$V$8:$V$507,85-$J$4),""))</f>
        <v/>
      </c>
      <c r="K91" s="9" t="str">
        <f aca="false">IF(J91="","",INT(J91/100000))</f>
        <v/>
      </c>
      <c r="L91" s="9" t="str">
        <f aca="false">IF(J91="","",MOD(J91,100000)-7)</f>
        <v/>
      </c>
    </row>
    <row r="92" customFormat="false" ht="15" hidden="false" customHeight="false" outlineLevel="0" collapsed="false">
      <c r="A92" s="37" t="str">
        <f aca="false">IF(J92="","",86)</f>
        <v/>
      </c>
      <c r="B92" s="45" t="str">
        <f aca="false">IF(J92="","",INDEX(Lists!$A$1:$A$4,K92))</f>
        <v/>
      </c>
      <c r="C92" s="48" t="str">
        <f aca="false">IF(J92="","",IF(K92&lt;=2,INDEX('Cash Book'!$B$8:$B$507,L92),INDEX('Bank Statement'!$B$8:$B$507,L92)))</f>
        <v/>
      </c>
      <c r="D92" s="49" t="str">
        <f aca="false">IF(J92="","",IF(K92&lt;=2,INDEX('Cash Book'!$E$8:$E$507,L92),INDEX('Bank Statement'!$D$8:$D$507,L92))&amp;"")</f>
        <v/>
      </c>
      <c r="E92" s="45" t="str">
        <f aca="false">IF(J92="","",IF(K92&lt;=2,INDEX('Cash Book'!$D$8:$D$507,L92),INDEX('Bank Statement'!$C$8:$C$507,L92))&amp;"")</f>
        <v/>
      </c>
      <c r="F92" s="50" t="str">
        <f aca="false">IF(J92="","",IF(K92&lt;=2,INDEX('Cash Book'!$W$8:$W$507,L92),INDEX('Bank Statement'!$W$8:$W$507,L92)))</f>
        <v/>
      </c>
      <c r="G92" s="49" t="str">
        <f aca="false">IF(J92="","",INDEX(Lists!$B$1:$B$4,K92))</f>
        <v/>
      </c>
      <c r="H92" s="45" t="str">
        <f aca="false">IF(J92="","",INDEX(Lists!$C$1:$C$4,K92))</f>
        <v/>
      </c>
      <c r="J92" s="9" t="str">
        <f aca="false">IF(86&lt;=$J$4,SMALL('Cash Book'!$V$8:$V$507,86),IF(86&lt;=$J$4+$K$4,SMALL('Bank Statement'!$V$8:$V$507,86-$J$4),""))</f>
        <v/>
      </c>
      <c r="K92" s="9" t="str">
        <f aca="false">IF(J92="","",INT(J92/100000))</f>
        <v/>
      </c>
      <c r="L92" s="9" t="str">
        <f aca="false">IF(J92="","",MOD(J92,100000)-7)</f>
        <v/>
      </c>
    </row>
    <row r="93" customFormat="false" ht="15" hidden="false" customHeight="false" outlineLevel="0" collapsed="false">
      <c r="A93" s="37" t="str">
        <f aca="false">IF(J93="","",87)</f>
        <v/>
      </c>
      <c r="B93" s="45" t="str">
        <f aca="false">IF(J93="","",INDEX(Lists!$A$1:$A$4,K93))</f>
        <v/>
      </c>
      <c r="C93" s="48" t="str">
        <f aca="false">IF(J93="","",IF(K93&lt;=2,INDEX('Cash Book'!$B$8:$B$507,L93),INDEX('Bank Statement'!$B$8:$B$507,L93)))</f>
        <v/>
      </c>
      <c r="D93" s="49" t="str">
        <f aca="false">IF(J93="","",IF(K93&lt;=2,INDEX('Cash Book'!$E$8:$E$507,L93),INDEX('Bank Statement'!$D$8:$D$507,L93))&amp;"")</f>
        <v/>
      </c>
      <c r="E93" s="45" t="str">
        <f aca="false">IF(J93="","",IF(K93&lt;=2,INDEX('Cash Book'!$D$8:$D$507,L93),INDEX('Bank Statement'!$C$8:$C$507,L93))&amp;"")</f>
        <v/>
      </c>
      <c r="F93" s="50" t="str">
        <f aca="false">IF(J93="","",IF(K93&lt;=2,INDEX('Cash Book'!$W$8:$W$507,L93),INDEX('Bank Statement'!$W$8:$W$507,L93)))</f>
        <v/>
      </c>
      <c r="G93" s="49" t="str">
        <f aca="false">IF(J93="","",INDEX(Lists!$B$1:$B$4,K93))</f>
        <v/>
      </c>
      <c r="H93" s="45" t="str">
        <f aca="false">IF(J93="","",INDEX(Lists!$C$1:$C$4,K93))</f>
        <v/>
      </c>
      <c r="J93" s="9" t="str">
        <f aca="false">IF(87&lt;=$J$4,SMALL('Cash Book'!$V$8:$V$507,87),IF(87&lt;=$J$4+$K$4,SMALL('Bank Statement'!$V$8:$V$507,87-$J$4),""))</f>
        <v/>
      </c>
      <c r="K93" s="9" t="str">
        <f aca="false">IF(J93="","",INT(J93/100000))</f>
        <v/>
      </c>
      <c r="L93" s="9" t="str">
        <f aca="false">IF(J93="","",MOD(J93,100000)-7)</f>
        <v/>
      </c>
    </row>
    <row r="94" customFormat="false" ht="15" hidden="false" customHeight="false" outlineLevel="0" collapsed="false">
      <c r="A94" s="37" t="str">
        <f aca="false">IF(J94="","",88)</f>
        <v/>
      </c>
      <c r="B94" s="45" t="str">
        <f aca="false">IF(J94="","",INDEX(Lists!$A$1:$A$4,K94))</f>
        <v/>
      </c>
      <c r="C94" s="48" t="str">
        <f aca="false">IF(J94="","",IF(K94&lt;=2,INDEX('Cash Book'!$B$8:$B$507,L94),INDEX('Bank Statement'!$B$8:$B$507,L94)))</f>
        <v/>
      </c>
      <c r="D94" s="49" t="str">
        <f aca="false">IF(J94="","",IF(K94&lt;=2,INDEX('Cash Book'!$E$8:$E$507,L94),INDEX('Bank Statement'!$D$8:$D$507,L94))&amp;"")</f>
        <v/>
      </c>
      <c r="E94" s="45" t="str">
        <f aca="false">IF(J94="","",IF(K94&lt;=2,INDEX('Cash Book'!$D$8:$D$507,L94),INDEX('Bank Statement'!$C$8:$C$507,L94))&amp;"")</f>
        <v/>
      </c>
      <c r="F94" s="50" t="str">
        <f aca="false">IF(J94="","",IF(K94&lt;=2,INDEX('Cash Book'!$W$8:$W$507,L94),INDEX('Bank Statement'!$W$8:$W$507,L94)))</f>
        <v/>
      </c>
      <c r="G94" s="49" t="str">
        <f aca="false">IF(J94="","",INDEX(Lists!$B$1:$B$4,K94))</f>
        <v/>
      </c>
      <c r="H94" s="45" t="str">
        <f aca="false">IF(J94="","",INDEX(Lists!$C$1:$C$4,K94))</f>
        <v/>
      </c>
      <c r="J94" s="9" t="str">
        <f aca="false">IF(88&lt;=$J$4,SMALL('Cash Book'!$V$8:$V$507,88),IF(88&lt;=$J$4+$K$4,SMALL('Bank Statement'!$V$8:$V$507,88-$J$4),""))</f>
        <v/>
      </c>
      <c r="K94" s="9" t="str">
        <f aca="false">IF(J94="","",INT(J94/100000))</f>
        <v/>
      </c>
      <c r="L94" s="9" t="str">
        <f aca="false">IF(J94="","",MOD(J94,100000)-7)</f>
        <v/>
      </c>
    </row>
    <row r="95" customFormat="false" ht="15" hidden="false" customHeight="false" outlineLevel="0" collapsed="false">
      <c r="A95" s="37" t="str">
        <f aca="false">IF(J95="","",89)</f>
        <v/>
      </c>
      <c r="B95" s="45" t="str">
        <f aca="false">IF(J95="","",INDEX(Lists!$A$1:$A$4,K95))</f>
        <v/>
      </c>
      <c r="C95" s="48" t="str">
        <f aca="false">IF(J95="","",IF(K95&lt;=2,INDEX('Cash Book'!$B$8:$B$507,L95),INDEX('Bank Statement'!$B$8:$B$507,L95)))</f>
        <v/>
      </c>
      <c r="D95" s="49" t="str">
        <f aca="false">IF(J95="","",IF(K95&lt;=2,INDEX('Cash Book'!$E$8:$E$507,L95),INDEX('Bank Statement'!$D$8:$D$507,L95))&amp;"")</f>
        <v/>
      </c>
      <c r="E95" s="45" t="str">
        <f aca="false">IF(J95="","",IF(K95&lt;=2,INDEX('Cash Book'!$D$8:$D$507,L95),INDEX('Bank Statement'!$C$8:$C$507,L95))&amp;"")</f>
        <v/>
      </c>
      <c r="F95" s="50" t="str">
        <f aca="false">IF(J95="","",IF(K95&lt;=2,INDEX('Cash Book'!$W$8:$W$507,L95),INDEX('Bank Statement'!$W$8:$W$507,L95)))</f>
        <v/>
      </c>
      <c r="G95" s="49" t="str">
        <f aca="false">IF(J95="","",INDEX(Lists!$B$1:$B$4,K95))</f>
        <v/>
      </c>
      <c r="H95" s="45" t="str">
        <f aca="false">IF(J95="","",INDEX(Lists!$C$1:$C$4,K95))</f>
        <v/>
      </c>
      <c r="J95" s="9" t="str">
        <f aca="false">IF(89&lt;=$J$4,SMALL('Cash Book'!$V$8:$V$507,89),IF(89&lt;=$J$4+$K$4,SMALL('Bank Statement'!$V$8:$V$507,89-$J$4),""))</f>
        <v/>
      </c>
      <c r="K95" s="9" t="str">
        <f aca="false">IF(J95="","",INT(J95/100000))</f>
        <v/>
      </c>
      <c r="L95" s="9" t="str">
        <f aca="false">IF(J95="","",MOD(J95,100000)-7)</f>
        <v/>
      </c>
    </row>
    <row r="96" customFormat="false" ht="15" hidden="false" customHeight="false" outlineLevel="0" collapsed="false">
      <c r="A96" s="37" t="str">
        <f aca="false">IF(J96="","",90)</f>
        <v/>
      </c>
      <c r="B96" s="45" t="str">
        <f aca="false">IF(J96="","",INDEX(Lists!$A$1:$A$4,K96))</f>
        <v/>
      </c>
      <c r="C96" s="48" t="str">
        <f aca="false">IF(J96="","",IF(K96&lt;=2,INDEX('Cash Book'!$B$8:$B$507,L96),INDEX('Bank Statement'!$B$8:$B$507,L96)))</f>
        <v/>
      </c>
      <c r="D96" s="49" t="str">
        <f aca="false">IF(J96="","",IF(K96&lt;=2,INDEX('Cash Book'!$E$8:$E$507,L96),INDEX('Bank Statement'!$D$8:$D$507,L96))&amp;"")</f>
        <v/>
      </c>
      <c r="E96" s="45" t="str">
        <f aca="false">IF(J96="","",IF(K96&lt;=2,INDEX('Cash Book'!$D$8:$D$507,L96),INDEX('Bank Statement'!$C$8:$C$507,L96))&amp;"")</f>
        <v/>
      </c>
      <c r="F96" s="50" t="str">
        <f aca="false">IF(J96="","",IF(K96&lt;=2,INDEX('Cash Book'!$W$8:$W$507,L96),INDEX('Bank Statement'!$W$8:$W$507,L96)))</f>
        <v/>
      </c>
      <c r="G96" s="49" t="str">
        <f aca="false">IF(J96="","",INDEX(Lists!$B$1:$B$4,K96))</f>
        <v/>
      </c>
      <c r="H96" s="45" t="str">
        <f aca="false">IF(J96="","",INDEX(Lists!$C$1:$C$4,K96))</f>
        <v/>
      </c>
      <c r="J96" s="9" t="str">
        <f aca="false">IF(90&lt;=$J$4,SMALL('Cash Book'!$V$8:$V$507,90),IF(90&lt;=$J$4+$K$4,SMALL('Bank Statement'!$V$8:$V$507,90-$J$4),""))</f>
        <v/>
      </c>
      <c r="K96" s="9" t="str">
        <f aca="false">IF(J96="","",INT(J96/100000))</f>
        <v/>
      </c>
      <c r="L96" s="9" t="str">
        <f aca="false">IF(J96="","",MOD(J96,100000)-7)</f>
        <v/>
      </c>
    </row>
    <row r="97" customFormat="false" ht="15" hidden="false" customHeight="false" outlineLevel="0" collapsed="false">
      <c r="A97" s="37" t="str">
        <f aca="false">IF(J97="","",91)</f>
        <v/>
      </c>
      <c r="B97" s="45" t="str">
        <f aca="false">IF(J97="","",INDEX(Lists!$A$1:$A$4,K97))</f>
        <v/>
      </c>
      <c r="C97" s="48" t="str">
        <f aca="false">IF(J97="","",IF(K97&lt;=2,INDEX('Cash Book'!$B$8:$B$507,L97),INDEX('Bank Statement'!$B$8:$B$507,L97)))</f>
        <v/>
      </c>
      <c r="D97" s="49" t="str">
        <f aca="false">IF(J97="","",IF(K97&lt;=2,INDEX('Cash Book'!$E$8:$E$507,L97),INDEX('Bank Statement'!$D$8:$D$507,L97))&amp;"")</f>
        <v/>
      </c>
      <c r="E97" s="45" t="str">
        <f aca="false">IF(J97="","",IF(K97&lt;=2,INDEX('Cash Book'!$D$8:$D$507,L97),INDEX('Bank Statement'!$C$8:$C$507,L97))&amp;"")</f>
        <v/>
      </c>
      <c r="F97" s="50" t="str">
        <f aca="false">IF(J97="","",IF(K97&lt;=2,INDEX('Cash Book'!$W$8:$W$507,L97),INDEX('Bank Statement'!$W$8:$W$507,L97)))</f>
        <v/>
      </c>
      <c r="G97" s="49" t="str">
        <f aca="false">IF(J97="","",INDEX(Lists!$B$1:$B$4,K97))</f>
        <v/>
      </c>
      <c r="H97" s="45" t="str">
        <f aca="false">IF(J97="","",INDEX(Lists!$C$1:$C$4,K97))</f>
        <v/>
      </c>
      <c r="J97" s="9" t="str">
        <f aca="false">IF(91&lt;=$J$4,SMALL('Cash Book'!$V$8:$V$507,91),IF(91&lt;=$J$4+$K$4,SMALL('Bank Statement'!$V$8:$V$507,91-$J$4),""))</f>
        <v/>
      </c>
      <c r="K97" s="9" t="str">
        <f aca="false">IF(J97="","",INT(J97/100000))</f>
        <v/>
      </c>
      <c r="L97" s="9" t="str">
        <f aca="false">IF(J97="","",MOD(J97,100000)-7)</f>
        <v/>
      </c>
    </row>
    <row r="98" customFormat="false" ht="15" hidden="false" customHeight="false" outlineLevel="0" collapsed="false">
      <c r="A98" s="37" t="str">
        <f aca="false">IF(J98="","",92)</f>
        <v/>
      </c>
      <c r="B98" s="45" t="str">
        <f aca="false">IF(J98="","",INDEX(Lists!$A$1:$A$4,K98))</f>
        <v/>
      </c>
      <c r="C98" s="48" t="str">
        <f aca="false">IF(J98="","",IF(K98&lt;=2,INDEX('Cash Book'!$B$8:$B$507,L98),INDEX('Bank Statement'!$B$8:$B$507,L98)))</f>
        <v/>
      </c>
      <c r="D98" s="49" t="str">
        <f aca="false">IF(J98="","",IF(K98&lt;=2,INDEX('Cash Book'!$E$8:$E$507,L98),INDEX('Bank Statement'!$D$8:$D$507,L98))&amp;"")</f>
        <v/>
      </c>
      <c r="E98" s="45" t="str">
        <f aca="false">IF(J98="","",IF(K98&lt;=2,INDEX('Cash Book'!$D$8:$D$507,L98),INDEX('Bank Statement'!$C$8:$C$507,L98))&amp;"")</f>
        <v/>
      </c>
      <c r="F98" s="50" t="str">
        <f aca="false">IF(J98="","",IF(K98&lt;=2,INDEX('Cash Book'!$W$8:$W$507,L98),INDEX('Bank Statement'!$W$8:$W$507,L98)))</f>
        <v/>
      </c>
      <c r="G98" s="49" t="str">
        <f aca="false">IF(J98="","",INDEX(Lists!$B$1:$B$4,K98))</f>
        <v/>
      </c>
      <c r="H98" s="45" t="str">
        <f aca="false">IF(J98="","",INDEX(Lists!$C$1:$C$4,K98))</f>
        <v/>
      </c>
      <c r="J98" s="9" t="str">
        <f aca="false">IF(92&lt;=$J$4,SMALL('Cash Book'!$V$8:$V$507,92),IF(92&lt;=$J$4+$K$4,SMALL('Bank Statement'!$V$8:$V$507,92-$J$4),""))</f>
        <v/>
      </c>
      <c r="K98" s="9" t="str">
        <f aca="false">IF(J98="","",INT(J98/100000))</f>
        <v/>
      </c>
      <c r="L98" s="9" t="str">
        <f aca="false">IF(J98="","",MOD(J98,100000)-7)</f>
        <v/>
      </c>
    </row>
    <row r="99" customFormat="false" ht="15" hidden="false" customHeight="false" outlineLevel="0" collapsed="false">
      <c r="A99" s="37" t="str">
        <f aca="false">IF(J99="","",93)</f>
        <v/>
      </c>
      <c r="B99" s="45" t="str">
        <f aca="false">IF(J99="","",INDEX(Lists!$A$1:$A$4,K99))</f>
        <v/>
      </c>
      <c r="C99" s="48" t="str">
        <f aca="false">IF(J99="","",IF(K99&lt;=2,INDEX('Cash Book'!$B$8:$B$507,L99),INDEX('Bank Statement'!$B$8:$B$507,L99)))</f>
        <v/>
      </c>
      <c r="D99" s="49" t="str">
        <f aca="false">IF(J99="","",IF(K99&lt;=2,INDEX('Cash Book'!$E$8:$E$507,L99),INDEX('Bank Statement'!$D$8:$D$507,L99))&amp;"")</f>
        <v/>
      </c>
      <c r="E99" s="45" t="str">
        <f aca="false">IF(J99="","",IF(K99&lt;=2,INDEX('Cash Book'!$D$8:$D$507,L99),INDEX('Bank Statement'!$C$8:$C$507,L99))&amp;"")</f>
        <v/>
      </c>
      <c r="F99" s="50" t="str">
        <f aca="false">IF(J99="","",IF(K99&lt;=2,INDEX('Cash Book'!$W$8:$W$507,L99),INDEX('Bank Statement'!$W$8:$W$507,L99)))</f>
        <v/>
      </c>
      <c r="G99" s="49" t="str">
        <f aca="false">IF(J99="","",INDEX(Lists!$B$1:$B$4,K99))</f>
        <v/>
      </c>
      <c r="H99" s="45" t="str">
        <f aca="false">IF(J99="","",INDEX(Lists!$C$1:$C$4,K99))</f>
        <v/>
      </c>
      <c r="J99" s="9" t="str">
        <f aca="false">IF(93&lt;=$J$4,SMALL('Cash Book'!$V$8:$V$507,93),IF(93&lt;=$J$4+$K$4,SMALL('Bank Statement'!$V$8:$V$507,93-$J$4),""))</f>
        <v/>
      </c>
      <c r="K99" s="9" t="str">
        <f aca="false">IF(J99="","",INT(J99/100000))</f>
        <v/>
      </c>
      <c r="L99" s="9" t="str">
        <f aca="false">IF(J99="","",MOD(J99,100000)-7)</f>
        <v/>
      </c>
    </row>
    <row r="100" customFormat="false" ht="15" hidden="false" customHeight="false" outlineLevel="0" collapsed="false">
      <c r="A100" s="37" t="str">
        <f aca="false">IF(J100="","",94)</f>
        <v/>
      </c>
      <c r="B100" s="45" t="str">
        <f aca="false">IF(J100="","",INDEX(Lists!$A$1:$A$4,K100))</f>
        <v/>
      </c>
      <c r="C100" s="48" t="str">
        <f aca="false">IF(J100="","",IF(K100&lt;=2,INDEX('Cash Book'!$B$8:$B$507,L100),INDEX('Bank Statement'!$B$8:$B$507,L100)))</f>
        <v/>
      </c>
      <c r="D100" s="49" t="str">
        <f aca="false">IF(J100="","",IF(K100&lt;=2,INDEX('Cash Book'!$E$8:$E$507,L100),INDEX('Bank Statement'!$D$8:$D$507,L100))&amp;"")</f>
        <v/>
      </c>
      <c r="E100" s="45" t="str">
        <f aca="false">IF(J100="","",IF(K100&lt;=2,INDEX('Cash Book'!$D$8:$D$507,L100),INDEX('Bank Statement'!$C$8:$C$507,L100))&amp;"")</f>
        <v/>
      </c>
      <c r="F100" s="50" t="str">
        <f aca="false">IF(J100="","",IF(K100&lt;=2,INDEX('Cash Book'!$W$8:$W$507,L100),INDEX('Bank Statement'!$W$8:$W$507,L100)))</f>
        <v/>
      </c>
      <c r="G100" s="49" t="str">
        <f aca="false">IF(J100="","",INDEX(Lists!$B$1:$B$4,K100))</f>
        <v/>
      </c>
      <c r="H100" s="45" t="str">
        <f aca="false">IF(J100="","",INDEX(Lists!$C$1:$C$4,K100))</f>
        <v/>
      </c>
      <c r="J100" s="9" t="str">
        <f aca="false">IF(94&lt;=$J$4,SMALL('Cash Book'!$V$8:$V$507,94),IF(94&lt;=$J$4+$K$4,SMALL('Bank Statement'!$V$8:$V$507,94-$J$4),""))</f>
        <v/>
      </c>
      <c r="K100" s="9" t="str">
        <f aca="false">IF(J100="","",INT(J100/100000))</f>
        <v/>
      </c>
      <c r="L100" s="9" t="str">
        <f aca="false">IF(J100="","",MOD(J100,100000)-7)</f>
        <v/>
      </c>
    </row>
    <row r="101" customFormat="false" ht="15" hidden="false" customHeight="false" outlineLevel="0" collapsed="false">
      <c r="A101" s="37" t="str">
        <f aca="false">IF(J101="","",95)</f>
        <v/>
      </c>
      <c r="B101" s="45" t="str">
        <f aca="false">IF(J101="","",INDEX(Lists!$A$1:$A$4,K101))</f>
        <v/>
      </c>
      <c r="C101" s="48" t="str">
        <f aca="false">IF(J101="","",IF(K101&lt;=2,INDEX('Cash Book'!$B$8:$B$507,L101),INDEX('Bank Statement'!$B$8:$B$507,L101)))</f>
        <v/>
      </c>
      <c r="D101" s="49" t="str">
        <f aca="false">IF(J101="","",IF(K101&lt;=2,INDEX('Cash Book'!$E$8:$E$507,L101),INDEX('Bank Statement'!$D$8:$D$507,L101))&amp;"")</f>
        <v/>
      </c>
      <c r="E101" s="45" t="str">
        <f aca="false">IF(J101="","",IF(K101&lt;=2,INDEX('Cash Book'!$D$8:$D$507,L101),INDEX('Bank Statement'!$C$8:$C$507,L101))&amp;"")</f>
        <v/>
      </c>
      <c r="F101" s="50" t="str">
        <f aca="false">IF(J101="","",IF(K101&lt;=2,INDEX('Cash Book'!$W$8:$W$507,L101),INDEX('Bank Statement'!$W$8:$W$507,L101)))</f>
        <v/>
      </c>
      <c r="G101" s="49" t="str">
        <f aca="false">IF(J101="","",INDEX(Lists!$B$1:$B$4,K101))</f>
        <v/>
      </c>
      <c r="H101" s="45" t="str">
        <f aca="false">IF(J101="","",INDEX(Lists!$C$1:$C$4,K101))</f>
        <v/>
      </c>
      <c r="J101" s="9" t="str">
        <f aca="false">IF(95&lt;=$J$4,SMALL('Cash Book'!$V$8:$V$507,95),IF(95&lt;=$J$4+$K$4,SMALL('Bank Statement'!$V$8:$V$507,95-$J$4),""))</f>
        <v/>
      </c>
      <c r="K101" s="9" t="str">
        <f aca="false">IF(J101="","",INT(J101/100000))</f>
        <v/>
      </c>
      <c r="L101" s="9" t="str">
        <f aca="false">IF(J101="","",MOD(J101,100000)-7)</f>
        <v/>
      </c>
    </row>
    <row r="102" customFormat="false" ht="15" hidden="false" customHeight="false" outlineLevel="0" collapsed="false">
      <c r="A102" s="37" t="str">
        <f aca="false">IF(J102="","",96)</f>
        <v/>
      </c>
      <c r="B102" s="45" t="str">
        <f aca="false">IF(J102="","",INDEX(Lists!$A$1:$A$4,K102))</f>
        <v/>
      </c>
      <c r="C102" s="48" t="str">
        <f aca="false">IF(J102="","",IF(K102&lt;=2,INDEX('Cash Book'!$B$8:$B$507,L102),INDEX('Bank Statement'!$B$8:$B$507,L102)))</f>
        <v/>
      </c>
      <c r="D102" s="49" t="str">
        <f aca="false">IF(J102="","",IF(K102&lt;=2,INDEX('Cash Book'!$E$8:$E$507,L102),INDEX('Bank Statement'!$D$8:$D$507,L102))&amp;"")</f>
        <v/>
      </c>
      <c r="E102" s="45" t="str">
        <f aca="false">IF(J102="","",IF(K102&lt;=2,INDEX('Cash Book'!$D$8:$D$507,L102),INDEX('Bank Statement'!$C$8:$C$507,L102))&amp;"")</f>
        <v/>
      </c>
      <c r="F102" s="50" t="str">
        <f aca="false">IF(J102="","",IF(K102&lt;=2,INDEX('Cash Book'!$W$8:$W$507,L102),INDEX('Bank Statement'!$W$8:$W$507,L102)))</f>
        <v/>
      </c>
      <c r="G102" s="49" t="str">
        <f aca="false">IF(J102="","",INDEX(Lists!$B$1:$B$4,K102))</f>
        <v/>
      </c>
      <c r="H102" s="45" t="str">
        <f aca="false">IF(J102="","",INDEX(Lists!$C$1:$C$4,K102))</f>
        <v/>
      </c>
      <c r="J102" s="9" t="str">
        <f aca="false">IF(96&lt;=$J$4,SMALL('Cash Book'!$V$8:$V$507,96),IF(96&lt;=$J$4+$K$4,SMALL('Bank Statement'!$V$8:$V$507,96-$J$4),""))</f>
        <v/>
      </c>
      <c r="K102" s="9" t="str">
        <f aca="false">IF(J102="","",INT(J102/100000))</f>
        <v/>
      </c>
      <c r="L102" s="9" t="str">
        <f aca="false">IF(J102="","",MOD(J102,100000)-7)</f>
        <v/>
      </c>
    </row>
    <row r="103" customFormat="false" ht="15" hidden="false" customHeight="false" outlineLevel="0" collapsed="false">
      <c r="A103" s="37" t="str">
        <f aca="false">IF(J103="","",97)</f>
        <v/>
      </c>
      <c r="B103" s="45" t="str">
        <f aca="false">IF(J103="","",INDEX(Lists!$A$1:$A$4,K103))</f>
        <v/>
      </c>
      <c r="C103" s="48" t="str">
        <f aca="false">IF(J103="","",IF(K103&lt;=2,INDEX('Cash Book'!$B$8:$B$507,L103),INDEX('Bank Statement'!$B$8:$B$507,L103)))</f>
        <v/>
      </c>
      <c r="D103" s="49" t="str">
        <f aca="false">IF(J103="","",IF(K103&lt;=2,INDEX('Cash Book'!$E$8:$E$507,L103),INDEX('Bank Statement'!$D$8:$D$507,L103))&amp;"")</f>
        <v/>
      </c>
      <c r="E103" s="45" t="str">
        <f aca="false">IF(J103="","",IF(K103&lt;=2,INDEX('Cash Book'!$D$8:$D$507,L103),INDEX('Bank Statement'!$C$8:$C$507,L103))&amp;"")</f>
        <v/>
      </c>
      <c r="F103" s="50" t="str">
        <f aca="false">IF(J103="","",IF(K103&lt;=2,INDEX('Cash Book'!$W$8:$W$507,L103),INDEX('Bank Statement'!$W$8:$W$507,L103)))</f>
        <v/>
      </c>
      <c r="G103" s="49" t="str">
        <f aca="false">IF(J103="","",INDEX(Lists!$B$1:$B$4,K103))</f>
        <v/>
      </c>
      <c r="H103" s="45" t="str">
        <f aca="false">IF(J103="","",INDEX(Lists!$C$1:$C$4,K103))</f>
        <v/>
      </c>
      <c r="J103" s="9" t="str">
        <f aca="false">IF(97&lt;=$J$4,SMALL('Cash Book'!$V$8:$V$507,97),IF(97&lt;=$J$4+$K$4,SMALL('Bank Statement'!$V$8:$V$507,97-$J$4),""))</f>
        <v/>
      </c>
      <c r="K103" s="9" t="str">
        <f aca="false">IF(J103="","",INT(J103/100000))</f>
        <v/>
      </c>
      <c r="L103" s="9" t="str">
        <f aca="false">IF(J103="","",MOD(J103,100000)-7)</f>
        <v/>
      </c>
    </row>
    <row r="104" customFormat="false" ht="15" hidden="false" customHeight="false" outlineLevel="0" collapsed="false">
      <c r="A104" s="37" t="str">
        <f aca="false">IF(J104="","",98)</f>
        <v/>
      </c>
      <c r="B104" s="45" t="str">
        <f aca="false">IF(J104="","",INDEX(Lists!$A$1:$A$4,K104))</f>
        <v/>
      </c>
      <c r="C104" s="48" t="str">
        <f aca="false">IF(J104="","",IF(K104&lt;=2,INDEX('Cash Book'!$B$8:$B$507,L104),INDEX('Bank Statement'!$B$8:$B$507,L104)))</f>
        <v/>
      </c>
      <c r="D104" s="49" t="str">
        <f aca="false">IF(J104="","",IF(K104&lt;=2,INDEX('Cash Book'!$E$8:$E$507,L104),INDEX('Bank Statement'!$D$8:$D$507,L104))&amp;"")</f>
        <v/>
      </c>
      <c r="E104" s="45" t="str">
        <f aca="false">IF(J104="","",IF(K104&lt;=2,INDEX('Cash Book'!$D$8:$D$507,L104),INDEX('Bank Statement'!$C$8:$C$507,L104))&amp;"")</f>
        <v/>
      </c>
      <c r="F104" s="50" t="str">
        <f aca="false">IF(J104="","",IF(K104&lt;=2,INDEX('Cash Book'!$W$8:$W$507,L104),INDEX('Bank Statement'!$W$8:$W$507,L104)))</f>
        <v/>
      </c>
      <c r="G104" s="49" t="str">
        <f aca="false">IF(J104="","",INDEX(Lists!$B$1:$B$4,K104))</f>
        <v/>
      </c>
      <c r="H104" s="45" t="str">
        <f aca="false">IF(J104="","",INDEX(Lists!$C$1:$C$4,K104))</f>
        <v/>
      </c>
      <c r="J104" s="9" t="str">
        <f aca="false">IF(98&lt;=$J$4,SMALL('Cash Book'!$V$8:$V$507,98),IF(98&lt;=$J$4+$K$4,SMALL('Bank Statement'!$V$8:$V$507,98-$J$4),""))</f>
        <v/>
      </c>
      <c r="K104" s="9" t="str">
        <f aca="false">IF(J104="","",INT(J104/100000))</f>
        <v/>
      </c>
      <c r="L104" s="9" t="str">
        <f aca="false">IF(J104="","",MOD(J104,100000)-7)</f>
        <v/>
      </c>
    </row>
    <row r="105" customFormat="false" ht="15" hidden="false" customHeight="false" outlineLevel="0" collapsed="false">
      <c r="A105" s="37" t="str">
        <f aca="false">IF(J105="","",99)</f>
        <v/>
      </c>
      <c r="B105" s="45" t="str">
        <f aca="false">IF(J105="","",INDEX(Lists!$A$1:$A$4,K105))</f>
        <v/>
      </c>
      <c r="C105" s="48" t="str">
        <f aca="false">IF(J105="","",IF(K105&lt;=2,INDEX('Cash Book'!$B$8:$B$507,L105),INDEX('Bank Statement'!$B$8:$B$507,L105)))</f>
        <v/>
      </c>
      <c r="D105" s="49" t="str">
        <f aca="false">IF(J105="","",IF(K105&lt;=2,INDEX('Cash Book'!$E$8:$E$507,L105),INDEX('Bank Statement'!$D$8:$D$507,L105))&amp;"")</f>
        <v/>
      </c>
      <c r="E105" s="45" t="str">
        <f aca="false">IF(J105="","",IF(K105&lt;=2,INDEX('Cash Book'!$D$8:$D$507,L105),INDEX('Bank Statement'!$C$8:$C$507,L105))&amp;"")</f>
        <v/>
      </c>
      <c r="F105" s="50" t="str">
        <f aca="false">IF(J105="","",IF(K105&lt;=2,INDEX('Cash Book'!$W$8:$W$507,L105),INDEX('Bank Statement'!$W$8:$W$507,L105)))</f>
        <v/>
      </c>
      <c r="G105" s="49" t="str">
        <f aca="false">IF(J105="","",INDEX(Lists!$B$1:$B$4,K105))</f>
        <v/>
      </c>
      <c r="H105" s="45" t="str">
        <f aca="false">IF(J105="","",INDEX(Lists!$C$1:$C$4,K105))</f>
        <v/>
      </c>
      <c r="J105" s="9" t="str">
        <f aca="false">IF(99&lt;=$J$4,SMALL('Cash Book'!$V$8:$V$507,99),IF(99&lt;=$J$4+$K$4,SMALL('Bank Statement'!$V$8:$V$507,99-$J$4),""))</f>
        <v/>
      </c>
      <c r="K105" s="9" t="str">
        <f aca="false">IF(J105="","",INT(J105/100000))</f>
        <v/>
      </c>
      <c r="L105" s="9" t="str">
        <f aca="false">IF(J105="","",MOD(J105,100000)-7)</f>
        <v/>
      </c>
    </row>
    <row r="106" customFormat="false" ht="15" hidden="false" customHeight="false" outlineLevel="0" collapsed="false">
      <c r="A106" s="37" t="str">
        <f aca="false">IF(J106="","",100)</f>
        <v/>
      </c>
      <c r="B106" s="45" t="str">
        <f aca="false">IF(J106="","",INDEX(Lists!$A$1:$A$4,K106))</f>
        <v/>
      </c>
      <c r="C106" s="48" t="str">
        <f aca="false">IF(J106="","",IF(K106&lt;=2,INDEX('Cash Book'!$B$8:$B$507,L106),INDEX('Bank Statement'!$B$8:$B$507,L106)))</f>
        <v/>
      </c>
      <c r="D106" s="49" t="str">
        <f aca="false">IF(J106="","",IF(K106&lt;=2,INDEX('Cash Book'!$E$8:$E$507,L106),INDEX('Bank Statement'!$D$8:$D$507,L106))&amp;"")</f>
        <v/>
      </c>
      <c r="E106" s="45" t="str">
        <f aca="false">IF(J106="","",IF(K106&lt;=2,INDEX('Cash Book'!$D$8:$D$507,L106),INDEX('Bank Statement'!$C$8:$C$507,L106))&amp;"")</f>
        <v/>
      </c>
      <c r="F106" s="50" t="str">
        <f aca="false">IF(J106="","",IF(K106&lt;=2,INDEX('Cash Book'!$W$8:$W$507,L106),INDEX('Bank Statement'!$W$8:$W$507,L106)))</f>
        <v/>
      </c>
      <c r="G106" s="49" t="str">
        <f aca="false">IF(J106="","",INDEX(Lists!$B$1:$B$4,K106))</f>
        <v/>
      </c>
      <c r="H106" s="45" t="str">
        <f aca="false">IF(J106="","",INDEX(Lists!$C$1:$C$4,K106))</f>
        <v/>
      </c>
      <c r="J106" s="9" t="str">
        <f aca="false">IF(100&lt;=$J$4,SMALL('Cash Book'!$V$8:$V$507,100),IF(100&lt;=$J$4+$K$4,SMALL('Bank Statement'!$V$8:$V$507,100-$J$4),""))</f>
        <v/>
      </c>
      <c r="K106" s="9" t="str">
        <f aca="false">IF(J106="","",INT(J106/100000))</f>
        <v/>
      </c>
      <c r="L106" s="9" t="str">
        <f aca="false">IF(J106="","",MOD(J106,100000)-7)</f>
        <v/>
      </c>
    </row>
    <row r="107" customFormat="false" ht="15" hidden="false" customHeight="false" outlineLevel="0" collapsed="false">
      <c r="A107" s="37" t="str">
        <f aca="false">IF(J107="","",101)</f>
        <v/>
      </c>
      <c r="B107" s="45" t="str">
        <f aca="false">IF(J107="","",INDEX(Lists!$A$1:$A$4,K107))</f>
        <v/>
      </c>
      <c r="C107" s="48" t="str">
        <f aca="false">IF(J107="","",IF(K107&lt;=2,INDEX('Cash Book'!$B$8:$B$507,L107),INDEX('Bank Statement'!$B$8:$B$507,L107)))</f>
        <v/>
      </c>
      <c r="D107" s="49" t="str">
        <f aca="false">IF(J107="","",IF(K107&lt;=2,INDEX('Cash Book'!$E$8:$E$507,L107),INDEX('Bank Statement'!$D$8:$D$507,L107))&amp;"")</f>
        <v/>
      </c>
      <c r="E107" s="45" t="str">
        <f aca="false">IF(J107="","",IF(K107&lt;=2,INDEX('Cash Book'!$D$8:$D$507,L107),INDEX('Bank Statement'!$C$8:$C$507,L107))&amp;"")</f>
        <v/>
      </c>
      <c r="F107" s="50" t="str">
        <f aca="false">IF(J107="","",IF(K107&lt;=2,INDEX('Cash Book'!$W$8:$W$507,L107),INDEX('Bank Statement'!$W$8:$W$507,L107)))</f>
        <v/>
      </c>
      <c r="G107" s="49" t="str">
        <f aca="false">IF(J107="","",INDEX(Lists!$B$1:$B$4,K107))</f>
        <v/>
      </c>
      <c r="H107" s="45" t="str">
        <f aca="false">IF(J107="","",INDEX(Lists!$C$1:$C$4,K107))</f>
        <v/>
      </c>
      <c r="J107" s="9" t="str">
        <f aca="false">IF(101&lt;=$J$4,SMALL('Cash Book'!$V$8:$V$507,101),IF(101&lt;=$J$4+$K$4,SMALL('Bank Statement'!$V$8:$V$507,101-$J$4),""))</f>
        <v/>
      </c>
      <c r="K107" s="9" t="str">
        <f aca="false">IF(J107="","",INT(J107/100000))</f>
        <v/>
      </c>
      <c r="L107" s="9" t="str">
        <f aca="false">IF(J107="","",MOD(J107,100000)-7)</f>
        <v/>
      </c>
    </row>
    <row r="108" customFormat="false" ht="15" hidden="false" customHeight="false" outlineLevel="0" collapsed="false">
      <c r="A108" s="37" t="str">
        <f aca="false">IF(J108="","",102)</f>
        <v/>
      </c>
      <c r="B108" s="45" t="str">
        <f aca="false">IF(J108="","",INDEX(Lists!$A$1:$A$4,K108))</f>
        <v/>
      </c>
      <c r="C108" s="48" t="str">
        <f aca="false">IF(J108="","",IF(K108&lt;=2,INDEX('Cash Book'!$B$8:$B$507,L108),INDEX('Bank Statement'!$B$8:$B$507,L108)))</f>
        <v/>
      </c>
      <c r="D108" s="49" t="str">
        <f aca="false">IF(J108="","",IF(K108&lt;=2,INDEX('Cash Book'!$E$8:$E$507,L108),INDEX('Bank Statement'!$D$8:$D$507,L108))&amp;"")</f>
        <v/>
      </c>
      <c r="E108" s="45" t="str">
        <f aca="false">IF(J108="","",IF(K108&lt;=2,INDEX('Cash Book'!$D$8:$D$507,L108),INDEX('Bank Statement'!$C$8:$C$507,L108))&amp;"")</f>
        <v/>
      </c>
      <c r="F108" s="50" t="str">
        <f aca="false">IF(J108="","",IF(K108&lt;=2,INDEX('Cash Book'!$W$8:$W$507,L108),INDEX('Bank Statement'!$W$8:$W$507,L108)))</f>
        <v/>
      </c>
      <c r="G108" s="49" t="str">
        <f aca="false">IF(J108="","",INDEX(Lists!$B$1:$B$4,K108))</f>
        <v/>
      </c>
      <c r="H108" s="45" t="str">
        <f aca="false">IF(J108="","",INDEX(Lists!$C$1:$C$4,K108))</f>
        <v/>
      </c>
      <c r="J108" s="9" t="str">
        <f aca="false">IF(102&lt;=$J$4,SMALL('Cash Book'!$V$8:$V$507,102),IF(102&lt;=$J$4+$K$4,SMALL('Bank Statement'!$V$8:$V$507,102-$J$4),""))</f>
        <v/>
      </c>
      <c r="K108" s="9" t="str">
        <f aca="false">IF(J108="","",INT(J108/100000))</f>
        <v/>
      </c>
      <c r="L108" s="9" t="str">
        <f aca="false">IF(J108="","",MOD(J108,100000)-7)</f>
        <v/>
      </c>
    </row>
    <row r="109" customFormat="false" ht="15" hidden="false" customHeight="false" outlineLevel="0" collapsed="false">
      <c r="A109" s="37" t="str">
        <f aca="false">IF(J109="","",103)</f>
        <v/>
      </c>
      <c r="B109" s="45" t="str">
        <f aca="false">IF(J109="","",INDEX(Lists!$A$1:$A$4,K109))</f>
        <v/>
      </c>
      <c r="C109" s="48" t="str">
        <f aca="false">IF(J109="","",IF(K109&lt;=2,INDEX('Cash Book'!$B$8:$B$507,L109),INDEX('Bank Statement'!$B$8:$B$507,L109)))</f>
        <v/>
      </c>
      <c r="D109" s="49" t="str">
        <f aca="false">IF(J109="","",IF(K109&lt;=2,INDEX('Cash Book'!$E$8:$E$507,L109),INDEX('Bank Statement'!$D$8:$D$507,L109))&amp;"")</f>
        <v/>
      </c>
      <c r="E109" s="45" t="str">
        <f aca="false">IF(J109="","",IF(K109&lt;=2,INDEX('Cash Book'!$D$8:$D$507,L109),INDEX('Bank Statement'!$C$8:$C$507,L109))&amp;"")</f>
        <v/>
      </c>
      <c r="F109" s="50" t="str">
        <f aca="false">IF(J109="","",IF(K109&lt;=2,INDEX('Cash Book'!$W$8:$W$507,L109),INDEX('Bank Statement'!$W$8:$W$507,L109)))</f>
        <v/>
      </c>
      <c r="G109" s="49" t="str">
        <f aca="false">IF(J109="","",INDEX(Lists!$B$1:$B$4,K109))</f>
        <v/>
      </c>
      <c r="H109" s="45" t="str">
        <f aca="false">IF(J109="","",INDEX(Lists!$C$1:$C$4,K109))</f>
        <v/>
      </c>
      <c r="J109" s="9" t="str">
        <f aca="false">IF(103&lt;=$J$4,SMALL('Cash Book'!$V$8:$V$507,103),IF(103&lt;=$J$4+$K$4,SMALL('Bank Statement'!$V$8:$V$507,103-$J$4),""))</f>
        <v/>
      </c>
      <c r="K109" s="9" t="str">
        <f aca="false">IF(J109="","",INT(J109/100000))</f>
        <v/>
      </c>
      <c r="L109" s="9" t="str">
        <f aca="false">IF(J109="","",MOD(J109,100000)-7)</f>
        <v/>
      </c>
    </row>
    <row r="110" customFormat="false" ht="15" hidden="false" customHeight="false" outlineLevel="0" collapsed="false">
      <c r="A110" s="37" t="str">
        <f aca="false">IF(J110="","",104)</f>
        <v/>
      </c>
      <c r="B110" s="45" t="str">
        <f aca="false">IF(J110="","",INDEX(Lists!$A$1:$A$4,K110))</f>
        <v/>
      </c>
      <c r="C110" s="48" t="str">
        <f aca="false">IF(J110="","",IF(K110&lt;=2,INDEX('Cash Book'!$B$8:$B$507,L110),INDEX('Bank Statement'!$B$8:$B$507,L110)))</f>
        <v/>
      </c>
      <c r="D110" s="49" t="str">
        <f aca="false">IF(J110="","",IF(K110&lt;=2,INDEX('Cash Book'!$E$8:$E$507,L110),INDEX('Bank Statement'!$D$8:$D$507,L110))&amp;"")</f>
        <v/>
      </c>
      <c r="E110" s="45" t="str">
        <f aca="false">IF(J110="","",IF(K110&lt;=2,INDEX('Cash Book'!$D$8:$D$507,L110),INDEX('Bank Statement'!$C$8:$C$507,L110))&amp;"")</f>
        <v/>
      </c>
      <c r="F110" s="50" t="str">
        <f aca="false">IF(J110="","",IF(K110&lt;=2,INDEX('Cash Book'!$W$8:$W$507,L110),INDEX('Bank Statement'!$W$8:$W$507,L110)))</f>
        <v/>
      </c>
      <c r="G110" s="49" t="str">
        <f aca="false">IF(J110="","",INDEX(Lists!$B$1:$B$4,K110))</f>
        <v/>
      </c>
      <c r="H110" s="45" t="str">
        <f aca="false">IF(J110="","",INDEX(Lists!$C$1:$C$4,K110))</f>
        <v/>
      </c>
      <c r="J110" s="9" t="str">
        <f aca="false">IF(104&lt;=$J$4,SMALL('Cash Book'!$V$8:$V$507,104),IF(104&lt;=$J$4+$K$4,SMALL('Bank Statement'!$V$8:$V$507,104-$J$4),""))</f>
        <v/>
      </c>
      <c r="K110" s="9" t="str">
        <f aca="false">IF(J110="","",INT(J110/100000))</f>
        <v/>
      </c>
      <c r="L110" s="9" t="str">
        <f aca="false">IF(J110="","",MOD(J110,100000)-7)</f>
        <v/>
      </c>
    </row>
    <row r="111" customFormat="false" ht="15" hidden="false" customHeight="false" outlineLevel="0" collapsed="false">
      <c r="A111" s="37" t="str">
        <f aca="false">IF(J111="","",105)</f>
        <v/>
      </c>
      <c r="B111" s="45" t="str">
        <f aca="false">IF(J111="","",INDEX(Lists!$A$1:$A$4,K111))</f>
        <v/>
      </c>
      <c r="C111" s="48" t="str">
        <f aca="false">IF(J111="","",IF(K111&lt;=2,INDEX('Cash Book'!$B$8:$B$507,L111),INDEX('Bank Statement'!$B$8:$B$507,L111)))</f>
        <v/>
      </c>
      <c r="D111" s="49" t="str">
        <f aca="false">IF(J111="","",IF(K111&lt;=2,INDEX('Cash Book'!$E$8:$E$507,L111),INDEX('Bank Statement'!$D$8:$D$507,L111))&amp;"")</f>
        <v/>
      </c>
      <c r="E111" s="45" t="str">
        <f aca="false">IF(J111="","",IF(K111&lt;=2,INDEX('Cash Book'!$D$8:$D$507,L111),INDEX('Bank Statement'!$C$8:$C$507,L111))&amp;"")</f>
        <v/>
      </c>
      <c r="F111" s="50" t="str">
        <f aca="false">IF(J111="","",IF(K111&lt;=2,INDEX('Cash Book'!$W$8:$W$507,L111),INDEX('Bank Statement'!$W$8:$W$507,L111)))</f>
        <v/>
      </c>
      <c r="G111" s="49" t="str">
        <f aca="false">IF(J111="","",INDEX(Lists!$B$1:$B$4,K111))</f>
        <v/>
      </c>
      <c r="H111" s="45" t="str">
        <f aca="false">IF(J111="","",INDEX(Lists!$C$1:$C$4,K111))</f>
        <v/>
      </c>
      <c r="J111" s="9" t="str">
        <f aca="false">IF(105&lt;=$J$4,SMALL('Cash Book'!$V$8:$V$507,105),IF(105&lt;=$J$4+$K$4,SMALL('Bank Statement'!$V$8:$V$507,105-$J$4),""))</f>
        <v/>
      </c>
      <c r="K111" s="9" t="str">
        <f aca="false">IF(J111="","",INT(J111/100000))</f>
        <v/>
      </c>
      <c r="L111" s="9" t="str">
        <f aca="false">IF(J111="","",MOD(J111,100000)-7)</f>
        <v/>
      </c>
    </row>
    <row r="112" customFormat="false" ht="15" hidden="false" customHeight="false" outlineLevel="0" collapsed="false">
      <c r="A112" s="37" t="str">
        <f aca="false">IF(J112="","",106)</f>
        <v/>
      </c>
      <c r="B112" s="45" t="str">
        <f aca="false">IF(J112="","",INDEX(Lists!$A$1:$A$4,K112))</f>
        <v/>
      </c>
      <c r="C112" s="48" t="str">
        <f aca="false">IF(J112="","",IF(K112&lt;=2,INDEX('Cash Book'!$B$8:$B$507,L112),INDEX('Bank Statement'!$B$8:$B$507,L112)))</f>
        <v/>
      </c>
      <c r="D112" s="49" t="str">
        <f aca="false">IF(J112="","",IF(K112&lt;=2,INDEX('Cash Book'!$E$8:$E$507,L112),INDEX('Bank Statement'!$D$8:$D$507,L112))&amp;"")</f>
        <v/>
      </c>
      <c r="E112" s="45" t="str">
        <f aca="false">IF(J112="","",IF(K112&lt;=2,INDEX('Cash Book'!$D$8:$D$507,L112),INDEX('Bank Statement'!$C$8:$C$507,L112))&amp;"")</f>
        <v/>
      </c>
      <c r="F112" s="50" t="str">
        <f aca="false">IF(J112="","",IF(K112&lt;=2,INDEX('Cash Book'!$W$8:$W$507,L112),INDEX('Bank Statement'!$W$8:$W$507,L112)))</f>
        <v/>
      </c>
      <c r="G112" s="49" t="str">
        <f aca="false">IF(J112="","",INDEX(Lists!$B$1:$B$4,K112))</f>
        <v/>
      </c>
      <c r="H112" s="45" t="str">
        <f aca="false">IF(J112="","",INDEX(Lists!$C$1:$C$4,K112))</f>
        <v/>
      </c>
      <c r="J112" s="9" t="str">
        <f aca="false">IF(106&lt;=$J$4,SMALL('Cash Book'!$V$8:$V$507,106),IF(106&lt;=$J$4+$K$4,SMALL('Bank Statement'!$V$8:$V$507,106-$J$4),""))</f>
        <v/>
      </c>
      <c r="K112" s="9" t="str">
        <f aca="false">IF(J112="","",INT(J112/100000))</f>
        <v/>
      </c>
      <c r="L112" s="9" t="str">
        <f aca="false">IF(J112="","",MOD(J112,100000)-7)</f>
        <v/>
      </c>
    </row>
    <row r="113" customFormat="false" ht="15" hidden="false" customHeight="false" outlineLevel="0" collapsed="false">
      <c r="A113" s="37" t="str">
        <f aca="false">IF(J113="","",107)</f>
        <v/>
      </c>
      <c r="B113" s="45" t="str">
        <f aca="false">IF(J113="","",INDEX(Lists!$A$1:$A$4,K113))</f>
        <v/>
      </c>
      <c r="C113" s="48" t="str">
        <f aca="false">IF(J113="","",IF(K113&lt;=2,INDEX('Cash Book'!$B$8:$B$507,L113),INDEX('Bank Statement'!$B$8:$B$507,L113)))</f>
        <v/>
      </c>
      <c r="D113" s="49" t="str">
        <f aca="false">IF(J113="","",IF(K113&lt;=2,INDEX('Cash Book'!$E$8:$E$507,L113),INDEX('Bank Statement'!$D$8:$D$507,L113))&amp;"")</f>
        <v/>
      </c>
      <c r="E113" s="45" t="str">
        <f aca="false">IF(J113="","",IF(K113&lt;=2,INDEX('Cash Book'!$D$8:$D$507,L113),INDEX('Bank Statement'!$C$8:$C$507,L113))&amp;"")</f>
        <v/>
      </c>
      <c r="F113" s="50" t="str">
        <f aca="false">IF(J113="","",IF(K113&lt;=2,INDEX('Cash Book'!$W$8:$W$507,L113),INDEX('Bank Statement'!$W$8:$W$507,L113)))</f>
        <v/>
      </c>
      <c r="G113" s="49" t="str">
        <f aca="false">IF(J113="","",INDEX(Lists!$B$1:$B$4,K113))</f>
        <v/>
      </c>
      <c r="H113" s="45" t="str">
        <f aca="false">IF(J113="","",INDEX(Lists!$C$1:$C$4,K113))</f>
        <v/>
      </c>
      <c r="J113" s="9" t="str">
        <f aca="false">IF(107&lt;=$J$4,SMALL('Cash Book'!$V$8:$V$507,107),IF(107&lt;=$J$4+$K$4,SMALL('Bank Statement'!$V$8:$V$507,107-$J$4),""))</f>
        <v/>
      </c>
      <c r="K113" s="9" t="str">
        <f aca="false">IF(J113="","",INT(J113/100000))</f>
        <v/>
      </c>
      <c r="L113" s="9" t="str">
        <f aca="false">IF(J113="","",MOD(J113,100000)-7)</f>
        <v/>
      </c>
    </row>
    <row r="114" customFormat="false" ht="15" hidden="false" customHeight="false" outlineLevel="0" collapsed="false">
      <c r="A114" s="37" t="str">
        <f aca="false">IF(J114="","",108)</f>
        <v/>
      </c>
      <c r="B114" s="45" t="str">
        <f aca="false">IF(J114="","",INDEX(Lists!$A$1:$A$4,K114))</f>
        <v/>
      </c>
      <c r="C114" s="48" t="str">
        <f aca="false">IF(J114="","",IF(K114&lt;=2,INDEX('Cash Book'!$B$8:$B$507,L114),INDEX('Bank Statement'!$B$8:$B$507,L114)))</f>
        <v/>
      </c>
      <c r="D114" s="49" t="str">
        <f aca="false">IF(J114="","",IF(K114&lt;=2,INDEX('Cash Book'!$E$8:$E$507,L114),INDEX('Bank Statement'!$D$8:$D$507,L114))&amp;"")</f>
        <v/>
      </c>
      <c r="E114" s="45" t="str">
        <f aca="false">IF(J114="","",IF(K114&lt;=2,INDEX('Cash Book'!$D$8:$D$507,L114),INDEX('Bank Statement'!$C$8:$C$507,L114))&amp;"")</f>
        <v/>
      </c>
      <c r="F114" s="50" t="str">
        <f aca="false">IF(J114="","",IF(K114&lt;=2,INDEX('Cash Book'!$W$8:$W$507,L114),INDEX('Bank Statement'!$W$8:$W$507,L114)))</f>
        <v/>
      </c>
      <c r="G114" s="49" t="str">
        <f aca="false">IF(J114="","",INDEX(Lists!$B$1:$B$4,K114))</f>
        <v/>
      </c>
      <c r="H114" s="45" t="str">
        <f aca="false">IF(J114="","",INDEX(Lists!$C$1:$C$4,K114))</f>
        <v/>
      </c>
      <c r="J114" s="9" t="str">
        <f aca="false">IF(108&lt;=$J$4,SMALL('Cash Book'!$V$8:$V$507,108),IF(108&lt;=$J$4+$K$4,SMALL('Bank Statement'!$V$8:$V$507,108-$J$4),""))</f>
        <v/>
      </c>
      <c r="K114" s="9" t="str">
        <f aca="false">IF(J114="","",INT(J114/100000))</f>
        <v/>
      </c>
      <c r="L114" s="9" t="str">
        <f aca="false">IF(J114="","",MOD(J114,100000)-7)</f>
        <v/>
      </c>
    </row>
    <row r="115" customFormat="false" ht="15" hidden="false" customHeight="false" outlineLevel="0" collapsed="false">
      <c r="A115" s="37" t="str">
        <f aca="false">IF(J115="","",109)</f>
        <v/>
      </c>
      <c r="B115" s="45" t="str">
        <f aca="false">IF(J115="","",INDEX(Lists!$A$1:$A$4,K115))</f>
        <v/>
      </c>
      <c r="C115" s="48" t="str">
        <f aca="false">IF(J115="","",IF(K115&lt;=2,INDEX('Cash Book'!$B$8:$B$507,L115),INDEX('Bank Statement'!$B$8:$B$507,L115)))</f>
        <v/>
      </c>
      <c r="D115" s="49" t="str">
        <f aca="false">IF(J115="","",IF(K115&lt;=2,INDEX('Cash Book'!$E$8:$E$507,L115),INDEX('Bank Statement'!$D$8:$D$507,L115))&amp;"")</f>
        <v/>
      </c>
      <c r="E115" s="45" t="str">
        <f aca="false">IF(J115="","",IF(K115&lt;=2,INDEX('Cash Book'!$D$8:$D$507,L115),INDEX('Bank Statement'!$C$8:$C$507,L115))&amp;"")</f>
        <v/>
      </c>
      <c r="F115" s="50" t="str">
        <f aca="false">IF(J115="","",IF(K115&lt;=2,INDEX('Cash Book'!$W$8:$W$507,L115),INDEX('Bank Statement'!$W$8:$W$507,L115)))</f>
        <v/>
      </c>
      <c r="G115" s="49" t="str">
        <f aca="false">IF(J115="","",INDEX(Lists!$B$1:$B$4,K115))</f>
        <v/>
      </c>
      <c r="H115" s="45" t="str">
        <f aca="false">IF(J115="","",INDEX(Lists!$C$1:$C$4,K115))</f>
        <v/>
      </c>
      <c r="J115" s="9" t="str">
        <f aca="false">IF(109&lt;=$J$4,SMALL('Cash Book'!$V$8:$V$507,109),IF(109&lt;=$J$4+$K$4,SMALL('Bank Statement'!$V$8:$V$507,109-$J$4),""))</f>
        <v/>
      </c>
      <c r="K115" s="9" t="str">
        <f aca="false">IF(J115="","",INT(J115/100000))</f>
        <v/>
      </c>
      <c r="L115" s="9" t="str">
        <f aca="false">IF(J115="","",MOD(J115,100000)-7)</f>
        <v/>
      </c>
    </row>
    <row r="116" customFormat="false" ht="15" hidden="false" customHeight="false" outlineLevel="0" collapsed="false">
      <c r="A116" s="37" t="str">
        <f aca="false">IF(J116="","",110)</f>
        <v/>
      </c>
      <c r="B116" s="45" t="str">
        <f aca="false">IF(J116="","",INDEX(Lists!$A$1:$A$4,K116))</f>
        <v/>
      </c>
      <c r="C116" s="48" t="str">
        <f aca="false">IF(J116="","",IF(K116&lt;=2,INDEX('Cash Book'!$B$8:$B$507,L116),INDEX('Bank Statement'!$B$8:$B$507,L116)))</f>
        <v/>
      </c>
      <c r="D116" s="49" t="str">
        <f aca="false">IF(J116="","",IF(K116&lt;=2,INDEX('Cash Book'!$E$8:$E$507,L116),INDEX('Bank Statement'!$D$8:$D$507,L116))&amp;"")</f>
        <v/>
      </c>
      <c r="E116" s="45" t="str">
        <f aca="false">IF(J116="","",IF(K116&lt;=2,INDEX('Cash Book'!$D$8:$D$507,L116),INDEX('Bank Statement'!$C$8:$C$507,L116))&amp;"")</f>
        <v/>
      </c>
      <c r="F116" s="50" t="str">
        <f aca="false">IF(J116="","",IF(K116&lt;=2,INDEX('Cash Book'!$W$8:$W$507,L116),INDEX('Bank Statement'!$W$8:$W$507,L116)))</f>
        <v/>
      </c>
      <c r="G116" s="49" t="str">
        <f aca="false">IF(J116="","",INDEX(Lists!$B$1:$B$4,K116))</f>
        <v/>
      </c>
      <c r="H116" s="45" t="str">
        <f aca="false">IF(J116="","",INDEX(Lists!$C$1:$C$4,K116))</f>
        <v/>
      </c>
      <c r="J116" s="9" t="str">
        <f aca="false">IF(110&lt;=$J$4,SMALL('Cash Book'!$V$8:$V$507,110),IF(110&lt;=$J$4+$K$4,SMALL('Bank Statement'!$V$8:$V$507,110-$J$4),""))</f>
        <v/>
      </c>
      <c r="K116" s="9" t="str">
        <f aca="false">IF(J116="","",INT(J116/100000))</f>
        <v/>
      </c>
      <c r="L116" s="9" t="str">
        <f aca="false">IF(J116="","",MOD(J116,100000)-7)</f>
        <v/>
      </c>
    </row>
    <row r="117" customFormat="false" ht="15" hidden="false" customHeight="false" outlineLevel="0" collapsed="false">
      <c r="A117" s="37" t="str">
        <f aca="false">IF(J117="","",111)</f>
        <v/>
      </c>
      <c r="B117" s="45" t="str">
        <f aca="false">IF(J117="","",INDEX(Lists!$A$1:$A$4,K117))</f>
        <v/>
      </c>
      <c r="C117" s="48" t="str">
        <f aca="false">IF(J117="","",IF(K117&lt;=2,INDEX('Cash Book'!$B$8:$B$507,L117),INDEX('Bank Statement'!$B$8:$B$507,L117)))</f>
        <v/>
      </c>
      <c r="D117" s="49" t="str">
        <f aca="false">IF(J117="","",IF(K117&lt;=2,INDEX('Cash Book'!$E$8:$E$507,L117),INDEX('Bank Statement'!$D$8:$D$507,L117))&amp;"")</f>
        <v/>
      </c>
      <c r="E117" s="45" t="str">
        <f aca="false">IF(J117="","",IF(K117&lt;=2,INDEX('Cash Book'!$D$8:$D$507,L117),INDEX('Bank Statement'!$C$8:$C$507,L117))&amp;"")</f>
        <v/>
      </c>
      <c r="F117" s="50" t="str">
        <f aca="false">IF(J117="","",IF(K117&lt;=2,INDEX('Cash Book'!$W$8:$W$507,L117),INDEX('Bank Statement'!$W$8:$W$507,L117)))</f>
        <v/>
      </c>
      <c r="G117" s="49" t="str">
        <f aca="false">IF(J117="","",INDEX(Lists!$B$1:$B$4,K117))</f>
        <v/>
      </c>
      <c r="H117" s="45" t="str">
        <f aca="false">IF(J117="","",INDEX(Lists!$C$1:$C$4,K117))</f>
        <v/>
      </c>
      <c r="J117" s="9" t="str">
        <f aca="false">IF(111&lt;=$J$4,SMALL('Cash Book'!$V$8:$V$507,111),IF(111&lt;=$J$4+$K$4,SMALL('Bank Statement'!$V$8:$V$507,111-$J$4),""))</f>
        <v/>
      </c>
      <c r="K117" s="9" t="str">
        <f aca="false">IF(J117="","",INT(J117/100000))</f>
        <v/>
      </c>
      <c r="L117" s="9" t="str">
        <f aca="false">IF(J117="","",MOD(J117,100000)-7)</f>
        <v/>
      </c>
    </row>
    <row r="118" customFormat="false" ht="15" hidden="false" customHeight="false" outlineLevel="0" collapsed="false">
      <c r="A118" s="37" t="str">
        <f aca="false">IF(J118="","",112)</f>
        <v/>
      </c>
      <c r="B118" s="45" t="str">
        <f aca="false">IF(J118="","",INDEX(Lists!$A$1:$A$4,K118))</f>
        <v/>
      </c>
      <c r="C118" s="48" t="str">
        <f aca="false">IF(J118="","",IF(K118&lt;=2,INDEX('Cash Book'!$B$8:$B$507,L118),INDEX('Bank Statement'!$B$8:$B$507,L118)))</f>
        <v/>
      </c>
      <c r="D118" s="49" t="str">
        <f aca="false">IF(J118="","",IF(K118&lt;=2,INDEX('Cash Book'!$E$8:$E$507,L118),INDEX('Bank Statement'!$D$8:$D$507,L118))&amp;"")</f>
        <v/>
      </c>
      <c r="E118" s="45" t="str">
        <f aca="false">IF(J118="","",IF(K118&lt;=2,INDEX('Cash Book'!$D$8:$D$507,L118),INDEX('Bank Statement'!$C$8:$C$507,L118))&amp;"")</f>
        <v/>
      </c>
      <c r="F118" s="50" t="str">
        <f aca="false">IF(J118="","",IF(K118&lt;=2,INDEX('Cash Book'!$W$8:$W$507,L118),INDEX('Bank Statement'!$W$8:$W$507,L118)))</f>
        <v/>
      </c>
      <c r="G118" s="49" t="str">
        <f aca="false">IF(J118="","",INDEX(Lists!$B$1:$B$4,K118))</f>
        <v/>
      </c>
      <c r="H118" s="45" t="str">
        <f aca="false">IF(J118="","",INDEX(Lists!$C$1:$C$4,K118))</f>
        <v/>
      </c>
      <c r="J118" s="9" t="str">
        <f aca="false">IF(112&lt;=$J$4,SMALL('Cash Book'!$V$8:$V$507,112),IF(112&lt;=$J$4+$K$4,SMALL('Bank Statement'!$V$8:$V$507,112-$J$4),""))</f>
        <v/>
      </c>
      <c r="K118" s="9" t="str">
        <f aca="false">IF(J118="","",INT(J118/100000))</f>
        <v/>
      </c>
      <c r="L118" s="9" t="str">
        <f aca="false">IF(J118="","",MOD(J118,100000)-7)</f>
        <v/>
      </c>
    </row>
    <row r="119" customFormat="false" ht="15" hidden="false" customHeight="false" outlineLevel="0" collapsed="false">
      <c r="A119" s="37" t="str">
        <f aca="false">IF(J119="","",113)</f>
        <v/>
      </c>
      <c r="B119" s="45" t="str">
        <f aca="false">IF(J119="","",INDEX(Lists!$A$1:$A$4,K119))</f>
        <v/>
      </c>
      <c r="C119" s="48" t="str">
        <f aca="false">IF(J119="","",IF(K119&lt;=2,INDEX('Cash Book'!$B$8:$B$507,L119),INDEX('Bank Statement'!$B$8:$B$507,L119)))</f>
        <v/>
      </c>
      <c r="D119" s="49" t="str">
        <f aca="false">IF(J119="","",IF(K119&lt;=2,INDEX('Cash Book'!$E$8:$E$507,L119),INDEX('Bank Statement'!$D$8:$D$507,L119))&amp;"")</f>
        <v/>
      </c>
      <c r="E119" s="45" t="str">
        <f aca="false">IF(J119="","",IF(K119&lt;=2,INDEX('Cash Book'!$D$8:$D$507,L119),INDEX('Bank Statement'!$C$8:$C$507,L119))&amp;"")</f>
        <v/>
      </c>
      <c r="F119" s="50" t="str">
        <f aca="false">IF(J119="","",IF(K119&lt;=2,INDEX('Cash Book'!$W$8:$W$507,L119),INDEX('Bank Statement'!$W$8:$W$507,L119)))</f>
        <v/>
      </c>
      <c r="G119" s="49" t="str">
        <f aca="false">IF(J119="","",INDEX(Lists!$B$1:$B$4,K119))</f>
        <v/>
      </c>
      <c r="H119" s="45" t="str">
        <f aca="false">IF(J119="","",INDEX(Lists!$C$1:$C$4,K119))</f>
        <v/>
      </c>
      <c r="J119" s="9" t="str">
        <f aca="false">IF(113&lt;=$J$4,SMALL('Cash Book'!$V$8:$V$507,113),IF(113&lt;=$J$4+$K$4,SMALL('Bank Statement'!$V$8:$V$507,113-$J$4),""))</f>
        <v/>
      </c>
      <c r="K119" s="9" t="str">
        <f aca="false">IF(J119="","",INT(J119/100000))</f>
        <v/>
      </c>
      <c r="L119" s="9" t="str">
        <f aca="false">IF(J119="","",MOD(J119,100000)-7)</f>
        <v/>
      </c>
    </row>
    <row r="120" customFormat="false" ht="15" hidden="false" customHeight="false" outlineLevel="0" collapsed="false">
      <c r="A120" s="37" t="str">
        <f aca="false">IF(J120="","",114)</f>
        <v/>
      </c>
      <c r="B120" s="45" t="str">
        <f aca="false">IF(J120="","",INDEX(Lists!$A$1:$A$4,K120))</f>
        <v/>
      </c>
      <c r="C120" s="48" t="str">
        <f aca="false">IF(J120="","",IF(K120&lt;=2,INDEX('Cash Book'!$B$8:$B$507,L120),INDEX('Bank Statement'!$B$8:$B$507,L120)))</f>
        <v/>
      </c>
      <c r="D120" s="49" t="str">
        <f aca="false">IF(J120="","",IF(K120&lt;=2,INDEX('Cash Book'!$E$8:$E$507,L120),INDEX('Bank Statement'!$D$8:$D$507,L120))&amp;"")</f>
        <v/>
      </c>
      <c r="E120" s="45" t="str">
        <f aca="false">IF(J120="","",IF(K120&lt;=2,INDEX('Cash Book'!$D$8:$D$507,L120),INDEX('Bank Statement'!$C$8:$C$507,L120))&amp;"")</f>
        <v/>
      </c>
      <c r="F120" s="50" t="str">
        <f aca="false">IF(J120="","",IF(K120&lt;=2,INDEX('Cash Book'!$W$8:$W$507,L120),INDEX('Bank Statement'!$W$8:$W$507,L120)))</f>
        <v/>
      </c>
      <c r="G120" s="49" t="str">
        <f aca="false">IF(J120="","",INDEX(Lists!$B$1:$B$4,K120))</f>
        <v/>
      </c>
      <c r="H120" s="45" t="str">
        <f aca="false">IF(J120="","",INDEX(Lists!$C$1:$C$4,K120))</f>
        <v/>
      </c>
      <c r="J120" s="9" t="str">
        <f aca="false">IF(114&lt;=$J$4,SMALL('Cash Book'!$V$8:$V$507,114),IF(114&lt;=$J$4+$K$4,SMALL('Bank Statement'!$V$8:$V$507,114-$J$4),""))</f>
        <v/>
      </c>
      <c r="K120" s="9" t="str">
        <f aca="false">IF(J120="","",INT(J120/100000))</f>
        <v/>
      </c>
      <c r="L120" s="9" t="str">
        <f aca="false">IF(J120="","",MOD(J120,100000)-7)</f>
        <v/>
      </c>
    </row>
    <row r="121" customFormat="false" ht="15" hidden="false" customHeight="false" outlineLevel="0" collapsed="false">
      <c r="A121" s="37" t="str">
        <f aca="false">IF(J121="","",115)</f>
        <v/>
      </c>
      <c r="B121" s="45" t="str">
        <f aca="false">IF(J121="","",INDEX(Lists!$A$1:$A$4,K121))</f>
        <v/>
      </c>
      <c r="C121" s="48" t="str">
        <f aca="false">IF(J121="","",IF(K121&lt;=2,INDEX('Cash Book'!$B$8:$B$507,L121),INDEX('Bank Statement'!$B$8:$B$507,L121)))</f>
        <v/>
      </c>
      <c r="D121" s="49" t="str">
        <f aca="false">IF(J121="","",IF(K121&lt;=2,INDEX('Cash Book'!$E$8:$E$507,L121),INDEX('Bank Statement'!$D$8:$D$507,L121))&amp;"")</f>
        <v/>
      </c>
      <c r="E121" s="45" t="str">
        <f aca="false">IF(J121="","",IF(K121&lt;=2,INDEX('Cash Book'!$D$8:$D$507,L121),INDEX('Bank Statement'!$C$8:$C$507,L121))&amp;"")</f>
        <v/>
      </c>
      <c r="F121" s="50" t="str">
        <f aca="false">IF(J121="","",IF(K121&lt;=2,INDEX('Cash Book'!$W$8:$W$507,L121),INDEX('Bank Statement'!$W$8:$W$507,L121)))</f>
        <v/>
      </c>
      <c r="G121" s="49" t="str">
        <f aca="false">IF(J121="","",INDEX(Lists!$B$1:$B$4,K121))</f>
        <v/>
      </c>
      <c r="H121" s="45" t="str">
        <f aca="false">IF(J121="","",INDEX(Lists!$C$1:$C$4,K121))</f>
        <v/>
      </c>
      <c r="J121" s="9" t="str">
        <f aca="false">IF(115&lt;=$J$4,SMALL('Cash Book'!$V$8:$V$507,115),IF(115&lt;=$J$4+$K$4,SMALL('Bank Statement'!$V$8:$V$507,115-$J$4),""))</f>
        <v/>
      </c>
      <c r="K121" s="9" t="str">
        <f aca="false">IF(J121="","",INT(J121/100000))</f>
        <v/>
      </c>
      <c r="L121" s="9" t="str">
        <f aca="false">IF(J121="","",MOD(J121,100000)-7)</f>
        <v/>
      </c>
    </row>
    <row r="122" customFormat="false" ht="15" hidden="false" customHeight="false" outlineLevel="0" collapsed="false">
      <c r="A122" s="37" t="str">
        <f aca="false">IF(J122="","",116)</f>
        <v/>
      </c>
      <c r="B122" s="45" t="str">
        <f aca="false">IF(J122="","",INDEX(Lists!$A$1:$A$4,K122))</f>
        <v/>
      </c>
      <c r="C122" s="48" t="str">
        <f aca="false">IF(J122="","",IF(K122&lt;=2,INDEX('Cash Book'!$B$8:$B$507,L122),INDEX('Bank Statement'!$B$8:$B$507,L122)))</f>
        <v/>
      </c>
      <c r="D122" s="49" t="str">
        <f aca="false">IF(J122="","",IF(K122&lt;=2,INDEX('Cash Book'!$E$8:$E$507,L122),INDEX('Bank Statement'!$D$8:$D$507,L122))&amp;"")</f>
        <v/>
      </c>
      <c r="E122" s="45" t="str">
        <f aca="false">IF(J122="","",IF(K122&lt;=2,INDEX('Cash Book'!$D$8:$D$507,L122),INDEX('Bank Statement'!$C$8:$C$507,L122))&amp;"")</f>
        <v/>
      </c>
      <c r="F122" s="50" t="str">
        <f aca="false">IF(J122="","",IF(K122&lt;=2,INDEX('Cash Book'!$W$8:$W$507,L122),INDEX('Bank Statement'!$W$8:$W$507,L122)))</f>
        <v/>
      </c>
      <c r="G122" s="49" t="str">
        <f aca="false">IF(J122="","",INDEX(Lists!$B$1:$B$4,K122))</f>
        <v/>
      </c>
      <c r="H122" s="45" t="str">
        <f aca="false">IF(J122="","",INDEX(Lists!$C$1:$C$4,K122))</f>
        <v/>
      </c>
      <c r="J122" s="9" t="str">
        <f aca="false">IF(116&lt;=$J$4,SMALL('Cash Book'!$V$8:$V$507,116),IF(116&lt;=$J$4+$K$4,SMALL('Bank Statement'!$V$8:$V$507,116-$J$4),""))</f>
        <v/>
      </c>
      <c r="K122" s="9" t="str">
        <f aca="false">IF(J122="","",INT(J122/100000))</f>
        <v/>
      </c>
      <c r="L122" s="9" t="str">
        <f aca="false">IF(J122="","",MOD(J122,100000)-7)</f>
        <v/>
      </c>
    </row>
    <row r="123" customFormat="false" ht="15" hidden="false" customHeight="false" outlineLevel="0" collapsed="false">
      <c r="A123" s="37" t="str">
        <f aca="false">IF(J123="","",117)</f>
        <v/>
      </c>
      <c r="B123" s="45" t="str">
        <f aca="false">IF(J123="","",INDEX(Lists!$A$1:$A$4,K123))</f>
        <v/>
      </c>
      <c r="C123" s="48" t="str">
        <f aca="false">IF(J123="","",IF(K123&lt;=2,INDEX('Cash Book'!$B$8:$B$507,L123),INDEX('Bank Statement'!$B$8:$B$507,L123)))</f>
        <v/>
      </c>
      <c r="D123" s="49" t="str">
        <f aca="false">IF(J123="","",IF(K123&lt;=2,INDEX('Cash Book'!$E$8:$E$507,L123),INDEX('Bank Statement'!$D$8:$D$507,L123))&amp;"")</f>
        <v/>
      </c>
      <c r="E123" s="45" t="str">
        <f aca="false">IF(J123="","",IF(K123&lt;=2,INDEX('Cash Book'!$D$8:$D$507,L123),INDEX('Bank Statement'!$C$8:$C$507,L123))&amp;"")</f>
        <v/>
      </c>
      <c r="F123" s="50" t="str">
        <f aca="false">IF(J123="","",IF(K123&lt;=2,INDEX('Cash Book'!$W$8:$W$507,L123),INDEX('Bank Statement'!$W$8:$W$507,L123)))</f>
        <v/>
      </c>
      <c r="G123" s="49" t="str">
        <f aca="false">IF(J123="","",INDEX(Lists!$B$1:$B$4,K123))</f>
        <v/>
      </c>
      <c r="H123" s="45" t="str">
        <f aca="false">IF(J123="","",INDEX(Lists!$C$1:$C$4,K123))</f>
        <v/>
      </c>
      <c r="J123" s="9" t="str">
        <f aca="false">IF(117&lt;=$J$4,SMALL('Cash Book'!$V$8:$V$507,117),IF(117&lt;=$J$4+$K$4,SMALL('Bank Statement'!$V$8:$V$507,117-$J$4),""))</f>
        <v/>
      </c>
      <c r="K123" s="9" t="str">
        <f aca="false">IF(J123="","",INT(J123/100000))</f>
        <v/>
      </c>
      <c r="L123" s="9" t="str">
        <f aca="false">IF(J123="","",MOD(J123,100000)-7)</f>
        <v/>
      </c>
    </row>
    <row r="124" customFormat="false" ht="15" hidden="false" customHeight="false" outlineLevel="0" collapsed="false">
      <c r="A124" s="37" t="str">
        <f aca="false">IF(J124="","",118)</f>
        <v/>
      </c>
      <c r="B124" s="45" t="str">
        <f aca="false">IF(J124="","",INDEX(Lists!$A$1:$A$4,K124))</f>
        <v/>
      </c>
      <c r="C124" s="48" t="str">
        <f aca="false">IF(J124="","",IF(K124&lt;=2,INDEX('Cash Book'!$B$8:$B$507,L124),INDEX('Bank Statement'!$B$8:$B$507,L124)))</f>
        <v/>
      </c>
      <c r="D124" s="49" t="str">
        <f aca="false">IF(J124="","",IF(K124&lt;=2,INDEX('Cash Book'!$E$8:$E$507,L124),INDEX('Bank Statement'!$D$8:$D$507,L124))&amp;"")</f>
        <v/>
      </c>
      <c r="E124" s="45" t="str">
        <f aca="false">IF(J124="","",IF(K124&lt;=2,INDEX('Cash Book'!$D$8:$D$507,L124),INDEX('Bank Statement'!$C$8:$C$507,L124))&amp;"")</f>
        <v/>
      </c>
      <c r="F124" s="50" t="str">
        <f aca="false">IF(J124="","",IF(K124&lt;=2,INDEX('Cash Book'!$W$8:$W$507,L124),INDEX('Bank Statement'!$W$8:$W$507,L124)))</f>
        <v/>
      </c>
      <c r="G124" s="49" t="str">
        <f aca="false">IF(J124="","",INDEX(Lists!$B$1:$B$4,K124))</f>
        <v/>
      </c>
      <c r="H124" s="45" t="str">
        <f aca="false">IF(J124="","",INDEX(Lists!$C$1:$C$4,K124))</f>
        <v/>
      </c>
      <c r="J124" s="9" t="str">
        <f aca="false">IF(118&lt;=$J$4,SMALL('Cash Book'!$V$8:$V$507,118),IF(118&lt;=$J$4+$K$4,SMALL('Bank Statement'!$V$8:$V$507,118-$J$4),""))</f>
        <v/>
      </c>
      <c r="K124" s="9" t="str">
        <f aca="false">IF(J124="","",INT(J124/100000))</f>
        <v/>
      </c>
      <c r="L124" s="9" t="str">
        <f aca="false">IF(J124="","",MOD(J124,100000)-7)</f>
        <v/>
      </c>
    </row>
    <row r="125" customFormat="false" ht="15" hidden="false" customHeight="false" outlineLevel="0" collapsed="false">
      <c r="A125" s="37" t="str">
        <f aca="false">IF(J125="","",119)</f>
        <v/>
      </c>
      <c r="B125" s="45" t="str">
        <f aca="false">IF(J125="","",INDEX(Lists!$A$1:$A$4,K125))</f>
        <v/>
      </c>
      <c r="C125" s="48" t="str">
        <f aca="false">IF(J125="","",IF(K125&lt;=2,INDEX('Cash Book'!$B$8:$B$507,L125),INDEX('Bank Statement'!$B$8:$B$507,L125)))</f>
        <v/>
      </c>
      <c r="D125" s="49" t="str">
        <f aca="false">IF(J125="","",IF(K125&lt;=2,INDEX('Cash Book'!$E$8:$E$507,L125),INDEX('Bank Statement'!$D$8:$D$507,L125))&amp;"")</f>
        <v/>
      </c>
      <c r="E125" s="45" t="str">
        <f aca="false">IF(J125="","",IF(K125&lt;=2,INDEX('Cash Book'!$D$8:$D$507,L125),INDEX('Bank Statement'!$C$8:$C$507,L125))&amp;"")</f>
        <v/>
      </c>
      <c r="F125" s="50" t="str">
        <f aca="false">IF(J125="","",IF(K125&lt;=2,INDEX('Cash Book'!$W$8:$W$507,L125),INDEX('Bank Statement'!$W$8:$W$507,L125)))</f>
        <v/>
      </c>
      <c r="G125" s="49" t="str">
        <f aca="false">IF(J125="","",INDEX(Lists!$B$1:$B$4,K125))</f>
        <v/>
      </c>
      <c r="H125" s="45" t="str">
        <f aca="false">IF(J125="","",INDEX(Lists!$C$1:$C$4,K125))</f>
        <v/>
      </c>
      <c r="J125" s="9" t="str">
        <f aca="false">IF(119&lt;=$J$4,SMALL('Cash Book'!$V$8:$V$507,119),IF(119&lt;=$J$4+$K$4,SMALL('Bank Statement'!$V$8:$V$507,119-$J$4),""))</f>
        <v/>
      </c>
      <c r="K125" s="9" t="str">
        <f aca="false">IF(J125="","",INT(J125/100000))</f>
        <v/>
      </c>
      <c r="L125" s="9" t="str">
        <f aca="false">IF(J125="","",MOD(J125,100000)-7)</f>
        <v/>
      </c>
    </row>
    <row r="126" customFormat="false" ht="15" hidden="false" customHeight="false" outlineLevel="0" collapsed="false">
      <c r="A126" s="37" t="str">
        <f aca="false">IF(J126="","",120)</f>
        <v/>
      </c>
      <c r="B126" s="45" t="str">
        <f aca="false">IF(J126="","",INDEX(Lists!$A$1:$A$4,K126))</f>
        <v/>
      </c>
      <c r="C126" s="48" t="str">
        <f aca="false">IF(J126="","",IF(K126&lt;=2,INDEX('Cash Book'!$B$8:$B$507,L126),INDEX('Bank Statement'!$B$8:$B$507,L126)))</f>
        <v/>
      </c>
      <c r="D126" s="49" t="str">
        <f aca="false">IF(J126="","",IF(K126&lt;=2,INDEX('Cash Book'!$E$8:$E$507,L126),INDEX('Bank Statement'!$D$8:$D$507,L126))&amp;"")</f>
        <v/>
      </c>
      <c r="E126" s="45" t="str">
        <f aca="false">IF(J126="","",IF(K126&lt;=2,INDEX('Cash Book'!$D$8:$D$507,L126),INDEX('Bank Statement'!$C$8:$C$507,L126))&amp;"")</f>
        <v/>
      </c>
      <c r="F126" s="50" t="str">
        <f aca="false">IF(J126="","",IF(K126&lt;=2,INDEX('Cash Book'!$W$8:$W$507,L126),INDEX('Bank Statement'!$W$8:$W$507,L126)))</f>
        <v/>
      </c>
      <c r="G126" s="49" t="str">
        <f aca="false">IF(J126="","",INDEX(Lists!$B$1:$B$4,K126))</f>
        <v/>
      </c>
      <c r="H126" s="45" t="str">
        <f aca="false">IF(J126="","",INDEX(Lists!$C$1:$C$4,K126))</f>
        <v/>
      </c>
      <c r="J126" s="9" t="str">
        <f aca="false">IF(120&lt;=$J$4,SMALL('Cash Book'!$V$8:$V$507,120),IF(120&lt;=$J$4+$K$4,SMALL('Bank Statement'!$V$8:$V$507,120-$J$4),""))</f>
        <v/>
      </c>
      <c r="K126" s="9" t="str">
        <f aca="false">IF(J126="","",INT(J126/100000))</f>
        <v/>
      </c>
      <c r="L126" s="9" t="str">
        <f aca="false">IF(J126="","",MOD(J126,100000)-7)</f>
        <v/>
      </c>
    </row>
    <row r="127" customFormat="false" ht="15" hidden="false" customHeight="false" outlineLevel="0" collapsed="false">
      <c r="A127" s="37" t="str">
        <f aca="false">IF(J127="","",121)</f>
        <v/>
      </c>
      <c r="B127" s="45" t="str">
        <f aca="false">IF(J127="","",INDEX(Lists!$A$1:$A$4,K127))</f>
        <v/>
      </c>
      <c r="C127" s="48" t="str">
        <f aca="false">IF(J127="","",IF(K127&lt;=2,INDEX('Cash Book'!$B$8:$B$507,L127),INDEX('Bank Statement'!$B$8:$B$507,L127)))</f>
        <v/>
      </c>
      <c r="D127" s="49" t="str">
        <f aca="false">IF(J127="","",IF(K127&lt;=2,INDEX('Cash Book'!$E$8:$E$507,L127),INDEX('Bank Statement'!$D$8:$D$507,L127))&amp;"")</f>
        <v/>
      </c>
      <c r="E127" s="45" t="str">
        <f aca="false">IF(J127="","",IF(K127&lt;=2,INDEX('Cash Book'!$D$8:$D$507,L127),INDEX('Bank Statement'!$C$8:$C$507,L127))&amp;"")</f>
        <v/>
      </c>
      <c r="F127" s="50" t="str">
        <f aca="false">IF(J127="","",IF(K127&lt;=2,INDEX('Cash Book'!$W$8:$W$507,L127),INDEX('Bank Statement'!$W$8:$W$507,L127)))</f>
        <v/>
      </c>
      <c r="G127" s="49" t="str">
        <f aca="false">IF(J127="","",INDEX(Lists!$B$1:$B$4,K127))</f>
        <v/>
      </c>
      <c r="H127" s="45" t="str">
        <f aca="false">IF(J127="","",INDEX(Lists!$C$1:$C$4,K127))</f>
        <v/>
      </c>
      <c r="J127" s="9" t="str">
        <f aca="false">IF(121&lt;=$J$4,SMALL('Cash Book'!$V$8:$V$507,121),IF(121&lt;=$J$4+$K$4,SMALL('Bank Statement'!$V$8:$V$507,121-$J$4),""))</f>
        <v/>
      </c>
      <c r="K127" s="9" t="str">
        <f aca="false">IF(J127="","",INT(J127/100000))</f>
        <v/>
      </c>
      <c r="L127" s="9" t="str">
        <f aca="false">IF(J127="","",MOD(J127,100000)-7)</f>
        <v/>
      </c>
    </row>
    <row r="128" customFormat="false" ht="15" hidden="false" customHeight="false" outlineLevel="0" collapsed="false">
      <c r="A128" s="37" t="str">
        <f aca="false">IF(J128="","",122)</f>
        <v/>
      </c>
      <c r="B128" s="45" t="str">
        <f aca="false">IF(J128="","",INDEX(Lists!$A$1:$A$4,K128))</f>
        <v/>
      </c>
      <c r="C128" s="48" t="str">
        <f aca="false">IF(J128="","",IF(K128&lt;=2,INDEX('Cash Book'!$B$8:$B$507,L128),INDEX('Bank Statement'!$B$8:$B$507,L128)))</f>
        <v/>
      </c>
      <c r="D128" s="49" t="str">
        <f aca="false">IF(J128="","",IF(K128&lt;=2,INDEX('Cash Book'!$E$8:$E$507,L128),INDEX('Bank Statement'!$D$8:$D$507,L128))&amp;"")</f>
        <v/>
      </c>
      <c r="E128" s="45" t="str">
        <f aca="false">IF(J128="","",IF(K128&lt;=2,INDEX('Cash Book'!$D$8:$D$507,L128),INDEX('Bank Statement'!$C$8:$C$507,L128))&amp;"")</f>
        <v/>
      </c>
      <c r="F128" s="50" t="str">
        <f aca="false">IF(J128="","",IF(K128&lt;=2,INDEX('Cash Book'!$W$8:$W$507,L128),INDEX('Bank Statement'!$W$8:$W$507,L128)))</f>
        <v/>
      </c>
      <c r="G128" s="49" t="str">
        <f aca="false">IF(J128="","",INDEX(Lists!$B$1:$B$4,K128))</f>
        <v/>
      </c>
      <c r="H128" s="45" t="str">
        <f aca="false">IF(J128="","",INDEX(Lists!$C$1:$C$4,K128))</f>
        <v/>
      </c>
      <c r="J128" s="9" t="str">
        <f aca="false">IF(122&lt;=$J$4,SMALL('Cash Book'!$V$8:$V$507,122),IF(122&lt;=$J$4+$K$4,SMALL('Bank Statement'!$V$8:$V$507,122-$J$4),""))</f>
        <v/>
      </c>
      <c r="K128" s="9" t="str">
        <f aca="false">IF(J128="","",INT(J128/100000))</f>
        <v/>
      </c>
      <c r="L128" s="9" t="str">
        <f aca="false">IF(J128="","",MOD(J128,100000)-7)</f>
        <v/>
      </c>
    </row>
    <row r="129" customFormat="false" ht="15" hidden="false" customHeight="false" outlineLevel="0" collapsed="false">
      <c r="A129" s="37" t="str">
        <f aca="false">IF(J129="","",123)</f>
        <v/>
      </c>
      <c r="B129" s="45" t="str">
        <f aca="false">IF(J129="","",INDEX(Lists!$A$1:$A$4,K129))</f>
        <v/>
      </c>
      <c r="C129" s="48" t="str">
        <f aca="false">IF(J129="","",IF(K129&lt;=2,INDEX('Cash Book'!$B$8:$B$507,L129),INDEX('Bank Statement'!$B$8:$B$507,L129)))</f>
        <v/>
      </c>
      <c r="D129" s="49" t="str">
        <f aca="false">IF(J129="","",IF(K129&lt;=2,INDEX('Cash Book'!$E$8:$E$507,L129),INDEX('Bank Statement'!$D$8:$D$507,L129))&amp;"")</f>
        <v/>
      </c>
      <c r="E129" s="45" t="str">
        <f aca="false">IF(J129="","",IF(K129&lt;=2,INDEX('Cash Book'!$D$8:$D$507,L129),INDEX('Bank Statement'!$C$8:$C$507,L129))&amp;"")</f>
        <v/>
      </c>
      <c r="F129" s="50" t="str">
        <f aca="false">IF(J129="","",IF(K129&lt;=2,INDEX('Cash Book'!$W$8:$W$507,L129),INDEX('Bank Statement'!$W$8:$W$507,L129)))</f>
        <v/>
      </c>
      <c r="G129" s="49" t="str">
        <f aca="false">IF(J129="","",INDEX(Lists!$B$1:$B$4,K129))</f>
        <v/>
      </c>
      <c r="H129" s="45" t="str">
        <f aca="false">IF(J129="","",INDEX(Lists!$C$1:$C$4,K129))</f>
        <v/>
      </c>
      <c r="J129" s="9" t="str">
        <f aca="false">IF(123&lt;=$J$4,SMALL('Cash Book'!$V$8:$V$507,123),IF(123&lt;=$J$4+$K$4,SMALL('Bank Statement'!$V$8:$V$507,123-$J$4),""))</f>
        <v/>
      </c>
      <c r="K129" s="9" t="str">
        <f aca="false">IF(J129="","",INT(J129/100000))</f>
        <v/>
      </c>
      <c r="L129" s="9" t="str">
        <f aca="false">IF(J129="","",MOD(J129,100000)-7)</f>
        <v/>
      </c>
    </row>
    <row r="130" customFormat="false" ht="15" hidden="false" customHeight="false" outlineLevel="0" collapsed="false">
      <c r="A130" s="37" t="str">
        <f aca="false">IF(J130="","",124)</f>
        <v/>
      </c>
      <c r="B130" s="45" t="str">
        <f aca="false">IF(J130="","",INDEX(Lists!$A$1:$A$4,K130))</f>
        <v/>
      </c>
      <c r="C130" s="48" t="str">
        <f aca="false">IF(J130="","",IF(K130&lt;=2,INDEX('Cash Book'!$B$8:$B$507,L130),INDEX('Bank Statement'!$B$8:$B$507,L130)))</f>
        <v/>
      </c>
      <c r="D130" s="49" t="str">
        <f aca="false">IF(J130="","",IF(K130&lt;=2,INDEX('Cash Book'!$E$8:$E$507,L130),INDEX('Bank Statement'!$D$8:$D$507,L130))&amp;"")</f>
        <v/>
      </c>
      <c r="E130" s="45" t="str">
        <f aca="false">IF(J130="","",IF(K130&lt;=2,INDEX('Cash Book'!$D$8:$D$507,L130),INDEX('Bank Statement'!$C$8:$C$507,L130))&amp;"")</f>
        <v/>
      </c>
      <c r="F130" s="50" t="str">
        <f aca="false">IF(J130="","",IF(K130&lt;=2,INDEX('Cash Book'!$W$8:$W$507,L130),INDEX('Bank Statement'!$W$8:$W$507,L130)))</f>
        <v/>
      </c>
      <c r="G130" s="49" t="str">
        <f aca="false">IF(J130="","",INDEX(Lists!$B$1:$B$4,K130))</f>
        <v/>
      </c>
      <c r="H130" s="45" t="str">
        <f aca="false">IF(J130="","",INDEX(Lists!$C$1:$C$4,K130))</f>
        <v/>
      </c>
      <c r="J130" s="9" t="str">
        <f aca="false">IF(124&lt;=$J$4,SMALL('Cash Book'!$V$8:$V$507,124),IF(124&lt;=$J$4+$K$4,SMALL('Bank Statement'!$V$8:$V$507,124-$J$4),""))</f>
        <v/>
      </c>
      <c r="K130" s="9" t="str">
        <f aca="false">IF(J130="","",INT(J130/100000))</f>
        <v/>
      </c>
      <c r="L130" s="9" t="str">
        <f aca="false">IF(J130="","",MOD(J130,100000)-7)</f>
        <v/>
      </c>
    </row>
    <row r="131" customFormat="false" ht="15" hidden="false" customHeight="false" outlineLevel="0" collapsed="false">
      <c r="A131" s="37" t="str">
        <f aca="false">IF(J131="","",125)</f>
        <v/>
      </c>
      <c r="B131" s="45" t="str">
        <f aca="false">IF(J131="","",INDEX(Lists!$A$1:$A$4,K131))</f>
        <v/>
      </c>
      <c r="C131" s="48" t="str">
        <f aca="false">IF(J131="","",IF(K131&lt;=2,INDEX('Cash Book'!$B$8:$B$507,L131),INDEX('Bank Statement'!$B$8:$B$507,L131)))</f>
        <v/>
      </c>
      <c r="D131" s="49" t="str">
        <f aca="false">IF(J131="","",IF(K131&lt;=2,INDEX('Cash Book'!$E$8:$E$507,L131),INDEX('Bank Statement'!$D$8:$D$507,L131))&amp;"")</f>
        <v/>
      </c>
      <c r="E131" s="45" t="str">
        <f aca="false">IF(J131="","",IF(K131&lt;=2,INDEX('Cash Book'!$D$8:$D$507,L131),INDEX('Bank Statement'!$C$8:$C$507,L131))&amp;"")</f>
        <v/>
      </c>
      <c r="F131" s="50" t="str">
        <f aca="false">IF(J131="","",IF(K131&lt;=2,INDEX('Cash Book'!$W$8:$W$507,L131),INDEX('Bank Statement'!$W$8:$W$507,L131)))</f>
        <v/>
      </c>
      <c r="G131" s="49" t="str">
        <f aca="false">IF(J131="","",INDEX(Lists!$B$1:$B$4,K131))</f>
        <v/>
      </c>
      <c r="H131" s="45" t="str">
        <f aca="false">IF(J131="","",INDEX(Lists!$C$1:$C$4,K131))</f>
        <v/>
      </c>
      <c r="J131" s="9" t="str">
        <f aca="false">IF(125&lt;=$J$4,SMALL('Cash Book'!$V$8:$V$507,125),IF(125&lt;=$J$4+$K$4,SMALL('Bank Statement'!$V$8:$V$507,125-$J$4),""))</f>
        <v/>
      </c>
      <c r="K131" s="9" t="str">
        <f aca="false">IF(J131="","",INT(J131/100000))</f>
        <v/>
      </c>
      <c r="L131" s="9" t="str">
        <f aca="false">IF(J131="","",MOD(J131,100000)-7)</f>
        <v/>
      </c>
    </row>
    <row r="132" customFormat="false" ht="15" hidden="false" customHeight="false" outlineLevel="0" collapsed="false">
      <c r="A132" s="37" t="str">
        <f aca="false">IF(J132="","",126)</f>
        <v/>
      </c>
      <c r="B132" s="45" t="str">
        <f aca="false">IF(J132="","",INDEX(Lists!$A$1:$A$4,K132))</f>
        <v/>
      </c>
      <c r="C132" s="48" t="str">
        <f aca="false">IF(J132="","",IF(K132&lt;=2,INDEX('Cash Book'!$B$8:$B$507,L132),INDEX('Bank Statement'!$B$8:$B$507,L132)))</f>
        <v/>
      </c>
      <c r="D132" s="49" t="str">
        <f aca="false">IF(J132="","",IF(K132&lt;=2,INDEX('Cash Book'!$E$8:$E$507,L132),INDEX('Bank Statement'!$D$8:$D$507,L132))&amp;"")</f>
        <v/>
      </c>
      <c r="E132" s="45" t="str">
        <f aca="false">IF(J132="","",IF(K132&lt;=2,INDEX('Cash Book'!$D$8:$D$507,L132),INDEX('Bank Statement'!$C$8:$C$507,L132))&amp;"")</f>
        <v/>
      </c>
      <c r="F132" s="50" t="str">
        <f aca="false">IF(J132="","",IF(K132&lt;=2,INDEX('Cash Book'!$W$8:$W$507,L132),INDEX('Bank Statement'!$W$8:$W$507,L132)))</f>
        <v/>
      </c>
      <c r="G132" s="49" t="str">
        <f aca="false">IF(J132="","",INDEX(Lists!$B$1:$B$4,K132))</f>
        <v/>
      </c>
      <c r="H132" s="45" t="str">
        <f aca="false">IF(J132="","",INDEX(Lists!$C$1:$C$4,K132))</f>
        <v/>
      </c>
      <c r="J132" s="9" t="str">
        <f aca="false">IF(126&lt;=$J$4,SMALL('Cash Book'!$V$8:$V$507,126),IF(126&lt;=$J$4+$K$4,SMALL('Bank Statement'!$V$8:$V$507,126-$J$4),""))</f>
        <v/>
      </c>
      <c r="K132" s="9" t="str">
        <f aca="false">IF(J132="","",INT(J132/100000))</f>
        <v/>
      </c>
      <c r="L132" s="9" t="str">
        <f aca="false">IF(J132="","",MOD(J132,100000)-7)</f>
        <v/>
      </c>
    </row>
    <row r="133" customFormat="false" ht="15" hidden="false" customHeight="false" outlineLevel="0" collapsed="false">
      <c r="A133" s="37" t="str">
        <f aca="false">IF(J133="","",127)</f>
        <v/>
      </c>
      <c r="B133" s="45" t="str">
        <f aca="false">IF(J133="","",INDEX(Lists!$A$1:$A$4,K133))</f>
        <v/>
      </c>
      <c r="C133" s="48" t="str">
        <f aca="false">IF(J133="","",IF(K133&lt;=2,INDEX('Cash Book'!$B$8:$B$507,L133),INDEX('Bank Statement'!$B$8:$B$507,L133)))</f>
        <v/>
      </c>
      <c r="D133" s="49" t="str">
        <f aca="false">IF(J133="","",IF(K133&lt;=2,INDEX('Cash Book'!$E$8:$E$507,L133),INDEX('Bank Statement'!$D$8:$D$507,L133))&amp;"")</f>
        <v/>
      </c>
      <c r="E133" s="45" t="str">
        <f aca="false">IF(J133="","",IF(K133&lt;=2,INDEX('Cash Book'!$D$8:$D$507,L133),INDEX('Bank Statement'!$C$8:$C$507,L133))&amp;"")</f>
        <v/>
      </c>
      <c r="F133" s="50" t="str">
        <f aca="false">IF(J133="","",IF(K133&lt;=2,INDEX('Cash Book'!$W$8:$W$507,L133),INDEX('Bank Statement'!$W$8:$W$507,L133)))</f>
        <v/>
      </c>
      <c r="G133" s="49" t="str">
        <f aca="false">IF(J133="","",INDEX(Lists!$B$1:$B$4,K133))</f>
        <v/>
      </c>
      <c r="H133" s="45" t="str">
        <f aca="false">IF(J133="","",INDEX(Lists!$C$1:$C$4,K133))</f>
        <v/>
      </c>
      <c r="J133" s="9" t="str">
        <f aca="false">IF(127&lt;=$J$4,SMALL('Cash Book'!$V$8:$V$507,127),IF(127&lt;=$J$4+$K$4,SMALL('Bank Statement'!$V$8:$V$507,127-$J$4),""))</f>
        <v/>
      </c>
      <c r="K133" s="9" t="str">
        <f aca="false">IF(J133="","",INT(J133/100000))</f>
        <v/>
      </c>
      <c r="L133" s="9" t="str">
        <f aca="false">IF(J133="","",MOD(J133,100000)-7)</f>
        <v/>
      </c>
    </row>
    <row r="134" customFormat="false" ht="15" hidden="false" customHeight="false" outlineLevel="0" collapsed="false">
      <c r="A134" s="37" t="str">
        <f aca="false">IF(J134="","",128)</f>
        <v/>
      </c>
      <c r="B134" s="45" t="str">
        <f aca="false">IF(J134="","",INDEX(Lists!$A$1:$A$4,K134))</f>
        <v/>
      </c>
      <c r="C134" s="48" t="str">
        <f aca="false">IF(J134="","",IF(K134&lt;=2,INDEX('Cash Book'!$B$8:$B$507,L134),INDEX('Bank Statement'!$B$8:$B$507,L134)))</f>
        <v/>
      </c>
      <c r="D134" s="49" t="str">
        <f aca="false">IF(J134="","",IF(K134&lt;=2,INDEX('Cash Book'!$E$8:$E$507,L134),INDEX('Bank Statement'!$D$8:$D$507,L134))&amp;"")</f>
        <v/>
      </c>
      <c r="E134" s="45" t="str">
        <f aca="false">IF(J134="","",IF(K134&lt;=2,INDEX('Cash Book'!$D$8:$D$507,L134),INDEX('Bank Statement'!$C$8:$C$507,L134))&amp;"")</f>
        <v/>
      </c>
      <c r="F134" s="50" t="str">
        <f aca="false">IF(J134="","",IF(K134&lt;=2,INDEX('Cash Book'!$W$8:$W$507,L134),INDEX('Bank Statement'!$W$8:$W$507,L134)))</f>
        <v/>
      </c>
      <c r="G134" s="49" t="str">
        <f aca="false">IF(J134="","",INDEX(Lists!$B$1:$B$4,K134))</f>
        <v/>
      </c>
      <c r="H134" s="45" t="str">
        <f aca="false">IF(J134="","",INDEX(Lists!$C$1:$C$4,K134))</f>
        <v/>
      </c>
      <c r="J134" s="9" t="str">
        <f aca="false">IF(128&lt;=$J$4,SMALL('Cash Book'!$V$8:$V$507,128),IF(128&lt;=$J$4+$K$4,SMALL('Bank Statement'!$V$8:$V$507,128-$J$4),""))</f>
        <v/>
      </c>
      <c r="K134" s="9" t="str">
        <f aca="false">IF(J134="","",INT(J134/100000))</f>
        <v/>
      </c>
      <c r="L134" s="9" t="str">
        <f aca="false">IF(J134="","",MOD(J134,100000)-7)</f>
        <v/>
      </c>
    </row>
    <row r="135" customFormat="false" ht="15" hidden="false" customHeight="false" outlineLevel="0" collapsed="false">
      <c r="A135" s="37" t="str">
        <f aca="false">IF(J135="","",129)</f>
        <v/>
      </c>
      <c r="B135" s="45" t="str">
        <f aca="false">IF(J135="","",INDEX(Lists!$A$1:$A$4,K135))</f>
        <v/>
      </c>
      <c r="C135" s="48" t="str">
        <f aca="false">IF(J135="","",IF(K135&lt;=2,INDEX('Cash Book'!$B$8:$B$507,L135),INDEX('Bank Statement'!$B$8:$B$507,L135)))</f>
        <v/>
      </c>
      <c r="D135" s="49" t="str">
        <f aca="false">IF(J135="","",IF(K135&lt;=2,INDEX('Cash Book'!$E$8:$E$507,L135),INDEX('Bank Statement'!$D$8:$D$507,L135))&amp;"")</f>
        <v/>
      </c>
      <c r="E135" s="45" t="str">
        <f aca="false">IF(J135="","",IF(K135&lt;=2,INDEX('Cash Book'!$D$8:$D$507,L135),INDEX('Bank Statement'!$C$8:$C$507,L135))&amp;"")</f>
        <v/>
      </c>
      <c r="F135" s="50" t="str">
        <f aca="false">IF(J135="","",IF(K135&lt;=2,INDEX('Cash Book'!$W$8:$W$507,L135),INDEX('Bank Statement'!$W$8:$W$507,L135)))</f>
        <v/>
      </c>
      <c r="G135" s="49" t="str">
        <f aca="false">IF(J135="","",INDEX(Lists!$B$1:$B$4,K135))</f>
        <v/>
      </c>
      <c r="H135" s="45" t="str">
        <f aca="false">IF(J135="","",INDEX(Lists!$C$1:$C$4,K135))</f>
        <v/>
      </c>
      <c r="J135" s="9" t="str">
        <f aca="false">IF(129&lt;=$J$4,SMALL('Cash Book'!$V$8:$V$507,129),IF(129&lt;=$J$4+$K$4,SMALL('Bank Statement'!$V$8:$V$507,129-$J$4),""))</f>
        <v/>
      </c>
      <c r="K135" s="9" t="str">
        <f aca="false">IF(J135="","",INT(J135/100000))</f>
        <v/>
      </c>
      <c r="L135" s="9" t="str">
        <f aca="false">IF(J135="","",MOD(J135,100000)-7)</f>
        <v/>
      </c>
    </row>
    <row r="136" customFormat="false" ht="15" hidden="false" customHeight="false" outlineLevel="0" collapsed="false">
      <c r="A136" s="37" t="str">
        <f aca="false">IF(J136="","",130)</f>
        <v/>
      </c>
      <c r="B136" s="45" t="str">
        <f aca="false">IF(J136="","",INDEX(Lists!$A$1:$A$4,K136))</f>
        <v/>
      </c>
      <c r="C136" s="48" t="str">
        <f aca="false">IF(J136="","",IF(K136&lt;=2,INDEX('Cash Book'!$B$8:$B$507,L136),INDEX('Bank Statement'!$B$8:$B$507,L136)))</f>
        <v/>
      </c>
      <c r="D136" s="49" t="str">
        <f aca="false">IF(J136="","",IF(K136&lt;=2,INDEX('Cash Book'!$E$8:$E$507,L136),INDEX('Bank Statement'!$D$8:$D$507,L136))&amp;"")</f>
        <v/>
      </c>
      <c r="E136" s="45" t="str">
        <f aca="false">IF(J136="","",IF(K136&lt;=2,INDEX('Cash Book'!$D$8:$D$507,L136),INDEX('Bank Statement'!$C$8:$C$507,L136))&amp;"")</f>
        <v/>
      </c>
      <c r="F136" s="50" t="str">
        <f aca="false">IF(J136="","",IF(K136&lt;=2,INDEX('Cash Book'!$W$8:$W$507,L136),INDEX('Bank Statement'!$W$8:$W$507,L136)))</f>
        <v/>
      </c>
      <c r="G136" s="49" t="str">
        <f aca="false">IF(J136="","",INDEX(Lists!$B$1:$B$4,K136))</f>
        <v/>
      </c>
      <c r="H136" s="45" t="str">
        <f aca="false">IF(J136="","",INDEX(Lists!$C$1:$C$4,K136))</f>
        <v/>
      </c>
      <c r="J136" s="9" t="str">
        <f aca="false">IF(130&lt;=$J$4,SMALL('Cash Book'!$V$8:$V$507,130),IF(130&lt;=$J$4+$K$4,SMALL('Bank Statement'!$V$8:$V$507,130-$J$4),""))</f>
        <v/>
      </c>
      <c r="K136" s="9" t="str">
        <f aca="false">IF(J136="","",INT(J136/100000))</f>
        <v/>
      </c>
      <c r="L136" s="9" t="str">
        <f aca="false">IF(J136="","",MOD(J136,100000)-7)</f>
        <v/>
      </c>
    </row>
    <row r="137" customFormat="false" ht="15" hidden="false" customHeight="false" outlineLevel="0" collapsed="false">
      <c r="A137" s="37" t="str">
        <f aca="false">IF(J137="","",131)</f>
        <v/>
      </c>
      <c r="B137" s="45" t="str">
        <f aca="false">IF(J137="","",INDEX(Lists!$A$1:$A$4,K137))</f>
        <v/>
      </c>
      <c r="C137" s="48" t="str">
        <f aca="false">IF(J137="","",IF(K137&lt;=2,INDEX('Cash Book'!$B$8:$B$507,L137),INDEX('Bank Statement'!$B$8:$B$507,L137)))</f>
        <v/>
      </c>
      <c r="D137" s="49" t="str">
        <f aca="false">IF(J137="","",IF(K137&lt;=2,INDEX('Cash Book'!$E$8:$E$507,L137),INDEX('Bank Statement'!$D$8:$D$507,L137))&amp;"")</f>
        <v/>
      </c>
      <c r="E137" s="45" t="str">
        <f aca="false">IF(J137="","",IF(K137&lt;=2,INDEX('Cash Book'!$D$8:$D$507,L137),INDEX('Bank Statement'!$C$8:$C$507,L137))&amp;"")</f>
        <v/>
      </c>
      <c r="F137" s="50" t="str">
        <f aca="false">IF(J137="","",IF(K137&lt;=2,INDEX('Cash Book'!$W$8:$W$507,L137),INDEX('Bank Statement'!$W$8:$W$507,L137)))</f>
        <v/>
      </c>
      <c r="G137" s="49" t="str">
        <f aca="false">IF(J137="","",INDEX(Lists!$B$1:$B$4,K137))</f>
        <v/>
      </c>
      <c r="H137" s="45" t="str">
        <f aca="false">IF(J137="","",INDEX(Lists!$C$1:$C$4,K137))</f>
        <v/>
      </c>
      <c r="J137" s="9" t="str">
        <f aca="false">IF(131&lt;=$J$4,SMALL('Cash Book'!$V$8:$V$507,131),IF(131&lt;=$J$4+$K$4,SMALL('Bank Statement'!$V$8:$V$507,131-$J$4),""))</f>
        <v/>
      </c>
      <c r="K137" s="9" t="str">
        <f aca="false">IF(J137="","",INT(J137/100000))</f>
        <v/>
      </c>
      <c r="L137" s="9" t="str">
        <f aca="false">IF(J137="","",MOD(J137,100000)-7)</f>
        <v/>
      </c>
    </row>
    <row r="138" customFormat="false" ht="15" hidden="false" customHeight="false" outlineLevel="0" collapsed="false">
      <c r="A138" s="37" t="str">
        <f aca="false">IF(J138="","",132)</f>
        <v/>
      </c>
      <c r="B138" s="45" t="str">
        <f aca="false">IF(J138="","",INDEX(Lists!$A$1:$A$4,K138))</f>
        <v/>
      </c>
      <c r="C138" s="48" t="str">
        <f aca="false">IF(J138="","",IF(K138&lt;=2,INDEX('Cash Book'!$B$8:$B$507,L138),INDEX('Bank Statement'!$B$8:$B$507,L138)))</f>
        <v/>
      </c>
      <c r="D138" s="49" t="str">
        <f aca="false">IF(J138="","",IF(K138&lt;=2,INDEX('Cash Book'!$E$8:$E$507,L138),INDEX('Bank Statement'!$D$8:$D$507,L138))&amp;"")</f>
        <v/>
      </c>
      <c r="E138" s="45" t="str">
        <f aca="false">IF(J138="","",IF(K138&lt;=2,INDEX('Cash Book'!$D$8:$D$507,L138),INDEX('Bank Statement'!$C$8:$C$507,L138))&amp;"")</f>
        <v/>
      </c>
      <c r="F138" s="50" t="str">
        <f aca="false">IF(J138="","",IF(K138&lt;=2,INDEX('Cash Book'!$W$8:$W$507,L138),INDEX('Bank Statement'!$W$8:$W$507,L138)))</f>
        <v/>
      </c>
      <c r="G138" s="49" t="str">
        <f aca="false">IF(J138="","",INDEX(Lists!$B$1:$B$4,K138))</f>
        <v/>
      </c>
      <c r="H138" s="45" t="str">
        <f aca="false">IF(J138="","",INDEX(Lists!$C$1:$C$4,K138))</f>
        <v/>
      </c>
      <c r="J138" s="9" t="str">
        <f aca="false">IF(132&lt;=$J$4,SMALL('Cash Book'!$V$8:$V$507,132),IF(132&lt;=$J$4+$K$4,SMALL('Bank Statement'!$V$8:$V$507,132-$J$4),""))</f>
        <v/>
      </c>
      <c r="K138" s="9" t="str">
        <f aca="false">IF(J138="","",INT(J138/100000))</f>
        <v/>
      </c>
      <c r="L138" s="9" t="str">
        <f aca="false">IF(J138="","",MOD(J138,100000)-7)</f>
        <v/>
      </c>
    </row>
    <row r="139" customFormat="false" ht="15" hidden="false" customHeight="false" outlineLevel="0" collapsed="false">
      <c r="A139" s="37" t="str">
        <f aca="false">IF(J139="","",133)</f>
        <v/>
      </c>
      <c r="B139" s="45" t="str">
        <f aca="false">IF(J139="","",INDEX(Lists!$A$1:$A$4,K139))</f>
        <v/>
      </c>
      <c r="C139" s="48" t="str">
        <f aca="false">IF(J139="","",IF(K139&lt;=2,INDEX('Cash Book'!$B$8:$B$507,L139),INDEX('Bank Statement'!$B$8:$B$507,L139)))</f>
        <v/>
      </c>
      <c r="D139" s="49" t="str">
        <f aca="false">IF(J139="","",IF(K139&lt;=2,INDEX('Cash Book'!$E$8:$E$507,L139),INDEX('Bank Statement'!$D$8:$D$507,L139))&amp;"")</f>
        <v/>
      </c>
      <c r="E139" s="45" t="str">
        <f aca="false">IF(J139="","",IF(K139&lt;=2,INDEX('Cash Book'!$D$8:$D$507,L139),INDEX('Bank Statement'!$C$8:$C$507,L139))&amp;"")</f>
        <v/>
      </c>
      <c r="F139" s="50" t="str">
        <f aca="false">IF(J139="","",IF(K139&lt;=2,INDEX('Cash Book'!$W$8:$W$507,L139),INDEX('Bank Statement'!$W$8:$W$507,L139)))</f>
        <v/>
      </c>
      <c r="G139" s="49" t="str">
        <f aca="false">IF(J139="","",INDEX(Lists!$B$1:$B$4,K139))</f>
        <v/>
      </c>
      <c r="H139" s="45" t="str">
        <f aca="false">IF(J139="","",INDEX(Lists!$C$1:$C$4,K139))</f>
        <v/>
      </c>
      <c r="J139" s="9" t="str">
        <f aca="false">IF(133&lt;=$J$4,SMALL('Cash Book'!$V$8:$V$507,133),IF(133&lt;=$J$4+$K$4,SMALL('Bank Statement'!$V$8:$V$507,133-$J$4),""))</f>
        <v/>
      </c>
      <c r="K139" s="9" t="str">
        <f aca="false">IF(J139="","",INT(J139/100000))</f>
        <v/>
      </c>
      <c r="L139" s="9" t="str">
        <f aca="false">IF(J139="","",MOD(J139,100000)-7)</f>
        <v/>
      </c>
    </row>
    <row r="140" customFormat="false" ht="15" hidden="false" customHeight="false" outlineLevel="0" collapsed="false">
      <c r="A140" s="37" t="str">
        <f aca="false">IF(J140="","",134)</f>
        <v/>
      </c>
      <c r="B140" s="45" t="str">
        <f aca="false">IF(J140="","",INDEX(Lists!$A$1:$A$4,K140))</f>
        <v/>
      </c>
      <c r="C140" s="48" t="str">
        <f aca="false">IF(J140="","",IF(K140&lt;=2,INDEX('Cash Book'!$B$8:$B$507,L140),INDEX('Bank Statement'!$B$8:$B$507,L140)))</f>
        <v/>
      </c>
      <c r="D140" s="49" t="str">
        <f aca="false">IF(J140="","",IF(K140&lt;=2,INDEX('Cash Book'!$E$8:$E$507,L140),INDEX('Bank Statement'!$D$8:$D$507,L140))&amp;"")</f>
        <v/>
      </c>
      <c r="E140" s="45" t="str">
        <f aca="false">IF(J140="","",IF(K140&lt;=2,INDEX('Cash Book'!$D$8:$D$507,L140),INDEX('Bank Statement'!$C$8:$C$507,L140))&amp;"")</f>
        <v/>
      </c>
      <c r="F140" s="50" t="str">
        <f aca="false">IF(J140="","",IF(K140&lt;=2,INDEX('Cash Book'!$W$8:$W$507,L140),INDEX('Bank Statement'!$W$8:$W$507,L140)))</f>
        <v/>
      </c>
      <c r="G140" s="49" t="str">
        <f aca="false">IF(J140="","",INDEX(Lists!$B$1:$B$4,K140))</f>
        <v/>
      </c>
      <c r="H140" s="45" t="str">
        <f aca="false">IF(J140="","",INDEX(Lists!$C$1:$C$4,K140))</f>
        <v/>
      </c>
      <c r="J140" s="9" t="str">
        <f aca="false">IF(134&lt;=$J$4,SMALL('Cash Book'!$V$8:$V$507,134),IF(134&lt;=$J$4+$K$4,SMALL('Bank Statement'!$V$8:$V$507,134-$J$4),""))</f>
        <v/>
      </c>
      <c r="K140" s="9" t="str">
        <f aca="false">IF(J140="","",INT(J140/100000))</f>
        <v/>
      </c>
      <c r="L140" s="9" t="str">
        <f aca="false">IF(J140="","",MOD(J140,100000)-7)</f>
        <v/>
      </c>
    </row>
    <row r="141" customFormat="false" ht="15" hidden="false" customHeight="false" outlineLevel="0" collapsed="false">
      <c r="A141" s="37" t="str">
        <f aca="false">IF(J141="","",135)</f>
        <v/>
      </c>
      <c r="B141" s="45" t="str">
        <f aca="false">IF(J141="","",INDEX(Lists!$A$1:$A$4,K141))</f>
        <v/>
      </c>
      <c r="C141" s="48" t="str">
        <f aca="false">IF(J141="","",IF(K141&lt;=2,INDEX('Cash Book'!$B$8:$B$507,L141),INDEX('Bank Statement'!$B$8:$B$507,L141)))</f>
        <v/>
      </c>
      <c r="D141" s="49" t="str">
        <f aca="false">IF(J141="","",IF(K141&lt;=2,INDEX('Cash Book'!$E$8:$E$507,L141),INDEX('Bank Statement'!$D$8:$D$507,L141))&amp;"")</f>
        <v/>
      </c>
      <c r="E141" s="45" t="str">
        <f aca="false">IF(J141="","",IF(K141&lt;=2,INDEX('Cash Book'!$D$8:$D$507,L141),INDEX('Bank Statement'!$C$8:$C$507,L141))&amp;"")</f>
        <v/>
      </c>
      <c r="F141" s="50" t="str">
        <f aca="false">IF(J141="","",IF(K141&lt;=2,INDEX('Cash Book'!$W$8:$W$507,L141),INDEX('Bank Statement'!$W$8:$W$507,L141)))</f>
        <v/>
      </c>
      <c r="G141" s="49" t="str">
        <f aca="false">IF(J141="","",INDEX(Lists!$B$1:$B$4,K141))</f>
        <v/>
      </c>
      <c r="H141" s="45" t="str">
        <f aca="false">IF(J141="","",INDEX(Lists!$C$1:$C$4,K141))</f>
        <v/>
      </c>
      <c r="J141" s="9" t="str">
        <f aca="false">IF(135&lt;=$J$4,SMALL('Cash Book'!$V$8:$V$507,135),IF(135&lt;=$J$4+$K$4,SMALL('Bank Statement'!$V$8:$V$507,135-$J$4),""))</f>
        <v/>
      </c>
      <c r="K141" s="9" t="str">
        <f aca="false">IF(J141="","",INT(J141/100000))</f>
        <v/>
      </c>
      <c r="L141" s="9" t="str">
        <f aca="false">IF(J141="","",MOD(J141,100000)-7)</f>
        <v/>
      </c>
    </row>
    <row r="142" customFormat="false" ht="15" hidden="false" customHeight="false" outlineLevel="0" collapsed="false">
      <c r="A142" s="37" t="str">
        <f aca="false">IF(J142="","",136)</f>
        <v/>
      </c>
      <c r="B142" s="45" t="str">
        <f aca="false">IF(J142="","",INDEX(Lists!$A$1:$A$4,K142))</f>
        <v/>
      </c>
      <c r="C142" s="48" t="str">
        <f aca="false">IF(J142="","",IF(K142&lt;=2,INDEX('Cash Book'!$B$8:$B$507,L142),INDEX('Bank Statement'!$B$8:$B$507,L142)))</f>
        <v/>
      </c>
      <c r="D142" s="49" t="str">
        <f aca="false">IF(J142="","",IF(K142&lt;=2,INDEX('Cash Book'!$E$8:$E$507,L142),INDEX('Bank Statement'!$D$8:$D$507,L142))&amp;"")</f>
        <v/>
      </c>
      <c r="E142" s="45" t="str">
        <f aca="false">IF(J142="","",IF(K142&lt;=2,INDEX('Cash Book'!$D$8:$D$507,L142),INDEX('Bank Statement'!$C$8:$C$507,L142))&amp;"")</f>
        <v/>
      </c>
      <c r="F142" s="50" t="str">
        <f aca="false">IF(J142="","",IF(K142&lt;=2,INDEX('Cash Book'!$W$8:$W$507,L142),INDEX('Bank Statement'!$W$8:$W$507,L142)))</f>
        <v/>
      </c>
      <c r="G142" s="49" t="str">
        <f aca="false">IF(J142="","",INDEX(Lists!$B$1:$B$4,K142))</f>
        <v/>
      </c>
      <c r="H142" s="45" t="str">
        <f aca="false">IF(J142="","",INDEX(Lists!$C$1:$C$4,K142))</f>
        <v/>
      </c>
      <c r="J142" s="9" t="str">
        <f aca="false">IF(136&lt;=$J$4,SMALL('Cash Book'!$V$8:$V$507,136),IF(136&lt;=$J$4+$K$4,SMALL('Bank Statement'!$V$8:$V$507,136-$J$4),""))</f>
        <v/>
      </c>
      <c r="K142" s="9" t="str">
        <f aca="false">IF(J142="","",INT(J142/100000))</f>
        <v/>
      </c>
      <c r="L142" s="9" t="str">
        <f aca="false">IF(J142="","",MOD(J142,100000)-7)</f>
        <v/>
      </c>
    </row>
    <row r="143" customFormat="false" ht="15" hidden="false" customHeight="false" outlineLevel="0" collapsed="false">
      <c r="A143" s="37" t="str">
        <f aca="false">IF(J143="","",137)</f>
        <v/>
      </c>
      <c r="B143" s="45" t="str">
        <f aca="false">IF(J143="","",INDEX(Lists!$A$1:$A$4,K143))</f>
        <v/>
      </c>
      <c r="C143" s="48" t="str">
        <f aca="false">IF(J143="","",IF(K143&lt;=2,INDEX('Cash Book'!$B$8:$B$507,L143),INDEX('Bank Statement'!$B$8:$B$507,L143)))</f>
        <v/>
      </c>
      <c r="D143" s="49" t="str">
        <f aca="false">IF(J143="","",IF(K143&lt;=2,INDEX('Cash Book'!$E$8:$E$507,L143),INDEX('Bank Statement'!$D$8:$D$507,L143))&amp;"")</f>
        <v/>
      </c>
      <c r="E143" s="45" t="str">
        <f aca="false">IF(J143="","",IF(K143&lt;=2,INDEX('Cash Book'!$D$8:$D$507,L143),INDEX('Bank Statement'!$C$8:$C$507,L143))&amp;"")</f>
        <v/>
      </c>
      <c r="F143" s="50" t="str">
        <f aca="false">IF(J143="","",IF(K143&lt;=2,INDEX('Cash Book'!$W$8:$W$507,L143),INDEX('Bank Statement'!$W$8:$W$507,L143)))</f>
        <v/>
      </c>
      <c r="G143" s="49" t="str">
        <f aca="false">IF(J143="","",INDEX(Lists!$B$1:$B$4,K143))</f>
        <v/>
      </c>
      <c r="H143" s="45" t="str">
        <f aca="false">IF(J143="","",INDEX(Lists!$C$1:$C$4,K143))</f>
        <v/>
      </c>
      <c r="J143" s="9" t="str">
        <f aca="false">IF(137&lt;=$J$4,SMALL('Cash Book'!$V$8:$V$507,137),IF(137&lt;=$J$4+$K$4,SMALL('Bank Statement'!$V$8:$V$507,137-$J$4),""))</f>
        <v/>
      </c>
      <c r="K143" s="9" t="str">
        <f aca="false">IF(J143="","",INT(J143/100000))</f>
        <v/>
      </c>
      <c r="L143" s="9" t="str">
        <f aca="false">IF(J143="","",MOD(J143,100000)-7)</f>
        <v/>
      </c>
    </row>
    <row r="144" customFormat="false" ht="15" hidden="false" customHeight="false" outlineLevel="0" collapsed="false">
      <c r="A144" s="37" t="str">
        <f aca="false">IF(J144="","",138)</f>
        <v/>
      </c>
      <c r="B144" s="45" t="str">
        <f aca="false">IF(J144="","",INDEX(Lists!$A$1:$A$4,K144))</f>
        <v/>
      </c>
      <c r="C144" s="48" t="str">
        <f aca="false">IF(J144="","",IF(K144&lt;=2,INDEX('Cash Book'!$B$8:$B$507,L144),INDEX('Bank Statement'!$B$8:$B$507,L144)))</f>
        <v/>
      </c>
      <c r="D144" s="49" t="str">
        <f aca="false">IF(J144="","",IF(K144&lt;=2,INDEX('Cash Book'!$E$8:$E$507,L144),INDEX('Bank Statement'!$D$8:$D$507,L144))&amp;"")</f>
        <v/>
      </c>
      <c r="E144" s="45" t="str">
        <f aca="false">IF(J144="","",IF(K144&lt;=2,INDEX('Cash Book'!$D$8:$D$507,L144),INDEX('Bank Statement'!$C$8:$C$507,L144))&amp;"")</f>
        <v/>
      </c>
      <c r="F144" s="50" t="str">
        <f aca="false">IF(J144="","",IF(K144&lt;=2,INDEX('Cash Book'!$W$8:$W$507,L144),INDEX('Bank Statement'!$W$8:$W$507,L144)))</f>
        <v/>
      </c>
      <c r="G144" s="49" t="str">
        <f aca="false">IF(J144="","",INDEX(Lists!$B$1:$B$4,K144))</f>
        <v/>
      </c>
      <c r="H144" s="45" t="str">
        <f aca="false">IF(J144="","",INDEX(Lists!$C$1:$C$4,K144))</f>
        <v/>
      </c>
      <c r="J144" s="9" t="str">
        <f aca="false">IF(138&lt;=$J$4,SMALL('Cash Book'!$V$8:$V$507,138),IF(138&lt;=$J$4+$K$4,SMALL('Bank Statement'!$V$8:$V$507,138-$J$4),""))</f>
        <v/>
      </c>
      <c r="K144" s="9" t="str">
        <f aca="false">IF(J144="","",INT(J144/100000))</f>
        <v/>
      </c>
      <c r="L144" s="9" t="str">
        <f aca="false">IF(J144="","",MOD(J144,100000)-7)</f>
        <v/>
      </c>
    </row>
    <row r="145" customFormat="false" ht="15" hidden="false" customHeight="false" outlineLevel="0" collapsed="false">
      <c r="A145" s="37" t="str">
        <f aca="false">IF(J145="","",139)</f>
        <v/>
      </c>
      <c r="B145" s="45" t="str">
        <f aca="false">IF(J145="","",INDEX(Lists!$A$1:$A$4,K145))</f>
        <v/>
      </c>
      <c r="C145" s="48" t="str">
        <f aca="false">IF(J145="","",IF(K145&lt;=2,INDEX('Cash Book'!$B$8:$B$507,L145),INDEX('Bank Statement'!$B$8:$B$507,L145)))</f>
        <v/>
      </c>
      <c r="D145" s="49" t="str">
        <f aca="false">IF(J145="","",IF(K145&lt;=2,INDEX('Cash Book'!$E$8:$E$507,L145),INDEX('Bank Statement'!$D$8:$D$507,L145))&amp;"")</f>
        <v/>
      </c>
      <c r="E145" s="45" t="str">
        <f aca="false">IF(J145="","",IF(K145&lt;=2,INDEX('Cash Book'!$D$8:$D$507,L145),INDEX('Bank Statement'!$C$8:$C$507,L145))&amp;"")</f>
        <v/>
      </c>
      <c r="F145" s="50" t="str">
        <f aca="false">IF(J145="","",IF(K145&lt;=2,INDEX('Cash Book'!$W$8:$W$507,L145),INDEX('Bank Statement'!$W$8:$W$507,L145)))</f>
        <v/>
      </c>
      <c r="G145" s="49" t="str">
        <f aca="false">IF(J145="","",INDEX(Lists!$B$1:$B$4,K145))</f>
        <v/>
      </c>
      <c r="H145" s="45" t="str">
        <f aca="false">IF(J145="","",INDEX(Lists!$C$1:$C$4,K145))</f>
        <v/>
      </c>
      <c r="J145" s="9" t="str">
        <f aca="false">IF(139&lt;=$J$4,SMALL('Cash Book'!$V$8:$V$507,139),IF(139&lt;=$J$4+$K$4,SMALL('Bank Statement'!$V$8:$V$507,139-$J$4),""))</f>
        <v/>
      </c>
      <c r="K145" s="9" t="str">
        <f aca="false">IF(J145="","",INT(J145/100000))</f>
        <v/>
      </c>
      <c r="L145" s="9" t="str">
        <f aca="false">IF(J145="","",MOD(J145,100000)-7)</f>
        <v/>
      </c>
    </row>
    <row r="146" customFormat="false" ht="15" hidden="false" customHeight="false" outlineLevel="0" collapsed="false">
      <c r="A146" s="37" t="str">
        <f aca="false">IF(J146="","",140)</f>
        <v/>
      </c>
      <c r="B146" s="45" t="str">
        <f aca="false">IF(J146="","",INDEX(Lists!$A$1:$A$4,K146))</f>
        <v/>
      </c>
      <c r="C146" s="48" t="str">
        <f aca="false">IF(J146="","",IF(K146&lt;=2,INDEX('Cash Book'!$B$8:$B$507,L146),INDEX('Bank Statement'!$B$8:$B$507,L146)))</f>
        <v/>
      </c>
      <c r="D146" s="49" t="str">
        <f aca="false">IF(J146="","",IF(K146&lt;=2,INDEX('Cash Book'!$E$8:$E$507,L146),INDEX('Bank Statement'!$D$8:$D$507,L146))&amp;"")</f>
        <v/>
      </c>
      <c r="E146" s="45" t="str">
        <f aca="false">IF(J146="","",IF(K146&lt;=2,INDEX('Cash Book'!$D$8:$D$507,L146),INDEX('Bank Statement'!$C$8:$C$507,L146))&amp;"")</f>
        <v/>
      </c>
      <c r="F146" s="50" t="str">
        <f aca="false">IF(J146="","",IF(K146&lt;=2,INDEX('Cash Book'!$W$8:$W$507,L146),INDEX('Bank Statement'!$W$8:$W$507,L146)))</f>
        <v/>
      </c>
      <c r="G146" s="49" t="str">
        <f aca="false">IF(J146="","",INDEX(Lists!$B$1:$B$4,K146))</f>
        <v/>
      </c>
      <c r="H146" s="45" t="str">
        <f aca="false">IF(J146="","",INDEX(Lists!$C$1:$C$4,K146))</f>
        <v/>
      </c>
      <c r="J146" s="9" t="str">
        <f aca="false">IF(140&lt;=$J$4,SMALL('Cash Book'!$V$8:$V$507,140),IF(140&lt;=$J$4+$K$4,SMALL('Bank Statement'!$V$8:$V$507,140-$J$4),""))</f>
        <v/>
      </c>
      <c r="K146" s="9" t="str">
        <f aca="false">IF(J146="","",INT(J146/100000))</f>
        <v/>
      </c>
      <c r="L146" s="9" t="str">
        <f aca="false">IF(J146="","",MOD(J146,100000)-7)</f>
        <v/>
      </c>
    </row>
    <row r="147" customFormat="false" ht="15" hidden="false" customHeight="false" outlineLevel="0" collapsed="false">
      <c r="A147" s="37" t="str">
        <f aca="false">IF(J147="","",141)</f>
        <v/>
      </c>
      <c r="B147" s="45" t="str">
        <f aca="false">IF(J147="","",INDEX(Lists!$A$1:$A$4,K147))</f>
        <v/>
      </c>
      <c r="C147" s="48" t="str">
        <f aca="false">IF(J147="","",IF(K147&lt;=2,INDEX('Cash Book'!$B$8:$B$507,L147),INDEX('Bank Statement'!$B$8:$B$507,L147)))</f>
        <v/>
      </c>
      <c r="D147" s="49" t="str">
        <f aca="false">IF(J147="","",IF(K147&lt;=2,INDEX('Cash Book'!$E$8:$E$507,L147),INDEX('Bank Statement'!$D$8:$D$507,L147))&amp;"")</f>
        <v/>
      </c>
      <c r="E147" s="45" t="str">
        <f aca="false">IF(J147="","",IF(K147&lt;=2,INDEX('Cash Book'!$D$8:$D$507,L147),INDEX('Bank Statement'!$C$8:$C$507,L147))&amp;"")</f>
        <v/>
      </c>
      <c r="F147" s="50" t="str">
        <f aca="false">IF(J147="","",IF(K147&lt;=2,INDEX('Cash Book'!$W$8:$W$507,L147),INDEX('Bank Statement'!$W$8:$W$507,L147)))</f>
        <v/>
      </c>
      <c r="G147" s="49" t="str">
        <f aca="false">IF(J147="","",INDEX(Lists!$B$1:$B$4,K147))</f>
        <v/>
      </c>
      <c r="H147" s="45" t="str">
        <f aca="false">IF(J147="","",INDEX(Lists!$C$1:$C$4,K147))</f>
        <v/>
      </c>
      <c r="J147" s="9" t="str">
        <f aca="false">IF(141&lt;=$J$4,SMALL('Cash Book'!$V$8:$V$507,141),IF(141&lt;=$J$4+$K$4,SMALL('Bank Statement'!$V$8:$V$507,141-$J$4),""))</f>
        <v/>
      </c>
      <c r="K147" s="9" t="str">
        <f aca="false">IF(J147="","",INT(J147/100000))</f>
        <v/>
      </c>
      <c r="L147" s="9" t="str">
        <f aca="false">IF(J147="","",MOD(J147,100000)-7)</f>
        <v/>
      </c>
    </row>
    <row r="148" customFormat="false" ht="15" hidden="false" customHeight="false" outlineLevel="0" collapsed="false">
      <c r="A148" s="37" t="str">
        <f aca="false">IF(J148="","",142)</f>
        <v/>
      </c>
      <c r="B148" s="45" t="str">
        <f aca="false">IF(J148="","",INDEX(Lists!$A$1:$A$4,K148))</f>
        <v/>
      </c>
      <c r="C148" s="48" t="str">
        <f aca="false">IF(J148="","",IF(K148&lt;=2,INDEX('Cash Book'!$B$8:$B$507,L148),INDEX('Bank Statement'!$B$8:$B$507,L148)))</f>
        <v/>
      </c>
      <c r="D148" s="49" t="str">
        <f aca="false">IF(J148="","",IF(K148&lt;=2,INDEX('Cash Book'!$E$8:$E$507,L148),INDEX('Bank Statement'!$D$8:$D$507,L148))&amp;"")</f>
        <v/>
      </c>
      <c r="E148" s="45" t="str">
        <f aca="false">IF(J148="","",IF(K148&lt;=2,INDEX('Cash Book'!$D$8:$D$507,L148),INDEX('Bank Statement'!$C$8:$C$507,L148))&amp;"")</f>
        <v/>
      </c>
      <c r="F148" s="50" t="str">
        <f aca="false">IF(J148="","",IF(K148&lt;=2,INDEX('Cash Book'!$W$8:$W$507,L148),INDEX('Bank Statement'!$W$8:$W$507,L148)))</f>
        <v/>
      </c>
      <c r="G148" s="49" t="str">
        <f aca="false">IF(J148="","",INDEX(Lists!$B$1:$B$4,K148))</f>
        <v/>
      </c>
      <c r="H148" s="45" t="str">
        <f aca="false">IF(J148="","",INDEX(Lists!$C$1:$C$4,K148))</f>
        <v/>
      </c>
      <c r="J148" s="9" t="str">
        <f aca="false">IF(142&lt;=$J$4,SMALL('Cash Book'!$V$8:$V$507,142),IF(142&lt;=$J$4+$K$4,SMALL('Bank Statement'!$V$8:$V$507,142-$J$4),""))</f>
        <v/>
      </c>
      <c r="K148" s="9" t="str">
        <f aca="false">IF(J148="","",INT(J148/100000))</f>
        <v/>
      </c>
      <c r="L148" s="9" t="str">
        <f aca="false">IF(J148="","",MOD(J148,100000)-7)</f>
        <v/>
      </c>
    </row>
    <row r="149" customFormat="false" ht="15" hidden="false" customHeight="false" outlineLevel="0" collapsed="false">
      <c r="A149" s="37" t="str">
        <f aca="false">IF(J149="","",143)</f>
        <v/>
      </c>
      <c r="B149" s="45" t="str">
        <f aca="false">IF(J149="","",INDEX(Lists!$A$1:$A$4,K149))</f>
        <v/>
      </c>
      <c r="C149" s="48" t="str">
        <f aca="false">IF(J149="","",IF(K149&lt;=2,INDEX('Cash Book'!$B$8:$B$507,L149),INDEX('Bank Statement'!$B$8:$B$507,L149)))</f>
        <v/>
      </c>
      <c r="D149" s="49" t="str">
        <f aca="false">IF(J149="","",IF(K149&lt;=2,INDEX('Cash Book'!$E$8:$E$507,L149),INDEX('Bank Statement'!$D$8:$D$507,L149))&amp;"")</f>
        <v/>
      </c>
      <c r="E149" s="45" t="str">
        <f aca="false">IF(J149="","",IF(K149&lt;=2,INDEX('Cash Book'!$D$8:$D$507,L149),INDEX('Bank Statement'!$C$8:$C$507,L149))&amp;"")</f>
        <v/>
      </c>
      <c r="F149" s="50" t="str">
        <f aca="false">IF(J149="","",IF(K149&lt;=2,INDEX('Cash Book'!$W$8:$W$507,L149),INDEX('Bank Statement'!$W$8:$W$507,L149)))</f>
        <v/>
      </c>
      <c r="G149" s="49" t="str">
        <f aca="false">IF(J149="","",INDEX(Lists!$B$1:$B$4,K149))</f>
        <v/>
      </c>
      <c r="H149" s="45" t="str">
        <f aca="false">IF(J149="","",INDEX(Lists!$C$1:$C$4,K149))</f>
        <v/>
      </c>
      <c r="J149" s="9" t="str">
        <f aca="false">IF(143&lt;=$J$4,SMALL('Cash Book'!$V$8:$V$507,143),IF(143&lt;=$J$4+$K$4,SMALL('Bank Statement'!$V$8:$V$507,143-$J$4),""))</f>
        <v/>
      </c>
      <c r="K149" s="9" t="str">
        <f aca="false">IF(J149="","",INT(J149/100000))</f>
        <v/>
      </c>
      <c r="L149" s="9" t="str">
        <f aca="false">IF(J149="","",MOD(J149,100000)-7)</f>
        <v/>
      </c>
    </row>
    <row r="150" customFormat="false" ht="15" hidden="false" customHeight="false" outlineLevel="0" collapsed="false">
      <c r="A150" s="37" t="str">
        <f aca="false">IF(J150="","",144)</f>
        <v/>
      </c>
      <c r="B150" s="45" t="str">
        <f aca="false">IF(J150="","",INDEX(Lists!$A$1:$A$4,K150))</f>
        <v/>
      </c>
      <c r="C150" s="48" t="str">
        <f aca="false">IF(J150="","",IF(K150&lt;=2,INDEX('Cash Book'!$B$8:$B$507,L150),INDEX('Bank Statement'!$B$8:$B$507,L150)))</f>
        <v/>
      </c>
      <c r="D150" s="49" t="str">
        <f aca="false">IF(J150="","",IF(K150&lt;=2,INDEX('Cash Book'!$E$8:$E$507,L150),INDEX('Bank Statement'!$D$8:$D$507,L150))&amp;"")</f>
        <v/>
      </c>
      <c r="E150" s="45" t="str">
        <f aca="false">IF(J150="","",IF(K150&lt;=2,INDEX('Cash Book'!$D$8:$D$507,L150),INDEX('Bank Statement'!$C$8:$C$507,L150))&amp;"")</f>
        <v/>
      </c>
      <c r="F150" s="50" t="str">
        <f aca="false">IF(J150="","",IF(K150&lt;=2,INDEX('Cash Book'!$W$8:$W$507,L150),INDEX('Bank Statement'!$W$8:$W$507,L150)))</f>
        <v/>
      </c>
      <c r="G150" s="49" t="str">
        <f aca="false">IF(J150="","",INDEX(Lists!$B$1:$B$4,K150))</f>
        <v/>
      </c>
      <c r="H150" s="45" t="str">
        <f aca="false">IF(J150="","",INDEX(Lists!$C$1:$C$4,K150))</f>
        <v/>
      </c>
      <c r="J150" s="9" t="str">
        <f aca="false">IF(144&lt;=$J$4,SMALL('Cash Book'!$V$8:$V$507,144),IF(144&lt;=$J$4+$K$4,SMALL('Bank Statement'!$V$8:$V$507,144-$J$4),""))</f>
        <v/>
      </c>
      <c r="K150" s="9" t="str">
        <f aca="false">IF(J150="","",INT(J150/100000))</f>
        <v/>
      </c>
      <c r="L150" s="9" t="str">
        <f aca="false">IF(J150="","",MOD(J150,100000)-7)</f>
        <v/>
      </c>
    </row>
    <row r="151" customFormat="false" ht="15" hidden="false" customHeight="false" outlineLevel="0" collapsed="false">
      <c r="A151" s="37" t="str">
        <f aca="false">IF(J151="","",145)</f>
        <v/>
      </c>
      <c r="B151" s="45" t="str">
        <f aca="false">IF(J151="","",INDEX(Lists!$A$1:$A$4,K151))</f>
        <v/>
      </c>
      <c r="C151" s="48" t="str">
        <f aca="false">IF(J151="","",IF(K151&lt;=2,INDEX('Cash Book'!$B$8:$B$507,L151),INDEX('Bank Statement'!$B$8:$B$507,L151)))</f>
        <v/>
      </c>
      <c r="D151" s="49" t="str">
        <f aca="false">IF(J151="","",IF(K151&lt;=2,INDEX('Cash Book'!$E$8:$E$507,L151),INDEX('Bank Statement'!$D$8:$D$507,L151))&amp;"")</f>
        <v/>
      </c>
      <c r="E151" s="45" t="str">
        <f aca="false">IF(J151="","",IF(K151&lt;=2,INDEX('Cash Book'!$D$8:$D$507,L151),INDEX('Bank Statement'!$C$8:$C$507,L151))&amp;"")</f>
        <v/>
      </c>
      <c r="F151" s="50" t="str">
        <f aca="false">IF(J151="","",IF(K151&lt;=2,INDEX('Cash Book'!$W$8:$W$507,L151),INDEX('Bank Statement'!$W$8:$W$507,L151)))</f>
        <v/>
      </c>
      <c r="G151" s="49" t="str">
        <f aca="false">IF(J151="","",INDEX(Lists!$B$1:$B$4,K151))</f>
        <v/>
      </c>
      <c r="H151" s="45" t="str">
        <f aca="false">IF(J151="","",INDEX(Lists!$C$1:$C$4,K151))</f>
        <v/>
      </c>
      <c r="J151" s="9" t="str">
        <f aca="false">IF(145&lt;=$J$4,SMALL('Cash Book'!$V$8:$V$507,145),IF(145&lt;=$J$4+$K$4,SMALL('Bank Statement'!$V$8:$V$507,145-$J$4),""))</f>
        <v/>
      </c>
      <c r="K151" s="9" t="str">
        <f aca="false">IF(J151="","",INT(J151/100000))</f>
        <v/>
      </c>
      <c r="L151" s="9" t="str">
        <f aca="false">IF(J151="","",MOD(J151,100000)-7)</f>
        <v/>
      </c>
    </row>
    <row r="152" customFormat="false" ht="15" hidden="false" customHeight="false" outlineLevel="0" collapsed="false">
      <c r="A152" s="37" t="str">
        <f aca="false">IF(J152="","",146)</f>
        <v/>
      </c>
      <c r="B152" s="45" t="str">
        <f aca="false">IF(J152="","",INDEX(Lists!$A$1:$A$4,K152))</f>
        <v/>
      </c>
      <c r="C152" s="48" t="str">
        <f aca="false">IF(J152="","",IF(K152&lt;=2,INDEX('Cash Book'!$B$8:$B$507,L152),INDEX('Bank Statement'!$B$8:$B$507,L152)))</f>
        <v/>
      </c>
      <c r="D152" s="49" t="str">
        <f aca="false">IF(J152="","",IF(K152&lt;=2,INDEX('Cash Book'!$E$8:$E$507,L152),INDEX('Bank Statement'!$D$8:$D$507,L152))&amp;"")</f>
        <v/>
      </c>
      <c r="E152" s="45" t="str">
        <f aca="false">IF(J152="","",IF(K152&lt;=2,INDEX('Cash Book'!$D$8:$D$507,L152),INDEX('Bank Statement'!$C$8:$C$507,L152))&amp;"")</f>
        <v/>
      </c>
      <c r="F152" s="50" t="str">
        <f aca="false">IF(J152="","",IF(K152&lt;=2,INDEX('Cash Book'!$W$8:$W$507,L152),INDEX('Bank Statement'!$W$8:$W$507,L152)))</f>
        <v/>
      </c>
      <c r="G152" s="49" t="str">
        <f aca="false">IF(J152="","",INDEX(Lists!$B$1:$B$4,K152))</f>
        <v/>
      </c>
      <c r="H152" s="45" t="str">
        <f aca="false">IF(J152="","",INDEX(Lists!$C$1:$C$4,K152))</f>
        <v/>
      </c>
      <c r="J152" s="9" t="str">
        <f aca="false">IF(146&lt;=$J$4,SMALL('Cash Book'!$V$8:$V$507,146),IF(146&lt;=$J$4+$K$4,SMALL('Bank Statement'!$V$8:$V$507,146-$J$4),""))</f>
        <v/>
      </c>
      <c r="K152" s="9" t="str">
        <f aca="false">IF(J152="","",INT(J152/100000))</f>
        <v/>
      </c>
      <c r="L152" s="9" t="str">
        <f aca="false">IF(J152="","",MOD(J152,100000)-7)</f>
        <v/>
      </c>
    </row>
    <row r="153" customFormat="false" ht="15" hidden="false" customHeight="false" outlineLevel="0" collapsed="false">
      <c r="A153" s="37" t="str">
        <f aca="false">IF(J153="","",147)</f>
        <v/>
      </c>
      <c r="B153" s="45" t="str">
        <f aca="false">IF(J153="","",INDEX(Lists!$A$1:$A$4,K153))</f>
        <v/>
      </c>
      <c r="C153" s="48" t="str">
        <f aca="false">IF(J153="","",IF(K153&lt;=2,INDEX('Cash Book'!$B$8:$B$507,L153),INDEX('Bank Statement'!$B$8:$B$507,L153)))</f>
        <v/>
      </c>
      <c r="D153" s="49" t="str">
        <f aca="false">IF(J153="","",IF(K153&lt;=2,INDEX('Cash Book'!$E$8:$E$507,L153),INDEX('Bank Statement'!$D$8:$D$507,L153))&amp;"")</f>
        <v/>
      </c>
      <c r="E153" s="45" t="str">
        <f aca="false">IF(J153="","",IF(K153&lt;=2,INDEX('Cash Book'!$D$8:$D$507,L153),INDEX('Bank Statement'!$C$8:$C$507,L153))&amp;"")</f>
        <v/>
      </c>
      <c r="F153" s="50" t="str">
        <f aca="false">IF(J153="","",IF(K153&lt;=2,INDEX('Cash Book'!$W$8:$W$507,L153),INDEX('Bank Statement'!$W$8:$W$507,L153)))</f>
        <v/>
      </c>
      <c r="G153" s="49" t="str">
        <f aca="false">IF(J153="","",INDEX(Lists!$B$1:$B$4,K153))</f>
        <v/>
      </c>
      <c r="H153" s="45" t="str">
        <f aca="false">IF(J153="","",INDEX(Lists!$C$1:$C$4,K153))</f>
        <v/>
      </c>
      <c r="J153" s="9" t="str">
        <f aca="false">IF(147&lt;=$J$4,SMALL('Cash Book'!$V$8:$V$507,147),IF(147&lt;=$J$4+$K$4,SMALL('Bank Statement'!$V$8:$V$507,147-$J$4),""))</f>
        <v/>
      </c>
      <c r="K153" s="9" t="str">
        <f aca="false">IF(J153="","",INT(J153/100000))</f>
        <v/>
      </c>
      <c r="L153" s="9" t="str">
        <f aca="false">IF(J153="","",MOD(J153,100000)-7)</f>
        <v/>
      </c>
    </row>
    <row r="154" customFormat="false" ht="15" hidden="false" customHeight="false" outlineLevel="0" collapsed="false">
      <c r="A154" s="37" t="str">
        <f aca="false">IF(J154="","",148)</f>
        <v/>
      </c>
      <c r="B154" s="45" t="str">
        <f aca="false">IF(J154="","",INDEX(Lists!$A$1:$A$4,K154))</f>
        <v/>
      </c>
      <c r="C154" s="48" t="str">
        <f aca="false">IF(J154="","",IF(K154&lt;=2,INDEX('Cash Book'!$B$8:$B$507,L154),INDEX('Bank Statement'!$B$8:$B$507,L154)))</f>
        <v/>
      </c>
      <c r="D154" s="49" t="str">
        <f aca="false">IF(J154="","",IF(K154&lt;=2,INDEX('Cash Book'!$E$8:$E$507,L154),INDEX('Bank Statement'!$D$8:$D$507,L154))&amp;"")</f>
        <v/>
      </c>
      <c r="E154" s="45" t="str">
        <f aca="false">IF(J154="","",IF(K154&lt;=2,INDEX('Cash Book'!$D$8:$D$507,L154),INDEX('Bank Statement'!$C$8:$C$507,L154))&amp;"")</f>
        <v/>
      </c>
      <c r="F154" s="50" t="str">
        <f aca="false">IF(J154="","",IF(K154&lt;=2,INDEX('Cash Book'!$W$8:$W$507,L154),INDEX('Bank Statement'!$W$8:$W$507,L154)))</f>
        <v/>
      </c>
      <c r="G154" s="49" t="str">
        <f aca="false">IF(J154="","",INDEX(Lists!$B$1:$B$4,K154))</f>
        <v/>
      </c>
      <c r="H154" s="45" t="str">
        <f aca="false">IF(J154="","",INDEX(Lists!$C$1:$C$4,K154))</f>
        <v/>
      </c>
      <c r="J154" s="9" t="str">
        <f aca="false">IF(148&lt;=$J$4,SMALL('Cash Book'!$V$8:$V$507,148),IF(148&lt;=$J$4+$K$4,SMALL('Bank Statement'!$V$8:$V$507,148-$J$4),""))</f>
        <v/>
      </c>
      <c r="K154" s="9" t="str">
        <f aca="false">IF(J154="","",INT(J154/100000))</f>
        <v/>
      </c>
      <c r="L154" s="9" t="str">
        <f aca="false">IF(J154="","",MOD(J154,100000)-7)</f>
        <v/>
      </c>
    </row>
    <row r="155" customFormat="false" ht="15" hidden="false" customHeight="false" outlineLevel="0" collapsed="false">
      <c r="A155" s="37" t="str">
        <f aca="false">IF(J155="","",149)</f>
        <v/>
      </c>
      <c r="B155" s="45" t="str">
        <f aca="false">IF(J155="","",INDEX(Lists!$A$1:$A$4,K155))</f>
        <v/>
      </c>
      <c r="C155" s="48" t="str">
        <f aca="false">IF(J155="","",IF(K155&lt;=2,INDEX('Cash Book'!$B$8:$B$507,L155),INDEX('Bank Statement'!$B$8:$B$507,L155)))</f>
        <v/>
      </c>
      <c r="D155" s="49" t="str">
        <f aca="false">IF(J155="","",IF(K155&lt;=2,INDEX('Cash Book'!$E$8:$E$507,L155),INDEX('Bank Statement'!$D$8:$D$507,L155))&amp;"")</f>
        <v/>
      </c>
      <c r="E155" s="45" t="str">
        <f aca="false">IF(J155="","",IF(K155&lt;=2,INDEX('Cash Book'!$D$8:$D$507,L155),INDEX('Bank Statement'!$C$8:$C$507,L155))&amp;"")</f>
        <v/>
      </c>
      <c r="F155" s="50" t="str">
        <f aca="false">IF(J155="","",IF(K155&lt;=2,INDEX('Cash Book'!$W$8:$W$507,L155),INDEX('Bank Statement'!$W$8:$W$507,L155)))</f>
        <v/>
      </c>
      <c r="G155" s="49" t="str">
        <f aca="false">IF(J155="","",INDEX(Lists!$B$1:$B$4,K155))</f>
        <v/>
      </c>
      <c r="H155" s="45" t="str">
        <f aca="false">IF(J155="","",INDEX(Lists!$C$1:$C$4,K155))</f>
        <v/>
      </c>
      <c r="J155" s="9" t="str">
        <f aca="false">IF(149&lt;=$J$4,SMALL('Cash Book'!$V$8:$V$507,149),IF(149&lt;=$J$4+$K$4,SMALL('Bank Statement'!$V$8:$V$507,149-$J$4),""))</f>
        <v/>
      </c>
      <c r="K155" s="9" t="str">
        <f aca="false">IF(J155="","",INT(J155/100000))</f>
        <v/>
      </c>
      <c r="L155" s="9" t="str">
        <f aca="false">IF(J155="","",MOD(J155,100000)-7)</f>
        <v/>
      </c>
    </row>
    <row r="156" customFormat="false" ht="15" hidden="false" customHeight="false" outlineLevel="0" collapsed="false">
      <c r="A156" s="37" t="str">
        <f aca="false">IF(J156="","",150)</f>
        <v/>
      </c>
      <c r="B156" s="45" t="str">
        <f aca="false">IF(J156="","",INDEX(Lists!$A$1:$A$4,K156))</f>
        <v/>
      </c>
      <c r="C156" s="48" t="str">
        <f aca="false">IF(J156="","",IF(K156&lt;=2,INDEX('Cash Book'!$B$8:$B$507,L156),INDEX('Bank Statement'!$B$8:$B$507,L156)))</f>
        <v/>
      </c>
      <c r="D156" s="49" t="str">
        <f aca="false">IF(J156="","",IF(K156&lt;=2,INDEX('Cash Book'!$E$8:$E$507,L156),INDEX('Bank Statement'!$D$8:$D$507,L156))&amp;"")</f>
        <v/>
      </c>
      <c r="E156" s="45" t="str">
        <f aca="false">IF(J156="","",IF(K156&lt;=2,INDEX('Cash Book'!$D$8:$D$507,L156),INDEX('Bank Statement'!$C$8:$C$507,L156))&amp;"")</f>
        <v/>
      </c>
      <c r="F156" s="50" t="str">
        <f aca="false">IF(J156="","",IF(K156&lt;=2,INDEX('Cash Book'!$W$8:$W$507,L156),INDEX('Bank Statement'!$W$8:$W$507,L156)))</f>
        <v/>
      </c>
      <c r="G156" s="49" t="str">
        <f aca="false">IF(J156="","",INDEX(Lists!$B$1:$B$4,K156))</f>
        <v/>
      </c>
      <c r="H156" s="45" t="str">
        <f aca="false">IF(J156="","",INDEX(Lists!$C$1:$C$4,K156))</f>
        <v/>
      </c>
      <c r="J156" s="9" t="str">
        <f aca="false">IF(150&lt;=$J$4,SMALL('Cash Book'!$V$8:$V$507,150),IF(150&lt;=$J$4+$K$4,SMALL('Bank Statement'!$V$8:$V$507,150-$J$4),""))</f>
        <v/>
      </c>
      <c r="K156" s="9" t="str">
        <f aca="false">IF(J156="","",INT(J156/100000))</f>
        <v/>
      </c>
      <c r="L156" s="9" t="str">
        <f aca="false">IF(J156="","",MOD(J156,100000)-7)</f>
        <v/>
      </c>
    </row>
    <row r="157" customFormat="false" ht="15" hidden="false" customHeight="false" outlineLevel="0" collapsed="false">
      <c r="A157" s="37" t="str">
        <f aca="false">IF(J157="","",151)</f>
        <v/>
      </c>
      <c r="B157" s="45" t="str">
        <f aca="false">IF(J157="","",INDEX(Lists!$A$1:$A$4,K157))</f>
        <v/>
      </c>
      <c r="C157" s="48" t="str">
        <f aca="false">IF(J157="","",IF(K157&lt;=2,INDEX('Cash Book'!$B$8:$B$507,L157),INDEX('Bank Statement'!$B$8:$B$507,L157)))</f>
        <v/>
      </c>
      <c r="D157" s="49" t="str">
        <f aca="false">IF(J157="","",IF(K157&lt;=2,INDEX('Cash Book'!$E$8:$E$507,L157),INDEX('Bank Statement'!$D$8:$D$507,L157))&amp;"")</f>
        <v/>
      </c>
      <c r="E157" s="45" t="str">
        <f aca="false">IF(J157="","",IF(K157&lt;=2,INDEX('Cash Book'!$D$8:$D$507,L157),INDEX('Bank Statement'!$C$8:$C$507,L157))&amp;"")</f>
        <v/>
      </c>
      <c r="F157" s="50" t="str">
        <f aca="false">IF(J157="","",IF(K157&lt;=2,INDEX('Cash Book'!$W$8:$W$507,L157),INDEX('Bank Statement'!$W$8:$W$507,L157)))</f>
        <v/>
      </c>
      <c r="G157" s="49" t="str">
        <f aca="false">IF(J157="","",INDEX(Lists!$B$1:$B$4,K157))</f>
        <v/>
      </c>
      <c r="H157" s="45" t="str">
        <f aca="false">IF(J157="","",INDEX(Lists!$C$1:$C$4,K157))</f>
        <v/>
      </c>
      <c r="J157" s="9" t="str">
        <f aca="false">IF(151&lt;=$J$4,SMALL('Cash Book'!$V$8:$V$507,151),IF(151&lt;=$J$4+$K$4,SMALL('Bank Statement'!$V$8:$V$507,151-$J$4),""))</f>
        <v/>
      </c>
      <c r="K157" s="9" t="str">
        <f aca="false">IF(J157="","",INT(J157/100000))</f>
        <v/>
      </c>
      <c r="L157" s="9" t="str">
        <f aca="false">IF(J157="","",MOD(J157,100000)-7)</f>
        <v/>
      </c>
    </row>
    <row r="158" customFormat="false" ht="15" hidden="false" customHeight="false" outlineLevel="0" collapsed="false">
      <c r="A158" s="37" t="str">
        <f aca="false">IF(J158="","",152)</f>
        <v/>
      </c>
      <c r="B158" s="45" t="str">
        <f aca="false">IF(J158="","",INDEX(Lists!$A$1:$A$4,K158))</f>
        <v/>
      </c>
      <c r="C158" s="48" t="str">
        <f aca="false">IF(J158="","",IF(K158&lt;=2,INDEX('Cash Book'!$B$8:$B$507,L158),INDEX('Bank Statement'!$B$8:$B$507,L158)))</f>
        <v/>
      </c>
      <c r="D158" s="49" t="str">
        <f aca="false">IF(J158="","",IF(K158&lt;=2,INDEX('Cash Book'!$E$8:$E$507,L158),INDEX('Bank Statement'!$D$8:$D$507,L158))&amp;"")</f>
        <v/>
      </c>
      <c r="E158" s="45" t="str">
        <f aca="false">IF(J158="","",IF(K158&lt;=2,INDEX('Cash Book'!$D$8:$D$507,L158),INDEX('Bank Statement'!$C$8:$C$507,L158))&amp;"")</f>
        <v/>
      </c>
      <c r="F158" s="50" t="str">
        <f aca="false">IF(J158="","",IF(K158&lt;=2,INDEX('Cash Book'!$W$8:$W$507,L158),INDEX('Bank Statement'!$W$8:$W$507,L158)))</f>
        <v/>
      </c>
      <c r="G158" s="49" t="str">
        <f aca="false">IF(J158="","",INDEX(Lists!$B$1:$B$4,K158))</f>
        <v/>
      </c>
      <c r="H158" s="45" t="str">
        <f aca="false">IF(J158="","",INDEX(Lists!$C$1:$C$4,K158))</f>
        <v/>
      </c>
      <c r="J158" s="9" t="str">
        <f aca="false">IF(152&lt;=$J$4,SMALL('Cash Book'!$V$8:$V$507,152),IF(152&lt;=$J$4+$K$4,SMALL('Bank Statement'!$V$8:$V$507,152-$J$4),""))</f>
        <v/>
      </c>
      <c r="K158" s="9" t="str">
        <f aca="false">IF(J158="","",INT(J158/100000))</f>
        <v/>
      </c>
      <c r="L158" s="9" t="str">
        <f aca="false">IF(J158="","",MOD(J158,100000)-7)</f>
        <v/>
      </c>
    </row>
    <row r="159" customFormat="false" ht="15" hidden="false" customHeight="false" outlineLevel="0" collapsed="false">
      <c r="A159" s="37" t="str">
        <f aca="false">IF(J159="","",153)</f>
        <v/>
      </c>
      <c r="B159" s="45" t="str">
        <f aca="false">IF(J159="","",INDEX(Lists!$A$1:$A$4,K159))</f>
        <v/>
      </c>
      <c r="C159" s="48" t="str">
        <f aca="false">IF(J159="","",IF(K159&lt;=2,INDEX('Cash Book'!$B$8:$B$507,L159),INDEX('Bank Statement'!$B$8:$B$507,L159)))</f>
        <v/>
      </c>
      <c r="D159" s="49" t="str">
        <f aca="false">IF(J159="","",IF(K159&lt;=2,INDEX('Cash Book'!$E$8:$E$507,L159),INDEX('Bank Statement'!$D$8:$D$507,L159))&amp;"")</f>
        <v/>
      </c>
      <c r="E159" s="45" t="str">
        <f aca="false">IF(J159="","",IF(K159&lt;=2,INDEX('Cash Book'!$D$8:$D$507,L159),INDEX('Bank Statement'!$C$8:$C$507,L159))&amp;"")</f>
        <v/>
      </c>
      <c r="F159" s="50" t="str">
        <f aca="false">IF(J159="","",IF(K159&lt;=2,INDEX('Cash Book'!$W$8:$W$507,L159),INDEX('Bank Statement'!$W$8:$W$507,L159)))</f>
        <v/>
      </c>
      <c r="G159" s="49" t="str">
        <f aca="false">IF(J159="","",INDEX(Lists!$B$1:$B$4,K159))</f>
        <v/>
      </c>
      <c r="H159" s="45" t="str">
        <f aca="false">IF(J159="","",INDEX(Lists!$C$1:$C$4,K159))</f>
        <v/>
      </c>
      <c r="J159" s="9" t="str">
        <f aca="false">IF(153&lt;=$J$4,SMALL('Cash Book'!$V$8:$V$507,153),IF(153&lt;=$J$4+$K$4,SMALL('Bank Statement'!$V$8:$V$507,153-$J$4),""))</f>
        <v/>
      </c>
      <c r="K159" s="9" t="str">
        <f aca="false">IF(J159="","",INT(J159/100000))</f>
        <v/>
      </c>
      <c r="L159" s="9" t="str">
        <f aca="false">IF(J159="","",MOD(J159,100000)-7)</f>
        <v/>
      </c>
    </row>
    <row r="160" customFormat="false" ht="15" hidden="false" customHeight="false" outlineLevel="0" collapsed="false">
      <c r="A160" s="37" t="str">
        <f aca="false">IF(J160="","",154)</f>
        <v/>
      </c>
      <c r="B160" s="45" t="str">
        <f aca="false">IF(J160="","",INDEX(Lists!$A$1:$A$4,K160))</f>
        <v/>
      </c>
      <c r="C160" s="48" t="str">
        <f aca="false">IF(J160="","",IF(K160&lt;=2,INDEX('Cash Book'!$B$8:$B$507,L160),INDEX('Bank Statement'!$B$8:$B$507,L160)))</f>
        <v/>
      </c>
      <c r="D160" s="49" t="str">
        <f aca="false">IF(J160="","",IF(K160&lt;=2,INDEX('Cash Book'!$E$8:$E$507,L160),INDEX('Bank Statement'!$D$8:$D$507,L160))&amp;"")</f>
        <v/>
      </c>
      <c r="E160" s="45" t="str">
        <f aca="false">IF(J160="","",IF(K160&lt;=2,INDEX('Cash Book'!$D$8:$D$507,L160),INDEX('Bank Statement'!$C$8:$C$507,L160))&amp;"")</f>
        <v/>
      </c>
      <c r="F160" s="50" t="str">
        <f aca="false">IF(J160="","",IF(K160&lt;=2,INDEX('Cash Book'!$W$8:$W$507,L160),INDEX('Bank Statement'!$W$8:$W$507,L160)))</f>
        <v/>
      </c>
      <c r="G160" s="49" t="str">
        <f aca="false">IF(J160="","",INDEX(Lists!$B$1:$B$4,K160))</f>
        <v/>
      </c>
      <c r="H160" s="45" t="str">
        <f aca="false">IF(J160="","",INDEX(Lists!$C$1:$C$4,K160))</f>
        <v/>
      </c>
      <c r="J160" s="9" t="str">
        <f aca="false">IF(154&lt;=$J$4,SMALL('Cash Book'!$V$8:$V$507,154),IF(154&lt;=$J$4+$K$4,SMALL('Bank Statement'!$V$8:$V$507,154-$J$4),""))</f>
        <v/>
      </c>
      <c r="K160" s="9" t="str">
        <f aca="false">IF(J160="","",INT(J160/100000))</f>
        <v/>
      </c>
      <c r="L160" s="9" t="str">
        <f aca="false">IF(J160="","",MOD(J160,100000)-7)</f>
        <v/>
      </c>
    </row>
    <row r="161" customFormat="false" ht="15" hidden="false" customHeight="false" outlineLevel="0" collapsed="false">
      <c r="A161" s="37" t="str">
        <f aca="false">IF(J161="","",155)</f>
        <v/>
      </c>
      <c r="B161" s="45" t="str">
        <f aca="false">IF(J161="","",INDEX(Lists!$A$1:$A$4,K161))</f>
        <v/>
      </c>
      <c r="C161" s="48" t="str">
        <f aca="false">IF(J161="","",IF(K161&lt;=2,INDEX('Cash Book'!$B$8:$B$507,L161),INDEX('Bank Statement'!$B$8:$B$507,L161)))</f>
        <v/>
      </c>
      <c r="D161" s="49" t="str">
        <f aca="false">IF(J161="","",IF(K161&lt;=2,INDEX('Cash Book'!$E$8:$E$507,L161),INDEX('Bank Statement'!$D$8:$D$507,L161))&amp;"")</f>
        <v/>
      </c>
      <c r="E161" s="45" t="str">
        <f aca="false">IF(J161="","",IF(K161&lt;=2,INDEX('Cash Book'!$D$8:$D$507,L161),INDEX('Bank Statement'!$C$8:$C$507,L161))&amp;"")</f>
        <v/>
      </c>
      <c r="F161" s="50" t="str">
        <f aca="false">IF(J161="","",IF(K161&lt;=2,INDEX('Cash Book'!$W$8:$W$507,L161),INDEX('Bank Statement'!$W$8:$W$507,L161)))</f>
        <v/>
      </c>
      <c r="G161" s="49" t="str">
        <f aca="false">IF(J161="","",INDEX(Lists!$B$1:$B$4,K161))</f>
        <v/>
      </c>
      <c r="H161" s="45" t="str">
        <f aca="false">IF(J161="","",INDEX(Lists!$C$1:$C$4,K161))</f>
        <v/>
      </c>
      <c r="J161" s="9" t="str">
        <f aca="false">IF(155&lt;=$J$4,SMALL('Cash Book'!$V$8:$V$507,155),IF(155&lt;=$J$4+$K$4,SMALL('Bank Statement'!$V$8:$V$507,155-$J$4),""))</f>
        <v/>
      </c>
      <c r="K161" s="9" t="str">
        <f aca="false">IF(J161="","",INT(J161/100000))</f>
        <v/>
      </c>
      <c r="L161" s="9" t="str">
        <f aca="false">IF(J161="","",MOD(J161,100000)-7)</f>
        <v/>
      </c>
    </row>
    <row r="162" customFormat="false" ht="15" hidden="false" customHeight="false" outlineLevel="0" collapsed="false">
      <c r="A162" s="37" t="str">
        <f aca="false">IF(J162="","",156)</f>
        <v/>
      </c>
      <c r="B162" s="45" t="str">
        <f aca="false">IF(J162="","",INDEX(Lists!$A$1:$A$4,K162))</f>
        <v/>
      </c>
      <c r="C162" s="48" t="str">
        <f aca="false">IF(J162="","",IF(K162&lt;=2,INDEX('Cash Book'!$B$8:$B$507,L162),INDEX('Bank Statement'!$B$8:$B$507,L162)))</f>
        <v/>
      </c>
      <c r="D162" s="49" t="str">
        <f aca="false">IF(J162="","",IF(K162&lt;=2,INDEX('Cash Book'!$E$8:$E$507,L162),INDEX('Bank Statement'!$D$8:$D$507,L162))&amp;"")</f>
        <v/>
      </c>
      <c r="E162" s="45" t="str">
        <f aca="false">IF(J162="","",IF(K162&lt;=2,INDEX('Cash Book'!$D$8:$D$507,L162),INDEX('Bank Statement'!$C$8:$C$507,L162))&amp;"")</f>
        <v/>
      </c>
      <c r="F162" s="50" t="str">
        <f aca="false">IF(J162="","",IF(K162&lt;=2,INDEX('Cash Book'!$W$8:$W$507,L162),INDEX('Bank Statement'!$W$8:$W$507,L162)))</f>
        <v/>
      </c>
      <c r="G162" s="49" t="str">
        <f aca="false">IF(J162="","",INDEX(Lists!$B$1:$B$4,K162))</f>
        <v/>
      </c>
      <c r="H162" s="45" t="str">
        <f aca="false">IF(J162="","",INDEX(Lists!$C$1:$C$4,K162))</f>
        <v/>
      </c>
      <c r="J162" s="9" t="str">
        <f aca="false">IF(156&lt;=$J$4,SMALL('Cash Book'!$V$8:$V$507,156),IF(156&lt;=$J$4+$K$4,SMALL('Bank Statement'!$V$8:$V$507,156-$J$4),""))</f>
        <v/>
      </c>
      <c r="K162" s="9" t="str">
        <f aca="false">IF(J162="","",INT(J162/100000))</f>
        <v/>
      </c>
      <c r="L162" s="9" t="str">
        <f aca="false">IF(J162="","",MOD(J162,100000)-7)</f>
        <v/>
      </c>
    </row>
    <row r="163" customFormat="false" ht="15" hidden="false" customHeight="false" outlineLevel="0" collapsed="false">
      <c r="A163" s="37" t="str">
        <f aca="false">IF(J163="","",157)</f>
        <v/>
      </c>
      <c r="B163" s="45" t="str">
        <f aca="false">IF(J163="","",INDEX(Lists!$A$1:$A$4,K163))</f>
        <v/>
      </c>
      <c r="C163" s="48" t="str">
        <f aca="false">IF(J163="","",IF(K163&lt;=2,INDEX('Cash Book'!$B$8:$B$507,L163),INDEX('Bank Statement'!$B$8:$B$507,L163)))</f>
        <v/>
      </c>
      <c r="D163" s="49" t="str">
        <f aca="false">IF(J163="","",IF(K163&lt;=2,INDEX('Cash Book'!$E$8:$E$507,L163),INDEX('Bank Statement'!$D$8:$D$507,L163))&amp;"")</f>
        <v/>
      </c>
      <c r="E163" s="45" t="str">
        <f aca="false">IF(J163="","",IF(K163&lt;=2,INDEX('Cash Book'!$D$8:$D$507,L163),INDEX('Bank Statement'!$C$8:$C$507,L163))&amp;"")</f>
        <v/>
      </c>
      <c r="F163" s="50" t="str">
        <f aca="false">IF(J163="","",IF(K163&lt;=2,INDEX('Cash Book'!$W$8:$W$507,L163),INDEX('Bank Statement'!$W$8:$W$507,L163)))</f>
        <v/>
      </c>
      <c r="G163" s="49" t="str">
        <f aca="false">IF(J163="","",INDEX(Lists!$B$1:$B$4,K163))</f>
        <v/>
      </c>
      <c r="H163" s="45" t="str">
        <f aca="false">IF(J163="","",INDEX(Lists!$C$1:$C$4,K163))</f>
        <v/>
      </c>
      <c r="J163" s="9" t="str">
        <f aca="false">IF(157&lt;=$J$4,SMALL('Cash Book'!$V$8:$V$507,157),IF(157&lt;=$J$4+$K$4,SMALL('Bank Statement'!$V$8:$V$507,157-$J$4),""))</f>
        <v/>
      </c>
      <c r="K163" s="9" t="str">
        <f aca="false">IF(J163="","",INT(J163/100000))</f>
        <v/>
      </c>
      <c r="L163" s="9" t="str">
        <f aca="false">IF(J163="","",MOD(J163,100000)-7)</f>
        <v/>
      </c>
    </row>
    <row r="164" customFormat="false" ht="15" hidden="false" customHeight="false" outlineLevel="0" collapsed="false">
      <c r="A164" s="37" t="str">
        <f aca="false">IF(J164="","",158)</f>
        <v/>
      </c>
      <c r="B164" s="45" t="str">
        <f aca="false">IF(J164="","",INDEX(Lists!$A$1:$A$4,K164))</f>
        <v/>
      </c>
      <c r="C164" s="48" t="str">
        <f aca="false">IF(J164="","",IF(K164&lt;=2,INDEX('Cash Book'!$B$8:$B$507,L164),INDEX('Bank Statement'!$B$8:$B$507,L164)))</f>
        <v/>
      </c>
      <c r="D164" s="49" t="str">
        <f aca="false">IF(J164="","",IF(K164&lt;=2,INDEX('Cash Book'!$E$8:$E$507,L164),INDEX('Bank Statement'!$D$8:$D$507,L164))&amp;"")</f>
        <v/>
      </c>
      <c r="E164" s="45" t="str">
        <f aca="false">IF(J164="","",IF(K164&lt;=2,INDEX('Cash Book'!$D$8:$D$507,L164),INDEX('Bank Statement'!$C$8:$C$507,L164))&amp;"")</f>
        <v/>
      </c>
      <c r="F164" s="50" t="str">
        <f aca="false">IF(J164="","",IF(K164&lt;=2,INDEX('Cash Book'!$W$8:$W$507,L164),INDEX('Bank Statement'!$W$8:$W$507,L164)))</f>
        <v/>
      </c>
      <c r="G164" s="49" t="str">
        <f aca="false">IF(J164="","",INDEX(Lists!$B$1:$B$4,K164))</f>
        <v/>
      </c>
      <c r="H164" s="45" t="str">
        <f aca="false">IF(J164="","",INDEX(Lists!$C$1:$C$4,K164))</f>
        <v/>
      </c>
      <c r="J164" s="9" t="str">
        <f aca="false">IF(158&lt;=$J$4,SMALL('Cash Book'!$V$8:$V$507,158),IF(158&lt;=$J$4+$K$4,SMALL('Bank Statement'!$V$8:$V$507,158-$J$4),""))</f>
        <v/>
      </c>
      <c r="K164" s="9" t="str">
        <f aca="false">IF(J164="","",INT(J164/100000))</f>
        <v/>
      </c>
      <c r="L164" s="9" t="str">
        <f aca="false">IF(J164="","",MOD(J164,100000)-7)</f>
        <v/>
      </c>
    </row>
    <row r="165" customFormat="false" ht="15" hidden="false" customHeight="false" outlineLevel="0" collapsed="false">
      <c r="A165" s="37" t="str">
        <f aca="false">IF(J165="","",159)</f>
        <v/>
      </c>
      <c r="B165" s="45" t="str">
        <f aca="false">IF(J165="","",INDEX(Lists!$A$1:$A$4,K165))</f>
        <v/>
      </c>
      <c r="C165" s="48" t="str">
        <f aca="false">IF(J165="","",IF(K165&lt;=2,INDEX('Cash Book'!$B$8:$B$507,L165),INDEX('Bank Statement'!$B$8:$B$507,L165)))</f>
        <v/>
      </c>
      <c r="D165" s="49" t="str">
        <f aca="false">IF(J165="","",IF(K165&lt;=2,INDEX('Cash Book'!$E$8:$E$507,L165),INDEX('Bank Statement'!$D$8:$D$507,L165))&amp;"")</f>
        <v/>
      </c>
      <c r="E165" s="45" t="str">
        <f aca="false">IF(J165="","",IF(K165&lt;=2,INDEX('Cash Book'!$D$8:$D$507,L165),INDEX('Bank Statement'!$C$8:$C$507,L165))&amp;"")</f>
        <v/>
      </c>
      <c r="F165" s="50" t="str">
        <f aca="false">IF(J165="","",IF(K165&lt;=2,INDEX('Cash Book'!$W$8:$W$507,L165),INDEX('Bank Statement'!$W$8:$W$507,L165)))</f>
        <v/>
      </c>
      <c r="G165" s="49" t="str">
        <f aca="false">IF(J165="","",INDEX(Lists!$B$1:$B$4,K165))</f>
        <v/>
      </c>
      <c r="H165" s="45" t="str">
        <f aca="false">IF(J165="","",INDEX(Lists!$C$1:$C$4,K165))</f>
        <v/>
      </c>
      <c r="J165" s="9" t="str">
        <f aca="false">IF(159&lt;=$J$4,SMALL('Cash Book'!$V$8:$V$507,159),IF(159&lt;=$J$4+$K$4,SMALL('Bank Statement'!$V$8:$V$507,159-$J$4),""))</f>
        <v/>
      </c>
      <c r="K165" s="9" t="str">
        <f aca="false">IF(J165="","",INT(J165/100000))</f>
        <v/>
      </c>
      <c r="L165" s="9" t="str">
        <f aca="false">IF(J165="","",MOD(J165,100000)-7)</f>
        <v/>
      </c>
    </row>
    <row r="166" customFormat="false" ht="15" hidden="false" customHeight="false" outlineLevel="0" collapsed="false">
      <c r="A166" s="37" t="str">
        <f aca="false">IF(J166="","",160)</f>
        <v/>
      </c>
      <c r="B166" s="45" t="str">
        <f aca="false">IF(J166="","",INDEX(Lists!$A$1:$A$4,K166))</f>
        <v/>
      </c>
      <c r="C166" s="48" t="str">
        <f aca="false">IF(J166="","",IF(K166&lt;=2,INDEX('Cash Book'!$B$8:$B$507,L166),INDEX('Bank Statement'!$B$8:$B$507,L166)))</f>
        <v/>
      </c>
      <c r="D166" s="49" t="str">
        <f aca="false">IF(J166="","",IF(K166&lt;=2,INDEX('Cash Book'!$E$8:$E$507,L166),INDEX('Bank Statement'!$D$8:$D$507,L166))&amp;"")</f>
        <v/>
      </c>
      <c r="E166" s="45" t="str">
        <f aca="false">IF(J166="","",IF(K166&lt;=2,INDEX('Cash Book'!$D$8:$D$507,L166),INDEX('Bank Statement'!$C$8:$C$507,L166))&amp;"")</f>
        <v/>
      </c>
      <c r="F166" s="50" t="str">
        <f aca="false">IF(J166="","",IF(K166&lt;=2,INDEX('Cash Book'!$W$8:$W$507,L166),INDEX('Bank Statement'!$W$8:$W$507,L166)))</f>
        <v/>
      </c>
      <c r="G166" s="49" t="str">
        <f aca="false">IF(J166="","",INDEX(Lists!$B$1:$B$4,K166))</f>
        <v/>
      </c>
      <c r="H166" s="45" t="str">
        <f aca="false">IF(J166="","",INDEX(Lists!$C$1:$C$4,K166))</f>
        <v/>
      </c>
      <c r="J166" s="9" t="str">
        <f aca="false">IF(160&lt;=$J$4,SMALL('Cash Book'!$V$8:$V$507,160),IF(160&lt;=$J$4+$K$4,SMALL('Bank Statement'!$V$8:$V$507,160-$J$4),""))</f>
        <v/>
      </c>
      <c r="K166" s="9" t="str">
        <f aca="false">IF(J166="","",INT(J166/100000))</f>
        <v/>
      </c>
      <c r="L166" s="9" t="str">
        <f aca="false">IF(J166="","",MOD(J166,100000)-7)</f>
        <v/>
      </c>
    </row>
    <row r="167" customFormat="false" ht="15" hidden="false" customHeight="false" outlineLevel="0" collapsed="false">
      <c r="A167" s="37" t="str">
        <f aca="false">IF(J167="","",161)</f>
        <v/>
      </c>
      <c r="B167" s="45" t="str">
        <f aca="false">IF(J167="","",INDEX(Lists!$A$1:$A$4,K167))</f>
        <v/>
      </c>
      <c r="C167" s="48" t="str">
        <f aca="false">IF(J167="","",IF(K167&lt;=2,INDEX('Cash Book'!$B$8:$B$507,L167),INDEX('Bank Statement'!$B$8:$B$507,L167)))</f>
        <v/>
      </c>
      <c r="D167" s="49" t="str">
        <f aca="false">IF(J167="","",IF(K167&lt;=2,INDEX('Cash Book'!$E$8:$E$507,L167),INDEX('Bank Statement'!$D$8:$D$507,L167))&amp;"")</f>
        <v/>
      </c>
      <c r="E167" s="45" t="str">
        <f aca="false">IF(J167="","",IF(K167&lt;=2,INDEX('Cash Book'!$D$8:$D$507,L167),INDEX('Bank Statement'!$C$8:$C$507,L167))&amp;"")</f>
        <v/>
      </c>
      <c r="F167" s="50" t="str">
        <f aca="false">IF(J167="","",IF(K167&lt;=2,INDEX('Cash Book'!$W$8:$W$507,L167),INDEX('Bank Statement'!$W$8:$W$507,L167)))</f>
        <v/>
      </c>
      <c r="G167" s="49" t="str">
        <f aca="false">IF(J167="","",INDEX(Lists!$B$1:$B$4,K167))</f>
        <v/>
      </c>
      <c r="H167" s="45" t="str">
        <f aca="false">IF(J167="","",INDEX(Lists!$C$1:$C$4,K167))</f>
        <v/>
      </c>
      <c r="J167" s="9" t="str">
        <f aca="false">IF(161&lt;=$J$4,SMALL('Cash Book'!$V$8:$V$507,161),IF(161&lt;=$J$4+$K$4,SMALL('Bank Statement'!$V$8:$V$507,161-$J$4),""))</f>
        <v/>
      </c>
      <c r="K167" s="9" t="str">
        <f aca="false">IF(J167="","",INT(J167/100000))</f>
        <v/>
      </c>
      <c r="L167" s="9" t="str">
        <f aca="false">IF(J167="","",MOD(J167,100000)-7)</f>
        <v/>
      </c>
    </row>
    <row r="168" customFormat="false" ht="15" hidden="false" customHeight="false" outlineLevel="0" collapsed="false">
      <c r="A168" s="37" t="str">
        <f aca="false">IF(J168="","",162)</f>
        <v/>
      </c>
      <c r="B168" s="45" t="str">
        <f aca="false">IF(J168="","",INDEX(Lists!$A$1:$A$4,K168))</f>
        <v/>
      </c>
      <c r="C168" s="48" t="str">
        <f aca="false">IF(J168="","",IF(K168&lt;=2,INDEX('Cash Book'!$B$8:$B$507,L168),INDEX('Bank Statement'!$B$8:$B$507,L168)))</f>
        <v/>
      </c>
      <c r="D168" s="49" t="str">
        <f aca="false">IF(J168="","",IF(K168&lt;=2,INDEX('Cash Book'!$E$8:$E$507,L168),INDEX('Bank Statement'!$D$8:$D$507,L168))&amp;"")</f>
        <v/>
      </c>
      <c r="E168" s="45" t="str">
        <f aca="false">IF(J168="","",IF(K168&lt;=2,INDEX('Cash Book'!$D$8:$D$507,L168),INDEX('Bank Statement'!$C$8:$C$507,L168))&amp;"")</f>
        <v/>
      </c>
      <c r="F168" s="50" t="str">
        <f aca="false">IF(J168="","",IF(K168&lt;=2,INDEX('Cash Book'!$W$8:$W$507,L168),INDEX('Bank Statement'!$W$8:$W$507,L168)))</f>
        <v/>
      </c>
      <c r="G168" s="49" t="str">
        <f aca="false">IF(J168="","",INDEX(Lists!$B$1:$B$4,K168))</f>
        <v/>
      </c>
      <c r="H168" s="45" t="str">
        <f aca="false">IF(J168="","",INDEX(Lists!$C$1:$C$4,K168))</f>
        <v/>
      </c>
      <c r="J168" s="9" t="str">
        <f aca="false">IF(162&lt;=$J$4,SMALL('Cash Book'!$V$8:$V$507,162),IF(162&lt;=$J$4+$K$4,SMALL('Bank Statement'!$V$8:$V$507,162-$J$4),""))</f>
        <v/>
      </c>
      <c r="K168" s="9" t="str">
        <f aca="false">IF(J168="","",INT(J168/100000))</f>
        <v/>
      </c>
      <c r="L168" s="9" t="str">
        <f aca="false">IF(J168="","",MOD(J168,100000)-7)</f>
        <v/>
      </c>
    </row>
    <row r="169" customFormat="false" ht="15" hidden="false" customHeight="false" outlineLevel="0" collapsed="false">
      <c r="A169" s="37" t="str">
        <f aca="false">IF(J169="","",163)</f>
        <v/>
      </c>
      <c r="B169" s="45" t="str">
        <f aca="false">IF(J169="","",INDEX(Lists!$A$1:$A$4,K169))</f>
        <v/>
      </c>
      <c r="C169" s="48" t="str">
        <f aca="false">IF(J169="","",IF(K169&lt;=2,INDEX('Cash Book'!$B$8:$B$507,L169),INDEX('Bank Statement'!$B$8:$B$507,L169)))</f>
        <v/>
      </c>
      <c r="D169" s="49" t="str">
        <f aca="false">IF(J169="","",IF(K169&lt;=2,INDEX('Cash Book'!$E$8:$E$507,L169),INDEX('Bank Statement'!$D$8:$D$507,L169))&amp;"")</f>
        <v/>
      </c>
      <c r="E169" s="45" t="str">
        <f aca="false">IF(J169="","",IF(K169&lt;=2,INDEX('Cash Book'!$D$8:$D$507,L169),INDEX('Bank Statement'!$C$8:$C$507,L169))&amp;"")</f>
        <v/>
      </c>
      <c r="F169" s="50" t="str">
        <f aca="false">IF(J169="","",IF(K169&lt;=2,INDEX('Cash Book'!$W$8:$W$507,L169),INDEX('Bank Statement'!$W$8:$W$507,L169)))</f>
        <v/>
      </c>
      <c r="G169" s="49" t="str">
        <f aca="false">IF(J169="","",INDEX(Lists!$B$1:$B$4,K169))</f>
        <v/>
      </c>
      <c r="H169" s="45" t="str">
        <f aca="false">IF(J169="","",INDEX(Lists!$C$1:$C$4,K169))</f>
        <v/>
      </c>
      <c r="J169" s="9" t="str">
        <f aca="false">IF(163&lt;=$J$4,SMALL('Cash Book'!$V$8:$V$507,163),IF(163&lt;=$J$4+$K$4,SMALL('Bank Statement'!$V$8:$V$507,163-$J$4),""))</f>
        <v/>
      </c>
      <c r="K169" s="9" t="str">
        <f aca="false">IF(J169="","",INT(J169/100000))</f>
        <v/>
      </c>
      <c r="L169" s="9" t="str">
        <f aca="false">IF(J169="","",MOD(J169,100000)-7)</f>
        <v/>
      </c>
    </row>
    <row r="170" customFormat="false" ht="15" hidden="false" customHeight="false" outlineLevel="0" collapsed="false">
      <c r="A170" s="37" t="str">
        <f aca="false">IF(J170="","",164)</f>
        <v/>
      </c>
      <c r="B170" s="45" t="str">
        <f aca="false">IF(J170="","",INDEX(Lists!$A$1:$A$4,K170))</f>
        <v/>
      </c>
      <c r="C170" s="48" t="str">
        <f aca="false">IF(J170="","",IF(K170&lt;=2,INDEX('Cash Book'!$B$8:$B$507,L170),INDEX('Bank Statement'!$B$8:$B$507,L170)))</f>
        <v/>
      </c>
      <c r="D170" s="49" t="str">
        <f aca="false">IF(J170="","",IF(K170&lt;=2,INDEX('Cash Book'!$E$8:$E$507,L170),INDEX('Bank Statement'!$D$8:$D$507,L170))&amp;"")</f>
        <v/>
      </c>
      <c r="E170" s="45" t="str">
        <f aca="false">IF(J170="","",IF(K170&lt;=2,INDEX('Cash Book'!$D$8:$D$507,L170),INDEX('Bank Statement'!$C$8:$C$507,L170))&amp;"")</f>
        <v/>
      </c>
      <c r="F170" s="50" t="str">
        <f aca="false">IF(J170="","",IF(K170&lt;=2,INDEX('Cash Book'!$W$8:$W$507,L170),INDEX('Bank Statement'!$W$8:$W$507,L170)))</f>
        <v/>
      </c>
      <c r="G170" s="49" t="str">
        <f aca="false">IF(J170="","",INDEX(Lists!$B$1:$B$4,K170))</f>
        <v/>
      </c>
      <c r="H170" s="45" t="str">
        <f aca="false">IF(J170="","",INDEX(Lists!$C$1:$C$4,K170))</f>
        <v/>
      </c>
      <c r="J170" s="9" t="str">
        <f aca="false">IF(164&lt;=$J$4,SMALL('Cash Book'!$V$8:$V$507,164),IF(164&lt;=$J$4+$K$4,SMALL('Bank Statement'!$V$8:$V$507,164-$J$4),""))</f>
        <v/>
      </c>
      <c r="K170" s="9" t="str">
        <f aca="false">IF(J170="","",INT(J170/100000))</f>
        <v/>
      </c>
      <c r="L170" s="9" t="str">
        <f aca="false">IF(J170="","",MOD(J170,100000)-7)</f>
        <v/>
      </c>
    </row>
    <row r="171" customFormat="false" ht="15" hidden="false" customHeight="false" outlineLevel="0" collapsed="false">
      <c r="A171" s="37" t="str">
        <f aca="false">IF(J171="","",165)</f>
        <v/>
      </c>
      <c r="B171" s="45" t="str">
        <f aca="false">IF(J171="","",INDEX(Lists!$A$1:$A$4,K171))</f>
        <v/>
      </c>
      <c r="C171" s="48" t="str">
        <f aca="false">IF(J171="","",IF(K171&lt;=2,INDEX('Cash Book'!$B$8:$B$507,L171),INDEX('Bank Statement'!$B$8:$B$507,L171)))</f>
        <v/>
      </c>
      <c r="D171" s="49" t="str">
        <f aca="false">IF(J171="","",IF(K171&lt;=2,INDEX('Cash Book'!$E$8:$E$507,L171),INDEX('Bank Statement'!$D$8:$D$507,L171))&amp;"")</f>
        <v/>
      </c>
      <c r="E171" s="45" t="str">
        <f aca="false">IF(J171="","",IF(K171&lt;=2,INDEX('Cash Book'!$D$8:$D$507,L171),INDEX('Bank Statement'!$C$8:$C$507,L171))&amp;"")</f>
        <v/>
      </c>
      <c r="F171" s="50" t="str">
        <f aca="false">IF(J171="","",IF(K171&lt;=2,INDEX('Cash Book'!$W$8:$W$507,L171),INDEX('Bank Statement'!$W$8:$W$507,L171)))</f>
        <v/>
      </c>
      <c r="G171" s="49" t="str">
        <f aca="false">IF(J171="","",INDEX(Lists!$B$1:$B$4,K171))</f>
        <v/>
      </c>
      <c r="H171" s="45" t="str">
        <f aca="false">IF(J171="","",INDEX(Lists!$C$1:$C$4,K171))</f>
        <v/>
      </c>
      <c r="J171" s="9" t="str">
        <f aca="false">IF(165&lt;=$J$4,SMALL('Cash Book'!$V$8:$V$507,165),IF(165&lt;=$J$4+$K$4,SMALL('Bank Statement'!$V$8:$V$507,165-$J$4),""))</f>
        <v/>
      </c>
      <c r="K171" s="9" t="str">
        <f aca="false">IF(J171="","",INT(J171/100000))</f>
        <v/>
      </c>
      <c r="L171" s="9" t="str">
        <f aca="false">IF(J171="","",MOD(J171,100000)-7)</f>
        <v/>
      </c>
    </row>
    <row r="172" customFormat="false" ht="15" hidden="false" customHeight="false" outlineLevel="0" collapsed="false">
      <c r="A172" s="37" t="str">
        <f aca="false">IF(J172="","",166)</f>
        <v/>
      </c>
      <c r="B172" s="45" t="str">
        <f aca="false">IF(J172="","",INDEX(Lists!$A$1:$A$4,K172))</f>
        <v/>
      </c>
      <c r="C172" s="48" t="str">
        <f aca="false">IF(J172="","",IF(K172&lt;=2,INDEX('Cash Book'!$B$8:$B$507,L172),INDEX('Bank Statement'!$B$8:$B$507,L172)))</f>
        <v/>
      </c>
      <c r="D172" s="49" t="str">
        <f aca="false">IF(J172="","",IF(K172&lt;=2,INDEX('Cash Book'!$E$8:$E$507,L172),INDEX('Bank Statement'!$D$8:$D$507,L172))&amp;"")</f>
        <v/>
      </c>
      <c r="E172" s="45" t="str">
        <f aca="false">IF(J172="","",IF(K172&lt;=2,INDEX('Cash Book'!$D$8:$D$507,L172),INDEX('Bank Statement'!$C$8:$C$507,L172))&amp;"")</f>
        <v/>
      </c>
      <c r="F172" s="50" t="str">
        <f aca="false">IF(J172="","",IF(K172&lt;=2,INDEX('Cash Book'!$W$8:$W$507,L172),INDEX('Bank Statement'!$W$8:$W$507,L172)))</f>
        <v/>
      </c>
      <c r="G172" s="49" t="str">
        <f aca="false">IF(J172="","",INDEX(Lists!$B$1:$B$4,K172))</f>
        <v/>
      </c>
      <c r="H172" s="45" t="str">
        <f aca="false">IF(J172="","",INDEX(Lists!$C$1:$C$4,K172))</f>
        <v/>
      </c>
      <c r="J172" s="9" t="str">
        <f aca="false">IF(166&lt;=$J$4,SMALL('Cash Book'!$V$8:$V$507,166),IF(166&lt;=$J$4+$K$4,SMALL('Bank Statement'!$V$8:$V$507,166-$J$4),""))</f>
        <v/>
      </c>
      <c r="K172" s="9" t="str">
        <f aca="false">IF(J172="","",INT(J172/100000))</f>
        <v/>
      </c>
      <c r="L172" s="9" t="str">
        <f aca="false">IF(J172="","",MOD(J172,100000)-7)</f>
        <v/>
      </c>
    </row>
    <row r="173" customFormat="false" ht="15" hidden="false" customHeight="false" outlineLevel="0" collapsed="false">
      <c r="A173" s="37" t="str">
        <f aca="false">IF(J173="","",167)</f>
        <v/>
      </c>
      <c r="B173" s="45" t="str">
        <f aca="false">IF(J173="","",INDEX(Lists!$A$1:$A$4,K173))</f>
        <v/>
      </c>
      <c r="C173" s="48" t="str">
        <f aca="false">IF(J173="","",IF(K173&lt;=2,INDEX('Cash Book'!$B$8:$B$507,L173),INDEX('Bank Statement'!$B$8:$B$507,L173)))</f>
        <v/>
      </c>
      <c r="D173" s="49" t="str">
        <f aca="false">IF(J173="","",IF(K173&lt;=2,INDEX('Cash Book'!$E$8:$E$507,L173),INDEX('Bank Statement'!$D$8:$D$507,L173))&amp;"")</f>
        <v/>
      </c>
      <c r="E173" s="45" t="str">
        <f aca="false">IF(J173="","",IF(K173&lt;=2,INDEX('Cash Book'!$D$8:$D$507,L173),INDEX('Bank Statement'!$C$8:$C$507,L173))&amp;"")</f>
        <v/>
      </c>
      <c r="F173" s="50" t="str">
        <f aca="false">IF(J173="","",IF(K173&lt;=2,INDEX('Cash Book'!$W$8:$W$507,L173),INDEX('Bank Statement'!$W$8:$W$507,L173)))</f>
        <v/>
      </c>
      <c r="G173" s="49" t="str">
        <f aca="false">IF(J173="","",INDEX(Lists!$B$1:$B$4,K173))</f>
        <v/>
      </c>
      <c r="H173" s="45" t="str">
        <f aca="false">IF(J173="","",INDEX(Lists!$C$1:$C$4,K173))</f>
        <v/>
      </c>
      <c r="J173" s="9" t="str">
        <f aca="false">IF(167&lt;=$J$4,SMALL('Cash Book'!$V$8:$V$507,167),IF(167&lt;=$J$4+$K$4,SMALL('Bank Statement'!$V$8:$V$507,167-$J$4),""))</f>
        <v/>
      </c>
      <c r="K173" s="9" t="str">
        <f aca="false">IF(J173="","",INT(J173/100000))</f>
        <v/>
      </c>
      <c r="L173" s="9" t="str">
        <f aca="false">IF(J173="","",MOD(J173,100000)-7)</f>
        <v/>
      </c>
    </row>
    <row r="174" customFormat="false" ht="15" hidden="false" customHeight="false" outlineLevel="0" collapsed="false">
      <c r="A174" s="37" t="str">
        <f aca="false">IF(J174="","",168)</f>
        <v/>
      </c>
      <c r="B174" s="45" t="str">
        <f aca="false">IF(J174="","",INDEX(Lists!$A$1:$A$4,K174))</f>
        <v/>
      </c>
      <c r="C174" s="48" t="str">
        <f aca="false">IF(J174="","",IF(K174&lt;=2,INDEX('Cash Book'!$B$8:$B$507,L174),INDEX('Bank Statement'!$B$8:$B$507,L174)))</f>
        <v/>
      </c>
      <c r="D174" s="49" t="str">
        <f aca="false">IF(J174="","",IF(K174&lt;=2,INDEX('Cash Book'!$E$8:$E$507,L174),INDEX('Bank Statement'!$D$8:$D$507,L174))&amp;"")</f>
        <v/>
      </c>
      <c r="E174" s="45" t="str">
        <f aca="false">IF(J174="","",IF(K174&lt;=2,INDEX('Cash Book'!$D$8:$D$507,L174),INDEX('Bank Statement'!$C$8:$C$507,L174))&amp;"")</f>
        <v/>
      </c>
      <c r="F174" s="50" t="str">
        <f aca="false">IF(J174="","",IF(K174&lt;=2,INDEX('Cash Book'!$W$8:$W$507,L174),INDEX('Bank Statement'!$W$8:$W$507,L174)))</f>
        <v/>
      </c>
      <c r="G174" s="49" t="str">
        <f aca="false">IF(J174="","",INDEX(Lists!$B$1:$B$4,K174))</f>
        <v/>
      </c>
      <c r="H174" s="45" t="str">
        <f aca="false">IF(J174="","",INDEX(Lists!$C$1:$C$4,K174))</f>
        <v/>
      </c>
      <c r="J174" s="9" t="str">
        <f aca="false">IF(168&lt;=$J$4,SMALL('Cash Book'!$V$8:$V$507,168),IF(168&lt;=$J$4+$K$4,SMALL('Bank Statement'!$V$8:$V$507,168-$J$4),""))</f>
        <v/>
      </c>
      <c r="K174" s="9" t="str">
        <f aca="false">IF(J174="","",INT(J174/100000))</f>
        <v/>
      </c>
      <c r="L174" s="9" t="str">
        <f aca="false">IF(J174="","",MOD(J174,100000)-7)</f>
        <v/>
      </c>
    </row>
    <row r="175" customFormat="false" ht="15" hidden="false" customHeight="false" outlineLevel="0" collapsed="false">
      <c r="A175" s="37" t="str">
        <f aca="false">IF(J175="","",169)</f>
        <v/>
      </c>
      <c r="B175" s="45" t="str">
        <f aca="false">IF(J175="","",INDEX(Lists!$A$1:$A$4,K175))</f>
        <v/>
      </c>
      <c r="C175" s="48" t="str">
        <f aca="false">IF(J175="","",IF(K175&lt;=2,INDEX('Cash Book'!$B$8:$B$507,L175),INDEX('Bank Statement'!$B$8:$B$507,L175)))</f>
        <v/>
      </c>
      <c r="D175" s="49" t="str">
        <f aca="false">IF(J175="","",IF(K175&lt;=2,INDEX('Cash Book'!$E$8:$E$507,L175),INDEX('Bank Statement'!$D$8:$D$507,L175))&amp;"")</f>
        <v/>
      </c>
      <c r="E175" s="45" t="str">
        <f aca="false">IF(J175="","",IF(K175&lt;=2,INDEX('Cash Book'!$D$8:$D$507,L175),INDEX('Bank Statement'!$C$8:$C$507,L175))&amp;"")</f>
        <v/>
      </c>
      <c r="F175" s="50" t="str">
        <f aca="false">IF(J175="","",IF(K175&lt;=2,INDEX('Cash Book'!$W$8:$W$507,L175),INDEX('Bank Statement'!$W$8:$W$507,L175)))</f>
        <v/>
      </c>
      <c r="G175" s="49" t="str">
        <f aca="false">IF(J175="","",INDEX(Lists!$B$1:$B$4,K175))</f>
        <v/>
      </c>
      <c r="H175" s="45" t="str">
        <f aca="false">IF(J175="","",INDEX(Lists!$C$1:$C$4,K175))</f>
        <v/>
      </c>
      <c r="J175" s="9" t="str">
        <f aca="false">IF(169&lt;=$J$4,SMALL('Cash Book'!$V$8:$V$507,169),IF(169&lt;=$J$4+$K$4,SMALL('Bank Statement'!$V$8:$V$507,169-$J$4),""))</f>
        <v/>
      </c>
      <c r="K175" s="9" t="str">
        <f aca="false">IF(J175="","",INT(J175/100000))</f>
        <v/>
      </c>
      <c r="L175" s="9" t="str">
        <f aca="false">IF(J175="","",MOD(J175,100000)-7)</f>
        <v/>
      </c>
    </row>
    <row r="176" customFormat="false" ht="15" hidden="false" customHeight="false" outlineLevel="0" collapsed="false">
      <c r="A176" s="37" t="str">
        <f aca="false">IF(J176="","",170)</f>
        <v/>
      </c>
      <c r="B176" s="45" t="str">
        <f aca="false">IF(J176="","",INDEX(Lists!$A$1:$A$4,K176))</f>
        <v/>
      </c>
      <c r="C176" s="48" t="str">
        <f aca="false">IF(J176="","",IF(K176&lt;=2,INDEX('Cash Book'!$B$8:$B$507,L176),INDEX('Bank Statement'!$B$8:$B$507,L176)))</f>
        <v/>
      </c>
      <c r="D176" s="49" t="str">
        <f aca="false">IF(J176="","",IF(K176&lt;=2,INDEX('Cash Book'!$E$8:$E$507,L176),INDEX('Bank Statement'!$D$8:$D$507,L176))&amp;"")</f>
        <v/>
      </c>
      <c r="E176" s="45" t="str">
        <f aca="false">IF(J176="","",IF(K176&lt;=2,INDEX('Cash Book'!$D$8:$D$507,L176),INDEX('Bank Statement'!$C$8:$C$507,L176))&amp;"")</f>
        <v/>
      </c>
      <c r="F176" s="50" t="str">
        <f aca="false">IF(J176="","",IF(K176&lt;=2,INDEX('Cash Book'!$W$8:$W$507,L176),INDEX('Bank Statement'!$W$8:$W$507,L176)))</f>
        <v/>
      </c>
      <c r="G176" s="49" t="str">
        <f aca="false">IF(J176="","",INDEX(Lists!$B$1:$B$4,K176))</f>
        <v/>
      </c>
      <c r="H176" s="45" t="str">
        <f aca="false">IF(J176="","",INDEX(Lists!$C$1:$C$4,K176))</f>
        <v/>
      </c>
      <c r="J176" s="9" t="str">
        <f aca="false">IF(170&lt;=$J$4,SMALL('Cash Book'!$V$8:$V$507,170),IF(170&lt;=$J$4+$K$4,SMALL('Bank Statement'!$V$8:$V$507,170-$J$4),""))</f>
        <v/>
      </c>
      <c r="K176" s="9" t="str">
        <f aca="false">IF(J176="","",INT(J176/100000))</f>
        <v/>
      </c>
      <c r="L176" s="9" t="str">
        <f aca="false">IF(J176="","",MOD(J176,100000)-7)</f>
        <v/>
      </c>
    </row>
    <row r="177" customFormat="false" ht="15" hidden="false" customHeight="false" outlineLevel="0" collapsed="false">
      <c r="A177" s="37" t="str">
        <f aca="false">IF(J177="","",171)</f>
        <v/>
      </c>
      <c r="B177" s="45" t="str">
        <f aca="false">IF(J177="","",INDEX(Lists!$A$1:$A$4,K177))</f>
        <v/>
      </c>
      <c r="C177" s="48" t="str">
        <f aca="false">IF(J177="","",IF(K177&lt;=2,INDEX('Cash Book'!$B$8:$B$507,L177),INDEX('Bank Statement'!$B$8:$B$507,L177)))</f>
        <v/>
      </c>
      <c r="D177" s="49" t="str">
        <f aca="false">IF(J177="","",IF(K177&lt;=2,INDEX('Cash Book'!$E$8:$E$507,L177),INDEX('Bank Statement'!$D$8:$D$507,L177))&amp;"")</f>
        <v/>
      </c>
      <c r="E177" s="45" t="str">
        <f aca="false">IF(J177="","",IF(K177&lt;=2,INDEX('Cash Book'!$D$8:$D$507,L177),INDEX('Bank Statement'!$C$8:$C$507,L177))&amp;"")</f>
        <v/>
      </c>
      <c r="F177" s="50" t="str">
        <f aca="false">IF(J177="","",IF(K177&lt;=2,INDEX('Cash Book'!$W$8:$W$507,L177),INDEX('Bank Statement'!$W$8:$W$507,L177)))</f>
        <v/>
      </c>
      <c r="G177" s="49" t="str">
        <f aca="false">IF(J177="","",INDEX(Lists!$B$1:$B$4,K177))</f>
        <v/>
      </c>
      <c r="H177" s="45" t="str">
        <f aca="false">IF(J177="","",INDEX(Lists!$C$1:$C$4,K177))</f>
        <v/>
      </c>
      <c r="J177" s="9" t="str">
        <f aca="false">IF(171&lt;=$J$4,SMALL('Cash Book'!$V$8:$V$507,171),IF(171&lt;=$J$4+$K$4,SMALL('Bank Statement'!$V$8:$V$507,171-$J$4),""))</f>
        <v/>
      </c>
      <c r="K177" s="9" t="str">
        <f aca="false">IF(J177="","",INT(J177/100000))</f>
        <v/>
      </c>
      <c r="L177" s="9" t="str">
        <f aca="false">IF(J177="","",MOD(J177,100000)-7)</f>
        <v/>
      </c>
    </row>
    <row r="178" customFormat="false" ht="15" hidden="false" customHeight="false" outlineLevel="0" collapsed="false">
      <c r="A178" s="37" t="str">
        <f aca="false">IF(J178="","",172)</f>
        <v/>
      </c>
      <c r="B178" s="45" t="str">
        <f aca="false">IF(J178="","",INDEX(Lists!$A$1:$A$4,K178))</f>
        <v/>
      </c>
      <c r="C178" s="48" t="str">
        <f aca="false">IF(J178="","",IF(K178&lt;=2,INDEX('Cash Book'!$B$8:$B$507,L178),INDEX('Bank Statement'!$B$8:$B$507,L178)))</f>
        <v/>
      </c>
      <c r="D178" s="49" t="str">
        <f aca="false">IF(J178="","",IF(K178&lt;=2,INDEX('Cash Book'!$E$8:$E$507,L178),INDEX('Bank Statement'!$D$8:$D$507,L178))&amp;"")</f>
        <v/>
      </c>
      <c r="E178" s="45" t="str">
        <f aca="false">IF(J178="","",IF(K178&lt;=2,INDEX('Cash Book'!$D$8:$D$507,L178),INDEX('Bank Statement'!$C$8:$C$507,L178))&amp;"")</f>
        <v/>
      </c>
      <c r="F178" s="50" t="str">
        <f aca="false">IF(J178="","",IF(K178&lt;=2,INDEX('Cash Book'!$W$8:$W$507,L178),INDEX('Bank Statement'!$W$8:$W$507,L178)))</f>
        <v/>
      </c>
      <c r="G178" s="49" t="str">
        <f aca="false">IF(J178="","",INDEX(Lists!$B$1:$B$4,K178))</f>
        <v/>
      </c>
      <c r="H178" s="45" t="str">
        <f aca="false">IF(J178="","",INDEX(Lists!$C$1:$C$4,K178))</f>
        <v/>
      </c>
      <c r="J178" s="9" t="str">
        <f aca="false">IF(172&lt;=$J$4,SMALL('Cash Book'!$V$8:$V$507,172),IF(172&lt;=$J$4+$K$4,SMALL('Bank Statement'!$V$8:$V$507,172-$J$4),""))</f>
        <v/>
      </c>
      <c r="K178" s="9" t="str">
        <f aca="false">IF(J178="","",INT(J178/100000))</f>
        <v/>
      </c>
      <c r="L178" s="9" t="str">
        <f aca="false">IF(J178="","",MOD(J178,100000)-7)</f>
        <v/>
      </c>
    </row>
    <row r="179" customFormat="false" ht="15" hidden="false" customHeight="false" outlineLevel="0" collapsed="false">
      <c r="A179" s="37" t="str">
        <f aca="false">IF(J179="","",173)</f>
        <v/>
      </c>
      <c r="B179" s="45" t="str">
        <f aca="false">IF(J179="","",INDEX(Lists!$A$1:$A$4,K179))</f>
        <v/>
      </c>
      <c r="C179" s="48" t="str">
        <f aca="false">IF(J179="","",IF(K179&lt;=2,INDEX('Cash Book'!$B$8:$B$507,L179),INDEX('Bank Statement'!$B$8:$B$507,L179)))</f>
        <v/>
      </c>
      <c r="D179" s="49" t="str">
        <f aca="false">IF(J179="","",IF(K179&lt;=2,INDEX('Cash Book'!$E$8:$E$507,L179),INDEX('Bank Statement'!$D$8:$D$507,L179))&amp;"")</f>
        <v/>
      </c>
      <c r="E179" s="45" t="str">
        <f aca="false">IF(J179="","",IF(K179&lt;=2,INDEX('Cash Book'!$D$8:$D$507,L179),INDEX('Bank Statement'!$C$8:$C$507,L179))&amp;"")</f>
        <v/>
      </c>
      <c r="F179" s="50" t="str">
        <f aca="false">IF(J179="","",IF(K179&lt;=2,INDEX('Cash Book'!$W$8:$W$507,L179),INDEX('Bank Statement'!$W$8:$W$507,L179)))</f>
        <v/>
      </c>
      <c r="G179" s="49" t="str">
        <f aca="false">IF(J179="","",INDEX(Lists!$B$1:$B$4,K179))</f>
        <v/>
      </c>
      <c r="H179" s="45" t="str">
        <f aca="false">IF(J179="","",INDEX(Lists!$C$1:$C$4,K179))</f>
        <v/>
      </c>
      <c r="J179" s="9" t="str">
        <f aca="false">IF(173&lt;=$J$4,SMALL('Cash Book'!$V$8:$V$507,173),IF(173&lt;=$J$4+$K$4,SMALL('Bank Statement'!$V$8:$V$507,173-$J$4),""))</f>
        <v/>
      </c>
      <c r="K179" s="9" t="str">
        <f aca="false">IF(J179="","",INT(J179/100000))</f>
        <v/>
      </c>
      <c r="L179" s="9" t="str">
        <f aca="false">IF(J179="","",MOD(J179,100000)-7)</f>
        <v/>
      </c>
    </row>
    <row r="180" customFormat="false" ht="15" hidden="false" customHeight="false" outlineLevel="0" collapsed="false">
      <c r="A180" s="37" t="str">
        <f aca="false">IF(J180="","",174)</f>
        <v/>
      </c>
      <c r="B180" s="45" t="str">
        <f aca="false">IF(J180="","",INDEX(Lists!$A$1:$A$4,K180))</f>
        <v/>
      </c>
      <c r="C180" s="48" t="str">
        <f aca="false">IF(J180="","",IF(K180&lt;=2,INDEX('Cash Book'!$B$8:$B$507,L180),INDEX('Bank Statement'!$B$8:$B$507,L180)))</f>
        <v/>
      </c>
      <c r="D180" s="49" t="str">
        <f aca="false">IF(J180="","",IF(K180&lt;=2,INDEX('Cash Book'!$E$8:$E$507,L180),INDEX('Bank Statement'!$D$8:$D$507,L180))&amp;"")</f>
        <v/>
      </c>
      <c r="E180" s="45" t="str">
        <f aca="false">IF(J180="","",IF(K180&lt;=2,INDEX('Cash Book'!$D$8:$D$507,L180),INDEX('Bank Statement'!$C$8:$C$507,L180))&amp;"")</f>
        <v/>
      </c>
      <c r="F180" s="50" t="str">
        <f aca="false">IF(J180="","",IF(K180&lt;=2,INDEX('Cash Book'!$W$8:$W$507,L180),INDEX('Bank Statement'!$W$8:$W$507,L180)))</f>
        <v/>
      </c>
      <c r="G180" s="49" t="str">
        <f aca="false">IF(J180="","",INDEX(Lists!$B$1:$B$4,K180))</f>
        <v/>
      </c>
      <c r="H180" s="45" t="str">
        <f aca="false">IF(J180="","",INDEX(Lists!$C$1:$C$4,K180))</f>
        <v/>
      </c>
      <c r="J180" s="9" t="str">
        <f aca="false">IF(174&lt;=$J$4,SMALL('Cash Book'!$V$8:$V$507,174),IF(174&lt;=$J$4+$K$4,SMALL('Bank Statement'!$V$8:$V$507,174-$J$4),""))</f>
        <v/>
      </c>
      <c r="K180" s="9" t="str">
        <f aca="false">IF(J180="","",INT(J180/100000))</f>
        <v/>
      </c>
      <c r="L180" s="9" t="str">
        <f aca="false">IF(J180="","",MOD(J180,100000)-7)</f>
        <v/>
      </c>
    </row>
    <row r="181" customFormat="false" ht="15" hidden="false" customHeight="false" outlineLevel="0" collapsed="false">
      <c r="A181" s="37" t="str">
        <f aca="false">IF(J181="","",175)</f>
        <v/>
      </c>
      <c r="B181" s="45" t="str">
        <f aca="false">IF(J181="","",INDEX(Lists!$A$1:$A$4,K181))</f>
        <v/>
      </c>
      <c r="C181" s="48" t="str">
        <f aca="false">IF(J181="","",IF(K181&lt;=2,INDEX('Cash Book'!$B$8:$B$507,L181),INDEX('Bank Statement'!$B$8:$B$507,L181)))</f>
        <v/>
      </c>
      <c r="D181" s="49" t="str">
        <f aca="false">IF(J181="","",IF(K181&lt;=2,INDEX('Cash Book'!$E$8:$E$507,L181),INDEX('Bank Statement'!$D$8:$D$507,L181))&amp;"")</f>
        <v/>
      </c>
      <c r="E181" s="45" t="str">
        <f aca="false">IF(J181="","",IF(K181&lt;=2,INDEX('Cash Book'!$D$8:$D$507,L181),INDEX('Bank Statement'!$C$8:$C$507,L181))&amp;"")</f>
        <v/>
      </c>
      <c r="F181" s="50" t="str">
        <f aca="false">IF(J181="","",IF(K181&lt;=2,INDEX('Cash Book'!$W$8:$W$507,L181),INDEX('Bank Statement'!$W$8:$W$507,L181)))</f>
        <v/>
      </c>
      <c r="G181" s="49" t="str">
        <f aca="false">IF(J181="","",INDEX(Lists!$B$1:$B$4,K181))</f>
        <v/>
      </c>
      <c r="H181" s="45" t="str">
        <f aca="false">IF(J181="","",INDEX(Lists!$C$1:$C$4,K181))</f>
        <v/>
      </c>
      <c r="J181" s="9" t="str">
        <f aca="false">IF(175&lt;=$J$4,SMALL('Cash Book'!$V$8:$V$507,175),IF(175&lt;=$J$4+$K$4,SMALL('Bank Statement'!$V$8:$V$507,175-$J$4),""))</f>
        <v/>
      </c>
      <c r="K181" s="9" t="str">
        <f aca="false">IF(J181="","",INT(J181/100000))</f>
        <v/>
      </c>
      <c r="L181" s="9" t="str">
        <f aca="false">IF(J181="","",MOD(J181,100000)-7)</f>
        <v/>
      </c>
    </row>
    <row r="182" customFormat="false" ht="15" hidden="false" customHeight="false" outlineLevel="0" collapsed="false">
      <c r="A182" s="37" t="str">
        <f aca="false">IF(J182="","",176)</f>
        <v/>
      </c>
      <c r="B182" s="45" t="str">
        <f aca="false">IF(J182="","",INDEX(Lists!$A$1:$A$4,K182))</f>
        <v/>
      </c>
      <c r="C182" s="48" t="str">
        <f aca="false">IF(J182="","",IF(K182&lt;=2,INDEX('Cash Book'!$B$8:$B$507,L182),INDEX('Bank Statement'!$B$8:$B$507,L182)))</f>
        <v/>
      </c>
      <c r="D182" s="49" t="str">
        <f aca="false">IF(J182="","",IF(K182&lt;=2,INDEX('Cash Book'!$E$8:$E$507,L182),INDEX('Bank Statement'!$D$8:$D$507,L182))&amp;"")</f>
        <v/>
      </c>
      <c r="E182" s="45" t="str">
        <f aca="false">IF(J182="","",IF(K182&lt;=2,INDEX('Cash Book'!$D$8:$D$507,L182),INDEX('Bank Statement'!$C$8:$C$507,L182))&amp;"")</f>
        <v/>
      </c>
      <c r="F182" s="50" t="str">
        <f aca="false">IF(J182="","",IF(K182&lt;=2,INDEX('Cash Book'!$W$8:$W$507,L182),INDEX('Bank Statement'!$W$8:$W$507,L182)))</f>
        <v/>
      </c>
      <c r="G182" s="49" t="str">
        <f aca="false">IF(J182="","",INDEX(Lists!$B$1:$B$4,K182))</f>
        <v/>
      </c>
      <c r="H182" s="45" t="str">
        <f aca="false">IF(J182="","",INDEX(Lists!$C$1:$C$4,K182))</f>
        <v/>
      </c>
      <c r="J182" s="9" t="str">
        <f aca="false">IF(176&lt;=$J$4,SMALL('Cash Book'!$V$8:$V$507,176),IF(176&lt;=$J$4+$K$4,SMALL('Bank Statement'!$V$8:$V$507,176-$J$4),""))</f>
        <v/>
      </c>
      <c r="K182" s="9" t="str">
        <f aca="false">IF(J182="","",INT(J182/100000))</f>
        <v/>
      </c>
      <c r="L182" s="9" t="str">
        <f aca="false">IF(J182="","",MOD(J182,100000)-7)</f>
        <v/>
      </c>
    </row>
    <row r="183" customFormat="false" ht="15" hidden="false" customHeight="false" outlineLevel="0" collapsed="false">
      <c r="A183" s="37" t="str">
        <f aca="false">IF(J183="","",177)</f>
        <v/>
      </c>
      <c r="B183" s="45" t="str">
        <f aca="false">IF(J183="","",INDEX(Lists!$A$1:$A$4,K183))</f>
        <v/>
      </c>
      <c r="C183" s="48" t="str">
        <f aca="false">IF(J183="","",IF(K183&lt;=2,INDEX('Cash Book'!$B$8:$B$507,L183),INDEX('Bank Statement'!$B$8:$B$507,L183)))</f>
        <v/>
      </c>
      <c r="D183" s="49" t="str">
        <f aca="false">IF(J183="","",IF(K183&lt;=2,INDEX('Cash Book'!$E$8:$E$507,L183),INDEX('Bank Statement'!$D$8:$D$507,L183))&amp;"")</f>
        <v/>
      </c>
      <c r="E183" s="45" t="str">
        <f aca="false">IF(J183="","",IF(K183&lt;=2,INDEX('Cash Book'!$D$8:$D$507,L183),INDEX('Bank Statement'!$C$8:$C$507,L183))&amp;"")</f>
        <v/>
      </c>
      <c r="F183" s="50" t="str">
        <f aca="false">IF(J183="","",IF(K183&lt;=2,INDEX('Cash Book'!$W$8:$W$507,L183),INDEX('Bank Statement'!$W$8:$W$507,L183)))</f>
        <v/>
      </c>
      <c r="G183" s="49" t="str">
        <f aca="false">IF(J183="","",INDEX(Lists!$B$1:$B$4,K183))</f>
        <v/>
      </c>
      <c r="H183" s="45" t="str">
        <f aca="false">IF(J183="","",INDEX(Lists!$C$1:$C$4,K183))</f>
        <v/>
      </c>
      <c r="J183" s="9" t="str">
        <f aca="false">IF(177&lt;=$J$4,SMALL('Cash Book'!$V$8:$V$507,177),IF(177&lt;=$J$4+$K$4,SMALL('Bank Statement'!$V$8:$V$507,177-$J$4),""))</f>
        <v/>
      </c>
      <c r="K183" s="9" t="str">
        <f aca="false">IF(J183="","",INT(J183/100000))</f>
        <v/>
      </c>
      <c r="L183" s="9" t="str">
        <f aca="false">IF(J183="","",MOD(J183,100000)-7)</f>
        <v/>
      </c>
    </row>
    <row r="184" customFormat="false" ht="15" hidden="false" customHeight="false" outlineLevel="0" collapsed="false">
      <c r="A184" s="37" t="str">
        <f aca="false">IF(J184="","",178)</f>
        <v/>
      </c>
      <c r="B184" s="45" t="str">
        <f aca="false">IF(J184="","",INDEX(Lists!$A$1:$A$4,K184))</f>
        <v/>
      </c>
      <c r="C184" s="48" t="str">
        <f aca="false">IF(J184="","",IF(K184&lt;=2,INDEX('Cash Book'!$B$8:$B$507,L184),INDEX('Bank Statement'!$B$8:$B$507,L184)))</f>
        <v/>
      </c>
      <c r="D184" s="49" t="str">
        <f aca="false">IF(J184="","",IF(K184&lt;=2,INDEX('Cash Book'!$E$8:$E$507,L184),INDEX('Bank Statement'!$D$8:$D$507,L184))&amp;"")</f>
        <v/>
      </c>
      <c r="E184" s="45" t="str">
        <f aca="false">IF(J184="","",IF(K184&lt;=2,INDEX('Cash Book'!$D$8:$D$507,L184),INDEX('Bank Statement'!$C$8:$C$507,L184))&amp;"")</f>
        <v/>
      </c>
      <c r="F184" s="50" t="str">
        <f aca="false">IF(J184="","",IF(K184&lt;=2,INDEX('Cash Book'!$W$8:$W$507,L184),INDEX('Bank Statement'!$W$8:$W$507,L184)))</f>
        <v/>
      </c>
      <c r="G184" s="49" t="str">
        <f aca="false">IF(J184="","",INDEX(Lists!$B$1:$B$4,K184))</f>
        <v/>
      </c>
      <c r="H184" s="45" t="str">
        <f aca="false">IF(J184="","",INDEX(Lists!$C$1:$C$4,K184))</f>
        <v/>
      </c>
      <c r="J184" s="9" t="str">
        <f aca="false">IF(178&lt;=$J$4,SMALL('Cash Book'!$V$8:$V$507,178),IF(178&lt;=$J$4+$K$4,SMALL('Bank Statement'!$V$8:$V$507,178-$J$4),""))</f>
        <v/>
      </c>
      <c r="K184" s="9" t="str">
        <f aca="false">IF(J184="","",INT(J184/100000))</f>
        <v/>
      </c>
      <c r="L184" s="9" t="str">
        <f aca="false">IF(J184="","",MOD(J184,100000)-7)</f>
        <v/>
      </c>
    </row>
    <row r="185" customFormat="false" ht="15" hidden="false" customHeight="false" outlineLevel="0" collapsed="false">
      <c r="A185" s="37" t="str">
        <f aca="false">IF(J185="","",179)</f>
        <v/>
      </c>
      <c r="B185" s="45" t="str">
        <f aca="false">IF(J185="","",INDEX(Lists!$A$1:$A$4,K185))</f>
        <v/>
      </c>
      <c r="C185" s="48" t="str">
        <f aca="false">IF(J185="","",IF(K185&lt;=2,INDEX('Cash Book'!$B$8:$B$507,L185),INDEX('Bank Statement'!$B$8:$B$507,L185)))</f>
        <v/>
      </c>
      <c r="D185" s="49" t="str">
        <f aca="false">IF(J185="","",IF(K185&lt;=2,INDEX('Cash Book'!$E$8:$E$507,L185),INDEX('Bank Statement'!$D$8:$D$507,L185))&amp;"")</f>
        <v/>
      </c>
      <c r="E185" s="45" t="str">
        <f aca="false">IF(J185="","",IF(K185&lt;=2,INDEX('Cash Book'!$D$8:$D$507,L185),INDEX('Bank Statement'!$C$8:$C$507,L185))&amp;"")</f>
        <v/>
      </c>
      <c r="F185" s="50" t="str">
        <f aca="false">IF(J185="","",IF(K185&lt;=2,INDEX('Cash Book'!$W$8:$W$507,L185),INDEX('Bank Statement'!$W$8:$W$507,L185)))</f>
        <v/>
      </c>
      <c r="G185" s="49" t="str">
        <f aca="false">IF(J185="","",INDEX(Lists!$B$1:$B$4,K185))</f>
        <v/>
      </c>
      <c r="H185" s="45" t="str">
        <f aca="false">IF(J185="","",INDEX(Lists!$C$1:$C$4,K185))</f>
        <v/>
      </c>
      <c r="J185" s="9" t="str">
        <f aca="false">IF(179&lt;=$J$4,SMALL('Cash Book'!$V$8:$V$507,179),IF(179&lt;=$J$4+$K$4,SMALL('Bank Statement'!$V$8:$V$507,179-$J$4),""))</f>
        <v/>
      </c>
      <c r="K185" s="9" t="str">
        <f aca="false">IF(J185="","",INT(J185/100000))</f>
        <v/>
      </c>
      <c r="L185" s="9" t="str">
        <f aca="false">IF(J185="","",MOD(J185,100000)-7)</f>
        <v/>
      </c>
    </row>
    <row r="186" customFormat="false" ht="15" hidden="false" customHeight="false" outlineLevel="0" collapsed="false">
      <c r="A186" s="37" t="str">
        <f aca="false">IF(J186="","",180)</f>
        <v/>
      </c>
      <c r="B186" s="45" t="str">
        <f aca="false">IF(J186="","",INDEX(Lists!$A$1:$A$4,K186))</f>
        <v/>
      </c>
      <c r="C186" s="48" t="str">
        <f aca="false">IF(J186="","",IF(K186&lt;=2,INDEX('Cash Book'!$B$8:$B$507,L186),INDEX('Bank Statement'!$B$8:$B$507,L186)))</f>
        <v/>
      </c>
      <c r="D186" s="49" t="str">
        <f aca="false">IF(J186="","",IF(K186&lt;=2,INDEX('Cash Book'!$E$8:$E$507,L186),INDEX('Bank Statement'!$D$8:$D$507,L186))&amp;"")</f>
        <v/>
      </c>
      <c r="E186" s="45" t="str">
        <f aca="false">IF(J186="","",IF(K186&lt;=2,INDEX('Cash Book'!$D$8:$D$507,L186),INDEX('Bank Statement'!$C$8:$C$507,L186))&amp;"")</f>
        <v/>
      </c>
      <c r="F186" s="50" t="str">
        <f aca="false">IF(J186="","",IF(K186&lt;=2,INDEX('Cash Book'!$W$8:$W$507,L186),INDEX('Bank Statement'!$W$8:$W$507,L186)))</f>
        <v/>
      </c>
      <c r="G186" s="49" t="str">
        <f aca="false">IF(J186="","",INDEX(Lists!$B$1:$B$4,K186))</f>
        <v/>
      </c>
      <c r="H186" s="45" t="str">
        <f aca="false">IF(J186="","",INDEX(Lists!$C$1:$C$4,K186))</f>
        <v/>
      </c>
      <c r="J186" s="9" t="str">
        <f aca="false">IF(180&lt;=$J$4,SMALL('Cash Book'!$V$8:$V$507,180),IF(180&lt;=$J$4+$K$4,SMALL('Bank Statement'!$V$8:$V$507,180-$J$4),""))</f>
        <v/>
      </c>
      <c r="K186" s="9" t="str">
        <f aca="false">IF(J186="","",INT(J186/100000))</f>
        <v/>
      </c>
      <c r="L186" s="9" t="str">
        <f aca="false">IF(J186="","",MOD(J186,100000)-7)</f>
        <v/>
      </c>
    </row>
    <row r="187" customFormat="false" ht="15" hidden="false" customHeight="false" outlineLevel="0" collapsed="false">
      <c r="A187" s="37" t="str">
        <f aca="false">IF(J187="","",181)</f>
        <v/>
      </c>
      <c r="B187" s="45" t="str">
        <f aca="false">IF(J187="","",INDEX(Lists!$A$1:$A$4,K187))</f>
        <v/>
      </c>
      <c r="C187" s="48" t="str">
        <f aca="false">IF(J187="","",IF(K187&lt;=2,INDEX('Cash Book'!$B$8:$B$507,L187),INDEX('Bank Statement'!$B$8:$B$507,L187)))</f>
        <v/>
      </c>
      <c r="D187" s="49" t="str">
        <f aca="false">IF(J187="","",IF(K187&lt;=2,INDEX('Cash Book'!$E$8:$E$507,L187),INDEX('Bank Statement'!$D$8:$D$507,L187))&amp;"")</f>
        <v/>
      </c>
      <c r="E187" s="45" t="str">
        <f aca="false">IF(J187="","",IF(K187&lt;=2,INDEX('Cash Book'!$D$8:$D$507,L187),INDEX('Bank Statement'!$C$8:$C$507,L187))&amp;"")</f>
        <v/>
      </c>
      <c r="F187" s="50" t="str">
        <f aca="false">IF(J187="","",IF(K187&lt;=2,INDEX('Cash Book'!$W$8:$W$507,L187),INDEX('Bank Statement'!$W$8:$W$507,L187)))</f>
        <v/>
      </c>
      <c r="G187" s="49" t="str">
        <f aca="false">IF(J187="","",INDEX(Lists!$B$1:$B$4,K187))</f>
        <v/>
      </c>
      <c r="H187" s="45" t="str">
        <f aca="false">IF(J187="","",INDEX(Lists!$C$1:$C$4,K187))</f>
        <v/>
      </c>
      <c r="J187" s="9" t="str">
        <f aca="false">IF(181&lt;=$J$4,SMALL('Cash Book'!$V$8:$V$507,181),IF(181&lt;=$J$4+$K$4,SMALL('Bank Statement'!$V$8:$V$507,181-$J$4),""))</f>
        <v/>
      </c>
      <c r="K187" s="9" t="str">
        <f aca="false">IF(J187="","",INT(J187/100000))</f>
        <v/>
      </c>
      <c r="L187" s="9" t="str">
        <f aca="false">IF(J187="","",MOD(J187,100000)-7)</f>
        <v/>
      </c>
    </row>
    <row r="188" customFormat="false" ht="15" hidden="false" customHeight="false" outlineLevel="0" collapsed="false">
      <c r="A188" s="37" t="str">
        <f aca="false">IF(J188="","",182)</f>
        <v/>
      </c>
      <c r="B188" s="45" t="str">
        <f aca="false">IF(J188="","",INDEX(Lists!$A$1:$A$4,K188))</f>
        <v/>
      </c>
      <c r="C188" s="48" t="str">
        <f aca="false">IF(J188="","",IF(K188&lt;=2,INDEX('Cash Book'!$B$8:$B$507,L188),INDEX('Bank Statement'!$B$8:$B$507,L188)))</f>
        <v/>
      </c>
      <c r="D188" s="49" t="str">
        <f aca="false">IF(J188="","",IF(K188&lt;=2,INDEX('Cash Book'!$E$8:$E$507,L188),INDEX('Bank Statement'!$D$8:$D$507,L188))&amp;"")</f>
        <v/>
      </c>
      <c r="E188" s="45" t="str">
        <f aca="false">IF(J188="","",IF(K188&lt;=2,INDEX('Cash Book'!$D$8:$D$507,L188),INDEX('Bank Statement'!$C$8:$C$507,L188))&amp;"")</f>
        <v/>
      </c>
      <c r="F188" s="50" t="str">
        <f aca="false">IF(J188="","",IF(K188&lt;=2,INDEX('Cash Book'!$W$8:$W$507,L188),INDEX('Bank Statement'!$W$8:$W$507,L188)))</f>
        <v/>
      </c>
      <c r="G188" s="49" t="str">
        <f aca="false">IF(J188="","",INDEX(Lists!$B$1:$B$4,K188))</f>
        <v/>
      </c>
      <c r="H188" s="45" t="str">
        <f aca="false">IF(J188="","",INDEX(Lists!$C$1:$C$4,K188))</f>
        <v/>
      </c>
      <c r="J188" s="9" t="str">
        <f aca="false">IF(182&lt;=$J$4,SMALL('Cash Book'!$V$8:$V$507,182),IF(182&lt;=$J$4+$K$4,SMALL('Bank Statement'!$V$8:$V$507,182-$J$4),""))</f>
        <v/>
      </c>
      <c r="K188" s="9" t="str">
        <f aca="false">IF(J188="","",INT(J188/100000))</f>
        <v/>
      </c>
      <c r="L188" s="9" t="str">
        <f aca="false">IF(J188="","",MOD(J188,100000)-7)</f>
        <v/>
      </c>
    </row>
    <row r="189" customFormat="false" ht="15" hidden="false" customHeight="false" outlineLevel="0" collapsed="false">
      <c r="A189" s="37" t="str">
        <f aca="false">IF(J189="","",183)</f>
        <v/>
      </c>
      <c r="B189" s="45" t="str">
        <f aca="false">IF(J189="","",INDEX(Lists!$A$1:$A$4,K189))</f>
        <v/>
      </c>
      <c r="C189" s="48" t="str">
        <f aca="false">IF(J189="","",IF(K189&lt;=2,INDEX('Cash Book'!$B$8:$B$507,L189),INDEX('Bank Statement'!$B$8:$B$507,L189)))</f>
        <v/>
      </c>
      <c r="D189" s="49" t="str">
        <f aca="false">IF(J189="","",IF(K189&lt;=2,INDEX('Cash Book'!$E$8:$E$507,L189),INDEX('Bank Statement'!$D$8:$D$507,L189))&amp;"")</f>
        <v/>
      </c>
      <c r="E189" s="45" t="str">
        <f aca="false">IF(J189="","",IF(K189&lt;=2,INDEX('Cash Book'!$D$8:$D$507,L189),INDEX('Bank Statement'!$C$8:$C$507,L189))&amp;"")</f>
        <v/>
      </c>
      <c r="F189" s="50" t="str">
        <f aca="false">IF(J189="","",IF(K189&lt;=2,INDEX('Cash Book'!$W$8:$W$507,L189),INDEX('Bank Statement'!$W$8:$W$507,L189)))</f>
        <v/>
      </c>
      <c r="G189" s="49" t="str">
        <f aca="false">IF(J189="","",INDEX(Lists!$B$1:$B$4,K189))</f>
        <v/>
      </c>
      <c r="H189" s="45" t="str">
        <f aca="false">IF(J189="","",INDEX(Lists!$C$1:$C$4,K189))</f>
        <v/>
      </c>
      <c r="J189" s="9" t="str">
        <f aca="false">IF(183&lt;=$J$4,SMALL('Cash Book'!$V$8:$V$507,183),IF(183&lt;=$J$4+$K$4,SMALL('Bank Statement'!$V$8:$V$507,183-$J$4),""))</f>
        <v/>
      </c>
      <c r="K189" s="9" t="str">
        <f aca="false">IF(J189="","",INT(J189/100000))</f>
        <v/>
      </c>
      <c r="L189" s="9" t="str">
        <f aca="false">IF(J189="","",MOD(J189,100000)-7)</f>
        <v/>
      </c>
    </row>
    <row r="190" customFormat="false" ht="15" hidden="false" customHeight="false" outlineLevel="0" collapsed="false">
      <c r="A190" s="37" t="str">
        <f aca="false">IF(J190="","",184)</f>
        <v/>
      </c>
      <c r="B190" s="45" t="str">
        <f aca="false">IF(J190="","",INDEX(Lists!$A$1:$A$4,K190))</f>
        <v/>
      </c>
      <c r="C190" s="48" t="str">
        <f aca="false">IF(J190="","",IF(K190&lt;=2,INDEX('Cash Book'!$B$8:$B$507,L190),INDEX('Bank Statement'!$B$8:$B$507,L190)))</f>
        <v/>
      </c>
      <c r="D190" s="49" t="str">
        <f aca="false">IF(J190="","",IF(K190&lt;=2,INDEX('Cash Book'!$E$8:$E$507,L190),INDEX('Bank Statement'!$D$8:$D$507,L190))&amp;"")</f>
        <v/>
      </c>
      <c r="E190" s="45" t="str">
        <f aca="false">IF(J190="","",IF(K190&lt;=2,INDEX('Cash Book'!$D$8:$D$507,L190),INDEX('Bank Statement'!$C$8:$C$507,L190))&amp;"")</f>
        <v/>
      </c>
      <c r="F190" s="50" t="str">
        <f aca="false">IF(J190="","",IF(K190&lt;=2,INDEX('Cash Book'!$W$8:$W$507,L190),INDEX('Bank Statement'!$W$8:$W$507,L190)))</f>
        <v/>
      </c>
      <c r="G190" s="49" t="str">
        <f aca="false">IF(J190="","",INDEX(Lists!$B$1:$B$4,K190))</f>
        <v/>
      </c>
      <c r="H190" s="45" t="str">
        <f aca="false">IF(J190="","",INDEX(Lists!$C$1:$C$4,K190))</f>
        <v/>
      </c>
      <c r="J190" s="9" t="str">
        <f aca="false">IF(184&lt;=$J$4,SMALL('Cash Book'!$V$8:$V$507,184),IF(184&lt;=$J$4+$K$4,SMALL('Bank Statement'!$V$8:$V$507,184-$J$4),""))</f>
        <v/>
      </c>
      <c r="K190" s="9" t="str">
        <f aca="false">IF(J190="","",INT(J190/100000))</f>
        <v/>
      </c>
      <c r="L190" s="9" t="str">
        <f aca="false">IF(J190="","",MOD(J190,100000)-7)</f>
        <v/>
      </c>
    </row>
    <row r="191" customFormat="false" ht="15" hidden="false" customHeight="false" outlineLevel="0" collapsed="false">
      <c r="A191" s="37" t="str">
        <f aca="false">IF(J191="","",185)</f>
        <v/>
      </c>
      <c r="B191" s="45" t="str">
        <f aca="false">IF(J191="","",INDEX(Lists!$A$1:$A$4,K191))</f>
        <v/>
      </c>
      <c r="C191" s="48" t="str">
        <f aca="false">IF(J191="","",IF(K191&lt;=2,INDEX('Cash Book'!$B$8:$B$507,L191),INDEX('Bank Statement'!$B$8:$B$507,L191)))</f>
        <v/>
      </c>
      <c r="D191" s="49" t="str">
        <f aca="false">IF(J191="","",IF(K191&lt;=2,INDEX('Cash Book'!$E$8:$E$507,L191),INDEX('Bank Statement'!$D$8:$D$507,L191))&amp;"")</f>
        <v/>
      </c>
      <c r="E191" s="45" t="str">
        <f aca="false">IF(J191="","",IF(K191&lt;=2,INDEX('Cash Book'!$D$8:$D$507,L191),INDEX('Bank Statement'!$C$8:$C$507,L191))&amp;"")</f>
        <v/>
      </c>
      <c r="F191" s="50" t="str">
        <f aca="false">IF(J191="","",IF(K191&lt;=2,INDEX('Cash Book'!$W$8:$W$507,L191),INDEX('Bank Statement'!$W$8:$W$507,L191)))</f>
        <v/>
      </c>
      <c r="G191" s="49" t="str">
        <f aca="false">IF(J191="","",INDEX(Lists!$B$1:$B$4,K191))</f>
        <v/>
      </c>
      <c r="H191" s="45" t="str">
        <f aca="false">IF(J191="","",INDEX(Lists!$C$1:$C$4,K191))</f>
        <v/>
      </c>
      <c r="J191" s="9" t="str">
        <f aca="false">IF(185&lt;=$J$4,SMALL('Cash Book'!$V$8:$V$507,185),IF(185&lt;=$J$4+$K$4,SMALL('Bank Statement'!$V$8:$V$507,185-$J$4),""))</f>
        <v/>
      </c>
      <c r="K191" s="9" t="str">
        <f aca="false">IF(J191="","",INT(J191/100000))</f>
        <v/>
      </c>
      <c r="L191" s="9" t="str">
        <f aca="false">IF(J191="","",MOD(J191,100000)-7)</f>
        <v/>
      </c>
    </row>
    <row r="192" customFormat="false" ht="15" hidden="false" customHeight="false" outlineLevel="0" collapsed="false">
      <c r="A192" s="37" t="str">
        <f aca="false">IF(J192="","",186)</f>
        <v/>
      </c>
      <c r="B192" s="45" t="str">
        <f aca="false">IF(J192="","",INDEX(Lists!$A$1:$A$4,K192))</f>
        <v/>
      </c>
      <c r="C192" s="48" t="str">
        <f aca="false">IF(J192="","",IF(K192&lt;=2,INDEX('Cash Book'!$B$8:$B$507,L192),INDEX('Bank Statement'!$B$8:$B$507,L192)))</f>
        <v/>
      </c>
      <c r="D192" s="49" t="str">
        <f aca="false">IF(J192="","",IF(K192&lt;=2,INDEX('Cash Book'!$E$8:$E$507,L192),INDEX('Bank Statement'!$D$8:$D$507,L192))&amp;"")</f>
        <v/>
      </c>
      <c r="E192" s="45" t="str">
        <f aca="false">IF(J192="","",IF(K192&lt;=2,INDEX('Cash Book'!$D$8:$D$507,L192),INDEX('Bank Statement'!$C$8:$C$507,L192))&amp;"")</f>
        <v/>
      </c>
      <c r="F192" s="50" t="str">
        <f aca="false">IF(J192="","",IF(K192&lt;=2,INDEX('Cash Book'!$W$8:$W$507,L192),INDEX('Bank Statement'!$W$8:$W$507,L192)))</f>
        <v/>
      </c>
      <c r="G192" s="49" t="str">
        <f aca="false">IF(J192="","",INDEX(Lists!$B$1:$B$4,K192))</f>
        <v/>
      </c>
      <c r="H192" s="45" t="str">
        <f aca="false">IF(J192="","",INDEX(Lists!$C$1:$C$4,K192))</f>
        <v/>
      </c>
      <c r="J192" s="9" t="str">
        <f aca="false">IF(186&lt;=$J$4,SMALL('Cash Book'!$V$8:$V$507,186),IF(186&lt;=$J$4+$K$4,SMALL('Bank Statement'!$V$8:$V$507,186-$J$4),""))</f>
        <v/>
      </c>
      <c r="K192" s="9" t="str">
        <f aca="false">IF(J192="","",INT(J192/100000))</f>
        <v/>
      </c>
      <c r="L192" s="9" t="str">
        <f aca="false">IF(J192="","",MOD(J192,100000)-7)</f>
        <v/>
      </c>
    </row>
    <row r="193" customFormat="false" ht="15" hidden="false" customHeight="false" outlineLevel="0" collapsed="false">
      <c r="A193" s="37" t="str">
        <f aca="false">IF(J193="","",187)</f>
        <v/>
      </c>
      <c r="B193" s="45" t="str">
        <f aca="false">IF(J193="","",INDEX(Lists!$A$1:$A$4,K193))</f>
        <v/>
      </c>
      <c r="C193" s="48" t="str">
        <f aca="false">IF(J193="","",IF(K193&lt;=2,INDEX('Cash Book'!$B$8:$B$507,L193),INDEX('Bank Statement'!$B$8:$B$507,L193)))</f>
        <v/>
      </c>
      <c r="D193" s="49" t="str">
        <f aca="false">IF(J193="","",IF(K193&lt;=2,INDEX('Cash Book'!$E$8:$E$507,L193),INDEX('Bank Statement'!$D$8:$D$507,L193))&amp;"")</f>
        <v/>
      </c>
      <c r="E193" s="45" t="str">
        <f aca="false">IF(J193="","",IF(K193&lt;=2,INDEX('Cash Book'!$D$8:$D$507,L193),INDEX('Bank Statement'!$C$8:$C$507,L193))&amp;"")</f>
        <v/>
      </c>
      <c r="F193" s="50" t="str">
        <f aca="false">IF(J193="","",IF(K193&lt;=2,INDEX('Cash Book'!$W$8:$W$507,L193),INDEX('Bank Statement'!$W$8:$W$507,L193)))</f>
        <v/>
      </c>
      <c r="G193" s="49" t="str">
        <f aca="false">IF(J193="","",INDEX(Lists!$B$1:$B$4,K193))</f>
        <v/>
      </c>
      <c r="H193" s="45" t="str">
        <f aca="false">IF(J193="","",INDEX(Lists!$C$1:$C$4,K193))</f>
        <v/>
      </c>
      <c r="J193" s="9" t="str">
        <f aca="false">IF(187&lt;=$J$4,SMALL('Cash Book'!$V$8:$V$507,187),IF(187&lt;=$J$4+$K$4,SMALL('Bank Statement'!$V$8:$V$507,187-$J$4),""))</f>
        <v/>
      </c>
      <c r="K193" s="9" t="str">
        <f aca="false">IF(J193="","",INT(J193/100000))</f>
        <v/>
      </c>
      <c r="L193" s="9" t="str">
        <f aca="false">IF(J193="","",MOD(J193,100000)-7)</f>
        <v/>
      </c>
    </row>
    <row r="194" customFormat="false" ht="15" hidden="false" customHeight="false" outlineLevel="0" collapsed="false">
      <c r="A194" s="37" t="str">
        <f aca="false">IF(J194="","",188)</f>
        <v/>
      </c>
      <c r="B194" s="45" t="str">
        <f aca="false">IF(J194="","",INDEX(Lists!$A$1:$A$4,K194))</f>
        <v/>
      </c>
      <c r="C194" s="48" t="str">
        <f aca="false">IF(J194="","",IF(K194&lt;=2,INDEX('Cash Book'!$B$8:$B$507,L194),INDEX('Bank Statement'!$B$8:$B$507,L194)))</f>
        <v/>
      </c>
      <c r="D194" s="49" t="str">
        <f aca="false">IF(J194="","",IF(K194&lt;=2,INDEX('Cash Book'!$E$8:$E$507,L194),INDEX('Bank Statement'!$D$8:$D$507,L194))&amp;"")</f>
        <v/>
      </c>
      <c r="E194" s="45" t="str">
        <f aca="false">IF(J194="","",IF(K194&lt;=2,INDEX('Cash Book'!$D$8:$D$507,L194),INDEX('Bank Statement'!$C$8:$C$507,L194))&amp;"")</f>
        <v/>
      </c>
      <c r="F194" s="50" t="str">
        <f aca="false">IF(J194="","",IF(K194&lt;=2,INDEX('Cash Book'!$W$8:$W$507,L194),INDEX('Bank Statement'!$W$8:$W$507,L194)))</f>
        <v/>
      </c>
      <c r="G194" s="49" t="str">
        <f aca="false">IF(J194="","",INDEX(Lists!$B$1:$B$4,K194))</f>
        <v/>
      </c>
      <c r="H194" s="45" t="str">
        <f aca="false">IF(J194="","",INDEX(Lists!$C$1:$C$4,K194))</f>
        <v/>
      </c>
      <c r="J194" s="9" t="str">
        <f aca="false">IF(188&lt;=$J$4,SMALL('Cash Book'!$V$8:$V$507,188),IF(188&lt;=$J$4+$K$4,SMALL('Bank Statement'!$V$8:$V$507,188-$J$4),""))</f>
        <v/>
      </c>
      <c r="K194" s="9" t="str">
        <f aca="false">IF(J194="","",INT(J194/100000))</f>
        <v/>
      </c>
      <c r="L194" s="9" t="str">
        <f aca="false">IF(J194="","",MOD(J194,100000)-7)</f>
        <v/>
      </c>
    </row>
    <row r="195" customFormat="false" ht="15" hidden="false" customHeight="false" outlineLevel="0" collapsed="false">
      <c r="A195" s="37" t="str">
        <f aca="false">IF(J195="","",189)</f>
        <v/>
      </c>
      <c r="B195" s="45" t="str">
        <f aca="false">IF(J195="","",INDEX(Lists!$A$1:$A$4,K195))</f>
        <v/>
      </c>
      <c r="C195" s="48" t="str">
        <f aca="false">IF(J195="","",IF(K195&lt;=2,INDEX('Cash Book'!$B$8:$B$507,L195),INDEX('Bank Statement'!$B$8:$B$507,L195)))</f>
        <v/>
      </c>
      <c r="D195" s="49" t="str">
        <f aca="false">IF(J195="","",IF(K195&lt;=2,INDEX('Cash Book'!$E$8:$E$507,L195),INDEX('Bank Statement'!$D$8:$D$507,L195))&amp;"")</f>
        <v/>
      </c>
      <c r="E195" s="45" t="str">
        <f aca="false">IF(J195="","",IF(K195&lt;=2,INDEX('Cash Book'!$D$8:$D$507,L195),INDEX('Bank Statement'!$C$8:$C$507,L195))&amp;"")</f>
        <v/>
      </c>
      <c r="F195" s="50" t="str">
        <f aca="false">IF(J195="","",IF(K195&lt;=2,INDEX('Cash Book'!$W$8:$W$507,L195),INDEX('Bank Statement'!$W$8:$W$507,L195)))</f>
        <v/>
      </c>
      <c r="G195" s="49" t="str">
        <f aca="false">IF(J195="","",INDEX(Lists!$B$1:$B$4,K195))</f>
        <v/>
      </c>
      <c r="H195" s="45" t="str">
        <f aca="false">IF(J195="","",INDEX(Lists!$C$1:$C$4,K195))</f>
        <v/>
      </c>
      <c r="J195" s="9" t="str">
        <f aca="false">IF(189&lt;=$J$4,SMALL('Cash Book'!$V$8:$V$507,189),IF(189&lt;=$J$4+$K$4,SMALL('Bank Statement'!$V$8:$V$507,189-$J$4),""))</f>
        <v/>
      </c>
      <c r="K195" s="9" t="str">
        <f aca="false">IF(J195="","",INT(J195/100000))</f>
        <v/>
      </c>
      <c r="L195" s="9" t="str">
        <f aca="false">IF(J195="","",MOD(J195,100000)-7)</f>
        <v/>
      </c>
    </row>
    <row r="196" customFormat="false" ht="15" hidden="false" customHeight="false" outlineLevel="0" collapsed="false">
      <c r="A196" s="37" t="str">
        <f aca="false">IF(J196="","",190)</f>
        <v/>
      </c>
      <c r="B196" s="45" t="str">
        <f aca="false">IF(J196="","",INDEX(Lists!$A$1:$A$4,K196))</f>
        <v/>
      </c>
      <c r="C196" s="48" t="str">
        <f aca="false">IF(J196="","",IF(K196&lt;=2,INDEX('Cash Book'!$B$8:$B$507,L196),INDEX('Bank Statement'!$B$8:$B$507,L196)))</f>
        <v/>
      </c>
      <c r="D196" s="49" t="str">
        <f aca="false">IF(J196="","",IF(K196&lt;=2,INDEX('Cash Book'!$E$8:$E$507,L196),INDEX('Bank Statement'!$D$8:$D$507,L196))&amp;"")</f>
        <v/>
      </c>
      <c r="E196" s="45" t="str">
        <f aca="false">IF(J196="","",IF(K196&lt;=2,INDEX('Cash Book'!$D$8:$D$507,L196),INDEX('Bank Statement'!$C$8:$C$507,L196))&amp;"")</f>
        <v/>
      </c>
      <c r="F196" s="50" t="str">
        <f aca="false">IF(J196="","",IF(K196&lt;=2,INDEX('Cash Book'!$W$8:$W$507,L196),INDEX('Bank Statement'!$W$8:$W$507,L196)))</f>
        <v/>
      </c>
      <c r="G196" s="49" t="str">
        <f aca="false">IF(J196="","",INDEX(Lists!$B$1:$B$4,K196))</f>
        <v/>
      </c>
      <c r="H196" s="45" t="str">
        <f aca="false">IF(J196="","",INDEX(Lists!$C$1:$C$4,K196))</f>
        <v/>
      </c>
      <c r="J196" s="9" t="str">
        <f aca="false">IF(190&lt;=$J$4,SMALL('Cash Book'!$V$8:$V$507,190),IF(190&lt;=$J$4+$K$4,SMALL('Bank Statement'!$V$8:$V$507,190-$J$4),""))</f>
        <v/>
      </c>
      <c r="K196" s="9" t="str">
        <f aca="false">IF(J196="","",INT(J196/100000))</f>
        <v/>
      </c>
      <c r="L196" s="9" t="str">
        <f aca="false">IF(J196="","",MOD(J196,100000)-7)</f>
        <v/>
      </c>
    </row>
    <row r="197" customFormat="false" ht="15" hidden="false" customHeight="false" outlineLevel="0" collapsed="false">
      <c r="A197" s="37" t="str">
        <f aca="false">IF(J197="","",191)</f>
        <v/>
      </c>
      <c r="B197" s="45" t="str">
        <f aca="false">IF(J197="","",INDEX(Lists!$A$1:$A$4,K197))</f>
        <v/>
      </c>
      <c r="C197" s="48" t="str">
        <f aca="false">IF(J197="","",IF(K197&lt;=2,INDEX('Cash Book'!$B$8:$B$507,L197),INDEX('Bank Statement'!$B$8:$B$507,L197)))</f>
        <v/>
      </c>
      <c r="D197" s="49" t="str">
        <f aca="false">IF(J197="","",IF(K197&lt;=2,INDEX('Cash Book'!$E$8:$E$507,L197),INDEX('Bank Statement'!$D$8:$D$507,L197))&amp;"")</f>
        <v/>
      </c>
      <c r="E197" s="45" t="str">
        <f aca="false">IF(J197="","",IF(K197&lt;=2,INDEX('Cash Book'!$D$8:$D$507,L197),INDEX('Bank Statement'!$C$8:$C$507,L197))&amp;"")</f>
        <v/>
      </c>
      <c r="F197" s="50" t="str">
        <f aca="false">IF(J197="","",IF(K197&lt;=2,INDEX('Cash Book'!$W$8:$W$507,L197),INDEX('Bank Statement'!$W$8:$W$507,L197)))</f>
        <v/>
      </c>
      <c r="G197" s="49" t="str">
        <f aca="false">IF(J197="","",INDEX(Lists!$B$1:$B$4,K197))</f>
        <v/>
      </c>
      <c r="H197" s="45" t="str">
        <f aca="false">IF(J197="","",INDEX(Lists!$C$1:$C$4,K197))</f>
        <v/>
      </c>
      <c r="J197" s="9" t="str">
        <f aca="false">IF(191&lt;=$J$4,SMALL('Cash Book'!$V$8:$V$507,191),IF(191&lt;=$J$4+$K$4,SMALL('Bank Statement'!$V$8:$V$507,191-$J$4),""))</f>
        <v/>
      </c>
      <c r="K197" s="9" t="str">
        <f aca="false">IF(J197="","",INT(J197/100000))</f>
        <v/>
      </c>
      <c r="L197" s="9" t="str">
        <f aca="false">IF(J197="","",MOD(J197,100000)-7)</f>
        <v/>
      </c>
    </row>
    <row r="198" customFormat="false" ht="15" hidden="false" customHeight="false" outlineLevel="0" collapsed="false">
      <c r="A198" s="37" t="str">
        <f aca="false">IF(J198="","",192)</f>
        <v/>
      </c>
      <c r="B198" s="45" t="str">
        <f aca="false">IF(J198="","",INDEX(Lists!$A$1:$A$4,K198))</f>
        <v/>
      </c>
      <c r="C198" s="48" t="str">
        <f aca="false">IF(J198="","",IF(K198&lt;=2,INDEX('Cash Book'!$B$8:$B$507,L198),INDEX('Bank Statement'!$B$8:$B$507,L198)))</f>
        <v/>
      </c>
      <c r="D198" s="49" t="str">
        <f aca="false">IF(J198="","",IF(K198&lt;=2,INDEX('Cash Book'!$E$8:$E$507,L198),INDEX('Bank Statement'!$D$8:$D$507,L198))&amp;"")</f>
        <v/>
      </c>
      <c r="E198" s="45" t="str">
        <f aca="false">IF(J198="","",IF(K198&lt;=2,INDEX('Cash Book'!$D$8:$D$507,L198),INDEX('Bank Statement'!$C$8:$C$507,L198))&amp;"")</f>
        <v/>
      </c>
      <c r="F198" s="50" t="str">
        <f aca="false">IF(J198="","",IF(K198&lt;=2,INDEX('Cash Book'!$W$8:$W$507,L198),INDEX('Bank Statement'!$W$8:$W$507,L198)))</f>
        <v/>
      </c>
      <c r="G198" s="49" t="str">
        <f aca="false">IF(J198="","",INDEX(Lists!$B$1:$B$4,K198))</f>
        <v/>
      </c>
      <c r="H198" s="45" t="str">
        <f aca="false">IF(J198="","",INDEX(Lists!$C$1:$C$4,K198))</f>
        <v/>
      </c>
      <c r="J198" s="9" t="str">
        <f aca="false">IF(192&lt;=$J$4,SMALL('Cash Book'!$V$8:$V$507,192),IF(192&lt;=$J$4+$K$4,SMALL('Bank Statement'!$V$8:$V$507,192-$J$4),""))</f>
        <v/>
      </c>
      <c r="K198" s="9" t="str">
        <f aca="false">IF(J198="","",INT(J198/100000))</f>
        <v/>
      </c>
      <c r="L198" s="9" t="str">
        <f aca="false">IF(J198="","",MOD(J198,100000)-7)</f>
        <v/>
      </c>
    </row>
    <row r="199" customFormat="false" ht="15" hidden="false" customHeight="false" outlineLevel="0" collapsed="false">
      <c r="A199" s="37" t="str">
        <f aca="false">IF(J199="","",193)</f>
        <v/>
      </c>
      <c r="B199" s="45" t="str">
        <f aca="false">IF(J199="","",INDEX(Lists!$A$1:$A$4,K199))</f>
        <v/>
      </c>
      <c r="C199" s="48" t="str">
        <f aca="false">IF(J199="","",IF(K199&lt;=2,INDEX('Cash Book'!$B$8:$B$507,L199),INDEX('Bank Statement'!$B$8:$B$507,L199)))</f>
        <v/>
      </c>
      <c r="D199" s="49" t="str">
        <f aca="false">IF(J199="","",IF(K199&lt;=2,INDEX('Cash Book'!$E$8:$E$507,L199),INDEX('Bank Statement'!$D$8:$D$507,L199))&amp;"")</f>
        <v/>
      </c>
      <c r="E199" s="45" t="str">
        <f aca="false">IF(J199="","",IF(K199&lt;=2,INDEX('Cash Book'!$D$8:$D$507,L199),INDEX('Bank Statement'!$C$8:$C$507,L199))&amp;"")</f>
        <v/>
      </c>
      <c r="F199" s="50" t="str">
        <f aca="false">IF(J199="","",IF(K199&lt;=2,INDEX('Cash Book'!$W$8:$W$507,L199),INDEX('Bank Statement'!$W$8:$W$507,L199)))</f>
        <v/>
      </c>
      <c r="G199" s="49" t="str">
        <f aca="false">IF(J199="","",INDEX(Lists!$B$1:$B$4,K199))</f>
        <v/>
      </c>
      <c r="H199" s="45" t="str">
        <f aca="false">IF(J199="","",INDEX(Lists!$C$1:$C$4,K199))</f>
        <v/>
      </c>
      <c r="J199" s="9" t="str">
        <f aca="false">IF(193&lt;=$J$4,SMALL('Cash Book'!$V$8:$V$507,193),IF(193&lt;=$J$4+$K$4,SMALL('Bank Statement'!$V$8:$V$507,193-$J$4),""))</f>
        <v/>
      </c>
      <c r="K199" s="9" t="str">
        <f aca="false">IF(J199="","",INT(J199/100000))</f>
        <v/>
      </c>
      <c r="L199" s="9" t="str">
        <f aca="false">IF(J199="","",MOD(J199,100000)-7)</f>
        <v/>
      </c>
    </row>
    <row r="200" customFormat="false" ht="15" hidden="false" customHeight="false" outlineLevel="0" collapsed="false">
      <c r="A200" s="37" t="str">
        <f aca="false">IF(J200="","",194)</f>
        <v/>
      </c>
      <c r="B200" s="45" t="str">
        <f aca="false">IF(J200="","",INDEX(Lists!$A$1:$A$4,K200))</f>
        <v/>
      </c>
      <c r="C200" s="48" t="str">
        <f aca="false">IF(J200="","",IF(K200&lt;=2,INDEX('Cash Book'!$B$8:$B$507,L200),INDEX('Bank Statement'!$B$8:$B$507,L200)))</f>
        <v/>
      </c>
      <c r="D200" s="49" t="str">
        <f aca="false">IF(J200="","",IF(K200&lt;=2,INDEX('Cash Book'!$E$8:$E$507,L200),INDEX('Bank Statement'!$D$8:$D$507,L200))&amp;"")</f>
        <v/>
      </c>
      <c r="E200" s="45" t="str">
        <f aca="false">IF(J200="","",IF(K200&lt;=2,INDEX('Cash Book'!$D$8:$D$507,L200),INDEX('Bank Statement'!$C$8:$C$507,L200))&amp;"")</f>
        <v/>
      </c>
      <c r="F200" s="50" t="str">
        <f aca="false">IF(J200="","",IF(K200&lt;=2,INDEX('Cash Book'!$W$8:$W$507,L200),INDEX('Bank Statement'!$W$8:$W$507,L200)))</f>
        <v/>
      </c>
      <c r="G200" s="49" t="str">
        <f aca="false">IF(J200="","",INDEX(Lists!$B$1:$B$4,K200))</f>
        <v/>
      </c>
      <c r="H200" s="45" t="str">
        <f aca="false">IF(J200="","",INDEX(Lists!$C$1:$C$4,K200))</f>
        <v/>
      </c>
      <c r="J200" s="9" t="str">
        <f aca="false">IF(194&lt;=$J$4,SMALL('Cash Book'!$V$8:$V$507,194),IF(194&lt;=$J$4+$K$4,SMALL('Bank Statement'!$V$8:$V$507,194-$J$4),""))</f>
        <v/>
      </c>
      <c r="K200" s="9" t="str">
        <f aca="false">IF(J200="","",INT(J200/100000))</f>
        <v/>
      </c>
      <c r="L200" s="9" t="str">
        <f aca="false">IF(J200="","",MOD(J200,100000)-7)</f>
        <v/>
      </c>
    </row>
    <row r="201" customFormat="false" ht="15" hidden="false" customHeight="false" outlineLevel="0" collapsed="false">
      <c r="A201" s="37" t="str">
        <f aca="false">IF(J201="","",195)</f>
        <v/>
      </c>
      <c r="B201" s="45" t="str">
        <f aca="false">IF(J201="","",INDEX(Lists!$A$1:$A$4,K201))</f>
        <v/>
      </c>
      <c r="C201" s="48" t="str">
        <f aca="false">IF(J201="","",IF(K201&lt;=2,INDEX('Cash Book'!$B$8:$B$507,L201),INDEX('Bank Statement'!$B$8:$B$507,L201)))</f>
        <v/>
      </c>
      <c r="D201" s="49" t="str">
        <f aca="false">IF(J201="","",IF(K201&lt;=2,INDEX('Cash Book'!$E$8:$E$507,L201),INDEX('Bank Statement'!$D$8:$D$507,L201))&amp;"")</f>
        <v/>
      </c>
      <c r="E201" s="45" t="str">
        <f aca="false">IF(J201="","",IF(K201&lt;=2,INDEX('Cash Book'!$D$8:$D$507,L201),INDEX('Bank Statement'!$C$8:$C$507,L201))&amp;"")</f>
        <v/>
      </c>
      <c r="F201" s="50" t="str">
        <f aca="false">IF(J201="","",IF(K201&lt;=2,INDEX('Cash Book'!$W$8:$W$507,L201),INDEX('Bank Statement'!$W$8:$W$507,L201)))</f>
        <v/>
      </c>
      <c r="G201" s="49" t="str">
        <f aca="false">IF(J201="","",INDEX(Lists!$B$1:$B$4,K201))</f>
        <v/>
      </c>
      <c r="H201" s="45" t="str">
        <f aca="false">IF(J201="","",INDEX(Lists!$C$1:$C$4,K201))</f>
        <v/>
      </c>
      <c r="J201" s="9" t="str">
        <f aca="false">IF(195&lt;=$J$4,SMALL('Cash Book'!$V$8:$V$507,195),IF(195&lt;=$J$4+$K$4,SMALL('Bank Statement'!$V$8:$V$507,195-$J$4),""))</f>
        <v/>
      </c>
      <c r="K201" s="9" t="str">
        <f aca="false">IF(J201="","",INT(J201/100000))</f>
        <v/>
      </c>
      <c r="L201" s="9" t="str">
        <f aca="false">IF(J201="","",MOD(J201,100000)-7)</f>
        <v/>
      </c>
    </row>
    <row r="202" customFormat="false" ht="15" hidden="false" customHeight="false" outlineLevel="0" collapsed="false">
      <c r="A202" s="37" t="str">
        <f aca="false">IF(J202="","",196)</f>
        <v/>
      </c>
      <c r="B202" s="45" t="str">
        <f aca="false">IF(J202="","",INDEX(Lists!$A$1:$A$4,K202))</f>
        <v/>
      </c>
      <c r="C202" s="48" t="str">
        <f aca="false">IF(J202="","",IF(K202&lt;=2,INDEX('Cash Book'!$B$8:$B$507,L202),INDEX('Bank Statement'!$B$8:$B$507,L202)))</f>
        <v/>
      </c>
      <c r="D202" s="49" t="str">
        <f aca="false">IF(J202="","",IF(K202&lt;=2,INDEX('Cash Book'!$E$8:$E$507,L202),INDEX('Bank Statement'!$D$8:$D$507,L202))&amp;"")</f>
        <v/>
      </c>
      <c r="E202" s="45" t="str">
        <f aca="false">IF(J202="","",IF(K202&lt;=2,INDEX('Cash Book'!$D$8:$D$507,L202),INDEX('Bank Statement'!$C$8:$C$507,L202))&amp;"")</f>
        <v/>
      </c>
      <c r="F202" s="50" t="str">
        <f aca="false">IF(J202="","",IF(K202&lt;=2,INDEX('Cash Book'!$W$8:$W$507,L202),INDEX('Bank Statement'!$W$8:$W$507,L202)))</f>
        <v/>
      </c>
      <c r="G202" s="49" t="str">
        <f aca="false">IF(J202="","",INDEX(Lists!$B$1:$B$4,K202))</f>
        <v/>
      </c>
      <c r="H202" s="45" t="str">
        <f aca="false">IF(J202="","",INDEX(Lists!$C$1:$C$4,K202))</f>
        <v/>
      </c>
      <c r="J202" s="9" t="str">
        <f aca="false">IF(196&lt;=$J$4,SMALL('Cash Book'!$V$8:$V$507,196),IF(196&lt;=$J$4+$K$4,SMALL('Bank Statement'!$V$8:$V$507,196-$J$4),""))</f>
        <v/>
      </c>
      <c r="K202" s="9" t="str">
        <f aca="false">IF(J202="","",INT(J202/100000))</f>
        <v/>
      </c>
      <c r="L202" s="9" t="str">
        <f aca="false">IF(J202="","",MOD(J202,100000)-7)</f>
        <v/>
      </c>
    </row>
    <row r="203" customFormat="false" ht="15" hidden="false" customHeight="false" outlineLevel="0" collapsed="false">
      <c r="A203" s="37" t="str">
        <f aca="false">IF(J203="","",197)</f>
        <v/>
      </c>
      <c r="B203" s="45" t="str">
        <f aca="false">IF(J203="","",INDEX(Lists!$A$1:$A$4,K203))</f>
        <v/>
      </c>
      <c r="C203" s="48" t="str">
        <f aca="false">IF(J203="","",IF(K203&lt;=2,INDEX('Cash Book'!$B$8:$B$507,L203),INDEX('Bank Statement'!$B$8:$B$507,L203)))</f>
        <v/>
      </c>
      <c r="D203" s="49" t="str">
        <f aca="false">IF(J203="","",IF(K203&lt;=2,INDEX('Cash Book'!$E$8:$E$507,L203),INDEX('Bank Statement'!$D$8:$D$507,L203))&amp;"")</f>
        <v/>
      </c>
      <c r="E203" s="45" t="str">
        <f aca="false">IF(J203="","",IF(K203&lt;=2,INDEX('Cash Book'!$D$8:$D$507,L203),INDEX('Bank Statement'!$C$8:$C$507,L203))&amp;"")</f>
        <v/>
      </c>
      <c r="F203" s="50" t="str">
        <f aca="false">IF(J203="","",IF(K203&lt;=2,INDEX('Cash Book'!$W$8:$W$507,L203),INDEX('Bank Statement'!$W$8:$W$507,L203)))</f>
        <v/>
      </c>
      <c r="G203" s="49" t="str">
        <f aca="false">IF(J203="","",INDEX(Lists!$B$1:$B$4,K203))</f>
        <v/>
      </c>
      <c r="H203" s="45" t="str">
        <f aca="false">IF(J203="","",INDEX(Lists!$C$1:$C$4,K203))</f>
        <v/>
      </c>
      <c r="J203" s="9" t="str">
        <f aca="false">IF(197&lt;=$J$4,SMALL('Cash Book'!$V$8:$V$507,197),IF(197&lt;=$J$4+$K$4,SMALL('Bank Statement'!$V$8:$V$507,197-$J$4),""))</f>
        <v/>
      </c>
      <c r="K203" s="9" t="str">
        <f aca="false">IF(J203="","",INT(J203/100000))</f>
        <v/>
      </c>
      <c r="L203" s="9" t="str">
        <f aca="false">IF(J203="","",MOD(J203,100000)-7)</f>
        <v/>
      </c>
    </row>
    <row r="204" customFormat="false" ht="15" hidden="false" customHeight="false" outlineLevel="0" collapsed="false">
      <c r="A204" s="37" t="str">
        <f aca="false">IF(J204="","",198)</f>
        <v/>
      </c>
      <c r="B204" s="45" t="str">
        <f aca="false">IF(J204="","",INDEX(Lists!$A$1:$A$4,K204))</f>
        <v/>
      </c>
      <c r="C204" s="48" t="str">
        <f aca="false">IF(J204="","",IF(K204&lt;=2,INDEX('Cash Book'!$B$8:$B$507,L204),INDEX('Bank Statement'!$B$8:$B$507,L204)))</f>
        <v/>
      </c>
      <c r="D204" s="49" t="str">
        <f aca="false">IF(J204="","",IF(K204&lt;=2,INDEX('Cash Book'!$E$8:$E$507,L204),INDEX('Bank Statement'!$D$8:$D$507,L204))&amp;"")</f>
        <v/>
      </c>
      <c r="E204" s="45" t="str">
        <f aca="false">IF(J204="","",IF(K204&lt;=2,INDEX('Cash Book'!$D$8:$D$507,L204),INDEX('Bank Statement'!$C$8:$C$507,L204))&amp;"")</f>
        <v/>
      </c>
      <c r="F204" s="50" t="str">
        <f aca="false">IF(J204="","",IF(K204&lt;=2,INDEX('Cash Book'!$W$8:$W$507,L204),INDEX('Bank Statement'!$W$8:$W$507,L204)))</f>
        <v/>
      </c>
      <c r="G204" s="49" t="str">
        <f aca="false">IF(J204="","",INDEX(Lists!$B$1:$B$4,K204))</f>
        <v/>
      </c>
      <c r="H204" s="45" t="str">
        <f aca="false">IF(J204="","",INDEX(Lists!$C$1:$C$4,K204))</f>
        <v/>
      </c>
      <c r="J204" s="9" t="str">
        <f aca="false">IF(198&lt;=$J$4,SMALL('Cash Book'!$V$8:$V$507,198),IF(198&lt;=$J$4+$K$4,SMALL('Bank Statement'!$V$8:$V$507,198-$J$4),""))</f>
        <v/>
      </c>
      <c r="K204" s="9" t="str">
        <f aca="false">IF(J204="","",INT(J204/100000))</f>
        <v/>
      </c>
      <c r="L204" s="9" t="str">
        <f aca="false">IF(J204="","",MOD(J204,100000)-7)</f>
        <v/>
      </c>
    </row>
    <row r="205" customFormat="false" ht="15" hidden="false" customHeight="false" outlineLevel="0" collapsed="false">
      <c r="A205" s="37" t="str">
        <f aca="false">IF(J205="","",199)</f>
        <v/>
      </c>
      <c r="B205" s="45" t="str">
        <f aca="false">IF(J205="","",INDEX(Lists!$A$1:$A$4,K205))</f>
        <v/>
      </c>
      <c r="C205" s="48" t="str">
        <f aca="false">IF(J205="","",IF(K205&lt;=2,INDEX('Cash Book'!$B$8:$B$507,L205),INDEX('Bank Statement'!$B$8:$B$507,L205)))</f>
        <v/>
      </c>
      <c r="D205" s="49" t="str">
        <f aca="false">IF(J205="","",IF(K205&lt;=2,INDEX('Cash Book'!$E$8:$E$507,L205),INDEX('Bank Statement'!$D$8:$D$507,L205))&amp;"")</f>
        <v/>
      </c>
      <c r="E205" s="45" t="str">
        <f aca="false">IF(J205="","",IF(K205&lt;=2,INDEX('Cash Book'!$D$8:$D$507,L205),INDEX('Bank Statement'!$C$8:$C$507,L205))&amp;"")</f>
        <v/>
      </c>
      <c r="F205" s="50" t="str">
        <f aca="false">IF(J205="","",IF(K205&lt;=2,INDEX('Cash Book'!$W$8:$W$507,L205),INDEX('Bank Statement'!$W$8:$W$507,L205)))</f>
        <v/>
      </c>
      <c r="G205" s="49" t="str">
        <f aca="false">IF(J205="","",INDEX(Lists!$B$1:$B$4,K205))</f>
        <v/>
      </c>
      <c r="H205" s="45" t="str">
        <f aca="false">IF(J205="","",INDEX(Lists!$C$1:$C$4,K205))</f>
        <v/>
      </c>
      <c r="J205" s="9" t="str">
        <f aca="false">IF(199&lt;=$J$4,SMALL('Cash Book'!$V$8:$V$507,199),IF(199&lt;=$J$4+$K$4,SMALL('Bank Statement'!$V$8:$V$507,199-$J$4),""))</f>
        <v/>
      </c>
      <c r="K205" s="9" t="str">
        <f aca="false">IF(J205="","",INT(J205/100000))</f>
        <v/>
      </c>
      <c r="L205" s="9" t="str">
        <f aca="false">IF(J205="","",MOD(J205,100000)-7)</f>
        <v/>
      </c>
    </row>
    <row r="206" customFormat="false" ht="15" hidden="false" customHeight="false" outlineLevel="0" collapsed="false">
      <c r="A206" s="37" t="str">
        <f aca="false">IF(J206="","",200)</f>
        <v/>
      </c>
      <c r="B206" s="45" t="str">
        <f aca="false">IF(J206="","",INDEX(Lists!$A$1:$A$4,K206))</f>
        <v/>
      </c>
      <c r="C206" s="48" t="str">
        <f aca="false">IF(J206="","",IF(K206&lt;=2,INDEX('Cash Book'!$B$8:$B$507,L206),INDEX('Bank Statement'!$B$8:$B$507,L206)))</f>
        <v/>
      </c>
      <c r="D206" s="49" t="str">
        <f aca="false">IF(J206="","",IF(K206&lt;=2,INDEX('Cash Book'!$E$8:$E$507,L206),INDEX('Bank Statement'!$D$8:$D$507,L206))&amp;"")</f>
        <v/>
      </c>
      <c r="E206" s="45" t="str">
        <f aca="false">IF(J206="","",IF(K206&lt;=2,INDEX('Cash Book'!$D$8:$D$507,L206),INDEX('Bank Statement'!$C$8:$C$507,L206))&amp;"")</f>
        <v/>
      </c>
      <c r="F206" s="50" t="str">
        <f aca="false">IF(J206="","",IF(K206&lt;=2,INDEX('Cash Book'!$W$8:$W$507,L206),INDEX('Bank Statement'!$W$8:$W$507,L206)))</f>
        <v/>
      </c>
      <c r="G206" s="49" t="str">
        <f aca="false">IF(J206="","",INDEX(Lists!$B$1:$B$4,K206))</f>
        <v/>
      </c>
      <c r="H206" s="45" t="str">
        <f aca="false">IF(J206="","",INDEX(Lists!$C$1:$C$4,K206))</f>
        <v/>
      </c>
      <c r="J206" s="9" t="str">
        <f aca="false">IF(200&lt;=$J$4,SMALL('Cash Book'!$V$8:$V$507,200),IF(200&lt;=$J$4+$K$4,SMALL('Bank Statement'!$V$8:$V$507,200-$J$4),""))</f>
        <v/>
      </c>
      <c r="K206" s="9" t="str">
        <f aca="false">IF(J206="","",INT(J206/100000))</f>
        <v/>
      </c>
      <c r="L206" s="9" t="str">
        <f aca="false">IF(J206="","",MOD(J206,100000)-7)</f>
        <v/>
      </c>
    </row>
  </sheetData>
  <sheetProtection sheet="1" objects="1" scenarios="1" formatColumns="0" formatRows="0" algorithmName="SHA-512" hashValue="GDoxVaQCLN/8tD91gbLJW6bkAY9Gu7qL31O+Fr3tmJOLhws6QH5u7UiiXGJus/lGj6txIjk3kqxbDc07xLBBZA==" saltValue="sg1OZCIICSwAbFzeL2v7ug==" spinCount="100000"/>
  <mergeCells count="2">
    <mergeCell ref="A2:H2"/>
    <mergeCell ref="A3:H3"/>
  </mergeCells>
  <conditionalFormatting sqref="A7:H206">
    <cfRule type="expression" priority="2" aboveAverage="0" equalAverage="0" bottom="0" percent="0" rank="0" text="" dxfId="5">
      <formula>$K7=1</formula>
    </cfRule>
    <cfRule type="expression" priority="3" aboveAverage="0" equalAverage="0" bottom="0" percent="0" rank="0" text="" dxfId="5">
      <formula>$K7=2</formula>
    </cfRule>
    <cfRule type="expression" priority="4" aboveAverage="0" equalAverage="0" bottom="0" percent="0" rank="0" text="" dxfId="6">
      <formula>$K7=3</formula>
    </cfRule>
    <cfRule type="expression" priority="5" aboveAverage="0" equalAverage="0" bottom="0" percent="0" rank="0" text="" dxfId="6">
      <formula>$K7=4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4"/>
    <col collapsed="false" customWidth="true" hidden="false" outlineLevel="0" max="4" min="3" style="0" width="18"/>
    <col collapsed="false" customWidth="true" hidden="false" outlineLevel="0" max="5" min="5" style="0" width="3"/>
  </cols>
  <sheetData>
    <row r="1" customFormat="false" ht="15" hidden="false" customHeight="false" outlineLevel="0" collapsed="false">
      <c r="A1" s="17" t="s">
        <v>24</v>
      </c>
    </row>
    <row r="2" customFormat="false" ht="19.7" hidden="false" customHeight="false" outlineLevel="0" collapsed="false">
      <c r="B2" s="51" t="str">
        <f aca="false">Setup!$C$4</f>
        <v>Xplore Electricals</v>
      </c>
      <c r="C2" s="51"/>
      <c r="D2" s="51"/>
    </row>
    <row r="3" customFormat="false" ht="27.75" hidden="false" customHeight="true" outlineLevel="0" collapsed="false">
      <c r="B3" s="52" t="str">
        <f aca="false">"Bank Reconciliation Statement as on "&amp;TEXT(Setup!$C$8,"dd mmmm yyyy")</f>
        <v>Bank Reconciliation Statement as on 30 September 2026</v>
      </c>
      <c r="C3" s="52"/>
      <c r="D3" s="52"/>
    </row>
    <row r="4" customFormat="false" ht="15" hidden="false" customHeight="false" outlineLevel="0" collapsed="false">
      <c r="B4" s="53" t="str">
        <f aca="false">Setup!$C$5&amp;"  •  A/c "&amp;Setup!$C$6</f>
        <v>State Bank of India  •  A/c XXXX 4521</v>
      </c>
      <c r="C4" s="53"/>
      <c r="D4" s="53"/>
    </row>
    <row r="6" customFormat="false" ht="21.75" hidden="false" customHeight="true" outlineLevel="0" collapsed="false">
      <c r="B6" s="54" t="s">
        <v>138</v>
      </c>
      <c r="C6" s="54"/>
      <c r="D6" s="54"/>
    </row>
    <row r="7" customFormat="false" ht="21" hidden="false" customHeight="true" outlineLevel="0" collapsed="false">
      <c r="B7" s="55" t="s">
        <v>5</v>
      </c>
      <c r="C7" s="56"/>
      <c r="D7" s="57" t="n">
        <f aca="false">Setup!$C$9</f>
        <v>130154</v>
      </c>
    </row>
    <row r="8" customFormat="false" ht="21" hidden="false" customHeight="true" outlineLevel="0" collapsed="false">
      <c r="B8" s="58" t="str">
        <f aca="false">"Add: credited by bank, not in cash book ("&amp;COUNTIFS('Bank Statement'!$V$8:$V$507,"&gt;="&amp;3*100000,'Bank Statement'!$V$8:$V$507,"&lt;"&amp;(3+1)*100000)&amp;" item(s) – interest, direct deposits)"</f>
        <v>Add: credited by bank, not in cash book (2 item(s) – interest, direct deposits)</v>
      </c>
      <c r="C8" s="56" t="n">
        <f aca="false">SUMIFS('Bank Statement'!$W$8:$W$507,'Bank Statement'!$V$8:$V$507,"&gt;="&amp;3*100000,'Bank Statement'!$V$8:$V$507,"&lt;"&amp;(3+1)*100000)</f>
        <v>9852</v>
      </c>
      <c r="D8" s="57"/>
    </row>
    <row r="9" customFormat="false" ht="21" hidden="false" customHeight="true" outlineLevel="0" collapsed="false">
      <c r="B9" s="58" t="str">
        <f aca="false">"Less: debited by bank, not in cash book ("&amp;COUNTIFS('Bank Statement'!$V$8:$V$507,"&gt;="&amp;4*100000,'Bank Statement'!$V$8:$V$507,"&lt;"&amp;(4+1)*100000)&amp;" item(s) – charges, ECS / NACH)"</f>
        <v>Less: debited by bank, not in cash book (3 item(s) – charges, ECS / NACH)</v>
      </c>
      <c r="C9" s="56" t="n">
        <f aca="false">-SUMIFS('Bank Statement'!$W$8:$W$507,'Bank Statement'!$V$8:$V$507,"&gt;="&amp;4*100000,'Bank Statement'!$V$8:$V$507,"&lt;"&amp;(4+1)*100000)</f>
        <v>-11503.7</v>
      </c>
      <c r="D9" s="57"/>
    </row>
    <row r="10" customFormat="false" ht="21" hidden="false" customHeight="true" outlineLevel="0" collapsed="false">
      <c r="B10" s="59" t="s">
        <v>139</v>
      </c>
      <c r="C10" s="56"/>
      <c r="D10" s="60" t="n">
        <f aca="false">D7+C8+C9</f>
        <v>128502.3</v>
      </c>
    </row>
    <row r="12" customFormat="false" ht="21.75" hidden="false" customHeight="true" outlineLevel="0" collapsed="false">
      <c r="B12" s="54" t="s">
        <v>140</v>
      </c>
      <c r="C12" s="54"/>
      <c r="D12" s="54"/>
    </row>
    <row r="13" customFormat="false" ht="21" hidden="false" customHeight="true" outlineLevel="0" collapsed="false">
      <c r="B13" s="55" t="s">
        <v>141</v>
      </c>
      <c r="C13" s="56"/>
      <c r="D13" s="57" t="n">
        <f aca="false">D10</f>
        <v>128502.3</v>
      </c>
    </row>
    <row r="14" customFormat="false" ht="21" hidden="false" customHeight="true" outlineLevel="0" collapsed="false">
      <c r="B14" s="58" t="str">
        <f aca="false">"Add: cheques issued but not yet presented ("&amp;COUNTIFS('Cash Book'!$V$8:$V$507,"&gt;="&amp;1*100000,'Cash Book'!$V$8:$V$507,"&lt;"&amp;(1+1)*100000)&amp;" item(s))"</f>
        <v>Add: cheques issued but not yet presented (2 item(s))</v>
      </c>
      <c r="C14" s="56" t="n">
        <f aca="false">SUMIFS('Cash Book'!$W$8:$W$507,'Cash Book'!$V$8:$V$507,"&gt;="&amp;1*100000,'Cash Book'!$V$8:$V$507,"&lt;"&amp;(1+1)*100000)</f>
        <v>30120</v>
      </c>
      <c r="D14" s="57"/>
    </row>
    <row r="15" customFormat="false" ht="21" hidden="false" customHeight="true" outlineLevel="0" collapsed="false">
      <c r="B15" s="58" t="str">
        <f aca="false">"Less: deposited but not yet credited by bank ("&amp;COUNTIFS('Cash Book'!$V$8:$V$507,"&gt;="&amp;2*100000,'Cash Book'!$V$8:$V$507,"&lt;"&amp;(2+1)*100000)&amp;" item(s))"</f>
        <v>Less: deposited but not yet credited by bank (1 item(s))</v>
      </c>
      <c r="C15" s="56" t="n">
        <f aca="false">-SUMIFS('Cash Book'!$W$8:$W$507,'Cash Book'!$V$8:$V$507,"&gt;="&amp;2*100000,'Cash Book'!$V$8:$V$507,"&lt;"&amp;(2+1)*100000)</f>
        <v>-15340</v>
      </c>
      <c r="D15" s="57"/>
    </row>
    <row r="16" customFormat="false" ht="21" hidden="false" customHeight="true" outlineLevel="0" collapsed="false">
      <c r="B16" s="59" t="s">
        <v>142</v>
      </c>
      <c r="C16" s="56"/>
      <c r="D16" s="60" t="n">
        <f aca="false">D13+C14+C15</f>
        <v>143282.3</v>
      </c>
    </row>
    <row r="17" customFormat="false" ht="21" hidden="false" customHeight="true" outlineLevel="0" collapsed="false">
      <c r="B17" s="55" t="s">
        <v>143</v>
      </c>
      <c r="C17" s="56"/>
      <c r="D17" s="57" t="n">
        <f aca="false">Setup!$C$10</f>
        <v>143282.3</v>
      </c>
    </row>
    <row r="18" customFormat="false" ht="21" hidden="false" customHeight="true" outlineLevel="0" collapsed="false">
      <c r="B18" s="55" t="s">
        <v>144</v>
      </c>
      <c r="C18" s="56"/>
      <c r="D18" s="61" t="n">
        <f aca="false">ROUND(D16-D17,2)</f>
        <v>0</v>
      </c>
    </row>
    <row r="20" customFormat="false" ht="30" hidden="false" customHeight="true" outlineLevel="0" collapsed="false">
      <c r="B20" s="62" t="str">
        <f aca="false">IF(ABS(D18)&lt;0.01,"✔ RECONCILED – bank statement agrees with the cash book","⚠ NOT RECONCILED – difference of ₹ "&amp;TEXT(ABS(D18),"#,##,##0.00")&amp;". Check the balances in Setup and the ⚠ rows on Cash Book / Bank Statement.")</f>
        <v>✔ RECONCILED – bank statement agrees with the cash book</v>
      </c>
      <c r="C20" s="62"/>
      <c r="D20" s="62"/>
    </row>
    <row r="22" customFormat="false" ht="15" hidden="false" customHeight="false" outlineLevel="0" collapsed="false">
      <c r="B22" s="6" t="s">
        <v>145</v>
      </c>
    </row>
    <row r="25" customFormat="false" ht="15" hidden="false" customHeight="true" outlineLevel="0" collapsed="false">
      <c r="B25" s="63" t="s">
        <v>146</v>
      </c>
      <c r="C25" s="64" t="s">
        <v>147</v>
      </c>
      <c r="D25" s="64"/>
    </row>
  </sheetData>
  <sheetProtection sheet="1" objects="1" scenarios="1" formatColumns="0" formatRows="0" algorithmName="SHA-512" hashValue="x2ZoHkC1y5pIDquj6vpuqdl0RowGOKqNALkgaUt7LTQA0g/4VAxWVmpe0Jn18+lh43wNKbCMa15spuABPGCJWg==" saltValue="xNOZxL4zAJ0QmDUCHPw6fg==" spinCount="100000"/>
  <mergeCells count="7">
    <mergeCell ref="B2:D2"/>
    <mergeCell ref="B3:D3"/>
    <mergeCell ref="B4:D4"/>
    <mergeCell ref="B6:D6"/>
    <mergeCell ref="B12:D12"/>
    <mergeCell ref="B20:D20"/>
    <mergeCell ref="C25:D25"/>
  </mergeCells>
  <conditionalFormatting sqref="B20">
    <cfRule type="expression" priority="2" aboveAverage="0" equalAverage="0" bottom="0" percent="0" rank="0" text="" dxfId="0">
      <formula>ABS($D$18)&lt;0.01</formula>
    </cfRule>
    <cfRule type="expression" priority="3" aboveAverage="0" equalAverage="0" bottom="0" percent="0" rank="0" text="" dxfId="1">
      <formula>ABS($D$18)&gt;=0.01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148</v>
      </c>
      <c r="B1" s="0" t="s">
        <v>149</v>
      </c>
      <c r="C1" s="0" t="s">
        <v>150</v>
      </c>
    </row>
    <row r="2" customFormat="false" ht="15" hidden="false" customHeight="false" outlineLevel="0" collapsed="false">
      <c r="A2" s="0" t="s">
        <v>151</v>
      </c>
      <c r="B2" s="0" t="s">
        <v>152</v>
      </c>
      <c r="C2" s="0" t="s">
        <v>153</v>
      </c>
    </row>
    <row r="3" customFormat="false" ht="15" hidden="false" customHeight="false" outlineLevel="0" collapsed="false">
      <c r="A3" s="0" t="s">
        <v>154</v>
      </c>
      <c r="B3" s="0" t="s">
        <v>149</v>
      </c>
      <c r="C3" s="0" t="s">
        <v>155</v>
      </c>
    </row>
    <row r="4" customFormat="false" ht="15" hidden="false" customHeight="false" outlineLevel="0" collapsed="false">
      <c r="A4" s="0" t="s">
        <v>156</v>
      </c>
      <c r="B4" s="0" t="s">
        <v>152</v>
      </c>
      <c r="C4" s="0" t="s">
        <v>155</v>
      </c>
    </row>
  </sheetData>
  <sheetProtection sheet="1" objects="1" scenarios="1" formatColumns="0" formatRows="0" algorithmName="SHA-512" hashValue="sWRzXIDBdPHedvCCsJWNHbL5Uocry2LJ50CwQHCFbAV3PODTtjbl5AvRggoYyMekjcQZvCND9Z440I9KiWQsYg==" saltValue="yMJMGnTqDVP8+rVKiBVmFQ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2026-10-15T08:00:39Z</dcterms:created>
  <dc:creator>Xplorexcel.com</dc:creator>
  <dc:description/>
  <dc:language>en-US</dc:language>
  <cp:lastModifiedBy/>
  <dcterms:modified xsi:type="dcterms:W3CDTF">2026-10-15T08:00:44Z</dcterms:modified>
  <cp:revision>1</cp:revision>
  <dc:subject/>
  <dc:title>Bank Reconciliation Statement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