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I1UuOpip2Qu+7FA2j+eObIqKmon7IedigSh0Cm4cklU2hW7aJVnWs8I/r1XtKMkCLwPTZkvK2NXoWUmSV4j8DA==" workbookSaltValue="ZJx51xDUaOeKa37snpeW+Q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Setup" sheetId="3" state="visible" r:id="rId5"/>
    <sheet name="Holidays" sheetId="4" state="visible" r:id="rId6"/>
    <sheet name="Employees" sheetId="5" state="visible" r:id="rId7"/>
    <sheet name="Leave Register" sheetId="6" state="visible" r:id="rId8"/>
    <sheet name="Balance" sheetId="7" state="visible" r:id="rId9"/>
    <sheet name="Leave Calendar" sheetId="8" state="visible" r:id="rId10"/>
    <sheet name="Leave Card" sheetId="9" state="visible" r:id="rId11"/>
    <sheet name="Lists" sheetId="10" state="hidden" r:id="rId12"/>
  </sheets>
  <definedNames>
    <definedName function="false" hidden="false" localSheetId="8" name="_xlnm.Print_Area" vbProcedure="false">'Leave Card'!$A$5:$I$48</definedName>
    <definedName function="false" hidden="true" localSheetId="5" name="_xlnm._FilterDatabase" vbProcedure="false">'Leave Register'!$A$5:$L$305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<sst xmlns="http://schemas.openxmlformats.org/spreadsheetml/2006/main" count="303" uniqueCount="185">
  <si>
    <t xml:space="preserve">Employee Leave Tracker</t>
  </si>
  <si>
    <t xml:space="preserve">GO TO SHEET</t>
  </si>
  <si>
    <t xml:space="preserve">AT A GLANCE</t>
  </si>
  <si>
    <t xml:space="preserve">Leave year, weekly off, leave types</t>
  </si>
  <si>
    <t xml:space="preserve">Employees</t>
  </si>
  <si>
    <t xml:space="preserve">Paid holidays</t>
  </si>
  <si>
    <t xml:space="preserve">Approved leave days (year)</t>
  </si>
  <si>
    <t xml:space="preserve">Staff &amp; opening balances</t>
  </si>
  <si>
    <t xml:space="preserve">Pending requests</t>
  </si>
  <si>
    <t xml:space="preserve">Record each leave</t>
  </si>
  <si>
    <t xml:space="preserve">On leave on the 'as on' date</t>
  </si>
  <si>
    <t xml:space="preserve">Available, taken, balance</t>
  </si>
  <si>
    <t xml:space="preserve">Unpaid (LWP) days</t>
  </si>
  <si>
    <t xml:space="preserve">Who's on leave this month</t>
  </si>
  <si>
    <t xml:space="preserve">Entries needing attention</t>
  </si>
  <si>
    <t xml:space="preserve">Printable card per employee</t>
  </si>
  <si>
    <t xml:space="preserve">Employees with negative balance</t>
  </si>
  <si>
    <t xml:space="preserve">Features &amp; steps</t>
  </si>
  <si>
    <t xml:space="preserve">Leave days taken by type</t>
  </si>
  <si>
    <t xml:space="preserve">Designed by</t>
  </si>
  <si>
    <t xml:space="preserve">Check out our templates @ xplorexcel.com</t>
  </si>
  <si>
    <t xml:space="preserve">◄ BACK TO DASHBOARD</t>
  </si>
  <si>
    <t xml:space="preserve">Features of Employee Leave Tracker 1.0 in Microsoft Excel :-</t>
  </si>
  <si>
    <t xml:space="preserve">Life-time free – no macros, works in Excel 2010+, Excel for Mac and Google Sheets</t>
  </si>
  <si>
    <t xml:space="preserve">Leave year from January or April; weekly off Sunday, Saturday &amp; Sunday, Friday or none</t>
  </si>
  <si>
    <t xml:space="preserve">Up to 6 leave types (CL, SL, EL, Comp Off, LWP …) with yearly quota, yearly or monthly credit and max carry forward</t>
  </si>
  <si>
    <t xml:space="preserve">Pro-rata leave for employees who join mid-year</t>
  </si>
  <si>
    <t xml:space="preserve">Leave days count only working days – weekly offs and holidays inside the range are skipped automatically</t>
  </si>
  <si>
    <t xml:space="preserve">Half-day leave, Approved / Pending / Rejected status</t>
  </si>
  <si>
    <t xml:space="preserve">Checks on every entry: overlapping leave, exceeding balance, outside leave year, wrong dates</t>
  </si>
  <si>
    <t xml:space="preserve">Balance sheet: available, taken and balance for every employee and leave type, plus pending and unpaid days</t>
  </si>
  <si>
    <t xml:space="preserve">Monthly leave calendar – see who is on leave on which day, colour-coded by leave type</t>
  </si>
  <si>
    <t xml:space="preserve">Printable A4 leave card for any employee with full leave history</t>
  </si>
  <si>
    <t xml:space="preserve">Up to 50 employees and 300 leave entries a year</t>
  </si>
  <si>
    <t xml:space="preserve">How to use it (5 steps)</t>
  </si>
  <si>
    <t xml:space="preserve">Step 1</t>
  </si>
  <si>
    <t xml:space="preserve">Setup – company, leave year, weekly off and your leave types with quotas (match your HR policy).</t>
  </si>
  <si>
    <t xml:space="preserve">Step 2</t>
  </si>
  <si>
    <t xml:space="preserve">Holidays – enter this year's paid holidays.</t>
  </si>
  <si>
    <t xml:space="preserve">Step 3</t>
  </si>
  <si>
    <t xml:space="preserve">Employees – Emp ID, name, department, joining date and leave carried forward from last year.</t>
  </si>
  <si>
    <t xml:space="preserve">Step 4</t>
  </si>
  <si>
    <t xml:space="preserve">Leave Register – one row per leave: Emp ID, type, from, to, half day, reason and status. Fix anything the Check column flags.</t>
  </si>
  <si>
    <t xml:space="preserve">Step 5</t>
  </si>
  <si>
    <t xml:space="preserve">Balance / Leave Calendar / Leave Card – see balances, who is off this month, and print an employee's card. Next year: save a copy, enter closing balances as openings.</t>
  </si>
  <si>
    <t xml:space="preserve">Leave entitlements differ by company and state law. Sample quotas are examples – set your own on the Setup sheet.</t>
  </si>
  <si>
    <t xml:space="preserve">Leave Policy Setup</t>
  </si>
  <si>
    <t xml:space="preserve">Company Name</t>
  </si>
  <si>
    <t xml:space="preserve">Xplore Excel Pvt. Ltd.</t>
  </si>
  <si>
    <t xml:space="preserve">Leave Year Starts In</t>
  </si>
  <si>
    <t xml:space="preserve">January</t>
  </si>
  <si>
    <t xml:space="preserve">January (Jan–Dec) or April (Apr–Mar)</t>
  </si>
  <si>
    <t xml:space="preserve">Leave Year (starting year)</t>
  </si>
  <si>
    <t xml:space="preserve">e.g. 2026 = Jan–Dec 2026, or Apr 2026–Mar 2027</t>
  </si>
  <si>
    <t xml:space="preserve">Weekly Off</t>
  </si>
  <si>
    <t xml:space="preserve">Sunday</t>
  </si>
  <si>
    <t xml:space="preserve">Weekly offs are not counted as leave days</t>
  </si>
  <si>
    <t xml:space="preserve">Pro-rata leave for new joiners?</t>
  </si>
  <si>
    <t xml:space="preserve">Yes</t>
  </si>
  <si>
    <t xml:space="preserve">Joined mid-year → yearly leave credited for remaining months</t>
  </si>
  <si>
    <t xml:space="preserve">Balance as on (date)</t>
  </si>
  <si>
    <t xml:space="preserve">Used for monthly credit. Type =TODAY() to always use today's date</t>
  </si>
  <si>
    <t xml:space="preserve">Calculated (do not edit)</t>
  </si>
  <si>
    <t xml:space="preserve">Leave year from</t>
  </si>
  <si>
    <t xml:space="preserve">Leave year to</t>
  </si>
  <si>
    <t xml:space="preserve">Weekend code</t>
  </si>
  <si>
    <t xml:space="preserve">LEAVE TYPES</t>
  </si>
  <si>
    <t xml:space="preserve">Code</t>
  </si>
  <si>
    <t xml:space="preserve">Leave Type</t>
  </si>
  <si>
    <t xml:space="preserve">Yearly Quota (days)</t>
  </si>
  <si>
    <t xml:space="preserve">Credit</t>
  </si>
  <si>
    <t xml:space="preserve">Max Carry Forward</t>
  </si>
  <si>
    <t xml:space="preserve">Has Balance?</t>
  </si>
  <si>
    <t xml:space="preserve">Note</t>
  </si>
  <si>
    <t xml:space="preserve">CL</t>
  </si>
  <si>
    <t xml:space="preserve">Casual Leave</t>
  </si>
  <si>
    <t xml:space="preserve">Yearly</t>
  </si>
  <si>
    <t xml:space="preserve">Lapses at year-end</t>
  </si>
  <si>
    <t xml:space="preserve">SL</t>
  </si>
  <si>
    <t xml:space="preserve">Sick Leave</t>
  </si>
  <si>
    <t xml:space="preserve">EL</t>
  </si>
  <si>
    <t xml:space="preserve">Earned / Privilege Leave</t>
  </si>
  <si>
    <t xml:space="preserve">Monthly</t>
  </si>
  <si>
    <t xml:space="preserve">Credited 1.25 days a month</t>
  </si>
  <si>
    <t xml:space="preserve">CO</t>
  </si>
  <si>
    <t xml:space="preserve">Compensatory Off</t>
  </si>
  <si>
    <t xml:space="preserve">Enter comp-offs earned as Opening on Employees</t>
  </si>
  <si>
    <t xml:space="preserve">LWP</t>
  </si>
  <si>
    <t xml:space="preserve">Leave Without Pay</t>
  </si>
  <si>
    <t xml:space="preserve">No</t>
  </si>
  <si>
    <t xml:space="preserve">Unpaid – no balance</t>
  </si>
  <si>
    <t xml:space="preserve">OL</t>
  </si>
  <si>
    <t xml:space="preserve">Other Leave</t>
  </si>
  <si>
    <t xml:space="preserve">Rename as you like</t>
  </si>
  <si>
    <t xml:space="preserve">Your company / state Shops &amp; Establishments rules decide the real quotas – change the yellow cells to match.</t>
  </si>
  <si>
    <t xml:space="preserve">Holiday List – not counted as leave</t>
  </si>
  <si>
    <t xml:space="preserve">S.No</t>
  </si>
  <si>
    <t xml:space="preserve">Date</t>
  </si>
  <si>
    <t xml:space="preserve">Holiday</t>
  </si>
  <si>
    <t xml:space="preserve">Republic Day</t>
  </si>
  <si>
    <t xml:space="preserve">Holi</t>
  </si>
  <si>
    <t xml:space="preserve">Independence Day</t>
  </si>
  <si>
    <t xml:space="preserve">Gandhi Jayanti</t>
  </si>
  <si>
    <t xml:space="preserve">Dussehra</t>
  </si>
  <si>
    <t xml:space="preserve">Diwali</t>
  </si>
  <si>
    <t xml:space="preserve">Festival dates change every year – sample dates are illustrative. Use your official holiday list.</t>
  </si>
  <si>
    <t xml:space="preserve">Employees &amp; Opening Balances (carried forward from last leave year)</t>
  </si>
  <si>
    <t xml:space="preserve">Emp ID</t>
  </si>
  <si>
    <t xml:space="preserve">Employee Name</t>
  </si>
  <si>
    <t xml:space="preserve">Department</t>
  </si>
  <si>
    <t xml:space="preserve">Date of Joining</t>
  </si>
  <si>
    <t xml:space="preserve">XE001</t>
  </si>
  <si>
    <t xml:space="preserve">Harpreet Singh</t>
  </si>
  <si>
    <t xml:space="preserve">Accounts</t>
  </si>
  <si>
    <t xml:space="preserve">XE002</t>
  </si>
  <si>
    <t xml:space="preserve">Simran Kaur</t>
  </si>
  <si>
    <t xml:space="preserve">Sales</t>
  </si>
  <si>
    <t xml:space="preserve">XE003</t>
  </si>
  <si>
    <t xml:space="preserve">Amit Verma</t>
  </si>
  <si>
    <t xml:space="preserve">Operations</t>
  </si>
  <si>
    <t xml:space="preserve">XE004</t>
  </si>
  <si>
    <t xml:space="preserve">Neha Gupta</t>
  </si>
  <si>
    <t xml:space="preserve">HR</t>
  </si>
  <si>
    <t xml:space="preserve">XE005</t>
  </si>
  <si>
    <t xml:space="preserve">Gurpreet Kaur</t>
  </si>
  <si>
    <t xml:space="preserve">Admin</t>
  </si>
  <si>
    <t xml:space="preserve">XE006</t>
  </si>
  <si>
    <t xml:space="preserve">Rajesh Kumar</t>
  </si>
  <si>
    <t xml:space="preserve">One row per leave application. For a single day, enter the same date in From and To. Weekly offs and holidays inside the range are not counted.</t>
  </si>
  <si>
    <t xml:space="preserve">From</t>
  </si>
  <si>
    <t xml:space="preserve">To</t>
  </si>
  <si>
    <t xml:space="preserve">Half Day?</t>
  </si>
  <si>
    <t xml:space="preserve">Leave Days</t>
  </si>
  <si>
    <t xml:space="preserve">Reason</t>
  </si>
  <si>
    <t xml:space="preserve">Status</t>
  </si>
  <si>
    <t xml:space="preserve">Approved By</t>
  </si>
  <si>
    <t xml:space="preserve">Check</t>
  </si>
  <si>
    <t xml:space="preserve">Card #</t>
  </si>
  <si>
    <t xml:space="preserve">Family function</t>
  </si>
  <si>
    <t xml:space="preserve">Approved</t>
  </si>
  <si>
    <t xml:space="preserve">Manager</t>
  </si>
  <si>
    <t xml:space="preserve">Vacation</t>
  </si>
  <si>
    <t xml:space="preserve">Fever</t>
  </si>
  <si>
    <t xml:space="preserve">Bank work</t>
  </si>
  <si>
    <t xml:space="preserve">Personal – no balance</t>
  </si>
  <si>
    <t xml:space="preserve">Trip to Kerala</t>
  </si>
  <si>
    <t xml:space="preserve">Moving house</t>
  </si>
  <si>
    <t xml:space="preserve">Wedding</t>
  </si>
  <si>
    <t xml:space="preserve">Pending</t>
  </si>
  <si>
    <t xml:space="preserve">Medical check-up</t>
  </si>
  <si>
    <t xml:space="preserve">Worked on Sunday 27 Sep</t>
  </si>
  <si>
    <t xml:space="preserve">Personal</t>
  </si>
  <si>
    <t xml:space="preserve">Rejected</t>
  </si>
  <si>
    <t xml:space="preserve">Available = opening (capped at max carry forward) + leave credited this year. Taken = approved leave days in the leave year (including future dated).</t>
  </si>
  <si>
    <t xml:space="preserve">Months (yearly credit)</t>
  </si>
  <si>
    <t xml:space="preserve">Months accrued (monthly)</t>
  </si>
  <si>
    <t xml:space="preserve">Available</t>
  </si>
  <si>
    <t xml:space="preserve">Taken</t>
  </si>
  <si>
    <t xml:space="preserve">Balance</t>
  </si>
  <si>
    <t xml:space="preserve">Pending (days)</t>
  </si>
  <si>
    <t xml:space="preserve">Unpaid days</t>
  </si>
  <si>
    <t xml:space="preserve">TOTAL</t>
  </si>
  <si>
    <t xml:space="preserve">Leave Calendar – who is on leave (approved)</t>
  </si>
  <si>
    <t xml:space="preserve">Month ►</t>
  </si>
  <si>
    <t xml:space="preserve">Type any date in the month you want to see. Grey = weekly off, peach = holiday.</t>
  </si>
  <si>
    <t xml:space="preserve">Employee</t>
  </si>
  <si>
    <t xml:space="preserve">Days on leave</t>
  </si>
  <si>
    <t xml:space="preserve">Legend</t>
  </si>
  <si>
    <t xml:space="preserve">Select Emp ID ►</t>
  </si>
  <si>
    <t xml:space="preserve">Pick an employee, then Ctrl+P (A4)</t>
  </si>
  <si>
    <t xml:space="preserve">EMPLOYEE LEAVE CARD</t>
  </si>
  <si>
    <t xml:space="preserve">Name</t>
  </si>
  <si>
    <t xml:space="preserve">LEAVE HISTORY</t>
  </si>
  <si>
    <t xml:space="preserve">Type</t>
  </si>
  <si>
    <t xml:space="preserve">Days</t>
  </si>
  <si>
    <t xml:space="preserve">Reporting Manager</t>
  </si>
  <si>
    <t xml:space="preserve">Format by xplorexcel.com</t>
  </si>
  <si>
    <t xml:space="preserve">0000001</t>
  </si>
  <si>
    <t xml:space="preserve">Saturday &amp; Sunday</t>
  </si>
  <si>
    <t xml:space="preserve">0000011</t>
  </si>
  <si>
    <t xml:space="preserve">April</t>
  </si>
  <si>
    <t xml:space="preserve">Friday</t>
  </si>
  <si>
    <t xml:space="preserve">0000100</t>
  </si>
  <si>
    <t xml:space="preserve">None</t>
  </si>
  <si>
    <t xml:space="preserve">0000000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</si>
</sst>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0.0;\-0.0;\-"/>
    <numFmt numFmtId="167" formatCode="dd\-mmm\-yyyy"/>
    <numFmt numFmtId="168" formatCode="@"/>
    <numFmt numFmtId="169" formatCode="General"/>
    <numFmt numFmtId="170" formatCode="dd\-mmm\-yy"/>
    <numFmt numFmtId="171" formatCode="mmmm\ yyyy"/>
    <numFmt numFmtId="172" formatCode="dd"/>
  </numFmts>
  <fonts count="5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sz val="10"/>
      <color rgb="FF000000"/>
      <name val="Calibri"/>
      <family val="2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i val="true"/>
      <sz val="9"/>
      <color rgb="FFC0000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5"/>
      <color rgb="FFFFFFFF"/>
      <name val="Cambria"/>
      <family val="0"/>
      <charset val="1"/>
    </font>
    <font>
      <b val="true"/>
      <sz val="8"/>
      <color rgb="FF808080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006838"/>
      <name val="Cambria"/>
      <family val="0"/>
      <charset val="1"/>
    </font>
    <font>
      <sz val="10"/>
      <color rgb="FF9C5700"/>
      <name val="Cambria"/>
      <family val="0"/>
      <charset val="1"/>
    </font>
    <font>
      <b val="true"/>
      <sz val="10"/>
      <color rgb="FFC00000"/>
      <name val="Cambria"/>
      <family val="0"/>
      <charset val="1"/>
    </font>
    <font>
      <b val="true"/>
      <sz val="8"/>
      <color rgb="FFFFFFFF"/>
      <name val="Cambria"/>
      <family val="0"/>
      <charset val="1"/>
    </font>
    <font>
      <b val="true"/>
      <sz val="8"/>
      <color rgb="FF002060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8"/>
      <color rgb="FF000000"/>
      <name val="Cambria"/>
      <family val="0"/>
      <charset val="1"/>
    </font>
    <font>
      <b val="true"/>
      <u val="single"/>
      <sz val="9"/>
      <color rgb="FF002060"/>
      <name val="Cambria"/>
      <family val="0"/>
      <charset val="1"/>
    </font>
    <font>
      <sz val="8"/>
      <color rgb="FFFFFFFF"/>
      <name val="Cambria"/>
      <family val="0"/>
      <charset val="1"/>
    </font>
    <font>
      <b val="true"/>
      <sz val="15"/>
      <color rgb="FF002060"/>
      <name val="Cambria"/>
      <family val="0"/>
      <charset val="1"/>
    </font>
    <font>
      <b val="true"/>
      <sz val="9"/>
      <color rgb="FF006838"/>
      <name val="Cambria"/>
      <family val="0"/>
      <charset val="1"/>
    </font>
    <font>
      <b val="true"/>
      <sz val="9"/>
      <color rgb="FFC00000"/>
      <name val="Cambria"/>
      <family val="0"/>
      <charset val="1"/>
    </font>
    <font>
      <i val="true"/>
      <sz val="7"/>
      <color rgb="FFA6A6A6"/>
      <name val="Cambria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006838"/>
        <bgColor rgb="FF1F6E43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EDEDED"/>
        <bgColor rgb="FFF2F2F2"/>
      </patternFill>
    </fill>
    <fill>
      <patternFill patternType="solid">
        <fgColor rgb="FF002060"/>
        <bgColor rgb="FF000080"/>
      </patternFill>
    </fill>
    <fill>
      <patternFill patternType="solid">
        <fgColor rgb="FFBF8F00"/>
        <bgColor rgb="FF9C5700"/>
      </patternFill>
    </fill>
    <fill>
      <patternFill patternType="solid">
        <fgColor rgb="FF1F6E43"/>
        <bgColor rgb="FF006838"/>
      </patternFill>
    </fill>
    <fill>
      <patternFill patternType="solid">
        <fgColor rgb="FFC00000"/>
        <bgColor rgb="FF800000"/>
      </patternFill>
    </fill>
    <fill>
      <patternFill patternType="solid">
        <fgColor rgb="FFE2EFDA"/>
        <bgColor rgb="FFEDEDED"/>
      </patternFill>
    </fill>
    <fill>
      <patternFill patternType="solid">
        <fgColor rgb="FFFCE4D6"/>
        <bgColor rgb="FFFFF2CC"/>
      </patternFill>
    </fill>
    <fill>
      <patternFill patternType="solid">
        <fgColor rgb="FFC6EFCE"/>
        <bgColor rgb="FFE2EFDA"/>
      </patternFill>
    </fill>
    <fill>
      <patternFill patternType="solid">
        <fgColor rgb="FFE4DFEC"/>
        <bgColor rgb="FFD9D9D9"/>
      </patternFill>
    </fill>
    <fill>
      <patternFill patternType="solid">
        <fgColor rgb="FFFFC7CE"/>
        <bgColor rgb="FFFCE4D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3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7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9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3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3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applyProtection="true" numFmtId="164" fontId="7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7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7" fontId="7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18" fillId="6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18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7" fontId="18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2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2" fillId="6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7" fontId="22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6" fontId="22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3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0" fontId="22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1" fontId="5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10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5" fillId="6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>
          <bgColor rgb="FFFFC7CE"/>
        </patternFill>
      </fill>
    </dxf>
    <dxf>
      <fill>
        <patternFill patternType="solid">
          <fgColor rgb="FF00683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BF8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2060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>
          <bgColor rgb="FFFFEB9C"/>
        </patternFill>
      </fill>
    </dxf>
    <dxf>
      <font>
        <strike val="1"/>
        <color rgb="FFA6A6A6"/>
      </font>
    </dxf>
    <dxf>
      <font>
        <b val="1"/>
        <color rgb="FFFFFFFF"/>
      </font>
      <fill>
        <patternFill>
          <bgColor rgb="FFC00000"/>
        </patternFill>
      </fill>
    </dxf>
    <dxf>
      <fill>
        <patternFill>
          <bgColor rgb="FFD9D9D9"/>
        </patternFill>
      </fill>
    </dxf>
    <dxf>
      <fill>
        <patternFill>
          <bgColor rgb="FFFCE4D6"/>
        </patternFill>
      </fill>
    </dxf>
    <dxf>
      <fill>
        <patternFill>
          <bgColor rgb="FFDDEBF7"/>
        </patternFill>
      </fill>
    </dxf>
    <dxf>
      <fill>
        <patternFill>
          <bgColor rgb="FFC6EFCE"/>
        </patternFill>
      </fill>
    </dxf>
    <dxf>
      <fill>
        <patternFill>
          <bgColor rgb="FFE4DFEC"/>
        </patternFill>
      </fill>
    </dxf>
    <dxf>
      <fill>
        <patternFill>
          <bgColor rgb="FFFFF2C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7F7F7F"/>
      <rgbColor rgb="FF800080"/>
      <rgbColor rgb="FF1F6E43"/>
      <rgbColor rgb="FFBFBFBF"/>
      <rgbColor rgb="FF808080"/>
      <rgbColor rgb="FFA6A6A6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6838"/>
      <rgbColor rgb="FF0000FF"/>
      <rgbColor rgb="FF00CCFF"/>
      <rgbColor rgb="FFE2EFDA"/>
      <rgbColor rgb="FFC6EFCE"/>
      <rgbColor rgb="FFFFEB9C"/>
      <rgbColor rgb="FFE4DFEC"/>
      <rgbColor rgb="FFFCE4D6"/>
      <rgbColor rgb="FFEDEDED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878787"/>
      <rgbColor rgb="FF002060"/>
      <rgbColor rgb="FF20AD96"/>
      <rgbColor rgb="FF003300"/>
      <rgbColor rgb="FF333300"/>
      <rgbColor rgb="FF9C57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00683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Dashboard!$B$19:$B$24</c:f>
              <c:strCache>
                <c:ptCount val="6"/>
                <c:pt idx="0">
                  <c:v>Casual Leave</c:v>
                </c:pt>
                <c:pt idx="1">
                  <c:v>Sick Leave</c:v>
                </c:pt>
                <c:pt idx="2">
                  <c:v>Earned / Privilege Leave</c:v>
                </c:pt>
                <c:pt idx="3">
                  <c:v>Compensatory Off</c:v>
                </c:pt>
                <c:pt idx="4">
                  <c:v>Leave Without Pay</c:v>
                </c:pt>
                <c:pt idx="5">
                  <c:v>Other Leave</c:v>
                </c:pt>
              </c:strCache>
            </c:strRef>
          </c:cat>
          <c:val>
            <c:numRef>
              <c:f>Dashboard!$C$19:$C$24</c:f>
              <c:numCache>
                <c:formatCode>0.0;\-0.0;\-</c:formatCode>
                <c:ptCount val="6"/>
                <c:pt idx="0">
                  <c:v>4.5</c:v>
                </c:pt>
                <c:pt idx="1">
                  <c:v>5</c:v>
                </c:pt>
                <c:pt idx="2">
                  <c:v>16</c:v>
                </c:pt>
                <c:pt idx="3">
                  <c:v>1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45711184"/>
        <c:axId val="31947302"/>
      </c:barChart>
      <c:catAx>
        <c:axId val="4571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947302"/>
        <c:crosses val="autoZero"/>
        <c:auto val="1"/>
        <c:lblAlgn val="ctr"/>
        <c:lblOffset val="100"/>
        <c:noMultiLvlLbl val="0"/>
      </c:catAx>
      <c:valAx>
        <c:axId val="31947302"/>
        <c:scaling>
          <c:orientation val="minMax"/>
        </c:scaling>
        <c:delete val="0"/>
        <c:axPos val="l"/>
        <c:numFmt formatCode="0.0;\-0.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71118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17</xdr:row>
      <xdr:rowOff>0</xdr:rowOff>
    </xdr:from>
    <xdr:to>
      <xdr:col>7</xdr:col>
      <xdr:colOff>372240</xdr:colOff>
      <xdr:row>29</xdr:row>
      <xdr:rowOff>53640</xdr:rowOff>
    </xdr:to>
    <xdr:graphicFrame>
      <xdr:nvGraphicFramePr>
        <xdr:cNvPr id="0" name="Chart 1"/>
        <xdr:cNvGraphicFramePr/>
      </xdr:nvGraphicFramePr>
      <xdr:xfrm>
        <a:off x="3947040" y="4524480"/>
        <a:ext cx="431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1142640</xdr:colOff>
      <xdr:row>33</xdr:row>
      <xdr:rowOff>190080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6202800" y="738180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19</xdr:row>
      <xdr:rowOff>273600</xdr:rowOff>
    </xdr:from>
    <xdr:to>
      <xdr:col>1</xdr:col>
      <xdr:colOff>1904760</xdr:colOff>
      <xdr:row>22</xdr:row>
      <xdr:rowOff>170640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423000" y="438156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42120</xdr:rowOff>
    </xdr:from>
    <xdr:to>
      <xdr:col>2</xdr:col>
      <xdr:colOff>1238040</xdr:colOff>
      <xdr:row>26</xdr:row>
      <xdr:rowOff>70200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2537640" y="540072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Employee%20Leave%20Tracker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Employee%20Leave%20Tracker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Employee%20Leave%20Tracker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Employee%20Leave%20Tracker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Employee%20Leave%20Tracker%201.0%20by%20Xplorexcel.com.xlsx" TargetMode="External"/><Relationship Id="rId2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Employee%20Leave%20Tracker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Employee%20Leave%20Tracker%201.0%20by%20Xplorexcel.com.xlsx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Employee%20Leave%20Tracker%201.0%20by%20Xplorexcel.com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0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Setup!C4&amp;"  •  Leave year "&amp;TEXT(Setup!$C$12,"mmm yyyy")&amp;" – "&amp;TEXT(Setup!$C$13,"mmm yyyy")</f>
        <v>Xplore Excel Pvt. Ltd.  •  Leave year Jan 2026 – Dec 2026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HYPERLINK("#'Setup'!A1","1. Setup  ►")</f>
        <v>1. Setup  ►</v>
      </c>
      <c r="C9" s="5" t="s">
        <v>3</v>
      </c>
      <c r="E9" s="6" t="s">
        <v>4</v>
      </c>
      <c r="F9" s="7" t="n">
        <f aca="false">COUNTIF(Employees!B5:B54,"?*")</f>
        <v>6</v>
      </c>
    </row>
    <row r="10" customFormat="false" ht="24" hidden="false" customHeight="true" outlineLevel="0" collapsed="false">
      <c r="B10" s="4" t="str">
        <f aca="false">HYPERLINK("#'Holidays'!A1","2. Holidays  ►")</f>
        <v>2. Holidays  ►</v>
      </c>
      <c r="C10" s="5" t="s">
        <v>5</v>
      </c>
      <c r="E10" s="6" t="s">
        <v>6</v>
      </c>
      <c r="F10" s="8" t="n">
        <f aca="false">SUM(Balance!G56,Balance!J56,Balance!M56,Balance!P56,Balance!S56,Balance!V56)</f>
        <v>31.5</v>
      </c>
    </row>
    <row r="11" customFormat="false" ht="24" hidden="false" customHeight="true" outlineLevel="0" collapsed="false">
      <c r="B11" s="4" t="str">
        <f aca="false">HYPERLINK("#'Employees'!A1","3. Employees  ►")</f>
        <v>3. Employees  ►</v>
      </c>
      <c r="C11" s="5" t="s">
        <v>7</v>
      </c>
      <c r="E11" s="6" t="s">
        <v>8</v>
      </c>
      <c r="F11" s="7" t="n">
        <f aca="false">COUNTIF('Leave Register'!$J$6:$J$305,"Pending")</f>
        <v>1</v>
      </c>
    </row>
    <row r="12" customFormat="false" ht="24" hidden="false" customHeight="true" outlineLevel="0" collapsed="false">
      <c r="B12" s="4" t="str">
        <f aca="false">HYPERLINK("#'Leave Register'!A1","4. Leave Register  ►")</f>
        <v>4. Leave Register  ►</v>
      </c>
      <c r="C12" s="5" t="s">
        <v>9</v>
      </c>
      <c r="E12" s="6" t="s">
        <v>10</v>
      </c>
      <c r="F12" s="7" t="n">
        <f aca="false">SUMPRODUCT(('Leave Register'!$E$6:$E$305&lt;=Setup!$C$9)*('Leave Register'!$F$6:$F$305&gt;=Setup!$C$9)*('Leave Register'!$J$6:$J$305="Approved")*('Leave Register'!$B$6:$B$305&lt;&gt;""))</f>
        <v>0</v>
      </c>
    </row>
    <row r="13" customFormat="false" ht="24" hidden="false" customHeight="true" outlineLevel="0" collapsed="false">
      <c r="B13" s="4" t="str">
        <f aca="false">HYPERLINK("#'Balance'!A1","5. Balance  ►")</f>
        <v>5. Balance  ►</v>
      </c>
      <c r="C13" s="5" t="s">
        <v>11</v>
      </c>
      <c r="E13" s="6" t="s">
        <v>12</v>
      </c>
      <c r="F13" s="8" t="n">
        <f aca="false">Balance!Y56</f>
        <v>5</v>
      </c>
    </row>
    <row r="14" customFormat="false" ht="24" hidden="false" customHeight="true" outlineLevel="0" collapsed="false">
      <c r="B14" s="4" t="str">
        <f aca="false">HYPERLINK("#'Leave Calendar'!A1","6. Leave Calendar  ►")</f>
        <v>6. Leave Calendar  ►</v>
      </c>
      <c r="C14" s="5" t="s">
        <v>13</v>
      </c>
      <c r="E14" s="6" t="s">
        <v>14</v>
      </c>
      <c r="F14" s="9" t="n">
        <f aca="false">SUMPRODUCT(('Leave Register'!$L$6:$L$305&lt;&gt;"")*('Leave Register'!$L$6:$L$305&lt;&gt;"OK"))</f>
        <v>1</v>
      </c>
    </row>
    <row r="15" customFormat="false" ht="24" hidden="false" customHeight="true" outlineLevel="0" collapsed="false">
      <c r="B15" s="4" t="str">
        <f aca="false">HYPERLINK("#'Leave Card'!A1","7. Leave Card  ►")</f>
        <v>7. Leave Card  ►</v>
      </c>
      <c r="C15" s="5" t="s">
        <v>15</v>
      </c>
      <c r="E15" s="6" t="s">
        <v>16</v>
      </c>
      <c r="F15" s="9" t="n">
        <f aca="false">SUMPRODUCT(--((ISNUMBER(Balance!H6:H55)*(Balance!H6:H55&lt;0)+ISNUMBER(Balance!K6:K55)*(Balance!K6:K55&lt;0)+ISNUMBER(Balance!N6:N55)*(Balance!N6:N55&lt;0)+ISNUMBER(Balance!Q6:Q55)*(Balance!Q6:Q55&lt;0))&gt;0))</f>
        <v>1</v>
      </c>
    </row>
    <row r="16" customFormat="false" ht="24" hidden="false" customHeight="true" outlineLevel="0" collapsed="false">
      <c r="B16" s="4" t="str">
        <f aca="false">HYPERLINK("#'About Workbook'!A1","How to use  ►")</f>
        <v>How to use  ►</v>
      </c>
      <c r="C16" s="5" t="s">
        <v>17</v>
      </c>
    </row>
    <row r="18" customFormat="false" ht="15" hidden="false" customHeight="false" outlineLevel="0" collapsed="false">
      <c r="B18" s="3" t="s">
        <v>18</v>
      </c>
    </row>
    <row r="19" customFormat="false" ht="15" hidden="false" customHeight="false" outlineLevel="0" collapsed="false">
      <c r="B19" s="10" t="str">
        <f aca="false">Setup!B18</f>
        <v>Casual Leave</v>
      </c>
      <c r="C19" s="11" t="n">
        <f aca="false">Balance!G56</f>
        <v>4.5</v>
      </c>
    </row>
    <row r="20" customFormat="false" ht="15" hidden="false" customHeight="false" outlineLevel="0" collapsed="false">
      <c r="B20" s="10" t="str">
        <f aca="false">Setup!B19</f>
        <v>Sick Leave</v>
      </c>
      <c r="C20" s="11" t="n">
        <f aca="false">Balance!J56</f>
        <v>5</v>
      </c>
    </row>
    <row r="21" customFormat="false" ht="15" hidden="false" customHeight="false" outlineLevel="0" collapsed="false">
      <c r="B21" s="10" t="str">
        <f aca="false">Setup!B20</f>
        <v>Earned / Privilege Leave</v>
      </c>
      <c r="C21" s="11" t="n">
        <f aca="false">Balance!M56</f>
        <v>16</v>
      </c>
    </row>
    <row r="22" customFormat="false" ht="15" hidden="false" customHeight="false" outlineLevel="0" collapsed="false">
      <c r="B22" s="10" t="str">
        <f aca="false">Setup!B21</f>
        <v>Compensatory Off</v>
      </c>
      <c r="C22" s="11" t="n">
        <f aca="false">Balance!P56</f>
        <v>1</v>
      </c>
    </row>
    <row r="23" customFormat="false" ht="15" hidden="false" customHeight="false" outlineLevel="0" collapsed="false">
      <c r="B23" s="10" t="str">
        <f aca="false">Setup!B22</f>
        <v>Leave Without Pay</v>
      </c>
      <c r="C23" s="11" t="n">
        <f aca="false">Balance!S56</f>
        <v>5</v>
      </c>
    </row>
    <row r="24" customFormat="false" ht="15" hidden="false" customHeight="false" outlineLevel="0" collapsed="false">
      <c r="B24" s="10" t="str">
        <f aca="false">Setup!B23</f>
        <v>Other Leave</v>
      </c>
      <c r="C24" s="11" t="n">
        <f aca="false">Balance!V56</f>
        <v>0</v>
      </c>
    </row>
    <row r="33" customFormat="false" ht="15" hidden="false" customHeight="false" outlineLevel="0" collapsed="false">
      <c r="E33" s="12" t="s">
        <v>19</v>
      </c>
    </row>
    <row r="36" customFormat="false" ht="15" hidden="false" customHeight="false" outlineLevel="0" collapsed="false">
      <c r="F36" s="13" t="s">
        <v>20</v>
      </c>
    </row>
  </sheetData>
  <sheetProtection sheet="1" objects="1" scenarios="1" formatColumns="0" formatRows="0" algorithmName="SHA-512" hashValue="fCyB/Qf/oumw2aAUHqyjElBtPfszK6va0QyRqx7ozO/uFcX4wwH//E+iBlDqyT9AGCS9YCXy3Zpw7iLHwJ0U8A==" saltValue="fU6qa7VEOmqotYZy1PqpiA==" spinCount="100000"/>
  <mergeCells count="2">
    <mergeCell ref="B5:F5"/>
    <mergeCell ref="B6:F6"/>
  </mergeCells>
  <conditionalFormatting sqref="F14:F15">
    <cfRule type="expression" priority="2" aboveAverage="0" equalAverage="0" bottom="0" percent="0" rank="0" text="" dxfId="0">
      <formula>F14&gt;0</formula>
    </cfRule>
  </conditionalFormatting>
  <hyperlinks>
    <hyperlink ref="F36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4" t="s">
        <v>21</v>
      </c>
    </row>
    <row r="2" customFormat="false" ht="22.05" hidden="false" customHeight="false" outlineLevel="0" collapsed="false">
      <c r="A2" s="15" t="s">
        <v>22</v>
      </c>
    </row>
    <row r="3" customFormat="false" ht="15" hidden="false" customHeight="false" outlineLevel="0" collapsed="false">
      <c r="A3" s="16" t="n">
        <v>1</v>
      </c>
      <c r="B3" s="17" t="s">
        <v>23</v>
      </c>
    </row>
    <row r="4" customFormat="false" ht="15" hidden="false" customHeight="false" outlineLevel="0" collapsed="false">
      <c r="A4" s="16" t="n">
        <v>2</v>
      </c>
      <c r="B4" s="17" t="s">
        <v>24</v>
      </c>
    </row>
    <row r="5" customFormat="false" ht="28.35" hidden="false" customHeight="false" outlineLevel="0" collapsed="false">
      <c r="A5" s="16" t="n">
        <v>3</v>
      </c>
      <c r="B5" s="17" t="s">
        <v>25</v>
      </c>
    </row>
    <row r="6" customFormat="false" ht="15" hidden="false" customHeight="false" outlineLevel="0" collapsed="false">
      <c r="A6" s="16" t="n">
        <v>4</v>
      </c>
      <c r="B6" s="17" t="s">
        <v>26</v>
      </c>
    </row>
    <row r="7" customFormat="false" ht="15" hidden="false" customHeight="false" outlineLevel="0" collapsed="false">
      <c r="A7" s="16" t="n">
        <v>5</v>
      </c>
      <c r="B7" s="17" t="s">
        <v>27</v>
      </c>
    </row>
    <row r="8" customFormat="false" ht="15" hidden="false" customHeight="false" outlineLevel="0" collapsed="false">
      <c r="A8" s="16" t="n">
        <v>6</v>
      </c>
      <c r="B8" s="17" t="s">
        <v>28</v>
      </c>
    </row>
    <row r="9" customFormat="false" ht="15" hidden="false" customHeight="false" outlineLevel="0" collapsed="false">
      <c r="A9" s="16" t="n">
        <v>7</v>
      </c>
      <c r="B9" s="17" t="s">
        <v>29</v>
      </c>
    </row>
    <row r="10" customFormat="false" ht="15" hidden="false" customHeight="false" outlineLevel="0" collapsed="false">
      <c r="A10" s="16" t="n">
        <v>8</v>
      </c>
      <c r="B10" s="17" t="s">
        <v>30</v>
      </c>
    </row>
    <row r="11" customFormat="false" ht="15" hidden="false" customHeight="false" outlineLevel="0" collapsed="false">
      <c r="A11" s="16" t="n">
        <v>9</v>
      </c>
      <c r="B11" s="17" t="s">
        <v>31</v>
      </c>
    </row>
    <row r="12" customFormat="false" ht="15" hidden="false" customHeight="false" outlineLevel="0" collapsed="false">
      <c r="A12" s="16" t="n">
        <v>10</v>
      </c>
      <c r="B12" s="17" t="s">
        <v>32</v>
      </c>
    </row>
    <row r="13" customFormat="false" ht="15" hidden="false" customHeight="false" outlineLevel="0" collapsed="false">
      <c r="A13" s="16" t="n">
        <v>11</v>
      </c>
      <c r="B13" s="17" t="s">
        <v>33</v>
      </c>
    </row>
    <row r="15" customFormat="false" ht="19.7" hidden="false" customHeight="false" outlineLevel="0" collapsed="false">
      <c r="A15" s="18" t="s">
        <v>34</v>
      </c>
      <c r="B15" s="18"/>
    </row>
    <row r="16" customFormat="false" ht="15" hidden="false" customHeight="false" outlineLevel="0" collapsed="false">
      <c r="A16" s="19" t="s">
        <v>35</v>
      </c>
      <c r="B16" s="20" t="s">
        <v>36</v>
      </c>
    </row>
    <row r="17" customFormat="false" ht="15" hidden="false" customHeight="false" outlineLevel="0" collapsed="false">
      <c r="A17" s="19" t="s">
        <v>37</v>
      </c>
      <c r="B17" s="20" t="s">
        <v>38</v>
      </c>
    </row>
    <row r="18" customFormat="false" ht="15" hidden="false" customHeight="false" outlineLevel="0" collapsed="false">
      <c r="A18" s="19" t="s">
        <v>39</v>
      </c>
      <c r="B18" s="20" t="s">
        <v>40</v>
      </c>
    </row>
    <row r="19" customFormat="false" ht="28.35" hidden="false" customHeight="false" outlineLevel="0" collapsed="false">
      <c r="A19" s="19" t="s">
        <v>41</v>
      </c>
      <c r="B19" s="20" t="s">
        <v>42</v>
      </c>
    </row>
    <row r="20" customFormat="false" ht="28.35" hidden="false" customHeight="false" outlineLevel="0" collapsed="false">
      <c r="A20" s="19" t="s">
        <v>43</v>
      </c>
      <c r="B20" s="20" t="s">
        <v>44</v>
      </c>
    </row>
    <row r="22" customFormat="false" ht="15" hidden="false" customHeight="false" outlineLevel="0" collapsed="false">
      <c r="B22" s="21" t="s">
        <v>45</v>
      </c>
    </row>
  </sheetData>
  <sheetProtection sheet="1" objects="1" scenarios="1" formatColumns="0" formatRows="0" algorithmName="SHA-512" hashValue="82IDFQIKd0qbyfPQ2a9jkrE+Btzqvu/7H/ZtE2p7owqHW7Jx42+YAouM8c/XDcYNEMU71agAfGA+KmiE8A5BSg==" saltValue="fGpa9y2vGyWqQVmNBKjipA==" spinCount="100000"/>
  <mergeCells count="1">
    <mergeCell ref="A15:B15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34"/>
  </cols>
  <sheetData>
    <row r="1" customFormat="false" ht="15" hidden="false" customHeight="false" outlineLevel="0" collapsed="false">
      <c r="A1" s="14" t="s">
        <v>21</v>
      </c>
    </row>
    <row r="2" customFormat="false" ht="31.5" hidden="false" customHeight="true" outlineLevel="0" collapsed="false">
      <c r="A2" s="22" t="s">
        <v>46</v>
      </c>
      <c r="B2" s="22"/>
      <c r="C2" s="22"/>
      <c r="D2" s="22"/>
      <c r="E2" s="22"/>
      <c r="F2" s="22"/>
      <c r="G2" s="22"/>
    </row>
    <row r="4" customFormat="false" ht="28.35" hidden="false" customHeight="true" outlineLevel="0" collapsed="false">
      <c r="A4" s="23" t="s">
        <v>47</v>
      </c>
      <c r="B4" s="23"/>
      <c r="C4" s="112" t="s">
        <v>48</v>
      </c>
      <c r="D4" s="25"/>
      <c r="E4" s="25"/>
      <c r="F4" s="25"/>
      <c r="G4" s="25"/>
    </row>
    <row r="5" customFormat="false" ht="15" hidden="false" customHeight="true" outlineLevel="0" collapsed="false">
      <c r="A5" s="23" t="s">
        <v>49</v>
      </c>
      <c r="B5" s="23"/>
      <c r="C5" s="112" t="s">
        <v>50</v>
      </c>
      <c r="D5" s="25" t="s">
        <v>51</v>
      </c>
      <c r="E5" s="25"/>
      <c r="F5" s="25"/>
      <c r="G5" s="25"/>
    </row>
    <row r="6" customFormat="false" ht="15" hidden="false" customHeight="true" outlineLevel="0" collapsed="false">
      <c r="A6" s="23" t="s">
        <v>52</v>
      </c>
      <c r="B6" s="23"/>
      <c r="C6" s="113" t="n">
        <v>2026</v>
      </c>
      <c r="D6" s="25" t="s">
        <v>53</v>
      </c>
      <c r="E6" s="25"/>
      <c r="F6" s="25"/>
      <c r="G6" s="25"/>
    </row>
    <row r="7" customFormat="false" ht="15" hidden="false" customHeight="true" outlineLevel="0" collapsed="false">
      <c r="A7" s="23" t="s">
        <v>54</v>
      </c>
      <c r="B7" s="23"/>
      <c r="C7" s="112" t="s">
        <v>55</v>
      </c>
      <c r="D7" s="25" t="s">
        <v>56</v>
      </c>
      <c r="E7" s="25"/>
      <c r="F7" s="25"/>
      <c r="G7" s="25"/>
    </row>
    <row r="8" customFormat="false" ht="15" hidden="false" customHeight="true" outlineLevel="0" collapsed="false">
      <c r="A8" s="23" t="s">
        <v>57</v>
      </c>
      <c r="B8" s="23"/>
      <c r="C8" s="112" t="s">
        <v>58</v>
      </c>
      <c r="D8" s="25" t="s">
        <v>59</v>
      </c>
      <c r="E8" s="25"/>
      <c r="F8" s="25"/>
      <c r="G8" s="25"/>
    </row>
    <row r="9" customFormat="false" ht="15" hidden="false" customHeight="true" outlineLevel="0" collapsed="false">
      <c r="A9" s="23" t="s">
        <v>60</v>
      </c>
      <c r="B9" s="23"/>
      <c r="C9" s="114" t="n">
        <v>46295</v>
      </c>
      <c r="D9" s="25" t="s">
        <v>61</v>
      </c>
      <c r="E9" s="25"/>
      <c r="F9" s="25"/>
      <c r="G9" s="25"/>
    </row>
    <row r="11" customFormat="false" ht="15" hidden="false" customHeight="false" outlineLevel="0" collapsed="false">
      <c r="A11" s="28" t="s">
        <v>62</v>
      </c>
    </row>
    <row r="12" customFormat="false" ht="15" hidden="false" customHeight="true" outlineLevel="0" collapsed="false">
      <c r="A12" s="29" t="s">
        <v>63</v>
      </c>
      <c r="B12" s="29"/>
      <c r="C12" s="30" t="n">
        <f aca="false">DATE(C6,IF(C5="April",4,1),1)</f>
        <v>46023</v>
      </c>
    </row>
    <row r="13" customFormat="false" ht="15" hidden="false" customHeight="true" outlineLevel="0" collapsed="false">
      <c r="A13" s="29" t="s">
        <v>64</v>
      </c>
      <c r="B13" s="29"/>
      <c r="C13" s="30" t="n">
        <f aca="false">EDATE(C12,12)-1</f>
        <v>46387</v>
      </c>
    </row>
    <row r="14" customFormat="false" ht="15" hidden="false" customHeight="true" outlineLevel="0" collapsed="false">
      <c r="A14" s="29" t="s">
        <v>65</v>
      </c>
      <c r="B14" s="29"/>
      <c r="C14" s="31" t="str">
        <f aca="false">VLOOKUP(C7,Lists!$A$2:$B$5,2,FALSE())</f>
        <v>0000001</v>
      </c>
    </row>
    <row r="16" customFormat="false" ht="15" hidden="false" customHeight="true" outlineLevel="0" collapsed="false">
      <c r="A16" s="32" t="s">
        <v>66</v>
      </c>
      <c r="B16" s="32"/>
      <c r="C16" s="32"/>
      <c r="D16" s="32"/>
      <c r="E16" s="32"/>
      <c r="F16" s="32"/>
      <c r="G16" s="32"/>
    </row>
    <row r="17" customFormat="false" ht="33.75" hidden="false" customHeight="true" outlineLevel="0" collapsed="false">
      <c r="A17" s="33" t="s">
        <v>67</v>
      </c>
      <c r="B17" s="33" t="s">
        <v>68</v>
      </c>
      <c r="C17" s="33" t="s">
        <v>69</v>
      </c>
      <c r="D17" s="33" t="s">
        <v>70</v>
      </c>
      <c r="E17" s="33" t="s">
        <v>71</v>
      </c>
      <c r="F17" s="33" t="s">
        <v>72</v>
      </c>
      <c r="G17" s="33" t="s">
        <v>73</v>
      </c>
    </row>
    <row r="18" customFormat="false" ht="15" hidden="false" customHeight="false" outlineLevel="0" collapsed="false">
      <c r="A18" s="112" t="s">
        <v>74</v>
      </c>
      <c r="B18" s="115" t="s">
        <v>75</v>
      </c>
      <c r="C18" s="116" t="n">
        <v>12</v>
      </c>
      <c r="D18" s="116" t="s">
        <v>76</v>
      </c>
      <c r="E18" s="116" t="n">
        <v>0</v>
      </c>
      <c r="F18" s="116" t="s">
        <v>58</v>
      </c>
      <c r="G18" s="36" t="s">
        <v>77</v>
      </c>
    </row>
    <row r="19" customFormat="false" ht="15" hidden="false" customHeight="false" outlineLevel="0" collapsed="false">
      <c r="A19" s="112" t="s">
        <v>78</v>
      </c>
      <c r="B19" s="115" t="s">
        <v>79</v>
      </c>
      <c r="C19" s="116" t="n">
        <v>12</v>
      </c>
      <c r="D19" s="116" t="s">
        <v>76</v>
      </c>
      <c r="E19" s="116" t="n">
        <v>30</v>
      </c>
      <c r="F19" s="116" t="s">
        <v>58</v>
      </c>
      <c r="G19" s="36"/>
    </row>
    <row r="20" customFormat="false" ht="15" hidden="false" customHeight="false" outlineLevel="0" collapsed="false">
      <c r="A20" s="112" t="s">
        <v>80</v>
      </c>
      <c r="B20" s="115" t="s">
        <v>81</v>
      </c>
      <c r="C20" s="116" t="n">
        <v>15</v>
      </c>
      <c r="D20" s="116" t="s">
        <v>82</v>
      </c>
      <c r="E20" s="116" t="n">
        <v>45</v>
      </c>
      <c r="F20" s="116" t="s">
        <v>58</v>
      </c>
      <c r="G20" s="36" t="s">
        <v>83</v>
      </c>
    </row>
    <row r="21" customFormat="false" ht="28.35" hidden="false" customHeight="false" outlineLevel="0" collapsed="false">
      <c r="A21" s="112" t="s">
        <v>84</v>
      </c>
      <c r="B21" s="115" t="s">
        <v>85</v>
      </c>
      <c r="C21" s="116" t="n">
        <v>0</v>
      </c>
      <c r="D21" s="116" t="s">
        <v>76</v>
      </c>
      <c r="E21" s="116" t="n">
        <v>10</v>
      </c>
      <c r="F21" s="116" t="s">
        <v>58</v>
      </c>
      <c r="G21" s="36" t="s">
        <v>86</v>
      </c>
    </row>
    <row r="22" customFormat="false" ht="15" hidden="false" customHeight="false" outlineLevel="0" collapsed="false">
      <c r="A22" s="112" t="s">
        <v>87</v>
      </c>
      <c r="B22" s="115" t="s">
        <v>88</v>
      </c>
      <c r="C22" s="116" t="n">
        <v>0</v>
      </c>
      <c r="D22" s="116" t="s">
        <v>76</v>
      </c>
      <c r="E22" s="116" t="n">
        <v>0</v>
      </c>
      <c r="F22" s="116" t="s">
        <v>89</v>
      </c>
      <c r="G22" s="36" t="s">
        <v>90</v>
      </c>
    </row>
    <row r="23" customFormat="false" ht="15" hidden="false" customHeight="false" outlineLevel="0" collapsed="false">
      <c r="A23" s="112" t="s">
        <v>91</v>
      </c>
      <c r="B23" s="115" t="s">
        <v>92</v>
      </c>
      <c r="C23" s="116" t="n">
        <v>0</v>
      </c>
      <c r="D23" s="116" t="s">
        <v>76</v>
      </c>
      <c r="E23" s="116" t="n">
        <v>0</v>
      </c>
      <c r="F23" s="116" t="s">
        <v>89</v>
      </c>
      <c r="G23" s="36" t="s">
        <v>93</v>
      </c>
    </row>
    <row r="25" customFormat="false" ht="15" hidden="false" customHeight="false" outlineLevel="0" collapsed="false">
      <c r="A25" s="37" t="s">
        <v>94</v>
      </c>
      <c r="B25" s="37"/>
      <c r="C25" s="37"/>
      <c r="D25" s="37"/>
      <c r="E25" s="37"/>
      <c r="F25" s="37"/>
      <c r="G25" s="37"/>
    </row>
    <row r="27" customFormat="false" ht="15" hidden="false" customHeight="false" outlineLevel="0" collapsed="false">
      <c r="B27" s="38" t="s">
        <v>19</v>
      </c>
    </row>
  </sheetData>
  <sheetProtection sheet="1" objects="1" scenarios="1" formatColumns="0" formatRows="0" algorithmName="SHA-512" hashValue="pv9VwodRLxAgtBcwBftBpAVwt8+OJh2SWBxY4VN7XiZzxGJvUmsmTi8N8CuSqDyGIGk9cFOja3FW1C8d8YYdqg==" saltValue="vMceiEFfw326nuVkKVk4UA==" spinCount="100000"/>
  <mergeCells count="18">
    <mergeCell ref="A2:G2"/>
    <mergeCell ref="A4:B4"/>
    <mergeCell ref="D4:G4"/>
    <mergeCell ref="A5:B5"/>
    <mergeCell ref="D5:G5"/>
    <mergeCell ref="A6:B6"/>
    <mergeCell ref="D6:G6"/>
    <mergeCell ref="A7:B7"/>
    <mergeCell ref="D7:G7"/>
    <mergeCell ref="A8:B8"/>
    <mergeCell ref="D8:G8"/>
    <mergeCell ref="A9:B9"/>
    <mergeCell ref="D9:G9"/>
    <mergeCell ref="A12:B12"/>
    <mergeCell ref="A13:B13"/>
    <mergeCell ref="A14:B14"/>
    <mergeCell ref="A16:G16"/>
    <mergeCell ref="A25:G25"/>
  </mergeCells>
  <dataValidations count="5">
    <dataValidation allowBlank="true" errorStyle="stop" operator="between" showDropDown="false" showErrorMessage="true" showInputMessage="false" sqref="C5" type="list">
      <formula1>Lists!$F$2:$F$3</formula1>
      <formula2>0</formula2>
    </dataValidation>
    <dataValidation allowBlank="true" errorStyle="stop" operator="between" showDropDown="false" showErrorMessage="true" showInputMessage="false" sqref="C7" type="list">
      <formula1>Lists!$A$2:$A$5</formula1>
      <formula2>0</formula2>
    </dataValidation>
    <dataValidation allowBlank="true" errorStyle="stop" operator="between" showDropDown="false" showErrorMessage="true" showInputMessage="false" sqref="C8" type="list">
      <formula1>Lists!$C$2:$C$3</formula1>
      <formula2>0</formula2>
    </dataValidation>
    <dataValidation allowBlank="true" errorStyle="stop" operator="between" showDropDown="false" showErrorMessage="true" showInputMessage="false" sqref="D18:D23" type="list">
      <formula1>Lists!$D$2:$D$3</formula1>
      <formula2>0</formula2>
    </dataValidation>
    <dataValidation allowBlank="true" errorStyle="stop" operator="between" showDropDown="false" showErrorMessage="true" showInputMessage="false" sqref="F18:F23" type="list">
      <formula1>Lists!$C$2:$C$3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6"/>
    <col collapsed="false" customWidth="true" hidden="false" outlineLevel="0" max="3" min="3" style="0" width="34"/>
  </cols>
  <sheetData>
    <row r="1" customFormat="false" ht="15" hidden="false" customHeight="false" outlineLevel="0" collapsed="false">
      <c r="A1" s="14" t="s">
        <v>21</v>
      </c>
    </row>
    <row r="2" customFormat="false" ht="27.75" hidden="false" customHeight="true" outlineLevel="0" collapsed="false">
      <c r="A2" s="39" t="s">
        <v>95</v>
      </c>
      <c r="B2" s="39"/>
      <c r="C2" s="39"/>
    </row>
    <row r="4" customFormat="false" ht="36" hidden="false" customHeight="true" outlineLevel="0" collapsed="false">
      <c r="A4" s="33" t="s">
        <v>96</v>
      </c>
      <c r="B4" s="33" t="s">
        <v>97</v>
      </c>
      <c r="C4" s="33" t="s">
        <v>98</v>
      </c>
    </row>
    <row r="5" customFormat="false" ht="15" hidden="false" customHeight="false" outlineLevel="0" collapsed="false">
      <c r="A5" s="40" t="n">
        <v>1</v>
      </c>
      <c r="B5" s="117" t="n">
        <v>46048</v>
      </c>
      <c r="C5" s="115" t="s">
        <v>99</v>
      </c>
    </row>
    <row r="6" customFormat="false" ht="15" hidden="false" customHeight="false" outlineLevel="0" collapsed="false">
      <c r="A6" s="40" t="n">
        <v>2</v>
      </c>
      <c r="B6" s="117" t="n">
        <v>46085</v>
      </c>
      <c r="C6" s="115" t="s">
        <v>100</v>
      </c>
    </row>
    <row r="7" customFormat="false" ht="15" hidden="false" customHeight="false" outlineLevel="0" collapsed="false">
      <c r="A7" s="40" t="n">
        <v>3</v>
      </c>
      <c r="B7" s="117" t="n">
        <v>46249</v>
      </c>
      <c r="C7" s="115" t="s">
        <v>101</v>
      </c>
    </row>
    <row r="8" customFormat="false" ht="15" hidden="false" customHeight="false" outlineLevel="0" collapsed="false">
      <c r="A8" s="40" t="n">
        <v>4</v>
      </c>
      <c r="B8" s="117" t="n">
        <v>46297</v>
      </c>
      <c r="C8" s="115" t="s">
        <v>102</v>
      </c>
    </row>
    <row r="9" customFormat="false" ht="15" hidden="false" customHeight="false" outlineLevel="0" collapsed="false">
      <c r="A9" s="40" t="n">
        <v>5</v>
      </c>
      <c r="B9" s="117" t="n">
        <v>46315</v>
      </c>
      <c r="C9" s="115" t="s">
        <v>103</v>
      </c>
    </row>
    <row r="10" customFormat="false" ht="15" hidden="false" customHeight="false" outlineLevel="0" collapsed="false">
      <c r="A10" s="40" t="n">
        <v>6</v>
      </c>
      <c r="B10" s="117" t="n">
        <v>46334</v>
      </c>
      <c r="C10" s="115" t="s">
        <v>104</v>
      </c>
    </row>
    <row r="11" customFormat="false" ht="15" hidden="false" customHeight="false" outlineLevel="0" collapsed="false">
      <c r="A11" s="40" t="n">
        <v>7</v>
      </c>
      <c r="B11" s="117"/>
      <c r="C11" s="115"/>
    </row>
    <row r="12" customFormat="false" ht="15" hidden="false" customHeight="false" outlineLevel="0" collapsed="false">
      <c r="A12" s="40" t="n">
        <v>8</v>
      </c>
      <c r="B12" s="117"/>
      <c r="C12" s="115"/>
    </row>
    <row r="13" customFormat="false" ht="15" hidden="false" customHeight="false" outlineLevel="0" collapsed="false">
      <c r="A13" s="40" t="n">
        <v>9</v>
      </c>
      <c r="B13" s="117"/>
      <c r="C13" s="115"/>
    </row>
    <row r="14" customFormat="false" ht="15" hidden="false" customHeight="false" outlineLevel="0" collapsed="false">
      <c r="A14" s="40" t="n">
        <v>10</v>
      </c>
      <c r="B14" s="117"/>
      <c r="C14" s="115"/>
    </row>
    <row r="15" customFormat="false" ht="15" hidden="false" customHeight="false" outlineLevel="0" collapsed="false">
      <c r="A15" s="40" t="n">
        <v>11</v>
      </c>
      <c r="B15" s="117"/>
      <c r="C15" s="115"/>
    </row>
    <row r="16" customFormat="false" ht="15" hidden="false" customHeight="false" outlineLevel="0" collapsed="false">
      <c r="A16" s="40" t="n">
        <v>12</v>
      </c>
      <c r="B16" s="117"/>
      <c r="C16" s="115"/>
    </row>
    <row r="17" customFormat="false" ht="15" hidden="false" customHeight="false" outlineLevel="0" collapsed="false">
      <c r="A17" s="40" t="n">
        <v>13</v>
      </c>
      <c r="B17" s="117"/>
      <c r="C17" s="115"/>
    </row>
    <row r="18" customFormat="false" ht="15" hidden="false" customHeight="false" outlineLevel="0" collapsed="false">
      <c r="A18" s="40" t="n">
        <v>14</v>
      </c>
      <c r="B18" s="117"/>
      <c r="C18" s="115"/>
    </row>
    <row r="19" customFormat="false" ht="15" hidden="false" customHeight="false" outlineLevel="0" collapsed="false">
      <c r="A19" s="40" t="n">
        <v>15</v>
      </c>
      <c r="B19" s="117"/>
      <c r="C19" s="115"/>
    </row>
    <row r="20" customFormat="false" ht="15" hidden="false" customHeight="false" outlineLevel="0" collapsed="false">
      <c r="A20" s="40" t="n">
        <v>16</v>
      </c>
      <c r="B20" s="117"/>
      <c r="C20" s="115"/>
    </row>
    <row r="21" customFormat="false" ht="15" hidden="false" customHeight="false" outlineLevel="0" collapsed="false">
      <c r="A21" s="40" t="n">
        <v>17</v>
      </c>
      <c r="B21" s="117"/>
      <c r="C21" s="115"/>
    </row>
    <row r="22" customFormat="false" ht="15" hidden="false" customHeight="false" outlineLevel="0" collapsed="false">
      <c r="A22" s="40" t="n">
        <v>18</v>
      </c>
      <c r="B22" s="117"/>
      <c r="C22" s="115"/>
    </row>
    <row r="23" customFormat="false" ht="15" hidden="false" customHeight="false" outlineLevel="0" collapsed="false">
      <c r="A23" s="40" t="n">
        <v>19</v>
      </c>
      <c r="B23" s="117"/>
      <c r="C23" s="115"/>
    </row>
    <row r="24" customFormat="false" ht="15" hidden="false" customHeight="false" outlineLevel="0" collapsed="false">
      <c r="A24" s="40" t="n">
        <v>20</v>
      </c>
      <c r="B24" s="117"/>
      <c r="C24" s="115"/>
    </row>
    <row r="25" customFormat="false" ht="15" hidden="false" customHeight="false" outlineLevel="0" collapsed="false">
      <c r="A25" s="40" t="n">
        <v>21</v>
      </c>
      <c r="B25" s="117"/>
      <c r="C25" s="115"/>
    </row>
    <row r="26" customFormat="false" ht="15" hidden="false" customHeight="false" outlineLevel="0" collapsed="false">
      <c r="A26" s="40" t="n">
        <v>22</v>
      </c>
      <c r="B26" s="117"/>
      <c r="C26" s="115"/>
    </row>
    <row r="27" customFormat="false" ht="15" hidden="false" customHeight="false" outlineLevel="0" collapsed="false">
      <c r="A27" s="40" t="n">
        <v>23</v>
      </c>
      <c r="B27" s="117"/>
      <c r="C27" s="115"/>
    </row>
    <row r="28" customFormat="false" ht="15" hidden="false" customHeight="false" outlineLevel="0" collapsed="false">
      <c r="A28" s="40" t="n">
        <v>24</v>
      </c>
      <c r="B28" s="117"/>
      <c r="C28" s="115"/>
    </row>
    <row r="29" customFormat="false" ht="15" hidden="false" customHeight="false" outlineLevel="0" collapsed="false">
      <c r="A29" s="40" t="n">
        <v>25</v>
      </c>
      <c r="B29" s="117"/>
      <c r="C29" s="115"/>
    </row>
    <row r="30" customFormat="false" ht="15" hidden="false" customHeight="false" outlineLevel="0" collapsed="false">
      <c r="A30" s="40" t="n">
        <v>26</v>
      </c>
      <c r="B30" s="117"/>
      <c r="C30" s="115"/>
    </row>
    <row r="31" customFormat="false" ht="15" hidden="false" customHeight="false" outlineLevel="0" collapsed="false">
      <c r="A31" s="40" t="n">
        <v>27</v>
      </c>
      <c r="B31" s="117"/>
      <c r="C31" s="115"/>
    </row>
    <row r="32" customFormat="false" ht="15" hidden="false" customHeight="false" outlineLevel="0" collapsed="false">
      <c r="A32" s="40" t="n">
        <v>28</v>
      </c>
      <c r="B32" s="117"/>
      <c r="C32" s="115"/>
    </row>
    <row r="33" customFormat="false" ht="15" hidden="false" customHeight="false" outlineLevel="0" collapsed="false">
      <c r="A33" s="40" t="n">
        <v>29</v>
      </c>
      <c r="B33" s="117"/>
      <c r="C33" s="115"/>
    </row>
    <row r="34" customFormat="false" ht="15" hidden="false" customHeight="false" outlineLevel="0" collapsed="false">
      <c r="A34" s="40" t="n">
        <v>30</v>
      </c>
      <c r="B34" s="117"/>
      <c r="C34" s="115"/>
    </row>
    <row r="36" customFormat="false" ht="15" hidden="false" customHeight="false" outlineLevel="0" collapsed="false">
      <c r="A36" s="37" t="s">
        <v>105</v>
      </c>
      <c r="B36" s="37"/>
      <c r="C36" s="37"/>
    </row>
  </sheetData>
  <sheetProtection sheet="1" objects="1" scenarios="1" formatColumns="0" formatRows="0" algorithmName="SHA-512" hashValue="oeT/auj0SCfQhzL1aikJ9+vR6ZEZ/dyHpOujICE+5zrvVgsdgUM8aF9smoV18plDv81CIqVv0p3jpsrH7yGx8g==" saltValue="0oxPIVr1OPIMbLLWe1vN2Q==" spinCount="100000"/>
  <mergeCells count="2">
    <mergeCell ref="A2:C2"/>
    <mergeCell ref="A36:C36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K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11" min="6" style="0" width="11"/>
  </cols>
  <sheetData>
    <row r="1" customFormat="false" ht="15" hidden="false" customHeight="false" outlineLevel="0" collapsed="false">
      <c r="A1" s="14" t="s">
        <v>21</v>
      </c>
    </row>
    <row r="2" customFormat="false" ht="27.75" hidden="false" customHeight="true" outlineLevel="0" collapsed="false">
      <c r="A2" s="42" t="s">
        <v>106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4" customFormat="false" ht="36" hidden="false" customHeight="true" outlineLevel="0" collapsed="false">
      <c r="A4" s="33" t="s">
        <v>96</v>
      </c>
      <c r="B4" s="33" t="s">
        <v>107</v>
      </c>
      <c r="C4" s="33" t="s">
        <v>108</v>
      </c>
      <c r="D4" s="33" t="s">
        <v>109</v>
      </c>
      <c r="E4" s="33" t="s">
        <v>110</v>
      </c>
      <c r="F4" s="33" t="str">
        <f aca="false">Setup!A18&amp;" Opening"</f>
        <v>CL Opening</v>
      </c>
      <c r="G4" s="33" t="str">
        <f aca="false">Setup!A19&amp;" Opening"</f>
        <v>SL Opening</v>
      </c>
      <c r="H4" s="33" t="str">
        <f aca="false">Setup!A20&amp;" Opening"</f>
        <v>EL Opening</v>
      </c>
      <c r="I4" s="33" t="str">
        <f aca="false">Setup!A21&amp;" Opening"</f>
        <v>CO Opening</v>
      </c>
      <c r="J4" s="33" t="str">
        <f aca="false">Setup!A22&amp;" Opening"</f>
        <v>LWP Opening</v>
      </c>
      <c r="K4" s="33" t="str">
        <f aca="false">Setup!A23&amp;" Opening"</f>
        <v>OL Opening</v>
      </c>
    </row>
    <row r="5" customFormat="false" ht="15" hidden="false" customHeight="false" outlineLevel="0" collapsed="false">
      <c r="A5" s="40" t="n">
        <f aca="false">IF(B5="","",ROW()-4)</f>
        <v>1</v>
      </c>
      <c r="B5" s="118" t="s">
        <v>111</v>
      </c>
      <c r="C5" s="119" t="s">
        <v>112</v>
      </c>
      <c r="D5" s="119" t="s">
        <v>113</v>
      </c>
      <c r="E5" s="120" t="n">
        <v>44287</v>
      </c>
      <c r="F5" s="121"/>
      <c r="G5" s="121" t="n">
        <v>10</v>
      </c>
      <c r="H5" s="121" t="n">
        <v>22</v>
      </c>
      <c r="I5" s="121" t="n">
        <v>1</v>
      </c>
      <c r="J5" s="121"/>
      <c r="K5" s="121"/>
    </row>
    <row r="6" customFormat="false" ht="15" hidden="false" customHeight="false" outlineLevel="0" collapsed="false">
      <c r="A6" s="40" t="n">
        <f aca="false">IF(B6="","",ROW()-4)</f>
        <v>2</v>
      </c>
      <c r="B6" s="118" t="s">
        <v>114</v>
      </c>
      <c r="C6" s="119" t="s">
        <v>115</v>
      </c>
      <c r="D6" s="119" t="s">
        <v>116</v>
      </c>
      <c r="E6" s="120" t="n">
        <v>44757</v>
      </c>
      <c r="F6" s="121"/>
      <c r="G6" s="121" t="n">
        <v>6</v>
      </c>
      <c r="H6" s="121" t="n">
        <v>14</v>
      </c>
      <c r="I6" s="121"/>
      <c r="J6" s="121"/>
      <c r="K6" s="121"/>
    </row>
    <row r="7" customFormat="false" ht="15" hidden="false" customHeight="false" outlineLevel="0" collapsed="false">
      <c r="A7" s="40" t="n">
        <f aca="false">IF(B7="","",ROW()-4)</f>
        <v>3</v>
      </c>
      <c r="B7" s="118" t="s">
        <v>117</v>
      </c>
      <c r="C7" s="119" t="s">
        <v>118</v>
      </c>
      <c r="D7" s="119" t="s">
        <v>119</v>
      </c>
      <c r="E7" s="120" t="n">
        <v>44936</v>
      </c>
      <c r="F7" s="121"/>
      <c r="G7" s="121" t="n">
        <v>4</v>
      </c>
      <c r="H7" s="121" t="n">
        <v>8</v>
      </c>
      <c r="I7" s="121" t="n">
        <v>2</v>
      </c>
      <c r="J7" s="121"/>
      <c r="K7" s="121"/>
    </row>
    <row r="8" customFormat="false" ht="15" hidden="false" customHeight="false" outlineLevel="0" collapsed="false">
      <c r="A8" s="40" t="n">
        <f aca="false">IF(B8="","",ROW()-4)</f>
        <v>4</v>
      </c>
      <c r="B8" s="118" t="s">
        <v>120</v>
      </c>
      <c r="C8" s="119" t="s">
        <v>121</v>
      </c>
      <c r="D8" s="119" t="s">
        <v>122</v>
      </c>
      <c r="E8" s="120" t="n">
        <v>44137</v>
      </c>
      <c r="F8" s="121"/>
      <c r="G8" s="121" t="n">
        <v>12</v>
      </c>
      <c r="H8" s="121" t="n">
        <v>40</v>
      </c>
      <c r="I8" s="121"/>
      <c r="J8" s="121"/>
      <c r="K8" s="121"/>
    </row>
    <row r="9" customFormat="false" ht="15" hidden="false" customHeight="false" outlineLevel="0" collapsed="false">
      <c r="A9" s="40" t="n">
        <f aca="false">IF(B9="","",ROW()-4)</f>
        <v>5</v>
      </c>
      <c r="B9" s="118" t="s">
        <v>123</v>
      </c>
      <c r="C9" s="119" t="s">
        <v>124</v>
      </c>
      <c r="D9" s="119" t="s">
        <v>125</v>
      </c>
      <c r="E9" s="120" t="n">
        <v>46160</v>
      </c>
      <c r="F9" s="121"/>
      <c r="G9" s="121"/>
      <c r="H9" s="121"/>
      <c r="I9" s="121"/>
      <c r="J9" s="121"/>
      <c r="K9" s="121"/>
    </row>
    <row r="10" customFormat="false" ht="15" hidden="false" customHeight="false" outlineLevel="0" collapsed="false">
      <c r="A10" s="40" t="n">
        <f aca="false">IF(B10="","",ROW()-4)</f>
        <v>6</v>
      </c>
      <c r="B10" s="118" t="s">
        <v>126</v>
      </c>
      <c r="C10" s="119" t="s">
        <v>127</v>
      </c>
      <c r="D10" s="119" t="s">
        <v>119</v>
      </c>
      <c r="E10" s="120" t="n">
        <v>43621</v>
      </c>
      <c r="F10" s="121"/>
      <c r="G10" s="121" t="n">
        <v>8</v>
      </c>
      <c r="H10" s="121" t="n">
        <v>50</v>
      </c>
      <c r="I10" s="121"/>
      <c r="J10" s="121"/>
      <c r="K10" s="121"/>
    </row>
    <row r="11" customFormat="false" ht="15" hidden="false" customHeight="false" outlineLevel="0" collapsed="false">
      <c r="A11" s="40" t="str">
        <f aca="false">IF(B11="","",ROW()-4)</f>
        <v/>
      </c>
      <c r="B11" s="118"/>
      <c r="C11" s="119"/>
      <c r="D11" s="119"/>
      <c r="E11" s="120"/>
      <c r="F11" s="121"/>
      <c r="G11" s="121"/>
      <c r="H11" s="121"/>
      <c r="I11" s="121"/>
      <c r="J11" s="121"/>
      <c r="K11" s="121"/>
    </row>
    <row r="12" customFormat="false" ht="15" hidden="false" customHeight="false" outlineLevel="0" collapsed="false">
      <c r="A12" s="40" t="str">
        <f aca="false">IF(B12="","",ROW()-4)</f>
        <v/>
      </c>
      <c r="B12" s="118"/>
      <c r="C12" s="119"/>
      <c r="D12" s="119"/>
      <c r="E12" s="120"/>
      <c r="F12" s="121"/>
      <c r="G12" s="121"/>
      <c r="H12" s="121"/>
      <c r="I12" s="121"/>
      <c r="J12" s="121"/>
      <c r="K12" s="121"/>
    </row>
    <row r="13" customFormat="false" ht="15" hidden="false" customHeight="false" outlineLevel="0" collapsed="false">
      <c r="A13" s="40" t="str">
        <f aca="false">IF(B13="","",ROW()-4)</f>
        <v/>
      </c>
      <c r="B13" s="118"/>
      <c r="C13" s="119"/>
      <c r="D13" s="119"/>
      <c r="E13" s="120"/>
      <c r="F13" s="121"/>
      <c r="G13" s="121"/>
      <c r="H13" s="121"/>
      <c r="I13" s="121"/>
      <c r="J13" s="121"/>
      <c r="K13" s="121"/>
    </row>
    <row r="14" customFormat="false" ht="15" hidden="false" customHeight="false" outlineLevel="0" collapsed="false">
      <c r="A14" s="40" t="str">
        <f aca="false">IF(B14="","",ROW()-4)</f>
        <v/>
      </c>
      <c r="B14" s="118"/>
      <c r="C14" s="119"/>
      <c r="D14" s="119"/>
      <c r="E14" s="120"/>
      <c r="F14" s="121"/>
      <c r="G14" s="121"/>
      <c r="H14" s="121"/>
      <c r="I14" s="121"/>
      <c r="J14" s="121"/>
      <c r="K14" s="121"/>
    </row>
    <row r="15" customFormat="false" ht="15" hidden="false" customHeight="false" outlineLevel="0" collapsed="false">
      <c r="A15" s="40" t="str">
        <f aca="false">IF(B15="","",ROW()-4)</f>
        <v/>
      </c>
      <c r="B15" s="118"/>
      <c r="C15" s="119"/>
      <c r="D15" s="119"/>
      <c r="E15" s="120"/>
      <c r="F15" s="121"/>
      <c r="G15" s="121"/>
      <c r="H15" s="121"/>
      <c r="I15" s="121"/>
      <c r="J15" s="121"/>
      <c r="K15" s="121"/>
    </row>
    <row r="16" customFormat="false" ht="15" hidden="false" customHeight="false" outlineLevel="0" collapsed="false">
      <c r="A16" s="40" t="str">
        <f aca="false">IF(B16="","",ROW()-4)</f>
        <v/>
      </c>
      <c r="B16" s="118"/>
      <c r="C16" s="119"/>
      <c r="D16" s="119"/>
      <c r="E16" s="120"/>
      <c r="F16" s="121"/>
      <c r="G16" s="121"/>
      <c r="H16" s="121"/>
      <c r="I16" s="121"/>
      <c r="J16" s="121"/>
      <c r="K16" s="121"/>
    </row>
    <row r="17" customFormat="false" ht="15" hidden="false" customHeight="false" outlineLevel="0" collapsed="false">
      <c r="A17" s="40" t="str">
        <f aca="false">IF(B17="","",ROW()-4)</f>
        <v/>
      </c>
      <c r="B17" s="118"/>
      <c r="C17" s="119"/>
      <c r="D17" s="119"/>
      <c r="E17" s="120"/>
      <c r="F17" s="121"/>
      <c r="G17" s="121"/>
      <c r="H17" s="121"/>
      <c r="I17" s="121"/>
      <c r="J17" s="121"/>
      <c r="K17" s="121"/>
    </row>
    <row r="18" customFormat="false" ht="15" hidden="false" customHeight="false" outlineLevel="0" collapsed="false">
      <c r="A18" s="40" t="str">
        <f aca="false">IF(B18="","",ROW()-4)</f>
        <v/>
      </c>
      <c r="B18" s="118"/>
      <c r="C18" s="119"/>
      <c r="D18" s="119"/>
      <c r="E18" s="120"/>
      <c r="F18" s="121"/>
      <c r="G18" s="121"/>
      <c r="H18" s="121"/>
      <c r="I18" s="121"/>
      <c r="J18" s="121"/>
      <c r="K18" s="121"/>
    </row>
    <row r="19" customFormat="false" ht="15" hidden="false" customHeight="false" outlineLevel="0" collapsed="false">
      <c r="A19" s="40" t="str">
        <f aca="false">IF(B19="","",ROW()-4)</f>
        <v/>
      </c>
      <c r="B19" s="118"/>
      <c r="C19" s="119"/>
      <c r="D19" s="119"/>
      <c r="E19" s="120"/>
      <c r="F19" s="121"/>
      <c r="G19" s="121"/>
      <c r="H19" s="121"/>
      <c r="I19" s="121"/>
      <c r="J19" s="121"/>
      <c r="K19" s="121"/>
    </row>
    <row r="20" customFormat="false" ht="15" hidden="false" customHeight="false" outlineLevel="0" collapsed="false">
      <c r="A20" s="40" t="str">
        <f aca="false">IF(B20="","",ROW()-4)</f>
        <v/>
      </c>
      <c r="B20" s="118"/>
      <c r="C20" s="119"/>
      <c r="D20" s="119"/>
      <c r="E20" s="120"/>
      <c r="F20" s="121"/>
      <c r="G20" s="121"/>
      <c r="H20" s="121"/>
      <c r="I20" s="121"/>
      <c r="J20" s="121"/>
      <c r="K20" s="121"/>
    </row>
    <row r="21" customFormat="false" ht="15" hidden="false" customHeight="false" outlineLevel="0" collapsed="false">
      <c r="A21" s="40" t="str">
        <f aca="false">IF(B21="","",ROW()-4)</f>
        <v/>
      </c>
      <c r="B21" s="118"/>
      <c r="C21" s="119"/>
      <c r="D21" s="119"/>
      <c r="E21" s="120"/>
      <c r="F21" s="121"/>
      <c r="G21" s="121"/>
      <c r="H21" s="121"/>
      <c r="I21" s="121"/>
      <c r="J21" s="121"/>
      <c r="K21" s="121"/>
    </row>
    <row r="22" customFormat="false" ht="15" hidden="false" customHeight="false" outlineLevel="0" collapsed="false">
      <c r="A22" s="40" t="str">
        <f aca="false">IF(B22="","",ROW()-4)</f>
        <v/>
      </c>
      <c r="B22" s="118"/>
      <c r="C22" s="119"/>
      <c r="D22" s="119"/>
      <c r="E22" s="120"/>
      <c r="F22" s="121"/>
      <c r="G22" s="121"/>
      <c r="H22" s="121"/>
      <c r="I22" s="121"/>
      <c r="J22" s="121"/>
      <c r="K22" s="121"/>
    </row>
    <row r="23" customFormat="false" ht="15" hidden="false" customHeight="false" outlineLevel="0" collapsed="false">
      <c r="A23" s="40" t="str">
        <f aca="false">IF(B23="","",ROW()-4)</f>
        <v/>
      </c>
      <c r="B23" s="118"/>
      <c r="C23" s="119"/>
      <c r="D23" s="119"/>
      <c r="E23" s="120"/>
      <c r="F23" s="121"/>
      <c r="G23" s="121"/>
      <c r="H23" s="121"/>
      <c r="I23" s="121"/>
      <c r="J23" s="121"/>
      <c r="K23" s="121"/>
    </row>
    <row r="24" customFormat="false" ht="15" hidden="false" customHeight="false" outlineLevel="0" collapsed="false">
      <c r="A24" s="40" t="str">
        <f aca="false">IF(B24="","",ROW()-4)</f>
        <v/>
      </c>
      <c r="B24" s="118"/>
      <c r="C24" s="119"/>
      <c r="D24" s="119"/>
      <c r="E24" s="120"/>
      <c r="F24" s="121"/>
      <c r="G24" s="121"/>
      <c r="H24" s="121"/>
      <c r="I24" s="121"/>
      <c r="J24" s="121"/>
      <c r="K24" s="121"/>
    </row>
    <row r="25" customFormat="false" ht="15" hidden="false" customHeight="false" outlineLevel="0" collapsed="false">
      <c r="A25" s="40" t="str">
        <f aca="false">IF(B25="","",ROW()-4)</f>
        <v/>
      </c>
      <c r="B25" s="118"/>
      <c r="C25" s="119"/>
      <c r="D25" s="119"/>
      <c r="E25" s="120"/>
      <c r="F25" s="121"/>
      <c r="G25" s="121"/>
      <c r="H25" s="121"/>
      <c r="I25" s="121"/>
      <c r="J25" s="121"/>
      <c r="K25" s="121"/>
    </row>
    <row r="26" customFormat="false" ht="15" hidden="false" customHeight="false" outlineLevel="0" collapsed="false">
      <c r="A26" s="40" t="str">
        <f aca="false">IF(B26="","",ROW()-4)</f>
        <v/>
      </c>
      <c r="B26" s="118"/>
      <c r="C26" s="119"/>
      <c r="D26" s="119"/>
      <c r="E26" s="120"/>
      <c r="F26" s="121"/>
      <c r="G26" s="121"/>
      <c r="H26" s="121"/>
      <c r="I26" s="121"/>
      <c r="J26" s="121"/>
      <c r="K26" s="121"/>
    </row>
    <row r="27" customFormat="false" ht="15" hidden="false" customHeight="false" outlineLevel="0" collapsed="false">
      <c r="A27" s="40" t="str">
        <f aca="false">IF(B27="","",ROW()-4)</f>
        <v/>
      </c>
      <c r="B27" s="118"/>
      <c r="C27" s="119"/>
      <c r="D27" s="119"/>
      <c r="E27" s="120"/>
      <c r="F27" s="121"/>
      <c r="G27" s="121"/>
      <c r="H27" s="121"/>
      <c r="I27" s="121"/>
      <c r="J27" s="121"/>
      <c r="K27" s="121"/>
    </row>
    <row r="28" customFormat="false" ht="15" hidden="false" customHeight="false" outlineLevel="0" collapsed="false">
      <c r="A28" s="40" t="str">
        <f aca="false">IF(B28="","",ROW()-4)</f>
        <v/>
      </c>
      <c r="B28" s="118"/>
      <c r="C28" s="119"/>
      <c r="D28" s="119"/>
      <c r="E28" s="120"/>
      <c r="F28" s="121"/>
      <c r="G28" s="121"/>
      <c r="H28" s="121"/>
      <c r="I28" s="121"/>
      <c r="J28" s="121"/>
      <c r="K28" s="121"/>
    </row>
    <row r="29" customFormat="false" ht="15" hidden="false" customHeight="false" outlineLevel="0" collapsed="false">
      <c r="A29" s="40" t="str">
        <f aca="false">IF(B29="","",ROW()-4)</f>
        <v/>
      </c>
      <c r="B29" s="118"/>
      <c r="C29" s="119"/>
      <c r="D29" s="119"/>
      <c r="E29" s="120"/>
      <c r="F29" s="121"/>
      <c r="G29" s="121"/>
      <c r="H29" s="121"/>
      <c r="I29" s="121"/>
      <c r="J29" s="121"/>
      <c r="K29" s="121"/>
    </row>
    <row r="30" customFormat="false" ht="15" hidden="false" customHeight="false" outlineLevel="0" collapsed="false">
      <c r="A30" s="40" t="str">
        <f aca="false">IF(B30="","",ROW()-4)</f>
        <v/>
      </c>
      <c r="B30" s="118"/>
      <c r="C30" s="119"/>
      <c r="D30" s="119"/>
      <c r="E30" s="120"/>
      <c r="F30" s="121"/>
      <c r="G30" s="121"/>
      <c r="H30" s="121"/>
      <c r="I30" s="121"/>
      <c r="J30" s="121"/>
      <c r="K30" s="121"/>
    </row>
    <row r="31" customFormat="false" ht="15" hidden="false" customHeight="false" outlineLevel="0" collapsed="false">
      <c r="A31" s="40" t="str">
        <f aca="false">IF(B31="","",ROW()-4)</f>
        <v/>
      </c>
      <c r="B31" s="118"/>
      <c r="C31" s="119"/>
      <c r="D31" s="119"/>
      <c r="E31" s="120"/>
      <c r="F31" s="121"/>
      <c r="G31" s="121"/>
      <c r="H31" s="121"/>
      <c r="I31" s="121"/>
      <c r="J31" s="121"/>
      <c r="K31" s="121"/>
    </row>
    <row r="32" customFormat="false" ht="15" hidden="false" customHeight="false" outlineLevel="0" collapsed="false">
      <c r="A32" s="40" t="str">
        <f aca="false">IF(B32="","",ROW()-4)</f>
        <v/>
      </c>
      <c r="B32" s="118"/>
      <c r="C32" s="119"/>
      <c r="D32" s="119"/>
      <c r="E32" s="120"/>
      <c r="F32" s="121"/>
      <c r="G32" s="121"/>
      <c r="H32" s="121"/>
      <c r="I32" s="121"/>
      <c r="J32" s="121"/>
      <c r="K32" s="121"/>
    </row>
    <row r="33" customFormat="false" ht="15" hidden="false" customHeight="false" outlineLevel="0" collapsed="false">
      <c r="A33" s="40" t="str">
        <f aca="false">IF(B33="","",ROW()-4)</f>
        <v/>
      </c>
      <c r="B33" s="118"/>
      <c r="C33" s="119"/>
      <c r="D33" s="119"/>
      <c r="E33" s="120"/>
      <c r="F33" s="121"/>
      <c r="G33" s="121"/>
      <c r="H33" s="121"/>
      <c r="I33" s="121"/>
      <c r="J33" s="121"/>
      <c r="K33" s="121"/>
    </row>
    <row r="34" customFormat="false" ht="15" hidden="false" customHeight="false" outlineLevel="0" collapsed="false">
      <c r="A34" s="40" t="str">
        <f aca="false">IF(B34="","",ROW()-4)</f>
        <v/>
      </c>
      <c r="B34" s="118"/>
      <c r="C34" s="119"/>
      <c r="D34" s="119"/>
      <c r="E34" s="120"/>
      <c r="F34" s="121"/>
      <c r="G34" s="121"/>
      <c r="H34" s="121"/>
      <c r="I34" s="121"/>
      <c r="J34" s="121"/>
      <c r="K34" s="121"/>
    </row>
    <row r="35" customFormat="false" ht="15" hidden="false" customHeight="false" outlineLevel="0" collapsed="false">
      <c r="A35" s="40" t="str">
        <f aca="false">IF(B35="","",ROW()-4)</f>
        <v/>
      </c>
      <c r="B35" s="118"/>
      <c r="C35" s="119"/>
      <c r="D35" s="119"/>
      <c r="E35" s="120"/>
      <c r="F35" s="121"/>
      <c r="G35" s="121"/>
      <c r="H35" s="121"/>
      <c r="I35" s="121"/>
      <c r="J35" s="121"/>
      <c r="K35" s="121"/>
    </row>
    <row r="36" customFormat="false" ht="15" hidden="false" customHeight="false" outlineLevel="0" collapsed="false">
      <c r="A36" s="40" t="str">
        <f aca="false">IF(B36="","",ROW()-4)</f>
        <v/>
      </c>
      <c r="B36" s="118"/>
      <c r="C36" s="119"/>
      <c r="D36" s="119"/>
      <c r="E36" s="120"/>
      <c r="F36" s="121"/>
      <c r="G36" s="121"/>
      <c r="H36" s="121"/>
      <c r="I36" s="121"/>
      <c r="J36" s="121"/>
      <c r="K36" s="121"/>
    </row>
    <row r="37" customFormat="false" ht="15" hidden="false" customHeight="false" outlineLevel="0" collapsed="false">
      <c r="A37" s="40" t="str">
        <f aca="false">IF(B37="","",ROW()-4)</f>
        <v/>
      </c>
      <c r="B37" s="118"/>
      <c r="C37" s="119"/>
      <c r="D37" s="119"/>
      <c r="E37" s="120"/>
      <c r="F37" s="121"/>
      <c r="G37" s="121"/>
      <c r="H37" s="121"/>
      <c r="I37" s="121"/>
      <c r="J37" s="121"/>
      <c r="K37" s="121"/>
    </row>
    <row r="38" customFormat="false" ht="15" hidden="false" customHeight="false" outlineLevel="0" collapsed="false">
      <c r="A38" s="40" t="str">
        <f aca="false">IF(B38="","",ROW()-4)</f>
        <v/>
      </c>
      <c r="B38" s="118"/>
      <c r="C38" s="119"/>
      <c r="D38" s="119"/>
      <c r="E38" s="120"/>
      <c r="F38" s="121"/>
      <c r="G38" s="121"/>
      <c r="H38" s="121"/>
      <c r="I38" s="121"/>
      <c r="J38" s="121"/>
      <c r="K38" s="121"/>
    </row>
    <row r="39" customFormat="false" ht="15" hidden="false" customHeight="false" outlineLevel="0" collapsed="false">
      <c r="A39" s="40" t="str">
        <f aca="false">IF(B39="","",ROW()-4)</f>
        <v/>
      </c>
      <c r="B39" s="118"/>
      <c r="C39" s="119"/>
      <c r="D39" s="119"/>
      <c r="E39" s="120"/>
      <c r="F39" s="121"/>
      <c r="G39" s="121"/>
      <c r="H39" s="121"/>
      <c r="I39" s="121"/>
      <c r="J39" s="121"/>
      <c r="K39" s="121"/>
    </row>
    <row r="40" customFormat="false" ht="15" hidden="false" customHeight="false" outlineLevel="0" collapsed="false">
      <c r="A40" s="40" t="str">
        <f aca="false">IF(B40="","",ROW()-4)</f>
        <v/>
      </c>
      <c r="B40" s="118"/>
      <c r="C40" s="119"/>
      <c r="D40" s="119"/>
      <c r="E40" s="120"/>
      <c r="F40" s="121"/>
      <c r="G40" s="121"/>
      <c r="H40" s="121"/>
      <c r="I40" s="121"/>
      <c r="J40" s="121"/>
      <c r="K40" s="121"/>
    </row>
    <row r="41" customFormat="false" ht="15" hidden="false" customHeight="false" outlineLevel="0" collapsed="false">
      <c r="A41" s="40" t="str">
        <f aca="false">IF(B41="","",ROW()-4)</f>
        <v/>
      </c>
      <c r="B41" s="118"/>
      <c r="C41" s="119"/>
      <c r="D41" s="119"/>
      <c r="E41" s="120"/>
      <c r="F41" s="121"/>
      <c r="G41" s="121"/>
      <c r="H41" s="121"/>
      <c r="I41" s="121"/>
      <c r="J41" s="121"/>
      <c r="K41" s="121"/>
    </row>
    <row r="42" customFormat="false" ht="15" hidden="false" customHeight="false" outlineLevel="0" collapsed="false">
      <c r="A42" s="40" t="str">
        <f aca="false">IF(B42="","",ROW()-4)</f>
        <v/>
      </c>
      <c r="B42" s="118"/>
      <c r="C42" s="119"/>
      <c r="D42" s="119"/>
      <c r="E42" s="120"/>
      <c r="F42" s="121"/>
      <c r="G42" s="121"/>
      <c r="H42" s="121"/>
      <c r="I42" s="121"/>
      <c r="J42" s="121"/>
      <c r="K42" s="121"/>
    </row>
    <row r="43" customFormat="false" ht="15" hidden="false" customHeight="false" outlineLevel="0" collapsed="false">
      <c r="A43" s="40" t="str">
        <f aca="false">IF(B43="","",ROW()-4)</f>
        <v/>
      </c>
      <c r="B43" s="118"/>
      <c r="C43" s="119"/>
      <c r="D43" s="119"/>
      <c r="E43" s="120"/>
      <c r="F43" s="121"/>
      <c r="G43" s="121"/>
      <c r="H43" s="121"/>
      <c r="I43" s="121"/>
      <c r="J43" s="121"/>
      <c r="K43" s="121"/>
    </row>
    <row r="44" customFormat="false" ht="15" hidden="false" customHeight="false" outlineLevel="0" collapsed="false">
      <c r="A44" s="40" t="str">
        <f aca="false">IF(B44="","",ROW()-4)</f>
        <v/>
      </c>
      <c r="B44" s="118"/>
      <c r="C44" s="119"/>
      <c r="D44" s="119"/>
      <c r="E44" s="120"/>
      <c r="F44" s="121"/>
      <c r="G44" s="121"/>
      <c r="H44" s="121"/>
      <c r="I44" s="121"/>
      <c r="J44" s="121"/>
      <c r="K44" s="121"/>
    </row>
    <row r="45" customFormat="false" ht="15" hidden="false" customHeight="false" outlineLevel="0" collapsed="false">
      <c r="A45" s="40" t="str">
        <f aca="false">IF(B45="","",ROW()-4)</f>
        <v/>
      </c>
      <c r="B45" s="118"/>
      <c r="C45" s="119"/>
      <c r="D45" s="119"/>
      <c r="E45" s="120"/>
      <c r="F45" s="121"/>
      <c r="G45" s="121"/>
      <c r="H45" s="121"/>
      <c r="I45" s="121"/>
      <c r="J45" s="121"/>
      <c r="K45" s="121"/>
    </row>
    <row r="46" customFormat="false" ht="15" hidden="false" customHeight="false" outlineLevel="0" collapsed="false">
      <c r="A46" s="40" t="str">
        <f aca="false">IF(B46="","",ROW()-4)</f>
        <v/>
      </c>
      <c r="B46" s="118"/>
      <c r="C46" s="119"/>
      <c r="D46" s="119"/>
      <c r="E46" s="120"/>
      <c r="F46" s="121"/>
      <c r="G46" s="121"/>
      <c r="H46" s="121"/>
      <c r="I46" s="121"/>
      <c r="J46" s="121"/>
      <c r="K46" s="121"/>
    </row>
    <row r="47" customFormat="false" ht="15" hidden="false" customHeight="false" outlineLevel="0" collapsed="false">
      <c r="A47" s="40" t="str">
        <f aca="false">IF(B47="","",ROW()-4)</f>
        <v/>
      </c>
      <c r="B47" s="118"/>
      <c r="C47" s="119"/>
      <c r="D47" s="119"/>
      <c r="E47" s="120"/>
      <c r="F47" s="121"/>
      <c r="G47" s="121"/>
      <c r="H47" s="121"/>
      <c r="I47" s="121"/>
      <c r="J47" s="121"/>
      <c r="K47" s="121"/>
    </row>
    <row r="48" customFormat="false" ht="15" hidden="false" customHeight="false" outlineLevel="0" collapsed="false">
      <c r="A48" s="40" t="str">
        <f aca="false">IF(B48="","",ROW()-4)</f>
        <v/>
      </c>
      <c r="B48" s="118"/>
      <c r="C48" s="119"/>
      <c r="D48" s="119"/>
      <c r="E48" s="120"/>
      <c r="F48" s="121"/>
      <c r="G48" s="121"/>
      <c r="H48" s="121"/>
      <c r="I48" s="121"/>
      <c r="J48" s="121"/>
      <c r="K48" s="121"/>
    </row>
    <row r="49" customFormat="false" ht="15" hidden="false" customHeight="false" outlineLevel="0" collapsed="false">
      <c r="A49" s="40" t="str">
        <f aca="false">IF(B49="","",ROW()-4)</f>
        <v/>
      </c>
      <c r="B49" s="118"/>
      <c r="C49" s="119"/>
      <c r="D49" s="119"/>
      <c r="E49" s="120"/>
      <c r="F49" s="121"/>
      <c r="G49" s="121"/>
      <c r="H49" s="121"/>
      <c r="I49" s="121"/>
      <c r="J49" s="121"/>
      <c r="K49" s="121"/>
    </row>
    <row r="50" customFormat="false" ht="15" hidden="false" customHeight="false" outlineLevel="0" collapsed="false">
      <c r="A50" s="40" t="str">
        <f aca="false">IF(B50="","",ROW()-4)</f>
        <v/>
      </c>
      <c r="B50" s="118"/>
      <c r="C50" s="119"/>
      <c r="D50" s="119"/>
      <c r="E50" s="120"/>
      <c r="F50" s="121"/>
      <c r="G50" s="121"/>
      <c r="H50" s="121"/>
      <c r="I50" s="121"/>
      <c r="J50" s="121"/>
      <c r="K50" s="121"/>
    </row>
    <row r="51" customFormat="false" ht="15" hidden="false" customHeight="false" outlineLevel="0" collapsed="false">
      <c r="A51" s="40" t="str">
        <f aca="false">IF(B51="","",ROW()-4)</f>
        <v/>
      </c>
      <c r="B51" s="118"/>
      <c r="C51" s="119"/>
      <c r="D51" s="119"/>
      <c r="E51" s="120"/>
      <c r="F51" s="121"/>
      <c r="G51" s="121"/>
      <c r="H51" s="121"/>
      <c r="I51" s="121"/>
      <c r="J51" s="121"/>
      <c r="K51" s="121"/>
    </row>
    <row r="52" customFormat="false" ht="15" hidden="false" customHeight="false" outlineLevel="0" collapsed="false">
      <c r="A52" s="40" t="str">
        <f aca="false">IF(B52="","",ROW()-4)</f>
        <v/>
      </c>
      <c r="B52" s="118"/>
      <c r="C52" s="119"/>
      <c r="D52" s="119"/>
      <c r="E52" s="120"/>
      <c r="F52" s="121"/>
      <c r="G52" s="121"/>
      <c r="H52" s="121"/>
      <c r="I52" s="121"/>
      <c r="J52" s="121"/>
      <c r="K52" s="121"/>
    </row>
    <row r="53" customFormat="false" ht="15" hidden="false" customHeight="false" outlineLevel="0" collapsed="false">
      <c r="A53" s="40" t="str">
        <f aca="false">IF(B53="","",ROW()-4)</f>
        <v/>
      </c>
      <c r="B53" s="118"/>
      <c r="C53" s="119"/>
      <c r="D53" s="119"/>
      <c r="E53" s="120"/>
      <c r="F53" s="121"/>
      <c r="G53" s="121"/>
      <c r="H53" s="121"/>
      <c r="I53" s="121"/>
      <c r="J53" s="121"/>
      <c r="K53" s="121"/>
    </row>
    <row r="54" customFormat="false" ht="15" hidden="false" customHeight="false" outlineLevel="0" collapsed="false">
      <c r="A54" s="40" t="str">
        <f aca="false">IF(B54="","",ROW()-4)</f>
        <v/>
      </c>
      <c r="B54" s="118"/>
      <c r="C54" s="119"/>
      <c r="D54" s="119"/>
      <c r="E54" s="120"/>
      <c r="F54" s="121"/>
      <c r="G54" s="121"/>
      <c r="H54" s="121"/>
      <c r="I54" s="121"/>
      <c r="J54" s="121"/>
      <c r="K54" s="121"/>
    </row>
  </sheetData>
  <sheetProtection sheet="1" objects="1" scenarios="1" formatColumns="0" formatRows="0" algorithmName="SHA-512" hashValue="4EDhcI2h4rCZ0LCc+Ih+hrBTYjsBBICNBRg/TmKDXQqYZdscqVjFhTnhRw2qB7lFEcq50EEoQSL+N4tGBUSCfQ==" saltValue="u0GsKhVcNbA+ktOpyVIIMA==" spinCount="100000"/>
  <mergeCells count="1">
    <mergeCell ref="A2:K2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M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9"/>
    <col collapsed="false" customWidth="true" hidden="false" outlineLevel="0" max="3" min="3" style="0" width="20"/>
    <col collapsed="false" customWidth="true" hidden="false" outlineLevel="0" max="4" min="4" style="0" width="9"/>
    <col collapsed="false" customWidth="true" hidden="false" outlineLevel="0" max="6" min="5" style="0" width="11"/>
    <col collapsed="false" customWidth="true" hidden="false" outlineLevel="0" max="8" min="7" style="0" width="9"/>
    <col collapsed="false" customWidth="true" hidden="false" outlineLevel="0" max="9" min="9" style="0" width="26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20"/>
    <col collapsed="false" customWidth="true" hidden="false" outlineLevel="0" max="13" min="13" style="0" width="6"/>
  </cols>
  <sheetData>
    <row r="1" customFormat="false" ht="15" hidden="false" customHeight="false" outlineLevel="0" collapsed="false">
      <c r="A1" s="14" t="s">
        <v>21</v>
      </c>
    </row>
    <row r="2" customFormat="false" ht="27.75" hidden="false" customHeight="true" outlineLevel="0" collapsed="false">
      <c r="A2" s="47" t="str">
        <f aca="false">"Leave Register – Leave Year "&amp;TEXT(Setup!$C$12,"mmm yyyy")&amp;" to "&amp;TEXT(Setup!$C$13,"mmm yyyy")</f>
        <v>Leave Register – Leave Year Jan 2026 to Dec 2026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customFormat="false" ht="15" hidden="false" customHeight="false" outlineLevel="0" collapsed="false">
      <c r="A3" s="48" t="s">
        <v>128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5" customFormat="false" ht="36" hidden="false" customHeight="true" outlineLevel="0" collapsed="false">
      <c r="A5" s="33" t="s">
        <v>96</v>
      </c>
      <c r="B5" s="49" t="s">
        <v>107</v>
      </c>
      <c r="C5" s="33" t="s">
        <v>108</v>
      </c>
      <c r="D5" s="49" t="s">
        <v>68</v>
      </c>
      <c r="E5" s="49" t="s">
        <v>129</v>
      </c>
      <c r="F5" s="49" t="s">
        <v>130</v>
      </c>
      <c r="G5" s="49" t="s">
        <v>131</v>
      </c>
      <c r="H5" s="33" t="s">
        <v>132</v>
      </c>
      <c r="I5" s="49" t="s">
        <v>133</v>
      </c>
      <c r="J5" s="49" t="s">
        <v>134</v>
      </c>
      <c r="K5" s="49" t="s">
        <v>135</v>
      </c>
      <c r="L5" s="33" t="s">
        <v>136</v>
      </c>
      <c r="M5" s="50" t="s">
        <v>137</v>
      </c>
    </row>
    <row r="6" customFormat="false" ht="15" hidden="false" customHeight="false" outlineLevel="0" collapsed="false">
      <c r="A6" s="51" t="n">
        <f aca="false">IF(B6="","",ROW()-5)</f>
        <v>1</v>
      </c>
      <c r="B6" s="118" t="s">
        <v>111</v>
      </c>
      <c r="C6" s="10" t="str">
        <f aca="false">IF(B6="","",IFERROR(INDEX(Employees!$C$5:$C$54,MATCH(B6,Employees!$B$5:$B$54,0)),"Not found"))</f>
        <v>Harpreet Singh</v>
      </c>
      <c r="D6" s="122" t="s">
        <v>74</v>
      </c>
      <c r="E6" s="123" t="n">
        <v>46062</v>
      </c>
      <c r="F6" s="123" t="n">
        <v>46063</v>
      </c>
      <c r="G6" s="118" t="s">
        <v>89</v>
      </c>
      <c r="H6" s="11" t="n">
        <f aca="false">IF(OR(B6="",E6="",F6="",F6&lt;E6),0,IF(G6="Yes",0.5,NETWORKDAYS.INTL(E6,F6,Setup!$C$14,Holidays!$B$5:$B$34)))</f>
        <v>2</v>
      </c>
      <c r="I6" s="119" t="s">
        <v>138</v>
      </c>
      <c r="J6" s="122" t="s">
        <v>139</v>
      </c>
      <c r="K6" s="118" t="s">
        <v>140</v>
      </c>
      <c r="L6" s="54" t="str">
        <f aca="false">IF(B6="","",IF(C6="Not found","Emp ID not found",IF(ISNA(MATCH(D6,Setup!$A$18:$A$23,0)),"Pick leave type",IF(OR(E6="",F6=""),"Enter From &amp; To",IF(F6&lt;E6,"To before From",IF(AND(G6="Yes",F6&gt;E6),"Half day = 1 date",IF(OR(E6&lt;Setup!$C$12,F6&gt;Setup!$C$13),"Outside leave year",IF(H6=0,"No working day",IF(AND(J6&lt;&gt;"Rejected",COUNTIFS($B$6:$B$305,B6,$J$6:$J$305,"&lt;&gt;Rejected",$E$6:$E$305,"&lt;="&amp;F6,$F$6:$F$305,"&gt;="&amp;E6)&gt;1),"Overlaps another leave",IF(AND(J6="Approved",N(INDEX(Balance!$F$6:$W$55,MATCH(B6,Balance!$B$6:$B$55,0),MATCH(D6,Setup!$A$18:$A$23,0)*3))&lt;0),"Exceeds balance",IF(J6="","Set status","OK")))))))))))</f>
        <v>OK</v>
      </c>
      <c r="M6" s="55" t="n">
        <f aca="false">IF(AND(B6&lt;&gt;"",B6='Leave Card'!$C$3),COUNTIF($B$6:B6,'Leave Card'!$C$3),"")</f>
        <v>1</v>
      </c>
    </row>
    <row r="7" customFormat="false" ht="15" hidden="false" customHeight="false" outlineLevel="0" collapsed="false">
      <c r="A7" s="51" t="n">
        <f aca="false">IF(B7="","",ROW()-5)</f>
        <v>2</v>
      </c>
      <c r="B7" s="118" t="s">
        <v>111</v>
      </c>
      <c r="C7" s="10" t="str">
        <f aca="false">IF(B7="","",IFERROR(INDEX(Employees!$C$5:$C$54,MATCH(B7,Employees!$B$5:$B$54,0)),"Not found"))</f>
        <v>Harpreet Singh</v>
      </c>
      <c r="D7" s="122" t="s">
        <v>80</v>
      </c>
      <c r="E7" s="123" t="n">
        <v>46167</v>
      </c>
      <c r="F7" s="123" t="n">
        <v>46172</v>
      </c>
      <c r="G7" s="118" t="s">
        <v>89</v>
      </c>
      <c r="H7" s="11" t="n">
        <f aca="false">IF(OR(B7="",E7="",F7="",F7&lt;E7),0,IF(G7="Yes",0.5,NETWORKDAYS.INTL(E7,F7,Setup!$C$14,Holidays!$B$5:$B$34)))</f>
        <v>6</v>
      </c>
      <c r="I7" s="119" t="s">
        <v>141</v>
      </c>
      <c r="J7" s="122" t="s">
        <v>139</v>
      </c>
      <c r="K7" s="118" t="s">
        <v>140</v>
      </c>
      <c r="L7" s="54" t="str">
        <f aca="false">IF(B7="","",IF(C7="Not found","Emp ID not found",IF(ISNA(MATCH(D7,Setup!$A$18:$A$23,0)),"Pick leave type",IF(OR(E7="",F7=""),"Enter From &amp; To",IF(F7&lt;E7,"To before From",IF(AND(G7="Yes",F7&gt;E7),"Half day = 1 date",IF(OR(E7&lt;Setup!$C$12,F7&gt;Setup!$C$13),"Outside leave year",IF(H7=0,"No working day",IF(AND(J7&lt;&gt;"Rejected",COUNTIFS($B$6:$B$305,B7,$J$6:$J$305,"&lt;&gt;Rejected",$E$6:$E$305,"&lt;="&amp;F7,$F$6:$F$305,"&gt;="&amp;E7)&gt;1),"Overlaps another leave",IF(AND(J7="Approved",N(INDEX(Balance!$F$6:$W$55,MATCH(B7,Balance!$B$6:$B$55,0),MATCH(D7,Setup!$A$18:$A$23,0)*3))&lt;0),"Exceeds balance",IF(J7="","Set status","OK")))))))))))</f>
        <v>OK</v>
      </c>
      <c r="M7" s="55" t="n">
        <f aca="false">IF(AND(B7&lt;&gt;"",B7='Leave Card'!$C$3),COUNTIF($B$6:B7,'Leave Card'!$C$3),"")</f>
        <v>2</v>
      </c>
    </row>
    <row r="8" customFormat="false" ht="15" hidden="false" customHeight="false" outlineLevel="0" collapsed="false">
      <c r="A8" s="51" t="n">
        <f aca="false">IF(B8="","",ROW()-5)</f>
        <v>3</v>
      </c>
      <c r="B8" s="118" t="s">
        <v>114</v>
      </c>
      <c r="C8" s="10" t="str">
        <f aca="false">IF(B8="","",IFERROR(INDEX(Employees!$C$5:$C$54,MATCH(B8,Employees!$B$5:$B$54,0)),"Not found"))</f>
        <v>Simran Kaur</v>
      </c>
      <c r="D8" s="122" t="s">
        <v>78</v>
      </c>
      <c r="E8" s="123" t="n">
        <v>46097</v>
      </c>
      <c r="F8" s="123" t="n">
        <v>46099</v>
      </c>
      <c r="G8" s="118" t="s">
        <v>89</v>
      </c>
      <c r="H8" s="11" t="n">
        <f aca="false">IF(OR(B8="",E8="",F8="",F8&lt;E8),0,IF(G8="Yes",0.5,NETWORKDAYS.INTL(E8,F8,Setup!$C$14,Holidays!$B$5:$B$34)))</f>
        <v>3</v>
      </c>
      <c r="I8" s="119" t="s">
        <v>142</v>
      </c>
      <c r="J8" s="122" t="s">
        <v>139</v>
      </c>
      <c r="K8" s="118" t="s">
        <v>140</v>
      </c>
      <c r="L8" s="54" t="str">
        <f aca="false">IF(B8="","",IF(C8="Not found","Emp ID not found",IF(ISNA(MATCH(D8,Setup!$A$18:$A$23,0)),"Pick leave type",IF(OR(E8="",F8=""),"Enter From &amp; To",IF(F8&lt;E8,"To before From",IF(AND(G8="Yes",F8&gt;E8),"Half day = 1 date",IF(OR(E8&lt;Setup!$C$12,F8&gt;Setup!$C$13),"Outside leave year",IF(H8=0,"No working day",IF(AND(J8&lt;&gt;"Rejected",COUNTIFS($B$6:$B$305,B8,$J$6:$J$305,"&lt;&gt;Rejected",$E$6:$E$305,"&lt;="&amp;F8,$F$6:$F$305,"&gt;="&amp;E8)&gt;1),"Overlaps another leave",IF(AND(J8="Approved",N(INDEX(Balance!$F$6:$W$55,MATCH(B8,Balance!$B$6:$B$55,0),MATCH(D8,Setup!$A$18:$A$23,0)*3))&lt;0),"Exceeds balance",IF(J8="","Set status","OK")))))))))))</f>
        <v>OK</v>
      </c>
      <c r="M8" s="55" t="str">
        <f aca="false">IF(AND(B8&lt;&gt;"",B8='Leave Card'!$C$3),COUNTIF($B$6:B8,'Leave Card'!$C$3),"")</f>
        <v/>
      </c>
    </row>
    <row r="9" customFormat="false" ht="15" hidden="false" customHeight="false" outlineLevel="0" collapsed="false">
      <c r="A9" s="51" t="n">
        <f aca="false">IF(B9="","",ROW()-5)</f>
        <v>4</v>
      </c>
      <c r="B9" s="118" t="s">
        <v>114</v>
      </c>
      <c r="C9" s="10" t="str">
        <f aca="false">IF(B9="","",IFERROR(INDEX(Employees!$C$5:$C$54,MATCH(B9,Employees!$B$5:$B$54,0)),"Not found"))</f>
        <v>Simran Kaur</v>
      </c>
      <c r="D9" s="122" t="s">
        <v>74</v>
      </c>
      <c r="E9" s="123" t="n">
        <v>46248</v>
      </c>
      <c r="F9" s="123" t="n">
        <v>46248</v>
      </c>
      <c r="G9" s="118" t="s">
        <v>58</v>
      </c>
      <c r="H9" s="11" t="n">
        <f aca="false">IF(OR(B9="",E9="",F9="",F9&lt;E9),0,IF(G9="Yes",0.5,NETWORKDAYS.INTL(E9,F9,Setup!$C$14,Holidays!$B$5:$B$34)))</f>
        <v>0.5</v>
      </c>
      <c r="I9" s="119" t="s">
        <v>143</v>
      </c>
      <c r="J9" s="122" t="s">
        <v>139</v>
      </c>
      <c r="K9" s="118" t="s">
        <v>140</v>
      </c>
      <c r="L9" s="54" t="str">
        <f aca="false">IF(B9="","",IF(C9="Not found","Emp ID not found",IF(ISNA(MATCH(D9,Setup!$A$18:$A$23,0)),"Pick leave type",IF(OR(E9="",F9=""),"Enter From &amp; To",IF(F9&lt;E9,"To before From",IF(AND(G9="Yes",F9&gt;E9),"Half day = 1 date",IF(OR(E9&lt;Setup!$C$12,F9&gt;Setup!$C$13),"Outside leave year",IF(H9=0,"No working day",IF(AND(J9&lt;&gt;"Rejected",COUNTIFS($B$6:$B$305,B9,$J$6:$J$305,"&lt;&gt;Rejected",$E$6:$E$305,"&lt;="&amp;F9,$F$6:$F$305,"&gt;="&amp;E9)&gt;1),"Overlaps another leave",IF(AND(J9="Approved",N(INDEX(Balance!$F$6:$W$55,MATCH(B9,Balance!$B$6:$B$55,0),MATCH(D9,Setup!$A$18:$A$23,0)*3))&lt;0),"Exceeds balance",IF(J9="","Set status","OK")))))))))))</f>
        <v>OK</v>
      </c>
      <c r="M9" s="55" t="str">
        <f aca="false">IF(AND(B9&lt;&gt;"",B9='Leave Card'!$C$3),COUNTIF($B$6:B9,'Leave Card'!$C$3),"")</f>
        <v/>
      </c>
    </row>
    <row r="10" customFormat="false" ht="15" hidden="false" customHeight="false" outlineLevel="0" collapsed="false">
      <c r="A10" s="51" t="n">
        <f aca="false">IF(B10="","",ROW()-5)</f>
        <v>5</v>
      </c>
      <c r="B10" s="118" t="s">
        <v>117</v>
      </c>
      <c r="C10" s="10" t="str">
        <f aca="false">IF(B10="","",IFERROR(INDEX(Employees!$C$5:$C$54,MATCH(B10,Employees!$B$5:$B$54,0)),"Not found"))</f>
        <v>Amit Verma</v>
      </c>
      <c r="D10" s="122" t="s">
        <v>87</v>
      </c>
      <c r="E10" s="123" t="n">
        <v>46174</v>
      </c>
      <c r="F10" s="123" t="n">
        <v>46178</v>
      </c>
      <c r="G10" s="118" t="s">
        <v>89</v>
      </c>
      <c r="H10" s="11" t="n">
        <f aca="false">IF(OR(B10="",E10="",F10="",F10&lt;E10),0,IF(G10="Yes",0.5,NETWORKDAYS.INTL(E10,F10,Setup!$C$14,Holidays!$B$5:$B$34)))</f>
        <v>5</v>
      </c>
      <c r="I10" s="119" t="s">
        <v>144</v>
      </c>
      <c r="J10" s="122" t="s">
        <v>139</v>
      </c>
      <c r="K10" s="118" t="s">
        <v>140</v>
      </c>
      <c r="L10" s="54" t="str">
        <f aca="false">IF(B10="","",IF(C10="Not found","Emp ID not found",IF(ISNA(MATCH(D10,Setup!$A$18:$A$23,0)),"Pick leave type",IF(OR(E10="",F10=""),"Enter From &amp; To",IF(F10&lt;E10,"To before From",IF(AND(G10="Yes",F10&gt;E10),"Half day = 1 date",IF(OR(E10&lt;Setup!$C$12,F10&gt;Setup!$C$13),"Outside leave year",IF(H10=0,"No working day",IF(AND(J10&lt;&gt;"Rejected",COUNTIFS($B$6:$B$305,B10,$J$6:$J$305,"&lt;&gt;Rejected",$E$6:$E$305,"&lt;="&amp;F10,$F$6:$F$305,"&gt;="&amp;E10)&gt;1),"Overlaps another leave",IF(AND(J10="Approved",N(INDEX(Balance!$F$6:$W$55,MATCH(B10,Balance!$B$6:$B$55,0),MATCH(D10,Setup!$A$18:$A$23,0)*3))&lt;0),"Exceeds balance",IF(J10="","Set status","OK")))))))))))</f>
        <v>OK</v>
      </c>
      <c r="M10" s="55" t="str">
        <f aca="false">IF(AND(B10&lt;&gt;"",B10='Leave Card'!$C$3),COUNTIF($B$6:B10,'Leave Card'!$C$3),"")</f>
        <v/>
      </c>
    </row>
    <row r="11" customFormat="false" ht="15" hidden="false" customHeight="false" outlineLevel="0" collapsed="false">
      <c r="A11" s="51" t="n">
        <f aca="false">IF(B11="","",ROW()-5)</f>
        <v>6</v>
      </c>
      <c r="B11" s="118" t="s">
        <v>120</v>
      </c>
      <c r="C11" s="10" t="str">
        <f aca="false">IF(B11="","",IFERROR(INDEX(Employees!$C$5:$C$54,MATCH(B11,Employees!$B$5:$B$54,0)),"Not found"))</f>
        <v>Neha Gupta</v>
      </c>
      <c r="D11" s="122" t="s">
        <v>80</v>
      </c>
      <c r="E11" s="123" t="n">
        <v>46307</v>
      </c>
      <c r="F11" s="123" t="n">
        <v>46318</v>
      </c>
      <c r="G11" s="118" t="s">
        <v>89</v>
      </c>
      <c r="H11" s="11" t="n">
        <f aca="false">IF(OR(B11="",E11="",F11="",F11&lt;E11),0,IF(G11="Yes",0.5,NETWORKDAYS.INTL(E11,F11,Setup!$C$14,Holidays!$B$5:$B$34)))</f>
        <v>10</v>
      </c>
      <c r="I11" s="119" t="s">
        <v>145</v>
      </c>
      <c r="J11" s="122" t="s">
        <v>139</v>
      </c>
      <c r="K11" s="118" t="s">
        <v>140</v>
      </c>
      <c r="L11" s="54" t="str">
        <f aca="false">IF(B11="","",IF(C11="Not found","Emp ID not found",IF(ISNA(MATCH(D11,Setup!$A$18:$A$23,0)),"Pick leave type",IF(OR(E11="",F11=""),"Enter From &amp; To",IF(F11&lt;E11,"To before From",IF(AND(G11="Yes",F11&gt;E11),"Half day = 1 date",IF(OR(E11&lt;Setup!$C$12,F11&gt;Setup!$C$13),"Outside leave year",IF(H11=0,"No working day",IF(AND(J11&lt;&gt;"Rejected",COUNTIFS($B$6:$B$305,B11,$J$6:$J$305,"&lt;&gt;Rejected",$E$6:$E$305,"&lt;="&amp;F11,$F$6:$F$305,"&gt;="&amp;E11)&gt;1),"Overlaps another leave",IF(AND(J11="Approved",N(INDEX(Balance!$F$6:$W$55,MATCH(B11,Balance!$B$6:$B$55,0),MATCH(D11,Setup!$A$18:$A$23,0)*3))&lt;0),"Exceeds balance",IF(J11="","Set status","OK")))))))))))</f>
        <v>OK</v>
      </c>
      <c r="M11" s="55" t="str">
        <f aca="false">IF(AND(B11&lt;&gt;"",B11='Leave Card'!$C$3),COUNTIF($B$6:B11,'Leave Card'!$C$3),"")</f>
        <v/>
      </c>
    </row>
    <row r="12" customFormat="false" ht="15" hidden="false" customHeight="false" outlineLevel="0" collapsed="false">
      <c r="A12" s="51" t="n">
        <f aca="false">IF(B12="","",ROW()-5)</f>
        <v>7</v>
      </c>
      <c r="B12" s="118" t="s">
        <v>123</v>
      </c>
      <c r="C12" s="10" t="str">
        <f aca="false">IF(B12="","",IFERROR(INDEX(Employees!$C$5:$C$54,MATCH(B12,Employees!$B$5:$B$54,0)),"Not found"))</f>
        <v>Gurpreet Kaur</v>
      </c>
      <c r="D12" s="122" t="s">
        <v>74</v>
      </c>
      <c r="E12" s="123" t="n">
        <v>46272</v>
      </c>
      <c r="F12" s="123" t="n">
        <v>46273</v>
      </c>
      <c r="G12" s="118" t="s">
        <v>89</v>
      </c>
      <c r="H12" s="11" t="n">
        <f aca="false">IF(OR(B12="",E12="",F12="",F12&lt;E12),0,IF(G12="Yes",0.5,NETWORKDAYS.INTL(E12,F12,Setup!$C$14,Holidays!$B$5:$B$34)))</f>
        <v>2</v>
      </c>
      <c r="I12" s="119" t="s">
        <v>146</v>
      </c>
      <c r="J12" s="122" t="s">
        <v>139</v>
      </c>
      <c r="K12" s="118" t="s">
        <v>140</v>
      </c>
      <c r="L12" s="54" t="str">
        <f aca="false">IF(B12="","",IF(C12="Not found","Emp ID not found",IF(ISNA(MATCH(D12,Setup!$A$18:$A$23,0)),"Pick leave type",IF(OR(E12="",F12=""),"Enter From &amp; To",IF(F12&lt;E12,"To before From",IF(AND(G12="Yes",F12&gt;E12),"Half day = 1 date",IF(OR(E12&lt;Setup!$C$12,F12&gt;Setup!$C$13),"Outside leave year",IF(H12=0,"No working day",IF(AND(J12&lt;&gt;"Rejected",COUNTIFS($B$6:$B$305,B12,$J$6:$J$305,"&lt;&gt;Rejected",$E$6:$E$305,"&lt;="&amp;F12,$F$6:$F$305,"&gt;="&amp;E12)&gt;1),"Overlaps another leave",IF(AND(J12="Approved",N(INDEX(Balance!$F$6:$W$55,MATCH(B12,Balance!$B$6:$B$55,0),MATCH(D12,Setup!$A$18:$A$23,0)*3))&lt;0),"Exceeds balance",IF(J12="","Set status","OK")))))))))))</f>
        <v>OK</v>
      </c>
      <c r="M12" s="55" t="str">
        <f aca="false">IF(AND(B12&lt;&gt;"",B12='Leave Card'!$C$3),COUNTIF($B$6:B12,'Leave Card'!$C$3),"")</f>
        <v/>
      </c>
    </row>
    <row r="13" customFormat="false" ht="15" hidden="false" customHeight="false" outlineLevel="0" collapsed="false">
      <c r="A13" s="51" t="n">
        <f aca="false">IF(B13="","",ROW()-5)</f>
        <v>8</v>
      </c>
      <c r="B13" s="118" t="s">
        <v>123</v>
      </c>
      <c r="C13" s="10" t="str">
        <f aca="false">IF(B13="","",IFERROR(INDEX(Employees!$C$5:$C$54,MATCH(B13,Employees!$B$5:$B$54,0)),"Not found"))</f>
        <v>Gurpreet Kaur</v>
      </c>
      <c r="D13" s="122" t="s">
        <v>74</v>
      </c>
      <c r="E13" s="123" t="n">
        <v>46296</v>
      </c>
      <c r="F13" s="123" t="n">
        <v>46300</v>
      </c>
      <c r="G13" s="118" t="s">
        <v>89</v>
      </c>
      <c r="H13" s="11" t="n">
        <f aca="false">IF(OR(B13="",E13="",F13="",F13&lt;E13),0,IF(G13="Yes",0.5,NETWORKDAYS.INTL(E13,F13,Setup!$C$14,Holidays!$B$5:$B$34)))</f>
        <v>3</v>
      </c>
      <c r="I13" s="119" t="s">
        <v>147</v>
      </c>
      <c r="J13" s="122" t="s">
        <v>148</v>
      </c>
      <c r="K13" s="118"/>
      <c r="L13" s="54" t="str">
        <f aca="false">IF(B13="","",IF(C13="Not found","Emp ID not found",IF(ISNA(MATCH(D13,Setup!$A$18:$A$23,0)),"Pick leave type",IF(OR(E13="",F13=""),"Enter From &amp; To",IF(F13&lt;E13,"To before From",IF(AND(G13="Yes",F13&gt;E13),"Half day = 1 date",IF(OR(E13&lt;Setup!$C$12,F13&gt;Setup!$C$13),"Outside leave year",IF(H13=0,"No working day",IF(AND(J13&lt;&gt;"Rejected",COUNTIFS($B$6:$B$305,B13,$J$6:$J$305,"&lt;&gt;Rejected",$E$6:$E$305,"&lt;="&amp;F13,$F$6:$F$305,"&gt;="&amp;E13)&gt;1),"Overlaps another leave",IF(AND(J13="Approved",N(INDEX(Balance!$F$6:$W$55,MATCH(B13,Balance!$B$6:$B$55,0),MATCH(D13,Setup!$A$18:$A$23,0)*3))&lt;0),"Exceeds balance",IF(J13="","Set status","OK")))))))))))</f>
        <v>OK</v>
      </c>
      <c r="M13" s="55" t="str">
        <f aca="false">IF(AND(B13&lt;&gt;"",B13='Leave Card'!$C$3),COUNTIF($B$6:B13,'Leave Card'!$C$3),"")</f>
        <v/>
      </c>
    </row>
    <row r="14" customFormat="false" ht="15" hidden="false" customHeight="false" outlineLevel="0" collapsed="false">
      <c r="A14" s="51" t="n">
        <f aca="false">IF(B14="","",ROW()-5)</f>
        <v>9</v>
      </c>
      <c r="B14" s="118" t="s">
        <v>126</v>
      </c>
      <c r="C14" s="10" t="str">
        <f aca="false">IF(B14="","",IFERROR(INDEX(Employees!$C$5:$C$54,MATCH(B14,Employees!$B$5:$B$54,0)),"Not found"))</f>
        <v>Rajesh Kumar</v>
      </c>
      <c r="D14" s="122" t="s">
        <v>78</v>
      </c>
      <c r="E14" s="123" t="n">
        <v>46301</v>
      </c>
      <c r="F14" s="123" t="n">
        <v>46302</v>
      </c>
      <c r="G14" s="118" t="s">
        <v>89</v>
      </c>
      <c r="H14" s="11" t="n">
        <f aca="false">IF(OR(B14="",E14="",F14="",F14&lt;E14),0,IF(G14="Yes",0.5,NETWORKDAYS.INTL(E14,F14,Setup!$C$14,Holidays!$B$5:$B$34)))</f>
        <v>2</v>
      </c>
      <c r="I14" s="119" t="s">
        <v>149</v>
      </c>
      <c r="J14" s="122" t="s">
        <v>139</v>
      </c>
      <c r="K14" s="118" t="s">
        <v>140</v>
      </c>
      <c r="L14" s="54" t="str">
        <f aca="false">IF(B14="","",IF(C14="Not found","Emp ID not found",IF(ISNA(MATCH(D14,Setup!$A$18:$A$23,0)),"Pick leave type",IF(OR(E14="",F14=""),"Enter From &amp; To",IF(F14&lt;E14,"To before From",IF(AND(G14="Yes",F14&gt;E14),"Half day = 1 date",IF(OR(E14&lt;Setup!$C$12,F14&gt;Setup!$C$13),"Outside leave year",IF(H14=0,"No working day",IF(AND(J14&lt;&gt;"Rejected",COUNTIFS($B$6:$B$305,B14,$J$6:$J$305,"&lt;&gt;Rejected",$E$6:$E$305,"&lt;="&amp;F14,$F$6:$F$305,"&gt;="&amp;E14)&gt;1),"Overlaps another leave",IF(AND(J14="Approved",N(INDEX(Balance!$F$6:$W$55,MATCH(B14,Balance!$B$6:$B$55,0),MATCH(D14,Setup!$A$18:$A$23,0)*3))&lt;0),"Exceeds balance",IF(J14="","Set status","OK")))))))))))</f>
        <v>OK</v>
      </c>
      <c r="M14" s="55" t="str">
        <f aca="false">IF(AND(B14&lt;&gt;"",B14='Leave Card'!$C$3),COUNTIF($B$6:B14,'Leave Card'!$C$3),"")</f>
        <v/>
      </c>
    </row>
    <row r="15" customFormat="false" ht="15" hidden="false" customHeight="false" outlineLevel="0" collapsed="false">
      <c r="A15" s="51" t="n">
        <f aca="false">IF(B15="","",ROW()-5)</f>
        <v>10</v>
      </c>
      <c r="B15" s="118" t="s">
        <v>126</v>
      </c>
      <c r="C15" s="10" t="str">
        <f aca="false">IF(B15="","",IFERROR(INDEX(Employees!$C$5:$C$54,MATCH(B15,Employees!$B$5:$B$54,0)),"Not found"))</f>
        <v>Rajesh Kumar</v>
      </c>
      <c r="D15" s="122" t="s">
        <v>84</v>
      </c>
      <c r="E15" s="123" t="n">
        <v>46304</v>
      </c>
      <c r="F15" s="123" t="n">
        <v>46304</v>
      </c>
      <c r="G15" s="118" t="s">
        <v>89</v>
      </c>
      <c r="H15" s="11" t="n">
        <f aca="false">IF(OR(B15="",E15="",F15="",F15&lt;E15),0,IF(G15="Yes",0.5,NETWORKDAYS.INTL(E15,F15,Setup!$C$14,Holidays!$B$5:$B$34)))</f>
        <v>1</v>
      </c>
      <c r="I15" s="119" t="s">
        <v>150</v>
      </c>
      <c r="J15" s="122" t="s">
        <v>139</v>
      </c>
      <c r="K15" s="118" t="s">
        <v>140</v>
      </c>
      <c r="L15" s="54" t="str">
        <f aca="false">IF(B15="","",IF(C15="Not found","Emp ID not found",IF(ISNA(MATCH(D15,Setup!$A$18:$A$23,0)),"Pick leave type",IF(OR(E15="",F15=""),"Enter From &amp; To",IF(F15&lt;E15,"To before From",IF(AND(G15="Yes",F15&gt;E15),"Half day = 1 date",IF(OR(E15&lt;Setup!$C$12,F15&gt;Setup!$C$13),"Outside leave year",IF(H15=0,"No working day",IF(AND(J15&lt;&gt;"Rejected",COUNTIFS($B$6:$B$305,B15,$J$6:$J$305,"&lt;&gt;Rejected",$E$6:$E$305,"&lt;="&amp;F15,$F$6:$F$305,"&gt;="&amp;E15)&gt;1),"Overlaps another leave",IF(AND(J15="Approved",N(INDEX(Balance!$F$6:$W$55,MATCH(B15,Balance!$B$6:$B$55,0),MATCH(D15,Setup!$A$18:$A$23,0)*3))&lt;0),"Exceeds balance",IF(J15="","Set status","OK")))))))))))</f>
        <v>Exceeds balance</v>
      </c>
      <c r="M15" s="55" t="str">
        <f aca="false">IF(AND(B15&lt;&gt;"",B15='Leave Card'!$C$3),COUNTIF($B$6:B15,'Leave Card'!$C$3),"")</f>
        <v/>
      </c>
    </row>
    <row r="16" customFormat="false" ht="15" hidden="false" customHeight="false" outlineLevel="0" collapsed="false">
      <c r="A16" s="51" t="n">
        <f aca="false">IF(B16="","",ROW()-5)</f>
        <v>11</v>
      </c>
      <c r="B16" s="118" t="s">
        <v>117</v>
      </c>
      <c r="C16" s="10" t="str">
        <f aca="false">IF(B16="","",IFERROR(INDEX(Employees!$C$5:$C$54,MATCH(B16,Employees!$B$5:$B$54,0)),"Not found"))</f>
        <v>Amit Verma</v>
      </c>
      <c r="D16" s="122" t="s">
        <v>74</v>
      </c>
      <c r="E16" s="123" t="n">
        <v>46303</v>
      </c>
      <c r="F16" s="123" t="n">
        <v>46304</v>
      </c>
      <c r="G16" s="118" t="s">
        <v>89</v>
      </c>
      <c r="H16" s="11" t="n">
        <f aca="false">IF(OR(B16="",E16="",F16="",F16&lt;E16),0,IF(G16="Yes",0.5,NETWORKDAYS.INTL(E16,F16,Setup!$C$14,Holidays!$B$5:$B$34)))</f>
        <v>2</v>
      </c>
      <c r="I16" s="119" t="s">
        <v>151</v>
      </c>
      <c r="J16" s="122" t="s">
        <v>152</v>
      </c>
      <c r="K16" s="118" t="s">
        <v>140</v>
      </c>
      <c r="L16" s="54" t="str">
        <f aca="false">IF(B16="","",IF(C16="Not found","Emp ID not found",IF(ISNA(MATCH(D16,Setup!$A$18:$A$23,0)),"Pick leave type",IF(OR(E16="",F16=""),"Enter From &amp; To",IF(F16&lt;E16,"To before From",IF(AND(G16="Yes",F16&gt;E16),"Half day = 1 date",IF(OR(E16&lt;Setup!$C$12,F16&gt;Setup!$C$13),"Outside leave year",IF(H16=0,"No working day",IF(AND(J16&lt;&gt;"Rejected",COUNTIFS($B$6:$B$305,B16,$J$6:$J$305,"&lt;&gt;Rejected",$E$6:$E$305,"&lt;="&amp;F16,$F$6:$F$305,"&gt;="&amp;E16)&gt;1),"Overlaps another leave",IF(AND(J16="Approved",N(INDEX(Balance!$F$6:$W$55,MATCH(B16,Balance!$B$6:$B$55,0),MATCH(D16,Setup!$A$18:$A$23,0)*3))&lt;0),"Exceeds balance",IF(J16="","Set status","OK")))))))))))</f>
        <v>OK</v>
      </c>
      <c r="M16" s="55" t="str">
        <f aca="false">IF(AND(B16&lt;&gt;"",B16='Leave Card'!$C$3),COUNTIF($B$6:B16,'Leave Card'!$C$3),"")</f>
        <v/>
      </c>
    </row>
    <row r="17" customFormat="false" ht="15" hidden="false" customHeight="false" outlineLevel="0" collapsed="false">
      <c r="A17" s="51" t="str">
        <f aca="false">IF(B17="","",ROW()-5)</f>
        <v/>
      </c>
      <c r="B17" s="118"/>
      <c r="C17" s="10" t="str">
        <f aca="false">IF(B17="","",IFERROR(INDEX(Employees!$C$5:$C$54,MATCH(B17,Employees!$B$5:$B$54,0)),"Not found"))</f>
        <v/>
      </c>
      <c r="D17" s="122"/>
      <c r="E17" s="123"/>
      <c r="F17" s="123"/>
      <c r="G17" s="118"/>
      <c r="H17" s="11" t="n">
        <f aca="false">IF(OR(B17="",E17="",F17="",F17&lt;E17),0,IF(G17="Yes",0.5,NETWORKDAYS.INTL(E17,F17,Setup!$C$14,Holidays!$B$5:$B$34)))</f>
        <v>0</v>
      </c>
      <c r="I17" s="119"/>
      <c r="J17" s="122"/>
      <c r="K17" s="118"/>
      <c r="L17" s="54" t="str">
        <f aca="false">IF(B17="","",IF(C17="Not found","Emp ID not found",IF(ISNA(MATCH(D17,Setup!$A$18:$A$23,0)),"Pick leave type",IF(OR(E17="",F17=""),"Enter From &amp; To",IF(F17&lt;E17,"To before From",IF(AND(G17="Yes",F17&gt;E17),"Half day = 1 date",IF(OR(E17&lt;Setup!$C$12,F17&gt;Setup!$C$13),"Outside leave year",IF(H17=0,"No working day",IF(AND(J17&lt;&gt;"Rejected",COUNTIFS($B$6:$B$305,B17,$J$6:$J$305,"&lt;&gt;Rejected",$E$6:$E$305,"&lt;="&amp;F17,$F$6:$F$305,"&gt;="&amp;E17)&gt;1),"Overlaps another leave",IF(AND(J17="Approved",N(INDEX(Balance!$F$6:$W$55,MATCH(B17,Balance!$B$6:$B$55,0),MATCH(D17,Setup!$A$18:$A$23,0)*3))&lt;0),"Exceeds balance",IF(J17="","Set status","OK")))))))))))</f>
        <v/>
      </c>
      <c r="M17" s="55" t="str">
        <f aca="false">IF(AND(B17&lt;&gt;"",B17='Leave Card'!$C$3),COUNTIF($B$6:B17,'Leave Card'!$C$3),"")</f>
        <v/>
      </c>
    </row>
    <row r="18" customFormat="false" ht="15" hidden="false" customHeight="false" outlineLevel="0" collapsed="false">
      <c r="A18" s="51" t="str">
        <f aca="false">IF(B18="","",ROW()-5)</f>
        <v/>
      </c>
      <c r="B18" s="118"/>
      <c r="C18" s="10" t="str">
        <f aca="false">IF(B18="","",IFERROR(INDEX(Employees!$C$5:$C$54,MATCH(B18,Employees!$B$5:$B$54,0)),"Not found"))</f>
        <v/>
      </c>
      <c r="D18" s="122"/>
      <c r="E18" s="123"/>
      <c r="F18" s="123"/>
      <c r="G18" s="118"/>
      <c r="H18" s="11" t="n">
        <f aca="false">IF(OR(B18="",E18="",F18="",F18&lt;E18),0,IF(G18="Yes",0.5,NETWORKDAYS.INTL(E18,F18,Setup!$C$14,Holidays!$B$5:$B$34)))</f>
        <v>0</v>
      </c>
      <c r="I18" s="119"/>
      <c r="J18" s="122"/>
      <c r="K18" s="118"/>
      <c r="L18" s="54" t="str">
        <f aca="false">IF(B18="","",IF(C18="Not found","Emp ID not found",IF(ISNA(MATCH(D18,Setup!$A$18:$A$23,0)),"Pick leave type",IF(OR(E18="",F18=""),"Enter From &amp; To",IF(F18&lt;E18,"To before From",IF(AND(G18="Yes",F18&gt;E18),"Half day = 1 date",IF(OR(E18&lt;Setup!$C$12,F18&gt;Setup!$C$13),"Outside leave year",IF(H18=0,"No working day",IF(AND(J18&lt;&gt;"Rejected",COUNTIFS($B$6:$B$305,B18,$J$6:$J$305,"&lt;&gt;Rejected",$E$6:$E$305,"&lt;="&amp;F18,$F$6:$F$305,"&gt;="&amp;E18)&gt;1),"Overlaps another leave",IF(AND(J18="Approved",N(INDEX(Balance!$F$6:$W$55,MATCH(B18,Balance!$B$6:$B$55,0),MATCH(D18,Setup!$A$18:$A$23,0)*3))&lt;0),"Exceeds balance",IF(J18="","Set status","OK")))))))))))</f>
        <v/>
      </c>
      <c r="M18" s="55" t="str">
        <f aca="false">IF(AND(B18&lt;&gt;"",B18='Leave Card'!$C$3),COUNTIF($B$6:B18,'Leave Card'!$C$3),"")</f>
        <v/>
      </c>
    </row>
    <row r="19" customFormat="false" ht="15" hidden="false" customHeight="false" outlineLevel="0" collapsed="false">
      <c r="A19" s="51" t="str">
        <f aca="false">IF(B19="","",ROW()-5)</f>
        <v/>
      </c>
      <c r="B19" s="118"/>
      <c r="C19" s="10" t="str">
        <f aca="false">IF(B19="","",IFERROR(INDEX(Employees!$C$5:$C$54,MATCH(B19,Employees!$B$5:$B$54,0)),"Not found"))</f>
        <v/>
      </c>
      <c r="D19" s="122"/>
      <c r="E19" s="123"/>
      <c r="F19" s="123"/>
      <c r="G19" s="118"/>
      <c r="H19" s="11" t="n">
        <f aca="false">IF(OR(B19="",E19="",F19="",F19&lt;E19),0,IF(G19="Yes",0.5,NETWORKDAYS.INTL(E19,F19,Setup!$C$14,Holidays!$B$5:$B$34)))</f>
        <v>0</v>
      </c>
      <c r="I19" s="119"/>
      <c r="J19" s="122"/>
      <c r="K19" s="118"/>
      <c r="L19" s="54" t="str">
        <f aca="false">IF(B19="","",IF(C19="Not found","Emp ID not found",IF(ISNA(MATCH(D19,Setup!$A$18:$A$23,0)),"Pick leave type",IF(OR(E19="",F19=""),"Enter From &amp; To",IF(F19&lt;E19,"To before From",IF(AND(G19="Yes",F19&gt;E19),"Half day = 1 date",IF(OR(E19&lt;Setup!$C$12,F19&gt;Setup!$C$13),"Outside leave year",IF(H19=0,"No working day",IF(AND(J19&lt;&gt;"Rejected",COUNTIFS($B$6:$B$305,B19,$J$6:$J$305,"&lt;&gt;Rejected",$E$6:$E$305,"&lt;="&amp;F19,$F$6:$F$305,"&gt;="&amp;E19)&gt;1),"Overlaps another leave",IF(AND(J19="Approved",N(INDEX(Balance!$F$6:$W$55,MATCH(B19,Balance!$B$6:$B$55,0),MATCH(D19,Setup!$A$18:$A$23,0)*3))&lt;0),"Exceeds balance",IF(J19="","Set status","OK")))))))))))</f>
        <v/>
      </c>
      <c r="M19" s="55" t="str">
        <f aca="false">IF(AND(B19&lt;&gt;"",B19='Leave Card'!$C$3),COUNTIF($B$6:B19,'Leave Card'!$C$3),"")</f>
        <v/>
      </c>
    </row>
    <row r="20" customFormat="false" ht="15" hidden="false" customHeight="false" outlineLevel="0" collapsed="false">
      <c r="A20" s="51" t="str">
        <f aca="false">IF(B20="","",ROW()-5)</f>
        <v/>
      </c>
      <c r="B20" s="118"/>
      <c r="C20" s="10" t="str">
        <f aca="false">IF(B20="","",IFERROR(INDEX(Employees!$C$5:$C$54,MATCH(B20,Employees!$B$5:$B$54,0)),"Not found"))</f>
        <v/>
      </c>
      <c r="D20" s="122"/>
      <c r="E20" s="123"/>
      <c r="F20" s="123"/>
      <c r="G20" s="118"/>
      <c r="H20" s="11" t="n">
        <f aca="false">IF(OR(B20="",E20="",F20="",F20&lt;E20),0,IF(G20="Yes",0.5,NETWORKDAYS.INTL(E20,F20,Setup!$C$14,Holidays!$B$5:$B$34)))</f>
        <v>0</v>
      </c>
      <c r="I20" s="119"/>
      <c r="J20" s="122"/>
      <c r="K20" s="118"/>
      <c r="L20" s="54" t="str">
        <f aca="false">IF(B20="","",IF(C20="Not found","Emp ID not found",IF(ISNA(MATCH(D20,Setup!$A$18:$A$23,0)),"Pick leave type",IF(OR(E20="",F20=""),"Enter From &amp; To",IF(F20&lt;E20,"To before From",IF(AND(G20="Yes",F20&gt;E20),"Half day = 1 date",IF(OR(E20&lt;Setup!$C$12,F20&gt;Setup!$C$13),"Outside leave year",IF(H20=0,"No working day",IF(AND(J20&lt;&gt;"Rejected",COUNTIFS($B$6:$B$305,B20,$J$6:$J$305,"&lt;&gt;Rejected",$E$6:$E$305,"&lt;="&amp;F20,$F$6:$F$305,"&gt;="&amp;E20)&gt;1),"Overlaps another leave",IF(AND(J20="Approved",N(INDEX(Balance!$F$6:$W$55,MATCH(B20,Balance!$B$6:$B$55,0),MATCH(D20,Setup!$A$18:$A$23,0)*3))&lt;0),"Exceeds balance",IF(J20="","Set status","OK")))))))))))</f>
        <v/>
      </c>
      <c r="M20" s="55" t="str">
        <f aca="false">IF(AND(B20&lt;&gt;"",B20='Leave Card'!$C$3),COUNTIF($B$6:B20,'Leave Card'!$C$3),"")</f>
        <v/>
      </c>
    </row>
    <row r="21" customFormat="false" ht="15" hidden="false" customHeight="false" outlineLevel="0" collapsed="false">
      <c r="A21" s="51" t="str">
        <f aca="false">IF(B21="","",ROW()-5)</f>
        <v/>
      </c>
      <c r="B21" s="118"/>
      <c r="C21" s="10" t="str">
        <f aca="false">IF(B21="","",IFERROR(INDEX(Employees!$C$5:$C$54,MATCH(B21,Employees!$B$5:$B$54,0)),"Not found"))</f>
        <v/>
      </c>
      <c r="D21" s="122"/>
      <c r="E21" s="123"/>
      <c r="F21" s="123"/>
      <c r="G21" s="118"/>
      <c r="H21" s="11" t="n">
        <f aca="false">IF(OR(B21="",E21="",F21="",F21&lt;E21),0,IF(G21="Yes",0.5,NETWORKDAYS.INTL(E21,F21,Setup!$C$14,Holidays!$B$5:$B$34)))</f>
        <v>0</v>
      </c>
      <c r="I21" s="119"/>
      <c r="J21" s="122"/>
      <c r="K21" s="118"/>
      <c r="L21" s="54" t="str">
        <f aca="false">IF(B21="","",IF(C21="Not found","Emp ID not found",IF(ISNA(MATCH(D21,Setup!$A$18:$A$23,0)),"Pick leave type",IF(OR(E21="",F21=""),"Enter From &amp; To",IF(F21&lt;E21,"To before From",IF(AND(G21="Yes",F21&gt;E21),"Half day = 1 date",IF(OR(E21&lt;Setup!$C$12,F21&gt;Setup!$C$13),"Outside leave year",IF(H21=0,"No working day",IF(AND(J21&lt;&gt;"Rejected",COUNTIFS($B$6:$B$305,B21,$J$6:$J$305,"&lt;&gt;Rejected",$E$6:$E$305,"&lt;="&amp;F21,$F$6:$F$305,"&gt;="&amp;E21)&gt;1),"Overlaps another leave",IF(AND(J21="Approved",N(INDEX(Balance!$F$6:$W$55,MATCH(B21,Balance!$B$6:$B$55,0),MATCH(D21,Setup!$A$18:$A$23,0)*3))&lt;0),"Exceeds balance",IF(J21="","Set status","OK")))))))))))</f>
        <v/>
      </c>
      <c r="M21" s="55" t="str">
        <f aca="false">IF(AND(B21&lt;&gt;"",B21='Leave Card'!$C$3),COUNTIF($B$6:B21,'Leave Card'!$C$3),"")</f>
        <v/>
      </c>
    </row>
    <row r="22" customFormat="false" ht="15" hidden="false" customHeight="false" outlineLevel="0" collapsed="false">
      <c r="A22" s="51" t="str">
        <f aca="false">IF(B22="","",ROW()-5)</f>
        <v/>
      </c>
      <c r="B22" s="118"/>
      <c r="C22" s="10" t="str">
        <f aca="false">IF(B22="","",IFERROR(INDEX(Employees!$C$5:$C$54,MATCH(B22,Employees!$B$5:$B$54,0)),"Not found"))</f>
        <v/>
      </c>
      <c r="D22" s="122"/>
      <c r="E22" s="123"/>
      <c r="F22" s="123"/>
      <c r="G22" s="118"/>
      <c r="H22" s="11" t="n">
        <f aca="false">IF(OR(B22="",E22="",F22="",F22&lt;E22),0,IF(G22="Yes",0.5,NETWORKDAYS.INTL(E22,F22,Setup!$C$14,Holidays!$B$5:$B$34)))</f>
        <v>0</v>
      </c>
      <c r="I22" s="119"/>
      <c r="J22" s="122"/>
      <c r="K22" s="118"/>
      <c r="L22" s="54" t="str">
        <f aca="false">IF(B22="","",IF(C22="Not found","Emp ID not found",IF(ISNA(MATCH(D22,Setup!$A$18:$A$23,0)),"Pick leave type",IF(OR(E22="",F22=""),"Enter From &amp; To",IF(F22&lt;E22,"To before From",IF(AND(G22="Yes",F22&gt;E22),"Half day = 1 date",IF(OR(E22&lt;Setup!$C$12,F22&gt;Setup!$C$13),"Outside leave year",IF(H22=0,"No working day",IF(AND(J22&lt;&gt;"Rejected",COUNTIFS($B$6:$B$305,B22,$J$6:$J$305,"&lt;&gt;Rejected",$E$6:$E$305,"&lt;="&amp;F22,$F$6:$F$305,"&gt;="&amp;E22)&gt;1),"Overlaps another leave",IF(AND(J22="Approved",N(INDEX(Balance!$F$6:$W$55,MATCH(B22,Balance!$B$6:$B$55,0),MATCH(D22,Setup!$A$18:$A$23,0)*3))&lt;0),"Exceeds balance",IF(J22="","Set status","OK")))))))))))</f>
        <v/>
      </c>
      <c r="M22" s="55" t="str">
        <f aca="false">IF(AND(B22&lt;&gt;"",B22='Leave Card'!$C$3),COUNTIF($B$6:B22,'Leave Card'!$C$3),"")</f>
        <v/>
      </c>
    </row>
    <row r="23" customFormat="false" ht="15" hidden="false" customHeight="false" outlineLevel="0" collapsed="false">
      <c r="A23" s="51" t="str">
        <f aca="false">IF(B23="","",ROW()-5)</f>
        <v/>
      </c>
      <c r="B23" s="118"/>
      <c r="C23" s="10" t="str">
        <f aca="false">IF(B23="","",IFERROR(INDEX(Employees!$C$5:$C$54,MATCH(B23,Employees!$B$5:$B$54,0)),"Not found"))</f>
        <v/>
      </c>
      <c r="D23" s="122"/>
      <c r="E23" s="123"/>
      <c r="F23" s="123"/>
      <c r="G23" s="118"/>
      <c r="H23" s="11" t="n">
        <f aca="false">IF(OR(B23="",E23="",F23="",F23&lt;E23),0,IF(G23="Yes",0.5,NETWORKDAYS.INTL(E23,F23,Setup!$C$14,Holidays!$B$5:$B$34)))</f>
        <v>0</v>
      </c>
      <c r="I23" s="119"/>
      <c r="J23" s="122"/>
      <c r="K23" s="118"/>
      <c r="L23" s="54" t="str">
        <f aca="false">IF(B23="","",IF(C23="Not found","Emp ID not found",IF(ISNA(MATCH(D23,Setup!$A$18:$A$23,0)),"Pick leave type",IF(OR(E23="",F23=""),"Enter From &amp; To",IF(F23&lt;E23,"To before From",IF(AND(G23="Yes",F23&gt;E23),"Half day = 1 date",IF(OR(E23&lt;Setup!$C$12,F23&gt;Setup!$C$13),"Outside leave year",IF(H23=0,"No working day",IF(AND(J23&lt;&gt;"Rejected",COUNTIFS($B$6:$B$305,B23,$J$6:$J$305,"&lt;&gt;Rejected",$E$6:$E$305,"&lt;="&amp;F23,$F$6:$F$305,"&gt;="&amp;E23)&gt;1),"Overlaps another leave",IF(AND(J23="Approved",N(INDEX(Balance!$F$6:$W$55,MATCH(B23,Balance!$B$6:$B$55,0),MATCH(D23,Setup!$A$18:$A$23,0)*3))&lt;0),"Exceeds balance",IF(J23="","Set status","OK")))))))))))</f>
        <v/>
      </c>
      <c r="M23" s="55" t="str">
        <f aca="false">IF(AND(B23&lt;&gt;"",B23='Leave Card'!$C$3),COUNTIF($B$6:B23,'Leave Card'!$C$3),"")</f>
        <v/>
      </c>
    </row>
    <row r="24" customFormat="false" ht="15" hidden="false" customHeight="false" outlineLevel="0" collapsed="false">
      <c r="A24" s="51" t="str">
        <f aca="false">IF(B24="","",ROW()-5)</f>
        <v/>
      </c>
      <c r="B24" s="118"/>
      <c r="C24" s="10" t="str">
        <f aca="false">IF(B24="","",IFERROR(INDEX(Employees!$C$5:$C$54,MATCH(B24,Employees!$B$5:$B$54,0)),"Not found"))</f>
        <v/>
      </c>
      <c r="D24" s="122"/>
      <c r="E24" s="123"/>
      <c r="F24" s="123"/>
      <c r="G24" s="118"/>
      <c r="H24" s="11" t="n">
        <f aca="false">IF(OR(B24="",E24="",F24="",F24&lt;E24),0,IF(G24="Yes",0.5,NETWORKDAYS.INTL(E24,F24,Setup!$C$14,Holidays!$B$5:$B$34)))</f>
        <v>0</v>
      </c>
      <c r="I24" s="119"/>
      <c r="J24" s="122"/>
      <c r="K24" s="118"/>
      <c r="L24" s="54" t="str">
        <f aca="false">IF(B24="","",IF(C24="Not found","Emp ID not found",IF(ISNA(MATCH(D24,Setup!$A$18:$A$23,0)),"Pick leave type",IF(OR(E24="",F24=""),"Enter From &amp; To",IF(F24&lt;E24,"To before From",IF(AND(G24="Yes",F24&gt;E24),"Half day = 1 date",IF(OR(E24&lt;Setup!$C$12,F24&gt;Setup!$C$13),"Outside leave year",IF(H24=0,"No working day",IF(AND(J24&lt;&gt;"Rejected",COUNTIFS($B$6:$B$305,B24,$J$6:$J$305,"&lt;&gt;Rejected",$E$6:$E$305,"&lt;="&amp;F24,$F$6:$F$305,"&gt;="&amp;E24)&gt;1),"Overlaps another leave",IF(AND(J24="Approved",N(INDEX(Balance!$F$6:$W$55,MATCH(B24,Balance!$B$6:$B$55,0),MATCH(D24,Setup!$A$18:$A$23,0)*3))&lt;0),"Exceeds balance",IF(J24="","Set status","OK")))))))))))</f>
        <v/>
      </c>
      <c r="M24" s="55" t="str">
        <f aca="false">IF(AND(B24&lt;&gt;"",B24='Leave Card'!$C$3),COUNTIF($B$6:B24,'Leave Card'!$C$3),"")</f>
        <v/>
      </c>
    </row>
    <row r="25" customFormat="false" ht="15" hidden="false" customHeight="false" outlineLevel="0" collapsed="false">
      <c r="A25" s="51" t="str">
        <f aca="false">IF(B25="","",ROW()-5)</f>
        <v/>
      </c>
      <c r="B25" s="118"/>
      <c r="C25" s="10" t="str">
        <f aca="false">IF(B25="","",IFERROR(INDEX(Employees!$C$5:$C$54,MATCH(B25,Employees!$B$5:$B$54,0)),"Not found"))</f>
        <v/>
      </c>
      <c r="D25" s="122"/>
      <c r="E25" s="123"/>
      <c r="F25" s="123"/>
      <c r="G25" s="118"/>
      <c r="H25" s="11" t="n">
        <f aca="false">IF(OR(B25="",E25="",F25="",F25&lt;E25),0,IF(G25="Yes",0.5,NETWORKDAYS.INTL(E25,F25,Setup!$C$14,Holidays!$B$5:$B$34)))</f>
        <v>0</v>
      </c>
      <c r="I25" s="119"/>
      <c r="J25" s="122"/>
      <c r="K25" s="118"/>
      <c r="L25" s="54" t="str">
        <f aca="false">IF(B25="","",IF(C25="Not found","Emp ID not found",IF(ISNA(MATCH(D25,Setup!$A$18:$A$23,0)),"Pick leave type",IF(OR(E25="",F25=""),"Enter From &amp; To",IF(F25&lt;E25,"To before From",IF(AND(G25="Yes",F25&gt;E25),"Half day = 1 date",IF(OR(E25&lt;Setup!$C$12,F25&gt;Setup!$C$13),"Outside leave year",IF(H25=0,"No working day",IF(AND(J25&lt;&gt;"Rejected",COUNTIFS($B$6:$B$305,B25,$J$6:$J$305,"&lt;&gt;Rejected",$E$6:$E$305,"&lt;="&amp;F25,$F$6:$F$305,"&gt;="&amp;E25)&gt;1),"Overlaps another leave",IF(AND(J25="Approved",N(INDEX(Balance!$F$6:$W$55,MATCH(B25,Balance!$B$6:$B$55,0),MATCH(D25,Setup!$A$18:$A$23,0)*3))&lt;0),"Exceeds balance",IF(J25="","Set status","OK")))))))))))</f>
        <v/>
      </c>
      <c r="M25" s="55" t="str">
        <f aca="false">IF(AND(B25&lt;&gt;"",B25='Leave Card'!$C$3),COUNTIF($B$6:B25,'Leave Card'!$C$3),"")</f>
        <v/>
      </c>
    </row>
    <row r="26" customFormat="false" ht="15" hidden="false" customHeight="false" outlineLevel="0" collapsed="false">
      <c r="A26" s="51" t="str">
        <f aca="false">IF(B26="","",ROW()-5)</f>
        <v/>
      </c>
      <c r="B26" s="118"/>
      <c r="C26" s="10" t="str">
        <f aca="false">IF(B26="","",IFERROR(INDEX(Employees!$C$5:$C$54,MATCH(B26,Employees!$B$5:$B$54,0)),"Not found"))</f>
        <v/>
      </c>
      <c r="D26" s="122"/>
      <c r="E26" s="123"/>
      <c r="F26" s="123"/>
      <c r="G26" s="118"/>
      <c r="H26" s="11" t="n">
        <f aca="false">IF(OR(B26="",E26="",F26="",F26&lt;E26),0,IF(G26="Yes",0.5,NETWORKDAYS.INTL(E26,F26,Setup!$C$14,Holidays!$B$5:$B$34)))</f>
        <v>0</v>
      </c>
      <c r="I26" s="119"/>
      <c r="J26" s="122"/>
      <c r="K26" s="118"/>
      <c r="L26" s="54" t="str">
        <f aca="false">IF(B26="","",IF(C26="Not found","Emp ID not found",IF(ISNA(MATCH(D26,Setup!$A$18:$A$23,0)),"Pick leave type",IF(OR(E26="",F26=""),"Enter From &amp; To",IF(F26&lt;E26,"To before From",IF(AND(G26="Yes",F26&gt;E26),"Half day = 1 date",IF(OR(E26&lt;Setup!$C$12,F26&gt;Setup!$C$13),"Outside leave year",IF(H26=0,"No working day",IF(AND(J26&lt;&gt;"Rejected",COUNTIFS($B$6:$B$305,B26,$J$6:$J$305,"&lt;&gt;Rejected",$E$6:$E$305,"&lt;="&amp;F26,$F$6:$F$305,"&gt;="&amp;E26)&gt;1),"Overlaps another leave",IF(AND(J26="Approved",N(INDEX(Balance!$F$6:$W$55,MATCH(B26,Balance!$B$6:$B$55,0),MATCH(D26,Setup!$A$18:$A$23,0)*3))&lt;0),"Exceeds balance",IF(J26="","Set status","OK")))))))))))</f>
        <v/>
      </c>
      <c r="M26" s="55" t="str">
        <f aca="false">IF(AND(B26&lt;&gt;"",B26='Leave Card'!$C$3),COUNTIF($B$6:B26,'Leave Card'!$C$3),"")</f>
        <v/>
      </c>
    </row>
    <row r="27" customFormat="false" ht="15" hidden="false" customHeight="false" outlineLevel="0" collapsed="false">
      <c r="A27" s="51" t="str">
        <f aca="false">IF(B27="","",ROW()-5)</f>
        <v/>
      </c>
      <c r="B27" s="118"/>
      <c r="C27" s="10" t="str">
        <f aca="false">IF(B27="","",IFERROR(INDEX(Employees!$C$5:$C$54,MATCH(B27,Employees!$B$5:$B$54,0)),"Not found"))</f>
        <v/>
      </c>
      <c r="D27" s="122"/>
      <c r="E27" s="123"/>
      <c r="F27" s="123"/>
      <c r="G27" s="118"/>
      <c r="H27" s="11" t="n">
        <f aca="false">IF(OR(B27="",E27="",F27="",F27&lt;E27),0,IF(G27="Yes",0.5,NETWORKDAYS.INTL(E27,F27,Setup!$C$14,Holidays!$B$5:$B$34)))</f>
        <v>0</v>
      </c>
      <c r="I27" s="119"/>
      <c r="J27" s="122"/>
      <c r="K27" s="118"/>
      <c r="L27" s="54" t="str">
        <f aca="false">IF(B27="","",IF(C27="Not found","Emp ID not found",IF(ISNA(MATCH(D27,Setup!$A$18:$A$23,0)),"Pick leave type",IF(OR(E27="",F27=""),"Enter From &amp; To",IF(F27&lt;E27,"To before From",IF(AND(G27="Yes",F27&gt;E27),"Half day = 1 date",IF(OR(E27&lt;Setup!$C$12,F27&gt;Setup!$C$13),"Outside leave year",IF(H27=0,"No working day",IF(AND(J27&lt;&gt;"Rejected",COUNTIFS($B$6:$B$305,B27,$J$6:$J$305,"&lt;&gt;Rejected",$E$6:$E$305,"&lt;="&amp;F27,$F$6:$F$305,"&gt;="&amp;E27)&gt;1),"Overlaps another leave",IF(AND(J27="Approved",N(INDEX(Balance!$F$6:$W$55,MATCH(B27,Balance!$B$6:$B$55,0),MATCH(D27,Setup!$A$18:$A$23,0)*3))&lt;0),"Exceeds balance",IF(J27="","Set status","OK")))))))))))</f>
        <v/>
      </c>
      <c r="M27" s="55" t="str">
        <f aca="false">IF(AND(B27&lt;&gt;"",B27='Leave Card'!$C$3),COUNTIF($B$6:B27,'Leave Card'!$C$3),"")</f>
        <v/>
      </c>
    </row>
    <row r="28" customFormat="false" ht="15" hidden="false" customHeight="false" outlineLevel="0" collapsed="false">
      <c r="A28" s="51" t="str">
        <f aca="false">IF(B28="","",ROW()-5)</f>
        <v/>
      </c>
      <c r="B28" s="118"/>
      <c r="C28" s="10" t="str">
        <f aca="false">IF(B28="","",IFERROR(INDEX(Employees!$C$5:$C$54,MATCH(B28,Employees!$B$5:$B$54,0)),"Not found"))</f>
        <v/>
      </c>
      <c r="D28" s="122"/>
      <c r="E28" s="123"/>
      <c r="F28" s="123"/>
      <c r="G28" s="118"/>
      <c r="H28" s="11" t="n">
        <f aca="false">IF(OR(B28="",E28="",F28="",F28&lt;E28),0,IF(G28="Yes",0.5,NETWORKDAYS.INTL(E28,F28,Setup!$C$14,Holidays!$B$5:$B$34)))</f>
        <v>0</v>
      </c>
      <c r="I28" s="119"/>
      <c r="J28" s="122"/>
      <c r="K28" s="118"/>
      <c r="L28" s="54" t="str">
        <f aca="false">IF(B28="","",IF(C28="Not found","Emp ID not found",IF(ISNA(MATCH(D28,Setup!$A$18:$A$23,0)),"Pick leave type",IF(OR(E28="",F28=""),"Enter From &amp; To",IF(F28&lt;E28,"To before From",IF(AND(G28="Yes",F28&gt;E28),"Half day = 1 date",IF(OR(E28&lt;Setup!$C$12,F28&gt;Setup!$C$13),"Outside leave year",IF(H28=0,"No working day",IF(AND(J28&lt;&gt;"Rejected",COUNTIFS($B$6:$B$305,B28,$J$6:$J$305,"&lt;&gt;Rejected",$E$6:$E$305,"&lt;="&amp;F28,$F$6:$F$305,"&gt;="&amp;E28)&gt;1),"Overlaps another leave",IF(AND(J28="Approved",N(INDEX(Balance!$F$6:$W$55,MATCH(B28,Balance!$B$6:$B$55,0),MATCH(D28,Setup!$A$18:$A$23,0)*3))&lt;0),"Exceeds balance",IF(J28="","Set status","OK")))))))))))</f>
        <v/>
      </c>
      <c r="M28" s="55" t="str">
        <f aca="false">IF(AND(B28&lt;&gt;"",B28='Leave Card'!$C$3),COUNTIF($B$6:B28,'Leave Card'!$C$3),"")</f>
        <v/>
      </c>
    </row>
    <row r="29" customFormat="false" ht="15" hidden="false" customHeight="false" outlineLevel="0" collapsed="false">
      <c r="A29" s="51" t="str">
        <f aca="false">IF(B29="","",ROW()-5)</f>
        <v/>
      </c>
      <c r="B29" s="118"/>
      <c r="C29" s="10" t="str">
        <f aca="false">IF(B29="","",IFERROR(INDEX(Employees!$C$5:$C$54,MATCH(B29,Employees!$B$5:$B$54,0)),"Not found"))</f>
        <v/>
      </c>
      <c r="D29" s="122"/>
      <c r="E29" s="123"/>
      <c r="F29" s="123"/>
      <c r="G29" s="118"/>
      <c r="H29" s="11" t="n">
        <f aca="false">IF(OR(B29="",E29="",F29="",F29&lt;E29),0,IF(G29="Yes",0.5,NETWORKDAYS.INTL(E29,F29,Setup!$C$14,Holidays!$B$5:$B$34)))</f>
        <v>0</v>
      </c>
      <c r="I29" s="119"/>
      <c r="J29" s="122"/>
      <c r="K29" s="118"/>
      <c r="L29" s="54" t="str">
        <f aca="false">IF(B29="","",IF(C29="Not found","Emp ID not found",IF(ISNA(MATCH(D29,Setup!$A$18:$A$23,0)),"Pick leave type",IF(OR(E29="",F29=""),"Enter From &amp; To",IF(F29&lt;E29,"To before From",IF(AND(G29="Yes",F29&gt;E29),"Half day = 1 date",IF(OR(E29&lt;Setup!$C$12,F29&gt;Setup!$C$13),"Outside leave year",IF(H29=0,"No working day",IF(AND(J29&lt;&gt;"Rejected",COUNTIFS($B$6:$B$305,B29,$J$6:$J$305,"&lt;&gt;Rejected",$E$6:$E$305,"&lt;="&amp;F29,$F$6:$F$305,"&gt;="&amp;E29)&gt;1),"Overlaps another leave",IF(AND(J29="Approved",N(INDEX(Balance!$F$6:$W$55,MATCH(B29,Balance!$B$6:$B$55,0),MATCH(D29,Setup!$A$18:$A$23,0)*3))&lt;0),"Exceeds balance",IF(J29="","Set status","OK")))))))))))</f>
        <v/>
      </c>
      <c r="M29" s="55" t="str">
        <f aca="false">IF(AND(B29&lt;&gt;"",B29='Leave Card'!$C$3),COUNTIF($B$6:B29,'Leave Card'!$C$3),"")</f>
        <v/>
      </c>
    </row>
    <row r="30" customFormat="false" ht="15" hidden="false" customHeight="false" outlineLevel="0" collapsed="false">
      <c r="A30" s="51" t="str">
        <f aca="false">IF(B30="","",ROW()-5)</f>
        <v/>
      </c>
      <c r="B30" s="118"/>
      <c r="C30" s="10" t="str">
        <f aca="false">IF(B30="","",IFERROR(INDEX(Employees!$C$5:$C$54,MATCH(B30,Employees!$B$5:$B$54,0)),"Not found"))</f>
        <v/>
      </c>
      <c r="D30" s="122"/>
      <c r="E30" s="123"/>
      <c r="F30" s="123"/>
      <c r="G30" s="118"/>
      <c r="H30" s="11" t="n">
        <f aca="false">IF(OR(B30="",E30="",F30="",F30&lt;E30),0,IF(G30="Yes",0.5,NETWORKDAYS.INTL(E30,F30,Setup!$C$14,Holidays!$B$5:$B$34)))</f>
        <v>0</v>
      </c>
      <c r="I30" s="119"/>
      <c r="J30" s="122"/>
      <c r="K30" s="118"/>
      <c r="L30" s="54" t="str">
        <f aca="false">IF(B30="","",IF(C30="Not found","Emp ID not found",IF(ISNA(MATCH(D30,Setup!$A$18:$A$23,0)),"Pick leave type",IF(OR(E30="",F30=""),"Enter From &amp; To",IF(F30&lt;E30,"To before From",IF(AND(G30="Yes",F30&gt;E30),"Half day = 1 date",IF(OR(E30&lt;Setup!$C$12,F30&gt;Setup!$C$13),"Outside leave year",IF(H30=0,"No working day",IF(AND(J30&lt;&gt;"Rejected",COUNTIFS($B$6:$B$305,B30,$J$6:$J$305,"&lt;&gt;Rejected",$E$6:$E$305,"&lt;="&amp;F30,$F$6:$F$305,"&gt;="&amp;E30)&gt;1),"Overlaps another leave",IF(AND(J30="Approved",N(INDEX(Balance!$F$6:$W$55,MATCH(B30,Balance!$B$6:$B$55,0),MATCH(D30,Setup!$A$18:$A$23,0)*3))&lt;0),"Exceeds balance",IF(J30="","Set status","OK")))))))))))</f>
        <v/>
      </c>
      <c r="M30" s="55" t="str">
        <f aca="false">IF(AND(B30&lt;&gt;"",B30='Leave Card'!$C$3),COUNTIF($B$6:B30,'Leave Card'!$C$3),"")</f>
        <v/>
      </c>
    </row>
    <row r="31" customFormat="false" ht="15" hidden="false" customHeight="false" outlineLevel="0" collapsed="false">
      <c r="A31" s="51" t="str">
        <f aca="false">IF(B31="","",ROW()-5)</f>
        <v/>
      </c>
      <c r="B31" s="118"/>
      <c r="C31" s="10" t="str">
        <f aca="false">IF(B31="","",IFERROR(INDEX(Employees!$C$5:$C$54,MATCH(B31,Employees!$B$5:$B$54,0)),"Not found"))</f>
        <v/>
      </c>
      <c r="D31" s="122"/>
      <c r="E31" s="123"/>
      <c r="F31" s="123"/>
      <c r="G31" s="118"/>
      <c r="H31" s="11" t="n">
        <f aca="false">IF(OR(B31="",E31="",F31="",F31&lt;E31),0,IF(G31="Yes",0.5,NETWORKDAYS.INTL(E31,F31,Setup!$C$14,Holidays!$B$5:$B$34)))</f>
        <v>0</v>
      </c>
      <c r="I31" s="119"/>
      <c r="J31" s="122"/>
      <c r="K31" s="118"/>
      <c r="L31" s="54" t="str">
        <f aca="false">IF(B31="","",IF(C31="Not found","Emp ID not found",IF(ISNA(MATCH(D31,Setup!$A$18:$A$23,0)),"Pick leave type",IF(OR(E31="",F31=""),"Enter From &amp; To",IF(F31&lt;E31,"To before From",IF(AND(G31="Yes",F31&gt;E31),"Half day = 1 date",IF(OR(E31&lt;Setup!$C$12,F31&gt;Setup!$C$13),"Outside leave year",IF(H31=0,"No working day",IF(AND(J31&lt;&gt;"Rejected",COUNTIFS($B$6:$B$305,B31,$J$6:$J$305,"&lt;&gt;Rejected",$E$6:$E$305,"&lt;="&amp;F31,$F$6:$F$305,"&gt;="&amp;E31)&gt;1),"Overlaps another leave",IF(AND(J31="Approved",N(INDEX(Balance!$F$6:$W$55,MATCH(B31,Balance!$B$6:$B$55,0),MATCH(D31,Setup!$A$18:$A$23,0)*3))&lt;0),"Exceeds balance",IF(J31="","Set status","OK")))))))))))</f>
        <v/>
      </c>
      <c r="M31" s="55" t="str">
        <f aca="false">IF(AND(B31&lt;&gt;"",B31='Leave Card'!$C$3),COUNTIF($B$6:B31,'Leave Card'!$C$3),"")</f>
        <v/>
      </c>
    </row>
    <row r="32" customFormat="false" ht="15" hidden="false" customHeight="false" outlineLevel="0" collapsed="false">
      <c r="A32" s="51" t="str">
        <f aca="false">IF(B32="","",ROW()-5)</f>
        <v/>
      </c>
      <c r="B32" s="118"/>
      <c r="C32" s="10" t="str">
        <f aca="false">IF(B32="","",IFERROR(INDEX(Employees!$C$5:$C$54,MATCH(B32,Employees!$B$5:$B$54,0)),"Not found"))</f>
        <v/>
      </c>
      <c r="D32" s="122"/>
      <c r="E32" s="123"/>
      <c r="F32" s="123"/>
      <c r="G32" s="118"/>
      <c r="H32" s="11" t="n">
        <f aca="false">IF(OR(B32="",E32="",F32="",F32&lt;E32),0,IF(G32="Yes",0.5,NETWORKDAYS.INTL(E32,F32,Setup!$C$14,Holidays!$B$5:$B$34)))</f>
        <v>0</v>
      </c>
      <c r="I32" s="119"/>
      <c r="J32" s="122"/>
      <c r="K32" s="118"/>
      <c r="L32" s="54" t="str">
        <f aca="false">IF(B32="","",IF(C32="Not found","Emp ID not found",IF(ISNA(MATCH(D32,Setup!$A$18:$A$23,0)),"Pick leave type",IF(OR(E32="",F32=""),"Enter From &amp; To",IF(F32&lt;E32,"To before From",IF(AND(G32="Yes",F32&gt;E32),"Half day = 1 date",IF(OR(E32&lt;Setup!$C$12,F32&gt;Setup!$C$13),"Outside leave year",IF(H32=0,"No working day",IF(AND(J32&lt;&gt;"Rejected",COUNTIFS($B$6:$B$305,B32,$J$6:$J$305,"&lt;&gt;Rejected",$E$6:$E$305,"&lt;="&amp;F32,$F$6:$F$305,"&gt;="&amp;E32)&gt;1),"Overlaps another leave",IF(AND(J32="Approved",N(INDEX(Balance!$F$6:$W$55,MATCH(B32,Balance!$B$6:$B$55,0),MATCH(D32,Setup!$A$18:$A$23,0)*3))&lt;0),"Exceeds balance",IF(J32="","Set status","OK")))))))))))</f>
        <v/>
      </c>
      <c r="M32" s="55" t="str">
        <f aca="false">IF(AND(B32&lt;&gt;"",B32='Leave Card'!$C$3),COUNTIF($B$6:B32,'Leave Card'!$C$3),"")</f>
        <v/>
      </c>
    </row>
    <row r="33" customFormat="false" ht="15" hidden="false" customHeight="false" outlineLevel="0" collapsed="false">
      <c r="A33" s="51" t="str">
        <f aca="false">IF(B33="","",ROW()-5)</f>
        <v/>
      </c>
      <c r="B33" s="118"/>
      <c r="C33" s="10" t="str">
        <f aca="false">IF(B33="","",IFERROR(INDEX(Employees!$C$5:$C$54,MATCH(B33,Employees!$B$5:$B$54,0)),"Not found"))</f>
        <v/>
      </c>
      <c r="D33" s="122"/>
      <c r="E33" s="123"/>
      <c r="F33" s="123"/>
      <c r="G33" s="118"/>
      <c r="H33" s="11" t="n">
        <f aca="false">IF(OR(B33="",E33="",F33="",F33&lt;E33),0,IF(G33="Yes",0.5,NETWORKDAYS.INTL(E33,F33,Setup!$C$14,Holidays!$B$5:$B$34)))</f>
        <v>0</v>
      </c>
      <c r="I33" s="119"/>
      <c r="J33" s="122"/>
      <c r="K33" s="118"/>
      <c r="L33" s="54" t="str">
        <f aca="false">IF(B33="","",IF(C33="Not found","Emp ID not found",IF(ISNA(MATCH(D33,Setup!$A$18:$A$23,0)),"Pick leave type",IF(OR(E33="",F33=""),"Enter From &amp; To",IF(F33&lt;E33,"To before From",IF(AND(G33="Yes",F33&gt;E33),"Half day = 1 date",IF(OR(E33&lt;Setup!$C$12,F33&gt;Setup!$C$13),"Outside leave year",IF(H33=0,"No working day",IF(AND(J33&lt;&gt;"Rejected",COUNTIFS($B$6:$B$305,B33,$J$6:$J$305,"&lt;&gt;Rejected",$E$6:$E$305,"&lt;="&amp;F33,$F$6:$F$305,"&gt;="&amp;E33)&gt;1),"Overlaps another leave",IF(AND(J33="Approved",N(INDEX(Balance!$F$6:$W$55,MATCH(B33,Balance!$B$6:$B$55,0),MATCH(D33,Setup!$A$18:$A$23,0)*3))&lt;0),"Exceeds balance",IF(J33="","Set status","OK")))))))))))</f>
        <v/>
      </c>
      <c r="M33" s="55" t="str">
        <f aca="false">IF(AND(B33&lt;&gt;"",B33='Leave Card'!$C$3),COUNTIF($B$6:B33,'Leave Card'!$C$3),"")</f>
        <v/>
      </c>
    </row>
    <row r="34" customFormat="false" ht="15" hidden="false" customHeight="false" outlineLevel="0" collapsed="false">
      <c r="A34" s="51" t="str">
        <f aca="false">IF(B34="","",ROW()-5)</f>
        <v/>
      </c>
      <c r="B34" s="118"/>
      <c r="C34" s="10" t="str">
        <f aca="false">IF(B34="","",IFERROR(INDEX(Employees!$C$5:$C$54,MATCH(B34,Employees!$B$5:$B$54,0)),"Not found"))</f>
        <v/>
      </c>
      <c r="D34" s="122"/>
      <c r="E34" s="123"/>
      <c r="F34" s="123"/>
      <c r="G34" s="118"/>
      <c r="H34" s="11" t="n">
        <f aca="false">IF(OR(B34="",E34="",F34="",F34&lt;E34),0,IF(G34="Yes",0.5,NETWORKDAYS.INTL(E34,F34,Setup!$C$14,Holidays!$B$5:$B$34)))</f>
        <v>0</v>
      </c>
      <c r="I34" s="119"/>
      <c r="J34" s="122"/>
      <c r="K34" s="118"/>
      <c r="L34" s="54" t="str">
        <f aca="false">IF(B34="","",IF(C34="Not found","Emp ID not found",IF(ISNA(MATCH(D34,Setup!$A$18:$A$23,0)),"Pick leave type",IF(OR(E34="",F34=""),"Enter From &amp; To",IF(F34&lt;E34,"To before From",IF(AND(G34="Yes",F34&gt;E34),"Half day = 1 date",IF(OR(E34&lt;Setup!$C$12,F34&gt;Setup!$C$13),"Outside leave year",IF(H34=0,"No working day",IF(AND(J34&lt;&gt;"Rejected",COUNTIFS($B$6:$B$305,B34,$J$6:$J$305,"&lt;&gt;Rejected",$E$6:$E$305,"&lt;="&amp;F34,$F$6:$F$305,"&gt;="&amp;E34)&gt;1),"Overlaps another leave",IF(AND(J34="Approved",N(INDEX(Balance!$F$6:$W$55,MATCH(B34,Balance!$B$6:$B$55,0),MATCH(D34,Setup!$A$18:$A$23,0)*3))&lt;0),"Exceeds balance",IF(J34="","Set status","OK")))))))))))</f>
        <v/>
      </c>
      <c r="M34" s="55" t="str">
        <f aca="false">IF(AND(B34&lt;&gt;"",B34='Leave Card'!$C$3),COUNTIF($B$6:B34,'Leave Card'!$C$3),"")</f>
        <v/>
      </c>
    </row>
    <row r="35" customFormat="false" ht="15" hidden="false" customHeight="false" outlineLevel="0" collapsed="false">
      <c r="A35" s="51" t="str">
        <f aca="false">IF(B35="","",ROW()-5)</f>
        <v/>
      </c>
      <c r="B35" s="118"/>
      <c r="C35" s="10" t="str">
        <f aca="false">IF(B35="","",IFERROR(INDEX(Employees!$C$5:$C$54,MATCH(B35,Employees!$B$5:$B$54,0)),"Not found"))</f>
        <v/>
      </c>
      <c r="D35" s="122"/>
      <c r="E35" s="123"/>
      <c r="F35" s="123"/>
      <c r="G35" s="118"/>
      <c r="H35" s="11" t="n">
        <f aca="false">IF(OR(B35="",E35="",F35="",F35&lt;E35),0,IF(G35="Yes",0.5,NETWORKDAYS.INTL(E35,F35,Setup!$C$14,Holidays!$B$5:$B$34)))</f>
        <v>0</v>
      </c>
      <c r="I35" s="119"/>
      <c r="J35" s="122"/>
      <c r="K35" s="118"/>
      <c r="L35" s="54" t="str">
        <f aca="false">IF(B35="","",IF(C35="Not found","Emp ID not found",IF(ISNA(MATCH(D35,Setup!$A$18:$A$23,0)),"Pick leave type",IF(OR(E35="",F35=""),"Enter From &amp; To",IF(F35&lt;E35,"To before From",IF(AND(G35="Yes",F35&gt;E35),"Half day = 1 date",IF(OR(E35&lt;Setup!$C$12,F35&gt;Setup!$C$13),"Outside leave year",IF(H35=0,"No working day",IF(AND(J35&lt;&gt;"Rejected",COUNTIFS($B$6:$B$305,B35,$J$6:$J$305,"&lt;&gt;Rejected",$E$6:$E$305,"&lt;="&amp;F35,$F$6:$F$305,"&gt;="&amp;E35)&gt;1),"Overlaps another leave",IF(AND(J35="Approved",N(INDEX(Balance!$F$6:$W$55,MATCH(B35,Balance!$B$6:$B$55,0),MATCH(D35,Setup!$A$18:$A$23,0)*3))&lt;0),"Exceeds balance",IF(J35="","Set status","OK")))))))))))</f>
        <v/>
      </c>
      <c r="M35" s="55" t="str">
        <f aca="false">IF(AND(B35&lt;&gt;"",B35='Leave Card'!$C$3),COUNTIF($B$6:B35,'Leave Card'!$C$3),"")</f>
        <v/>
      </c>
    </row>
    <row r="36" customFormat="false" ht="15" hidden="false" customHeight="false" outlineLevel="0" collapsed="false">
      <c r="A36" s="51" t="str">
        <f aca="false">IF(B36="","",ROW()-5)</f>
        <v/>
      </c>
      <c r="B36" s="118"/>
      <c r="C36" s="10" t="str">
        <f aca="false">IF(B36="","",IFERROR(INDEX(Employees!$C$5:$C$54,MATCH(B36,Employees!$B$5:$B$54,0)),"Not found"))</f>
        <v/>
      </c>
      <c r="D36" s="122"/>
      <c r="E36" s="123"/>
      <c r="F36" s="123"/>
      <c r="G36" s="118"/>
      <c r="H36" s="11" t="n">
        <f aca="false">IF(OR(B36="",E36="",F36="",F36&lt;E36),0,IF(G36="Yes",0.5,NETWORKDAYS.INTL(E36,F36,Setup!$C$14,Holidays!$B$5:$B$34)))</f>
        <v>0</v>
      </c>
      <c r="I36" s="119"/>
      <c r="J36" s="122"/>
      <c r="K36" s="118"/>
      <c r="L36" s="54" t="str">
        <f aca="false">IF(B36="","",IF(C36="Not found","Emp ID not found",IF(ISNA(MATCH(D36,Setup!$A$18:$A$23,0)),"Pick leave type",IF(OR(E36="",F36=""),"Enter From &amp; To",IF(F36&lt;E36,"To before From",IF(AND(G36="Yes",F36&gt;E36),"Half day = 1 date",IF(OR(E36&lt;Setup!$C$12,F36&gt;Setup!$C$13),"Outside leave year",IF(H36=0,"No working day",IF(AND(J36&lt;&gt;"Rejected",COUNTIFS($B$6:$B$305,B36,$J$6:$J$305,"&lt;&gt;Rejected",$E$6:$E$305,"&lt;="&amp;F36,$F$6:$F$305,"&gt;="&amp;E36)&gt;1),"Overlaps another leave",IF(AND(J36="Approved",N(INDEX(Balance!$F$6:$W$55,MATCH(B36,Balance!$B$6:$B$55,0),MATCH(D36,Setup!$A$18:$A$23,0)*3))&lt;0),"Exceeds balance",IF(J36="","Set status","OK")))))))))))</f>
        <v/>
      </c>
      <c r="M36" s="55" t="str">
        <f aca="false">IF(AND(B36&lt;&gt;"",B36='Leave Card'!$C$3),COUNTIF($B$6:B36,'Leave Card'!$C$3),"")</f>
        <v/>
      </c>
    </row>
    <row r="37" customFormat="false" ht="15" hidden="false" customHeight="false" outlineLevel="0" collapsed="false">
      <c r="A37" s="51" t="str">
        <f aca="false">IF(B37="","",ROW()-5)</f>
        <v/>
      </c>
      <c r="B37" s="118"/>
      <c r="C37" s="10" t="str">
        <f aca="false">IF(B37="","",IFERROR(INDEX(Employees!$C$5:$C$54,MATCH(B37,Employees!$B$5:$B$54,0)),"Not found"))</f>
        <v/>
      </c>
      <c r="D37" s="122"/>
      <c r="E37" s="123"/>
      <c r="F37" s="123"/>
      <c r="G37" s="118"/>
      <c r="H37" s="11" t="n">
        <f aca="false">IF(OR(B37="",E37="",F37="",F37&lt;E37),0,IF(G37="Yes",0.5,NETWORKDAYS.INTL(E37,F37,Setup!$C$14,Holidays!$B$5:$B$34)))</f>
        <v>0</v>
      </c>
      <c r="I37" s="119"/>
      <c r="J37" s="122"/>
      <c r="K37" s="118"/>
      <c r="L37" s="54" t="str">
        <f aca="false">IF(B37="","",IF(C37="Not found","Emp ID not found",IF(ISNA(MATCH(D37,Setup!$A$18:$A$23,0)),"Pick leave type",IF(OR(E37="",F37=""),"Enter From &amp; To",IF(F37&lt;E37,"To before From",IF(AND(G37="Yes",F37&gt;E37),"Half day = 1 date",IF(OR(E37&lt;Setup!$C$12,F37&gt;Setup!$C$13),"Outside leave year",IF(H37=0,"No working day",IF(AND(J37&lt;&gt;"Rejected",COUNTIFS($B$6:$B$305,B37,$J$6:$J$305,"&lt;&gt;Rejected",$E$6:$E$305,"&lt;="&amp;F37,$F$6:$F$305,"&gt;="&amp;E37)&gt;1),"Overlaps another leave",IF(AND(J37="Approved",N(INDEX(Balance!$F$6:$W$55,MATCH(B37,Balance!$B$6:$B$55,0),MATCH(D37,Setup!$A$18:$A$23,0)*3))&lt;0),"Exceeds balance",IF(J37="","Set status","OK")))))))))))</f>
        <v/>
      </c>
      <c r="M37" s="55" t="str">
        <f aca="false">IF(AND(B37&lt;&gt;"",B37='Leave Card'!$C$3),COUNTIF($B$6:B37,'Leave Card'!$C$3),"")</f>
        <v/>
      </c>
    </row>
    <row r="38" customFormat="false" ht="15" hidden="false" customHeight="false" outlineLevel="0" collapsed="false">
      <c r="A38" s="51" t="str">
        <f aca="false">IF(B38="","",ROW()-5)</f>
        <v/>
      </c>
      <c r="B38" s="118"/>
      <c r="C38" s="10" t="str">
        <f aca="false">IF(B38="","",IFERROR(INDEX(Employees!$C$5:$C$54,MATCH(B38,Employees!$B$5:$B$54,0)),"Not found"))</f>
        <v/>
      </c>
      <c r="D38" s="122"/>
      <c r="E38" s="123"/>
      <c r="F38" s="123"/>
      <c r="G38" s="118"/>
      <c r="H38" s="11" t="n">
        <f aca="false">IF(OR(B38="",E38="",F38="",F38&lt;E38),0,IF(G38="Yes",0.5,NETWORKDAYS.INTL(E38,F38,Setup!$C$14,Holidays!$B$5:$B$34)))</f>
        <v>0</v>
      </c>
      <c r="I38" s="119"/>
      <c r="J38" s="122"/>
      <c r="K38" s="118"/>
      <c r="L38" s="54" t="str">
        <f aca="false">IF(B38="","",IF(C38="Not found","Emp ID not found",IF(ISNA(MATCH(D38,Setup!$A$18:$A$23,0)),"Pick leave type",IF(OR(E38="",F38=""),"Enter From &amp; To",IF(F38&lt;E38,"To before From",IF(AND(G38="Yes",F38&gt;E38),"Half day = 1 date",IF(OR(E38&lt;Setup!$C$12,F38&gt;Setup!$C$13),"Outside leave year",IF(H38=0,"No working day",IF(AND(J38&lt;&gt;"Rejected",COUNTIFS($B$6:$B$305,B38,$J$6:$J$305,"&lt;&gt;Rejected",$E$6:$E$305,"&lt;="&amp;F38,$F$6:$F$305,"&gt;="&amp;E38)&gt;1),"Overlaps another leave",IF(AND(J38="Approved",N(INDEX(Balance!$F$6:$W$55,MATCH(B38,Balance!$B$6:$B$55,0),MATCH(D38,Setup!$A$18:$A$23,0)*3))&lt;0),"Exceeds balance",IF(J38="","Set status","OK")))))))))))</f>
        <v/>
      </c>
      <c r="M38" s="55" t="str">
        <f aca="false">IF(AND(B38&lt;&gt;"",B38='Leave Card'!$C$3),COUNTIF($B$6:B38,'Leave Card'!$C$3),"")</f>
        <v/>
      </c>
    </row>
    <row r="39" customFormat="false" ht="15" hidden="false" customHeight="false" outlineLevel="0" collapsed="false">
      <c r="A39" s="51" t="str">
        <f aca="false">IF(B39="","",ROW()-5)</f>
        <v/>
      </c>
      <c r="B39" s="118"/>
      <c r="C39" s="10" t="str">
        <f aca="false">IF(B39="","",IFERROR(INDEX(Employees!$C$5:$C$54,MATCH(B39,Employees!$B$5:$B$54,0)),"Not found"))</f>
        <v/>
      </c>
      <c r="D39" s="122"/>
      <c r="E39" s="123"/>
      <c r="F39" s="123"/>
      <c r="G39" s="118"/>
      <c r="H39" s="11" t="n">
        <f aca="false">IF(OR(B39="",E39="",F39="",F39&lt;E39),0,IF(G39="Yes",0.5,NETWORKDAYS.INTL(E39,F39,Setup!$C$14,Holidays!$B$5:$B$34)))</f>
        <v>0</v>
      </c>
      <c r="I39" s="119"/>
      <c r="J39" s="122"/>
      <c r="K39" s="118"/>
      <c r="L39" s="54" t="str">
        <f aca="false">IF(B39="","",IF(C39="Not found","Emp ID not found",IF(ISNA(MATCH(D39,Setup!$A$18:$A$23,0)),"Pick leave type",IF(OR(E39="",F39=""),"Enter From &amp; To",IF(F39&lt;E39,"To before From",IF(AND(G39="Yes",F39&gt;E39),"Half day = 1 date",IF(OR(E39&lt;Setup!$C$12,F39&gt;Setup!$C$13),"Outside leave year",IF(H39=0,"No working day",IF(AND(J39&lt;&gt;"Rejected",COUNTIFS($B$6:$B$305,B39,$J$6:$J$305,"&lt;&gt;Rejected",$E$6:$E$305,"&lt;="&amp;F39,$F$6:$F$305,"&gt;="&amp;E39)&gt;1),"Overlaps another leave",IF(AND(J39="Approved",N(INDEX(Balance!$F$6:$W$55,MATCH(B39,Balance!$B$6:$B$55,0),MATCH(D39,Setup!$A$18:$A$23,0)*3))&lt;0),"Exceeds balance",IF(J39="","Set status","OK")))))))))))</f>
        <v/>
      </c>
      <c r="M39" s="55" t="str">
        <f aca="false">IF(AND(B39&lt;&gt;"",B39='Leave Card'!$C$3),COUNTIF($B$6:B39,'Leave Card'!$C$3),"")</f>
        <v/>
      </c>
    </row>
    <row r="40" customFormat="false" ht="15" hidden="false" customHeight="false" outlineLevel="0" collapsed="false">
      <c r="A40" s="51" t="str">
        <f aca="false">IF(B40="","",ROW()-5)</f>
        <v/>
      </c>
      <c r="B40" s="118"/>
      <c r="C40" s="10" t="str">
        <f aca="false">IF(B40="","",IFERROR(INDEX(Employees!$C$5:$C$54,MATCH(B40,Employees!$B$5:$B$54,0)),"Not found"))</f>
        <v/>
      </c>
      <c r="D40" s="122"/>
      <c r="E40" s="123"/>
      <c r="F40" s="123"/>
      <c r="G40" s="118"/>
      <c r="H40" s="11" t="n">
        <f aca="false">IF(OR(B40="",E40="",F40="",F40&lt;E40),0,IF(G40="Yes",0.5,NETWORKDAYS.INTL(E40,F40,Setup!$C$14,Holidays!$B$5:$B$34)))</f>
        <v>0</v>
      </c>
      <c r="I40" s="119"/>
      <c r="J40" s="122"/>
      <c r="K40" s="118"/>
      <c r="L40" s="54" t="str">
        <f aca="false">IF(B40="","",IF(C40="Not found","Emp ID not found",IF(ISNA(MATCH(D40,Setup!$A$18:$A$23,0)),"Pick leave type",IF(OR(E40="",F40=""),"Enter From &amp; To",IF(F40&lt;E40,"To before From",IF(AND(G40="Yes",F40&gt;E40),"Half day = 1 date",IF(OR(E40&lt;Setup!$C$12,F40&gt;Setup!$C$13),"Outside leave year",IF(H40=0,"No working day",IF(AND(J40&lt;&gt;"Rejected",COUNTIFS($B$6:$B$305,B40,$J$6:$J$305,"&lt;&gt;Rejected",$E$6:$E$305,"&lt;="&amp;F40,$F$6:$F$305,"&gt;="&amp;E40)&gt;1),"Overlaps another leave",IF(AND(J40="Approved",N(INDEX(Balance!$F$6:$W$55,MATCH(B40,Balance!$B$6:$B$55,0),MATCH(D40,Setup!$A$18:$A$23,0)*3))&lt;0),"Exceeds balance",IF(J40="","Set status","OK")))))))))))</f>
        <v/>
      </c>
      <c r="M40" s="55" t="str">
        <f aca="false">IF(AND(B40&lt;&gt;"",B40='Leave Card'!$C$3),COUNTIF($B$6:B40,'Leave Card'!$C$3),"")</f>
        <v/>
      </c>
    </row>
    <row r="41" customFormat="false" ht="15" hidden="false" customHeight="false" outlineLevel="0" collapsed="false">
      <c r="A41" s="51" t="str">
        <f aca="false">IF(B41="","",ROW()-5)</f>
        <v/>
      </c>
      <c r="B41" s="118"/>
      <c r="C41" s="10" t="str">
        <f aca="false">IF(B41="","",IFERROR(INDEX(Employees!$C$5:$C$54,MATCH(B41,Employees!$B$5:$B$54,0)),"Not found"))</f>
        <v/>
      </c>
      <c r="D41" s="122"/>
      <c r="E41" s="123"/>
      <c r="F41" s="123"/>
      <c r="G41" s="118"/>
      <c r="H41" s="11" t="n">
        <f aca="false">IF(OR(B41="",E41="",F41="",F41&lt;E41),0,IF(G41="Yes",0.5,NETWORKDAYS.INTL(E41,F41,Setup!$C$14,Holidays!$B$5:$B$34)))</f>
        <v>0</v>
      </c>
      <c r="I41" s="119"/>
      <c r="J41" s="122"/>
      <c r="K41" s="118"/>
      <c r="L41" s="54" t="str">
        <f aca="false">IF(B41="","",IF(C41="Not found","Emp ID not found",IF(ISNA(MATCH(D41,Setup!$A$18:$A$23,0)),"Pick leave type",IF(OR(E41="",F41=""),"Enter From &amp; To",IF(F41&lt;E41,"To before From",IF(AND(G41="Yes",F41&gt;E41),"Half day = 1 date",IF(OR(E41&lt;Setup!$C$12,F41&gt;Setup!$C$13),"Outside leave year",IF(H41=0,"No working day",IF(AND(J41&lt;&gt;"Rejected",COUNTIFS($B$6:$B$305,B41,$J$6:$J$305,"&lt;&gt;Rejected",$E$6:$E$305,"&lt;="&amp;F41,$F$6:$F$305,"&gt;="&amp;E41)&gt;1),"Overlaps another leave",IF(AND(J41="Approved",N(INDEX(Balance!$F$6:$W$55,MATCH(B41,Balance!$B$6:$B$55,0),MATCH(D41,Setup!$A$18:$A$23,0)*3))&lt;0),"Exceeds balance",IF(J41="","Set status","OK")))))))))))</f>
        <v/>
      </c>
      <c r="M41" s="55" t="str">
        <f aca="false">IF(AND(B41&lt;&gt;"",B41='Leave Card'!$C$3),COUNTIF($B$6:B41,'Leave Card'!$C$3),"")</f>
        <v/>
      </c>
    </row>
    <row r="42" customFormat="false" ht="15" hidden="false" customHeight="false" outlineLevel="0" collapsed="false">
      <c r="A42" s="51" t="str">
        <f aca="false">IF(B42="","",ROW()-5)</f>
        <v/>
      </c>
      <c r="B42" s="118"/>
      <c r="C42" s="10" t="str">
        <f aca="false">IF(B42="","",IFERROR(INDEX(Employees!$C$5:$C$54,MATCH(B42,Employees!$B$5:$B$54,0)),"Not found"))</f>
        <v/>
      </c>
      <c r="D42" s="122"/>
      <c r="E42" s="123"/>
      <c r="F42" s="123"/>
      <c r="G42" s="118"/>
      <c r="H42" s="11" t="n">
        <f aca="false">IF(OR(B42="",E42="",F42="",F42&lt;E42),0,IF(G42="Yes",0.5,NETWORKDAYS.INTL(E42,F42,Setup!$C$14,Holidays!$B$5:$B$34)))</f>
        <v>0</v>
      </c>
      <c r="I42" s="119"/>
      <c r="J42" s="122"/>
      <c r="K42" s="118"/>
      <c r="L42" s="54" t="str">
        <f aca="false">IF(B42="","",IF(C42="Not found","Emp ID not found",IF(ISNA(MATCH(D42,Setup!$A$18:$A$23,0)),"Pick leave type",IF(OR(E42="",F42=""),"Enter From &amp; To",IF(F42&lt;E42,"To before From",IF(AND(G42="Yes",F42&gt;E42),"Half day = 1 date",IF(OR(E42&lt;Setup!$C$12,F42&gt;Setup!$C$13),"Outside leave year",IF(H42=0,"No working day",IF(AND(J42&lt;&gt;"Rejected",COUNTIFS($B$6:$B$305,B42,$J$6:$J$305,"&lt;&gt;Rejected",$E$6:$E$305,"&lt;="&amp;F42,$F$6:$F$305,"&gt;="&amp;E42)&gt;1),"Overlaps another leave",IF(AND(J42="Approved",N(INDEX(Balance!$F$6:$W$55,MATCH(B42,Balance!$B$6:$B$55,0),MATCH(D42,Setup!$A$18:$A$23,0)*3))&lt;0),"Exceeds balance",IF(J42="","Set status","OK")))))))))))</f>
        <v/>
      </c>
      <c r="M42" s="55" t="str">
        <f aca="false">IF(AND(B42&lt;&gt;"",B42='Leave Card'!$C$3),COUNTIF($B$6:B42,'Leave Card'!$C$3),"")</f>
        <v/>
      </c>
    </row>
    <row r="43" customFormat="false" ht="15" hidden="false" customHeight="false" outlineLevel="0" collapsed="false">
      <c r="A43" s="51" t="str">
        <f aca="false">IF(B43="","",ROW()-5)</f>
        <v/>
      </c>
      <c r="B43" s="118"/>
      <c r="C43" s="10" t="str">
        <f aca="false">IF(B43="","",IFERROR(INDEX(Employees!$C$5:$C$54,MATCH(B43,Employees!$B$5:$B$54,0)),"Not found"))</f>
        <v/>
      </c>
      <c r="D43" s="122"/>
      <c r="E43" s="123"/>
      <c r="F43" s="123"/>
      <c r="G43" s="118"/>
      <c r="H43" s="11" t="n">
        <f aca="false">IF(OR(B43="",E43="",F43="",F43&lt;E43),0,IF(G43="Yes",0.5,NETWORKDAYS.INTL(E43,F43,Setup!$C$14,Holidays!$B$5:$B$34)))</f>
        <v>0</v>
      </c>
      <c r="I43" s="119"/>
      <c r="J43" s="122"/>
      <c r="K43" s="118"/>
      <c r="L43" s="54" t="str">
        <f aca="false">IF(B43="","",IF(C43="Not found","Emp ID not found",IF(ISNA(MATCH(D43,Setup!$A$18:$A$23,0)),"Pick leave type",IF(OR(E43="",F43=""),"Enter From &amp; To",IF(F43&lt;E43,"To before From",IF(AND(G43="Yes",F43&gt;E43),"Half day = 1 date",IF(OR(E43&lt;Setup!$C$12,F43&gt;Setup!$C$13),"Outside leave year",IF(H43=0,"No working day",IF(AND(J43&lt;&gt;"Rejected",COUNTIFS($B$6:$B$305,B43,$J$6:$J$305,"&lt;&gt;Rejected",$E$6:$E$305,"&lt;="&amp;F43,$F$6:$F$305,"&gt;="&amp;E43)&gt;1),"Overlaps another leave",IF(AND(J43="Approved",N(INDEX(Balance!$F$6:$W$55,MATCH(B43,Balance!$B$6:$B$55,0),MATCH(D43,Setup!$A$18:$A$23,0)*3))&lt;0),"Exceeds balance",IF(J43="","Set status","OK")))))))))))</f>
        <v/>
      </c>
      <c r="M43" s="55" t="str">
        <f aca="false">IF(AND(B43&lt;&gt;"",B43='Leave Card'!$C$3),COUNTIF($B$6:B43,'Leave Card'!$C$3),"")</f>
        <v/>
      </c>
    </row>
    <row r="44" customFormat="false" ht="15" hidden="false" customHeight="false" outlineLevel="0" collapsed="false">
      <c r="A44" s="51" t="str">
        <f aca="false">IF(B44="","",ROW()-5)</f>
        <v/>
      </c>
      <c r="B44" s="118"/>
      <c r="C44" s="10" t="str">
        <f aca="false">IF(B44="","",IFERROR(INDEX(Employees!$C$5:$C$54,MATCH(B44,Employees!$B$5:$B$54,0)),"Not found"))</f>
        <v/>
      </c>
      <c r="D44" s="122"/>
      <c r="E44" s="123"/>
      <c r="F44" s="123"/>
      <c r="G44" s="118"/>
      <c r="H44" s="11" t="n">
        <f aca="false">IF(OR(B44="",E44="",F44="",F44&lt;E44),0,IF(G44="Yes",0.5,NETWORKDAYS.INTL(E44,F44,Setup!$C$14,Holidays!$B$5:$B$34)))</f>
        <v>0</v>
      </c>
      <c r="I44" s="119"/>
      <c r="J44" s="122"/>
      <c r="K44" s="118"/>
      <c r="L44" s="54" t="str">
        <f aca="false">IF(B44="","",IF(C44="Not found","Emp ID not found",IF(ISNA(MATCH(D44,Setup!$A$18:$A$23,0)),"Pick leave type",IF(OR(E44="",F44=""),"Enter From &amp; To",IF(F44&lt;E44,"To before From",IF(AND(G44="Yes",F44&gt;E44),"Half day = 1 date",IF(OR(E44&lt;Setup!$C$12,F44&gt;Setup!$C$13),"Outside leave year",IF(H44=0,"No working day",IF(AND(J44&lt;&gt;"Rejected",COUNTIFS($B$6:$B$305,B44,$J$6:$J$305,"&lt;&gt;Rejected",$E$6:$E$305,"&lt;="&amp;F44,$F$6:$F$305,"&gt;="&amp;E44)&gt;1),"Overlaps another leave",IF(AND(J44="Approved",N(INDEX(Balance!$F$6:$W$55,MATCH(B44,Balance!$B$6:$B$55,0),MATCH(D44,Setup!$A$18:$A$23,0)*3))&lt;0),"Exceeds balance",IF(J44="","Set status","OK")))))))))))</f>
        <v/>
      </c>
      <c r="M44" s="55" t="str">
        <f aca="false">IF(AND(B44&lt;&gt;"",B44='Leave Card'!$C$3),COUNTIF($B$6:B44,'Leave Card'!$C$3),"")</f>
        <v/>
      </c>
    </row>
    <row r="45" customFormat="false" ht="15" hidden="false" customHeight="false" outlineLevel="0" collapsed="false">
      <c r="A45" s="51" t="str">
        <f aca="false">IF(B45="","",ROW()-5)</f>
        <v/>
      </c>
      <c r="B45" s="118"/>
      <c r="C45" s="10" t="str">
        <f aca="false">IF(B45="","",IFERROR(INDEX(Employees!$C$5:$C$54,MATCH(B45,Employees!$B$5:$B$54,0)),"Not found"))</f>
        <v/>
      </c>
      <c r="D45" s="122"/>
      <c r="E45" s="123"/>
      <c r="F45" s="123"/>
      <c r="G45" s="118"/>
      <c r="H45" s="11" t="n">
        <f aca="false">IF(OR(B45="",E45="",F45="",F45&lt;E45),0,IF(G45="Yes",0.5,NETWORKDAYS.INTL(E45,F45,Setup!$C$14,Holidays!$B$5:$B$34)))</f>
        <v>0</v>
      </c>
      <c r="I45" s="119"/>
      <c r="J45" s="122"/>
      <c r="K45" s="118"/>
      <c r="L45" s="54" t="str">
        <f aca="false">IF(B45="","",IF(C45="Not found","Emp ID not found",IF(ISNA(MATCH(D45,Setup!$A$18:$A$23,0)),"Pick leave type",IF(OR(E45="",F45=""),"Enter From &amp; To",IF(F45&lt;E45,"To before From",IF(AND(G45="Yes",F45&gt;E45),"Half day = 1 date",IF(OR(E45&lt;Setup!$C$12,F45&gt;Setup!$C$13),"Outside leave year",IF(H45=0,"No working day",IF(AND(J45&lt;&gt;"Rejected",COUNTIFS($B$6:$B$305,B45,$J$6:$J$305,"&lt;&gt;Rejected",$E$6:$E$305,"&lt;="&amp;F45,$F$6:$F$305,"&gt;="&amp;E45)&gt;1),"Overlaps another leave",IF(AND(J45="Approved",N(INDEX(Balance!$F$6:$W$55,MATCH(B45,Balance!$B$6:$B$55,0),MATCH(D45,Setup!$A$18:$A$23,0)*3))&lt;0),"Exceeds balance",IF(J45="","Set status","OK")))))))))))</f>
        <v/>
      </c>
      <c r="M45" s="55" t="str">
        <f aca="false">IF(AND(B45&lt;&gt;"",B45='Leave Card'!$C$3),COUNTIF($B$6:B45,'Leave Card'!$C$3),"")</f>
        <v/>
      </c>
    </row>
    <row r="46" customFormat="false" ht="15" hidden="false" customHeight="false" outlineLevel="0" collapsed="false">
      <c r="A46" s="51" t="str">
        <f aca="false">IF(B46="","",ROW()-5)</f>
        <v/>
      </c>
      <c r="B46" s="118"/>
      <c r="C46" s="10" t="str">
        <f aca="false">IF(B46="","",IFERROR(INDEX(Employees!$C$5:$C$54,MATCH(B46,Employees!$B$5:$B$54,0)),"Not found"))</f>
        <v/>
      </c>
      <c r="D46" s="122"/>
      <c r="E46" s="123"/>
      <c r="F46" s="123"/>
      <c r="G46" s="118"/>
      <c r="H46" s="11" t="n">
        <f aca="false">IF(OR(B46="",E46="",F46="",F46&lt;E46),0,IF(G46="Yes",0.5,NETWORKDAYS.INTL(E46,F46,Setup!$C$14,Holidays!$B$5:$B$34)))</f>
        <v>0</v>
      </c>
      <c r="I46" s="119"/>
      <c r="J46" s="122"/>
      <c r="K46" s="118"/>
      <c r="L46" s="54" t="str">
        <f aca="false">IF(B46="","",IF(C46="Not found","Emp ID not found",IF(ISNA(MATCH(D46,Setup!$A$18:$A$23,0)),"Pick leave type",IF(OR(E46="",F46=""),"Enter From &amp; To",IF(F46&lt;E46,"To before From",IF(AND(G46="Yes",F46&gt;E46),"Half day = 1 date",IF(OR(E46&lt;Setup!$C$12,F46&gt;Setup!$C$13),"Outside leave year",IF(H46=0,"No working day",IF(AND(J46&lt;&gt;"Rejected",COUNTIFS($B$6:$B$305,B46,$J$6:$J$305,"&lt;&gt;Rejected",$E$6:$E$305,"&lt;="&amp;F46,$F$6:$F$305,"&gt;="&amp;E46)&gt;1),"Overlaps another leave",IF(AND(J46="Approved",N(INDEX(Balance!$F$6:$W$55,MATCH(B46,Balance!$B$6:$B$55,0),MATCH(D46,Setup!$A$18:$A$23,0)*3))&lt;0),"Exceeds balance",IF(J46="","Set status","OK")))))))))))</f>
        <v/>
      </c>
      <c r="M46" s="55" t="str">
        <f aca="false">IF(AND(B46&lt;&gt;"",B46='Leave Card'!$C$3),COUNTIF($B$6:B46,'Leave Card'!$C$3),"")</f>
        <v/>
      </c>
    </row>
    <row r="47" customFormat="false" ht="15" hidden="false" customHeight="false" outlineLevel="0" collapsed="false">
      <c r="A47" s="51" t="str">
        <f aca="false">IF(B47="","",ROW()-5)</f>
        <v/>
      </c>
      <c r="B47" s="118"/>
      <c r="C47" s="10" t="str">
        <f aca="false">IF(B47="","",IFERROR(INDEX(Employees!$C$5:$C$54,MATCH(B47,Employees!$B$5:$B$54,0)),"Not found"))</f>
        <v/>
      </c>
      <c r="D47" s="122"/>
      <c r="E47" s="123"/>
      <c r="F47" s="123"/>
      <c r="G47" s="118"/>
      <c r="H47" s="11" t="n">
        <f aca="false">IF(OR(B47="",E47="",F47="",F47&lt;E47),0,IF(G47="Yes",0.5,NETWORKDAYS.INTL(E47,F47,Setup!$C$14,Holidays!$B$5:$B$34)))</f>
        <v>0</v>
      </c>
      <c r="I47" s="119"/>
      <c r="J47" s="122"/>
      <c r="K47" s="118"/>
      <c r="L47" s="54" t="str">
        <f aca="false">IF(B47="","",IF(C47="Not found","Emp ID not found",IF(ISNA(MATCH(D47,Setup!$A$18:$A$23,0)),"Pick leave type",IF(OR(E47="",F47=""),"Enter From &amp; To",IF(F47&lt;E47,"To before From",IF(AND(G47="Yes",F47&gt;E47),"Half day = 1 date",IF(OR(E47&lt;Setup!$C$12,F47&gt;Setup!$C$13),"Outside leave year",IF(H47=0,"No working day",IF(AND(J47&lt;&gt;"Rejected",COUNTIFS($B$6:$B$305,B47,$J$6:$J$305,"&lt;&gt;Rejected",$E$6:$E$305,"&lt;="&amp;F47,$F$6:$F$305,"&gt;="&amp;E47)&gt;1),"Overlaps another leave",IF(AND(J47="Approved",N(INDEX(Balance!$F$6:$W$55,MATCH(B47,Balance!$B$6:$B$55,0),MATCH(D47,Setup!$A$18:$A$23,0)*3))&lt;0),"Exceeds balance",IF(J47="","Set status","OK")))))))))))</f>
        <v/>
      </c>
      <c r="M47" s="55" t="str">
        <f aca="false">IF(AND(B47&lt;&gt;"",B47='Leave Card'!$C$3),COUNTIF($B$6:B47,'Leave Card'!$C$3),"")</f>
        <v/>
      </c>
    </row>
    <row r="48" customFormat="false" ht="15" hidden="false" customHeight="false" outlineLevel="0" collapsed="false">
      <c r="A48" s="51" t="str">
        <f aca="false">IF(B48="","",ROW()-5)</f>
        <v/>
      </c>
      <c r="B48" s="118"/>
      <c r="C48" s="10" t="str">
        <f aca="false">IF(B48="","",IFERROR(INDEX(Employees!$C$5:$C$54,MATCH(B48,Employees!$B$5:$B$54,0)),"Not found"))</f>
        <v/>
      </c>
      <c r="D48" s="122"/>
      <c r="E48" s="123"/>
      <c r="F48" s="123"/>
      <c r="G48" s="118"/>
      <c r="H48" s="11" t="n">
        <f aca="false">IF(OR(B48="",E48="",F48="",F48&lt;E48),0,IF(G48="Yes",0.5,NETWORKDAYS.INTL(E48,F48,Setup!$C$14,Holidays!$B$5:$B$34)))</f>
        <v>0</v>
      </c>
      <c r="I48" s="119"/>
      <c r="J48" s="122"/>
      <c r="K48" s="118"/>
      <c r="L48" s="54" t="str">
        <f aca="false">IF(B48="","",IF(C48="Not found","Emp ID not found",IF(ISNA(MATCH(D48,Setup!$A$18:$A$23,0)),"Pick leave type",IF(OR(E48="",F48=""),"Enter From &amp; To",IF(F48&lt;E48,"To before From",IF(AND(G48="Yes",F48&gt;E48),"Half day = 1 date",IF(OR(E48&lt;Setup!$C$12,F48&gt;Setup!$C$13),"Outside leave year",IF(H48=0,"No working day",IF(AND(J48&lt;&gt;"Rejected",COUNTIFS($B$6:$B$305,B48,$J$6:$J$305,"&lt;&gt;Rejected",$E$6:$E$305,"&lt;="&amp;F48,$F$6:$F$305,"&gt;="&amp;E48)&gt;1),"Overlaps another leave",IF(AND(J48="Approved",N(INDEX(Balance!$F$6:$W$55,MATCH(B48,Balance!$B$6:$B$55,0),MATCH(D48,Setup!$A$18:$A$23,0)*3))&lt;0),"Exceeds balance",IF(J48="","Set status","OK")))))))))))</f>
        <v/>
      </c>
      <c r="M48" s="55" t="str">
        <f aca="false">IF(AND(B48&lt;&gt;"",B48='Leave Card'!$C$3),COUNTIF($B$6:B48,'Leave Card'!$C$3),"")</f>
        <v/>
      </c>
    </row>
    <row r="49" customFormat="false" ht="15" hidden="false" customHeight="false" outlineLevel="0" collapsed="false">
      <c r="A49" s="51" t="str">
        <f aca="false">IF(B49="","",ROW()-5)</f>
        <v/>
      </c>
      <c r="B49" s="118"/>
      <c r="C49" s="10" t="str">
        <f aca="false">IF(B49="","",IFERROR(INDEX(Employees!$C$5:$C$54,MATCH(B49,Employees!$B$5:$B$54,0)),"Not found"))</f>
        <v/>
      </c>
      <c r="D49" s="122"/>
      <c r="E49" s="123"/>
      <c r="F49" s="123"/>
      <c r="G49" s="118"/>
      <c r="H49" s="11" t="n">
        <f aca="false">IF(OR(B49="",E49="",F49="",F49&lt;E49),0,IF(G49="Yes",0.5,NETWORKDAYS.INTL(E49,F49,Setup!$C$14,Holidays!$B$5:$B$34)))</f>
        <v>0</v>
      </c>
      <c r="I49" s="119"/>
      <c r="J49" s="122"/>
      <c r="K49" s="118"/>
      <c r="L49" s="54" t="str">
        <f aca="false">IF(B49="","",IF(C49="Not found","Emp ID not found",IF(ISNA(MATCH(D49,Setup!$A$18:$A$23,0)),"Pick leave type",IF(OR(E49="",F49=""),"Enter From &amp; To",IF(F49&lt;E49,"To before From",IF(AND(G49="Yes",F49&gt;E49),"Half day = 1 date",IF(OR(E49&lt;Setup!$C$12,F49&gt;Setup!$C$13),"Outside leave year",IF(H49=0,"No working day",IF(AND(J49&lt;&gt;"Rejected",COUNTIFS($B$6:$B$305,B49,$J$6:$J$305,"&lt;&gt;Rejected",$E$6:$E$305,"&lt;="&amp;F49,$F$6:$F$305,"&gt;="&amp;E49)&gt;1),"Overlaps another leave",IF(AND(J49="Approved",N(INDEX(Balance!$F$6:$W$55,MATCH(B49,Balance!$B$6:$B$55,0),MATCH(D49,Setup!$A$18:$A$23,0)*3))&lt;0),"Exceeds balance",IF(J49="","Set status","OK")))))))))))</f>
        <v/>
      </c>
      <c r="M49" s="55" t="str">
        <f aca="false">IF(AND(B49&lt;&gt;"",B49='Leave Card'!$C$3),COUNTIF($B$6:B49,'Leave Card'!$C$3),"")</f>
        <v/>
      </c>
    </row>
    <row r="50" customFormat="false" ht="15" hidden="false" customHeight="false" outlineLevel="0" collapsed="false">
      <c r="A50" s="51" t="str">
        <f aca="false">IF(B50="","",ROW()-5)</f>
        <v/>
      </c>
      <c r="B50" s="118"/>
      <c r="C50" s="10" t="str">
        <f aca="false">IF(B50="","",IFERROR(INDEX(Employees!$C$5:$C$54,MATCH(B50,Employees!$B$5:$B$54,0)),"Not found"))</f>
        <v/>
      </c>
      <c r="D50" s="122"/>
      <c r="E50" s="123"/>
      <c r="F50" s="123"/>
      <c r="G50" s="118"/>
      <c r="H50" s="11" t="n">
        <f aca="false">IF(OR(B50="",E50="",F50="",F50&lt;E50),0,IF(G50="Yes",0.5,NETWORKDAYS.INTL(E50,F50,Setup!$C$14,Holidays!$B$5:$B$34)))</f>
        <v>0</v>
      </c>
      <c r="I50" s="119"/>
      <c r="J50" s="122"/>
      <c r="K50" s="118"/>
      <c r="L50" s="54" t="str">
        <f aca="false">IF(B50="","",IF(C50="Not found","Emp ID not found",IF(ISNA(MATCH(D50,Setup!$A$18:$A$23,0)),"Pick leave type",IF(OR(E50="",F50=""),"Enter From &amp; To",IF(F50&lt;E50,"To before From",IF(AND(G50="Yes",F50&gt;E50),"Half day = 1 date",IF(OR(E50&lt;Setup!$C$12,F50&gt;Setup!$C$13),"Outside leave year",IF(H50=0,"No working day",IF(AND(J50&lt;&gt;"Rejected",COUNTIFS($B$6:$B$305,B50,$J$6:$J$305,"&lt;&gt;Rejected",$E$6:$E$305,"&lt;="&amp;F50,$F$6:$F$305,"&gt;="&amp;E50)&gt;1),"Overlaps another leave",IF(AND(J50="Approved",N(INDEX(Balance!$F$6:$W$55,MATCH(B50,Balance!$B$6:$B$55,0),MATCH(D50,Setup!$A$18:$A$23,0)*3))&lt;0),"Exceeds balance",IF(J50="","Set status","OK")))))))))))</f>
        <v/>
      </c>
      <c r="M50" s="55" t="str">
        <f aca="false">IF(AND(B50&lt;&gt;"",B50='Leave Card'!$C$3),COUNTIF($B$6:B50,'Leave Card'!$C$3),"")</f>
        <v/>
      </c>
    </row>
    <row r="51" customFormat="false" ht="15" hidden="false" customHeight="false" outlineLevel="0" collapsed="false">
      <c r="A51" s="51" t="str">
        <f aca="false">IF(B51="","",ROW()-5)</f>
        <v/>
      </c>
      <c r="B51" s="118"/>
      <c r="C51" s="10" t="str">
        <f aca="false">IF(B51="","",IFERROR(INDEX(Employees!$C$5:$C$54,MATCH(B51,Employees!$B$5:$B$54,0)),"Not found"))</f>
        <v/>
      </c>
      <c r="D51" s="122"/>
      <c r="E51" s="123"/>
      <c r="F51" s="123"/>
      <c r="G51" s="118"/>
      <c r="H51" s="11" t="n">
        <f aca="false">IF(OR(B51="",E51="",F51="",F51&lt;E51),0,IF(G51="Yes",0.5,NETWORKDAYS.INTL(E51,F51,Setup!$C$14,Holidays!$B$5:$B$34)))</f>
        <v>0</v>
      </c>
      <c r="I51" s="119"/>
      <c r="J51" s="122"/>
      <c r="K51" s="118"/>
      <c r="L51" s="54" t="str">
        <f aca="false">IF(B51="","",IF(C51="Not found","Emp ID not found",IF(ISNA(MATCH(D51,Setup!$A$18:$A$23,0)),"Pick leave type",IF(OR(E51="",F51=""),"Enter From &amp; To",IF(F51&lt;E51,"To before From",IF(AND(G51="Yes",F51&gt;E51),"Half day = 1 date",IF(OR(E51&lt;Setup!$C$12,F51&gt;Setup!$C$13),"Outside leave year",IF(H51=0,"No working day",IF(AND(J51&lt;&gt;"Rejected",COUNTIFS($B$6:$B$305,B51,$J$6:$J$305,"&lt;&gt;Rejected",$E$6:$E$305,"&lt;="&amp;F51,$F$6:$F$305,"&gt;="&amp;E51)&gt;1),"Overlaps another leave",IF(AND(J51="Approved",N(INDEX(Balance!$F$6:$W$55,MATCH(B51,Balance!$B$6:$B$55,0),MATCH(D51,Setup!$A$18:$A$23,0)*3))&lt;0),"Exceeds balance",IF(J51="","Set status","OK")))))))))))</f>
        <v/>
      </c>
      <c r="M51" s="55" t="str">
        <f aca="false">IF(AND(B51&lt;&gt;"",B51='Leave Card'!$C$3),COUNTIF($B$6:B51,'Leave Card'!$C$3),"")</f>
        <v/>
      </c>
    </row>
    <row r="52" customFormat="false" ht="15" hidden="false" customHeight="false" outlineLevel="0" collapsed="false">
      <c r="A52" s="51" t="str">
        <f aca="false">IF(B52="","",ROW()-5)</f>
        <v/>
      </c>
      <c r="B52" s="118"/>
      <c r="C52" s="10" t="str">
        <f aca="false">IF(B52="","",IFERROR(INDEX(Employees!$C$5:$C$54,MATCH(B52,Employees!$B$5:$B$54,0)),"Not found"))</f>
        <v/>
      </c>
      <c r="D52" s="122"/>
      <c r="E52" s="123"/>
      <c r="F52" s="123"/>
      <c r="G52" s="118"/>
      <c r="H52" s="11" t="n">
        <f aca="false">IF(OR(B52="",E52="",F52="",F52&lt;E52),0,IF(G52="Yes",0.5,NETWORKDAYS.INTL(E52,F52,Setup!$C$14,Holidays!$B$5:$B$34)))</f>
        <v>0</v>
      </c>
      <c r="I52" s="119"/>
      <c r="J52" s="122"/>
      <c r="K52" s="118"/>
      <c r="L52" s="54" t="str">
        <f aca="false">IF(B52="","",IF(C52="Not found","Emp ID not found",IF(ISNA(MATCH(D52,Setup!$A$18:$A$23,0)),"Pick leave type",IF(OR(E52="",F52=""),"Enter From &amp; To",IF(F52&lt;E52,"To before From",IF(AND(G52="Yes",F52&gt;E52),"Half day = 1 date",IF(OR(E52&lt;Setup!$C$12,F52&gt;Setup!$C$13),"Outside leave year",IF(H52=0,"No working day",IF(AND(J52&lt;&gt;"Rejected",COUNTIFS($B$6:$B$305,B52,$J$6:$J$305,"&lt;&gt;Rejected",$E$6:$E$305,"&lt;="&amp;F52,$F$6:$F$305,"&gt;="&amp;E52)&gt;1),"Overlaps another leave",IF(AND(J52="Approved",N(INDEX(Balance!$F$6:$W$55,MATCH(B52,Balance!$B$6:$B$55,0),MATCH(D52,Setup!$A$18:$A$23,0)*3))&lt;0),"Exceeds balance",IF(J52="","Set status","OK")))))))))))</f>
        <v/>
      </c>
      <c r="M52" s="55" t="str">
        <f aca="false">IF(AND(B52&lt;&gt;"",B52='Leave Card'!$C$3),COUNTIF($B$6:B52,'Leave Card'!$C$3),"")</f>
        <v/>
      </c>
    </row>
    <row r="53" customFormat="false" ht="15" hidden="false" customHeight="false" outlineLevel="0" collapsed="false">
      <c r="A53" s="51" t="str">
        <f aca="false">IF(B53="","",ROW()-5)</f>
        <v/>
      </c>
      <c r="B53" s="118"/>
      <c r="C53" s="10" t="str">
        <f aca="false">IF(B53="","",IFERROR(INDEX(Employees!$C$5:$C$54,MATCH(B53,Employees!$B$5:$B$54,0)),"Not found"))</f>
        <v/>
      </c>
      <c r="D53" s="122"/>
      <c r="E53" s="123"/>
      <c r="F53" s="123"/>
      <c r="G53" s="118"/>
      <c r="H53" s="11" t="n">
        <f aca="false">IF(OR(B53="",E53="",F53="",F53&lt;E53),0,IF(G53="Yes",0.5,NETWORKDAYS.INTL(E53,F53,Setup!$C$14,Holidays!$B$5:$B$34)))</f>
        <v>0</v>
      </c>
      <c r="I53" s="119"/>
      <c r="J53" s="122"/>
      <c r="K53" s="118"/>
      <c r="L53" s="54" t="str">
        <f aca="false">IF(B53="","",IF(C53="Not found","Emp ID not found",IF(ISNA(MATCH(D53,Setup!$A$18:$A$23,0)),"Pick leave type",IF(OR(E53="",F53=""),"Enter From &amp; To",IF(F53&lt;E53,"To before From",IF(AND(G53="Yes",F53&gt;E53),"Half day = 1 date",IF(OR(E53&lt;Setup!$C$12,F53&gt;Setup!$C$13),"Outside leave year",IF(H53=0,"No working day",IF(AND(J53&lt;&gt;"Rejected",COUNTIFS($B$6:$B$305,B53,$J$6:$J$305,"&lt;&gt;Rejected",$E$6:$E$305,"&lt;="&amp;F53,$F$6:$F$305,"&gt;="&amp;E53)&gt;1),"Overlaps another leave",IF(AND(J53="Approved",N(INDEX(Balance!$F$6:$W$55,MATCH(B53,Balance!$B$6:$B$55,0),MATCH(D53,Setup!$A$18:$A$23,0)*3))&lt;0),"Exceeds balance",IF(J53="","Set status","OK")))))))))))</f>
        <v/>
      </c>
      <c r="M53" s="55" t="str">
        <f aca="false">IF(AND(B53&lt;&gt;"",B53='Leave Card'!$C$3),COUNTIF($B$6:B53,'Leave Card'!$C$3),"")</f>
        <v/>
      </c>
    </row>
    <row r="54" customFormat="false" ht="15" hidden="false" customHeight="false" outlineLevel="0" collapsed="false">
      <c r="A54" s="51" t="str">
        <f aca="false">IF(B54="","",ROW()-5)</f>
        <v/>
      </c>
      <c r="B54" s="118"/>
      <c r="C54" s="10" t="str">
        <f aca="false">IF(B54="","",IFERROR(INDEX(Employees!$C$5:$C$54,MATCH(B54,Employees!$B$5:$B$54,0)),"Not found"))</f>
        <v/>
      </c>
      <c r="D54" s="122"/>
      <c r="E54" s="123"/>
      <c r="F54" s="123"/>
      <c r="G54" s="118"/>
      <c r="H54" s="11" t="n">
        <f aca="false">IF(OR(B54="",E54="",F54="",F54&lt;E54),0,IF(G54="Yes",0.5,NETWORKDAYS.INTL(E54,F54,Setup!$C$14,Holidays!$B$5:$B$34)))</f>
        <v>0</v>
      </c>
      <c r="I54" s="119"/>
      <c r="J54" s="122"/>
      <c r="K54" s="118"/>
      <c r="L54" s="54" t="str">
        <f aca="false">IF(B54="","",IF(C54="Not found","Emp ID not found",IF(ISNA(MATCH(D54,Setup!$A$18:$A$23,0)),"Pick leave type",IF(OR(E54="",F54=""),"Enter From &amp; To",IF(F54&lt;E54,"To before From",IF(AND(G54="Yes",F54&gt;E54),"Half day = 1 date",IF(OR(E54&lt;Setup!$C$12,F54&gt;Setup!$C$13),"Outside leave year",IF(H54=0,"No working day",IF(AND(J54&lt;&gt;"Rejected",COUNTIFS($B$6:$B$305,B54,$J$6:$J$305,"&lt;&gt;Rejected",$E$6:$E$305,"&lt;="&amp;F54,$F$6:$F$305,"&gt;="&amp;E54)&gt;1),"Overlaps another leave",IF(AND(J54="Approved",N(INDEX(Balance!$F$6:$W$55,MATCH(B54,Balance!$B$6:$B$55,0),MATCH(D54,Setup!$A$18:$A$23,0)*3))&lt;0),"Exceeds balance",IF(J54="","Set status","OK")))))))))))</f>
        <v/>
      </c>
      <c r="M54" s="55" t="str">
        <f aca="false">IF(AND(B54&lt;&gt;"",B54='Leave Card'!$C$3),COUNTIF($B$6:B54,'Leave Card'!$C$3),"")</f>
        <v/>
      </c>
    </row>
    <row r="55" customFormat="false" ht="15" hidden="false" customHeight="false" outlineLevel="0" collapsed="false">
      <c r="A55" s="51" t="str">
        <f aca="false">IF(B55="","",ROW()-5)</f>
        <v/>
      </c>
      <c r="B55" s="118"/>
      <c r="C55" s="10" t="str">
        <f aca="false">IF(B55="","",IFERROR(INDEX(Employees!$C$5:$C$54,MATCH(B55,Employees!$B$5:$B$54,0)),"Not found"))</f>
        <v/>
      </c>
      <c r="D55" s="122"/>
      <c r="E55" s="123"/>
      <c r="F55" s="123"/>
      <c r="G55" s="118"/>
      <c r="H55" s="11" t="n">
        <f aca="false">IF(OR(B55="",E55="",F55="",F55&lt;E55),0,IF(G55="Yes",0.5,NETWORKDAYS.INTL(E55,F55,Setup!$C$14,Holidays!$B$5:$B$34)))</f>
        <v>0</v>
      </c>
      <c r="I55" s="119"/>
      <c r="J55" s="122"/>
      <c r="K55" s="118"/>
      <c r="L55" s="54" t="str">
        <f aca="false">IF(B55="","",IF(C55="Not found","Emp ID not found",IF(ISNA(MATCH(D55,Setup!$A$18:$A$23,0)),"Pick leave type",IF(OR(E55="",F55=""),"Enter From &amp; To",IF(F55&lt;E55,"To before From",IF(AND(G55="Yes",F55&gt;E55),"Half day = 1 date",IF(OR(E55&lt;Setup!$C$12,F55&gt;Setup!$C$13),"Outside leave year",IF(H55=0,"No working day",IF(AND(J55&lt;&gt;"Rejected",COUNTIFS($B$6:$B$305,B55,$J$6:$J$305,"&lt;&gt;Rejected",$E$6:$E$305,"&lt;="&amp;F55,$F$6:$F$305,"&gt;="&amp;E55)&gt;1),"Overlaps another leave",IF(AND(J55="Approved",N(INDEX(Balance!$F$6:$W$55,MATCH(B55,Balance!$B$6:$B$55,0),MATCH(D55,Setup!$A$18:$A$23,0)*3))&lt;0),"Exceeds balance",IF(J55="","Set status","OK")))))))))))</f>
        <v/>
      </c>
      <c r="M55" s="55" t="str">
        <f aca="false">IF(AND(B55&lt;&gt;"",B55='Leave Card'!$C$3),COUNTIF($B$6:B55,'Leave Card'!$C$3),"")</f>
        <v/>
      </c>
    </row>
    <row r="56" customFormat="false" ht="15" hidden="false" customHeight="false" outlineLevel="0" collapsed="false">
      <c r="A56" s="51" t="str">
        <f aca="false">IF(B56="","",ROW()-5)</f>
        <v/>
      </c>
      <c r="B56" s="118"/>
      <c r="C56" s="10" t="str">
        <f aca="false">IF(B56="","",IFERROR(INDEX(Employees!$C$5:$C$54,MATCH(B56,Employees!$B$5:$B$54,0)),"Not found"))</f>
        <v/>
      </c>
      <c r="D56" s="122"/>
      <c r="E56" s="123"/>
      <c r="F56" s="123"/>
      <c r="G56" s="118"/>
      <c r="H56" s="11" t="n">
        <f aca="false">IF(OR(B56="",E56="",F56="",F56&lt;E56),0,IF(G56="Yes",0.5,NETWORKDAYS.INTL(E56,F56,Setup!$C$14,Holidays!$B$5:$B$34)))</f>
        <v>0</v>
      </c>
      <c r="I56" s="119"/>
      <c r="J56" s="122"/>
      <c r="K56" s="118"/>
      <c r="L56" s="54" t="str">
        <f aca="false">IF(B56="","",IF(C56="Not found","Emp ID not found",IF(ISNA(MATCH(D56,Setup!$A$18:$A$23,0)),"Pick leave type",IF(OR(E56="",F56=""),"Enter From &amp; To",IF(F56&lt;E56,"To before From",IF(AND(G56="Yes",F56&gt;E56),"Half day = 1 date",IF(OR(E56&lt;Setup!$C$12,F56&gt;Setup!$C$13),"Outside leave year",IF(H56=0,"No working day",IF(AND(J56&lt;&gt;"Rejected",COUNTIFS($B$6:$B$305,B56,$J$6:$J$305,"&lt;&gt;Rejected",$E$6:$E$305,"&lt;="&amp;F56,$F$6:$F$305,"&gt;="&amp;E56)&gt;1),"Overlaps another leave",IF(AND(J56="Approved",N(INDEX(Balance!$F$6:$W$55,MATCH(B56,Balance!$B$6:$B$55,0),MATCH(D56,Setup!$A$18:$A$23,0)*3))&lt;0),"Exceeds balance",IF(J56="","Set status","OK")))))))))))</f>
        <v/>
      </c>
      <c r="M56" s="55" t="str">
        <f aca="false">IF(AND(B56&lt;&gt;"",B56='Leave Card'!$C$3),COUNTIF($B$6:B56,'Leave Card'!$C$3),"")</f>
        <v/>
      </c>
    </row>
    <row r="57" customFormat="false" ht="15" hidden="false" customHeight="false" outlineLevel="0" collapsed="false">
      <c r="A57" s="51" t="str">
        <f aca="false">IF(B57="","",ROW()-5)</f>
        <v/>
      </c>
      <c r="B57" s="118"/>
      <c r="C57" s="10" t="str">
        <f aca="false">IF(B57="","",IFERROR(INDEX(Employees!$C$5:$C$54,MATCH(B57,Employees!$B$5:$B$54,0)),"Not found"))</f>
        <v/>
      </c>
      <c r="D57" s="122"/>
      <c r="E57" s="123"/>
      <c r="F57" s="123"/>
      <c r="G57" s="118"/>
      <c r="H57" s="11" t="n">
        <f aca="false">IF(OR(B57="",E57="",F57="",F57&lt;E57),0,IF(G57="Yes",0.5,NETWORKDAYS.INTL(E57,F57,Setup!$C$14,Holidays!$B$5:$B$34)))</f>
        <v>0</v>
      </c>
      <c r="I57" s="119"/>
      <c r="J57" s="122"/>
      <c r="K57" s="118"/>
      <c r="L57" s="54" t="str">
        <f aca="false">IF(B57="","",IF(C57="Not found","Emp ID not found",IF(ISNA(MATCH(D57,Setup!$A$18:$A$23,0)),"Pick leave type",IF(OR(E57="",F57=""),"Enter From &amp; To",IF(F57&lt;E57,"To before From",IF(AND(G57="Yes",F57&gt;E57),"Half day = 1 date",IF(OR(E57&lt;Setup!$C$12,F57&gt;Setup!$C$13),"Outside leave year",IF(H57=0,"No working day",IF(AND(J57&lt;&gt;"Rejected",COUNTIFS($B$6:$B$305,B57,$J$6:$J$305,"&lt;&gt;Rejected",$E$6:$E$305,"&lt;="&amp;F57,$F$6:$F$305,"&gt;="&amp;E57)&gt;1),"Overlaps another leave",IF(AND(J57="Approved",N(INDEX(Balance!$F$6:$W$55,MATCH(B57,Balance!$B$6:$B$55,0),MATCH(D57,Setup!$A$18:$A$23,0)*3))&lt;0),"Exceeds balance",IF(J57="","Set status","OK")))))))))))</f>
        <v/>
      </c>
      <c r="M57" s="55" t="str">
        <f aca="false">IF(AND(B57&lt;&gt;"",B57='Leave Card'!$C$3),COUNTIF($B$6:B57,'Leave Card'!$C$3),"")</f>
        <v/>
      </c>
    </row>
    <row r="58" customFormat="false" ht="15" hidden="false" customHeight="false" outlineLevel="0" collapsed="false">
      <c r="A58" s="51" t="str">
        <f aca="false">IF(B58="","",ROW()-5)</f>
        <v/>
      </c>
      <c r="B58" s="118"/>
      <c r="C58" s="10" t="str">
        <f aca="false">IF(B58="","",IFERROR(INDEX(Employees!$C$5:$C$54,MATCH(B58,Employees!$B$5:$B$54,0)),"Not found"))</f>
        <v/>
      </c>
      <c r="D58" s="122"/>
      <c r="E58" s="123"/>
      <c r="F58" s="123"/>
      <c r="G58" s="118"/>
      <c r="H58" s="11" t="n">
        <f aca="false">IF(OR(B58="",E58="",F58="",F58&lt;E58),0,IF(G58="Yes",0.5,NETWORKDAYS.INTL(E58,F58,Setup!$C$14,Holidays!$B$5:$B$34)))</f>
        <v>0</v>
      </c>
      <c r="I58" s="119"/>
      <c r="J58" s="122"/>
      <c r="K58" s="118"/>
      <c r="L58" s="54" t="str">
        <f aca="false">IF(B58="","",IF(C58="Not found","Emp ID not found",IF(ISNA(MATCH(D58,Setup!$A$18:$A$23,0)),"Pick leave type",IF(OR(E58="",F58=""),"Enter From &amp; To",IF(F58&lt;E58,"To before From",IF(AND(G58="Yes",F58&gt;E58),"Half day = 1 date",IF(OR(E58&lt;Setup!$C$12,F58&gt;Setup!$C$13),"Outside leave year",IF(H58=0,"No working day",IF(AND(J58&lt;&gt;"Rejected",COUNTIFS($B$6:$B$305,B58,$J$6:$J$305,"&lt;&gt;Rejected",$E$6:$E$305,"&lt;="&amp;F58,$F$6:$F$305,"&gt;="&amp;E58)&gt;1),"Overlaps another leave",IF(AND(J58="Approved",N(INDEX(Balance!$F$6:$W$55,MATCH(B58,Balance!$B$6:$B$55,0),MATCH(D58,Setup!$A$18:$A$23,0)*3))&lt;0),"Exceeds balance",IF(J58="","Set status","OK")))))))))))</f>
        <v/>
      </c>
      <c r="M58" s="55" t="str">
        <f aca="false">IF(AND(B58&lt;&gt;"",B58='Leave Card'!$C$3),COUNTIF($B$6:B58,'Leave Card'!$C$3),"")</f>
        <v/>
      </c>
    </row>
    <row r="59" customFormat="false" ht="15" hidden="false" customHeight="false" outlineLevel="0" collapsed="false">
      <c r="A59" s="51" t="str">
        <f aca="false">IF(B59="","",ROW()-5)</f>
        <v/>
      </c>
      <c r="B59" s="118"/>
      <c r="C59" s="10" t="str">
        <f aca="false">IF(B59="","",IFERROR(INDEX(Employees!$C$5:$C$54,MATCH(B59,Employees!$B$5:$B$54,0)),"Not found"))</f>
        <v/>
      </c>
      <c r="D59" s="122"/>
      <c r="E59" s="123"/>
      <c r="F59" s="123"/>
      <c r="G59" s="118"/>
      <c r="H59" s="11" t="n">
        <f aca="false">IF(OR(B59="",E59="",F59="",F59&lt;E59),0,IF(G59="Yes",0.5,NETWORKDAYS.INTL(E59,F59,Setup!$C$14,Holidays!$B$5:$B$34)))</f>
        <v>0</v>
      </c>
      <c r="I59" s="119"/>
      <c r="J59" s="122"/>
      <c r="K59" s="118"/>
      <c r="L59" s="54" t="str">
        <f aca="false">IF(B59="","",IF(C59="Not found","Emp ID not found",IF(ISNA(MATCH(D59,Setup!$A$18:$A$23,0)),"Pick leave type",IF(OR(E59="",F59=""),"Enter From &amp; To",IF(F59&lt;E59,"To before From",IF(AND(G59="Yes",F59&gt;E59),"Half day = 1 date",IF(OR(E59&lt;Setup!$C$12,F59&gt;Setup!$C$13),"Outside leave year",IF(H59=0,"No working day",IF(AND(J59&lt;&gt;"Rejected",COUNTIFS($B$6:$B$305,B59,$J$6:$J$305,"&lt;&gt;Rejected",$E$6:$E$305,"&lt;="&amp;F59,$F$6:$F$305,"&gt;="&amp;E59)&gt;1),"Overlaps another leave",IF(AND(J59="Approved",N(INDEX(Balance!$F$6:$W$55,MATCH(B59,Balance!$B$6:$B$55,0),MATCH(D59,Setup!$A$18:$A$23,0)*3))&lt;0),"Exceeds balance",IF(J59="","Set status","OK")))))))))))</f>
        <v/>
      </c>
      <c r="M59" s="55" t="str">
        <f aca="false">IF(AND(B59&lt;&gt;"",B59='Leave Card'!$C$3),COUNTIF($B$6:B59,'Leave Card'!$C$3),"")</f>
        <v/>
      </c>
    </row>
    <row r="60" customFormat="false" ht="15" hidden="false" customHeight="false" outlineLevel="0" collapsed="false">
      <c r="A60" s="51" t="str">
        <f aca="false">IF(B60="","",ROW()-5)</f>
        <v/>
      </c>
      <c r="B60" s="118"/>
      <c r="C60" s="10" t="str">
        <f aca="false">IF(B60="","",IFERROR(INDEX(Employees!$C$5:$C$54,MATCH(B60,Employees!$B$5:$B$54,0)),"Not found"))</f>
        <v/>
      </c>
      <c r="D60" s="122"/>
      <c r="E60" s="123"/>
      <c r="F60" s="123"/>
      <c r="G60" s="118"/>
      <c r="H60" s="11" t="n">
        <f aca="false">IF(OR(B60="",E60="",F60="",F60&lt;E60),0,IF(G60="Yes",0.5,NETWORKDAYS.INTL(E60,F60,Setup!$C$14,Holidays!$B$5:$B$34)))</f>
        <v>0</v>
      </c>
      <c r="I60" s="119"/>
      <c r="J60" s="122"/>
      <c r="K60" s="118"/>
      <c r="L60" s="54" t="str">
        <f aca="false">IF(B60="","",IF(C60="Not found","Emp ID not found",IF(ISNA(MATCH(D60,Setup!$A$18:$A$23,0)),"Pick leave type",IF(OR(E60="",F60=""),"Enter From &amp; To",IF(F60&lt;E60,"To before From",IF(AND(G60="Yes",F60&gt;E60),"Half day = 1 date",IF(OR(E60&lt;Setup!$C$12,F60&gt;Setup!$C$13),"Outside leave year",IF(H60=0,"No working day",IF(AND(J60&lt;&gt;"Rejected",COUNTIFS($B$6:$B$305,B60,$J$6:$J$305,"&lt;&gt;Rejected",$E$6:$E$305,"&lt;="&amp;F60,$F$6:$F$305,"&gt;="&amp;E60)&gt;1),"Overlaps another leave",IF(AND(J60="Approved",N(INDEX(Balance!$F$6:$W$55,MATCH(B60,Balance!$B$6:$B$55,0),MATCH(D60,Setup!$A$18:$A$23,0)*3))&lt;0),"Exceeds balance",IF(J60="","Set status","OK")))))))))))</f>
        <v/>
      </c>
      <c r="M60" s="55" t="str">
        <f aca="false">IF(AND(B60&lt;&gt;"",B60='Leave Card'!$C$3),COUNTIF($B$6:B60,'Leave Card'!$C$3),"")</f>
        <v/>
      </c>
    </row>
    <row r="61" customFormat="false" ht="15" hidden="false" customHeight="false" outlineLevel="0" collapsed="false">
      <c r="A61" s="51" t="str">
        <f aca="false">IF(B61="","",ROW()-5)</f>
        <v/>
      </c>
      <c r="B61" s="118"/>
      <c r="C61" s="10" t="str">
        <f aca="false">IF(B61="","",IFERROR(INDEX(Employees!$C$5:$C$54,MATCH(B61,Employees!$B$5:$B$54,0)),"Not found"))</f>
        <v/>
      </c>
      <c r="D61" s="122"/>
      <c r="E61" s="123"/>
      <c r="F61" s="123"/>
      <c r="G61" s="118"/>
      <c r="H61" s="11" t="n">
        <f aca="false">IF(OR(B61="",E61="",F61="",F61&lt;E61),0,IF(G61="Yes",0.5,NETWORKDAYS.INTL(E61,F61,Setup!$C$14,Holidays!$B$5:$B$34)))</f>
        <v>0</v>
      </c>
      <c r="I61" s="119"/>
      <c r="J61" s="122"/>
      <c r="K61" s="118"/>
      <c r="L61" s="54" t="str">
        <f aca="false">IF(B61="","",IF(C61="Not found","Emp ID not found",IF(ISNA(MATCH(D61,Setup!$A$18:$A$23,0)),"Pick leave type",IF(OR(E61="",F61=""),"Enter From &amp; To",IF(F61&lt;E61,"To before From",IF(AND(G61="Yes",F61&gt;E61),"Half day = 1 date",IF(OR(E61&lt;Setup!$C$12,F61&gt;Setup!$C$13),"Outside leave year",IF(H61=0,"No working day",IF(AND(J61&lt;&gt;"Rejected",COUNTIFS($B$6:$B$305,B61,$J$6:$J$305,"&lt;&gt;Rejected",$E$6:$E$305,"&lt;="&amp;F61,$F$6:$F$305,"&gt;="&amp;E61)&gt;1),"Overlaps another leave",IF(AND(J61="Approved",N(INDEX(Balance!$F$6:$W$55,MATCH(B61,Balance!$B$6:$B$55,0),MATCH(D61,Setup!$A$18:$A$23,0)*3))&lt;0),"Exceeds balance",IF(J61="","Set status","OK")))))))))))</f>
        <v/>
      </c>
      <c r="M61" s="55" t="str">
        <f aca="false">IF(AND(B61&lt;&gt;"",B61='Leave Card'!$C$3),COUNTIF($B$6:B61,'Leave Card'!$C$3),"")</f>
        <v/>
      </c>
    </row>
    <row r="62" customFormat="false" ht="15" hidden="false" customHeight="false" outlineLevel="0" collapsed="false">
      <c r="A62" s="51" t="str">
        <f aca="false">IF(B62="","",ROW()-5)</f>
        <v/>
      </c>
      <c r="B62" s="118"/>
      <c r="C62" s="10" t="str">
        <f aca="false">IF(B62="","",IFERROR(INDEX(Employees!$C$5:$C$54,MATCH(B62,Employees!$B$5:$B$54,0)),"Not found"))</f>
        <v/>
      </c>
      <c r="D62" s="122"/>
      <c r="E62" s="123"/>
      <c r="F62" s="123"/>
      <c r="G62" s="118"/>
      <c r="H62" s="11" t="n">
        <f aca="false">IF(OR(B62="",E62="",F62="",F62&lt;E62),0,IF(G62="Yes",0.5,NETWORKDAYS.INTL(E62,F62,Setup!$C$14,Holidays!$B$5:$B$34)))</f>
        <v>0</v>
      </c>
      <c r="I62" s="119"/>
      <c r="J62" s="122"/>
      <c r="K62" s="118"/>
      <c r="L62" s="54" t="str">
        <f aca="false">IF(B62="","",IF(C62="Not found","Emp ID not found",IF(ISNA(MATCH(D62,Setup!$A$18:$A$23,0)),"Pick leave type",IF(OR(E62="",F62=""),"Enter From &amp; To",IF(F62&lt;E62,"To before From",IF(AND(G62="Yes",F62&gt;E62),"Half day = 1 date",IF(OR(E62&lt;Setup!$C$12,F62&gt;Setup!$C$13),"Outside leave year",IF(H62=0,"No working day",IF(AND(J62&lt;&gt;"Rejected",COUNTIFS($B$6:$B$305,B62,$J$6:$J$305,"&lt;&gt;Rejected",$E$6:$E$305,"&lt;="&amp;F62,$F$6:$F$305,"&gt;="&amp;E62)&gt;1),"Overlaps another leave",IF(AND(J62="Approved",N(INDEX(Balance!$F$6:$W$55,MATCH(B62,Balance!$B$6:$B$55,0),MATCH(D62,Setup!$A$18:$A$23,0)*3))&lt;0),"Exceeds balance",IF(J62="","Set status","OK")))))))))))</f>
        <v/>
      </c>
      <c r="M62" s="55" t="str">
        <f aca="false">IF(AND(B62&lt;&gt;"",B62='Leave Card'!$C$3),COUNTIF($B$6:B62,'Leave Card'!$C$3),"")</f>
        <v/>
      </c>
    </row>
    <row r="63" customFormat="false" ht="15" hidden="false" customHeight="false" outlineLevel="0" collapsed="false">
      <c r="A63" s="51" t="str">
        <f aca="false">IF(B63="","",ROW()-5)</f>
        <v/>
      </c>
      <c r="B63" s="118"/>
      <c r="C63" s="10" t="str">
        <f aca="false">IF(B63="","",IFERROR(INDEX(Employees!$C$5:$C$54,MATCH(B63,Employees!$B$5:$B$54,0)),"Not found"))</f>
        <v/>
      </c>
      <c r="D63" s="122"/>
      <c r="E63" s="123"/>
      <c r="F63" s="123"/>
      <c r="G63" s="118"/>
      <c r="H63" s="11" t="n">
        <f aca="false">IF(OR(B63="",E63="",F63="",F63&lt;E63),0,IF(G63="Yes",0.5,NETWORKDAYS.INTL(E63,F63,Setup!$C$14,Holidays!$B$5:$B$34)))</f>
        <v>0</v>
      </c>
      <c r="I63" s="119"/>
      <c r="J63" s="122"/>
      <c r="K63" s="118"/>
      <c r="L63" s="54" t="str">
        <f aca="false">IF(B63="","",IF(C63="Not found","Emp ID not found",IF(ISNA(MATCH(D63,Setup!$A$18:$A$23,0)),"Pick leave type",IF(OR(E63="",F63=""),"Enter From &amp; To",IF(F63&lt;E63,"To before From",IF(AND(G63="Yes",F63&gt;E63),"Half day = 1 date",IF(OR(E63&lt;Setup!$C$12,F63&gt;Setup!$C$13),"Outside leave year",IF(H63=0,"No working day",IF(AND(J63&lt;&gt;"Rejected",COUNTIFS($B$6:$B$305,B63,$J$6:$J$305,"&lt;&gt;Rejected",$E$6:$E$305,"&lt;="&amp;F63,$F$6:$F$305,"&gt;="&amp;E63)&gt;1),"Overlaps another leave",IF(AND(J63="Approved",N(INDEX(Balance!$F$6:$W$55,MATCH(B63,Balance!$B$6:$B$55,0),MATCH(D63,Setup!$A$18:$A$23,0)*3))&lt;0),"Exceeds balance",IF(J63="","Set status","OK")))))))))))</f>
        <v/>
      </c>
      <c r="M63" s="55" t="str">
        <f aca="false">IF(AND(B63&lt;&gt;"",B63='Leave Card'!$C$3),COUNTIF($B$6:B63,'Leave Card'!$C$3),"")</f>
        <v/>
      </c>
    </row>
    <row r="64" customFormat="false" ht="15" hidden="false" customHeight="false" outlineLevel="0" collapsed="false">
      <c r="A64" s="51" t="str">
        <f aca="false">IF(B64="","",ROW()-5)</f>
        <v/>
      </c>
      <c r="B64" s="118"/>
      <c r="C64" s="10" t="str">
        <f aca="false">IF(B64="","",IFERROR(INDEX(Employees!$C$5:$C$54,MATCH(B64,Employees!$B$5:$B$54,0)),"Not found"))</f>
        <v/>
      </c>
      <c r="D64" s="122"/>
      <c r="E64" s="123"/>
      <c r="F64" s="123"/>
      <c r="G64" s="118"/>
      <c r="H64" s="11" t="n">
        <f aca="false">IF(OR(B64="",E64="",F64="",F64&lt;E64),0,IF(G64="Yes",0.5,NETWORKDAYS.INTL(E64,F64,Setup!$C$14,Holidays!$B$5:$B$34)))</f>
        <v>0</v>
      </c>
      <c r="I64" s="119"/>
      <c r="J64" s="122"/>
      <c r="K64" s="118"/>
      <c r="L64" s="54" t="str">
        <f aca="false">IF(B64="","",IF(C64="Not found","Emp ID not found",IF(ISNA(MATCH(D64,Setup!$A$18:$A$23,0)),"Pick leave type",IF(OR(E64="",F64=""),"Enter From &amp; To",IF(F64&lt;E64,"To before From",IF(AND(G64="Yes",F64&gt;E64),"Half day = 1 date",IF(OR(E64&lt;Setup!$C$12,F64&gt;Setup!$C$13),"Outside leave year",IF(H64=0,"No working day",IF(AND(J64&lt;&gt;"Rejected",COUNTIFS($B$6:$B$305,B64,$J$6:$J$305,"&lt;&gt;Rejected",$E$6:$E$305,"&lt;="&amp;F64,$F$6:$F$305,"&gt;="&amp;E64)&gt;1),"Overlaps another leave",IF(AND(J64="Approved",N(INDEX(Balance!$F$6:$W$55,MATCH(B64,Balance!$B$6:$B$55,0),MATCH(D64,Setup!$A$18:$A$23,0)*3))&lt;0),"Exceeds balance",IF(J64="","Set status","OK")))))))))))</f>
        <v/>
      </c>
      <c r="M64" s="55" t="str">
        <f aca="false">IF(AND(B64&lt;&gt;"",B64='Leave Card'!$C$3),COUNTIF($B$6:B64,'Leave Card'!$C$3),"")</f>
        <v/>
      </c>
    </row>
    <row r="65" customFormat="false" ht="15" hidden="false" customHeight="false" outlineLevel="0" collapsed="false">
      <c r="A65" s="51" t="str">
        <f aca="false">IF(B65="","",ROW()-5)</f>
        <v/>
      </c>
      <c r="B65" s="118"/>
      <c r="C65" s="10" t="str">
        <f aca="false">IF(B65="","",IFERROR(INDEX(Employees!$C$5:$C$54,MATCH(B65,Employees!$B$5:$B$54,0)),"Not found"))</f>
        <v/>
      </c>
      <c r="D65" s="122"/>
      <c r="E65" s="123"/>
      <c r="F65" s="123"/>
      <c r="G65" s="118"/>
      <c r="H65" s="11" t="n">
        <f aca="false">IF(OR(B65="",E65="",F65="",F65&lt;E65),0,IF(G65="Yes",0.5,NETWORKDAYS.INTL(E65,F65,Setup!$C$14,Holidays!$B$5:$B$34)))</f>
        <v>0</v>
      </c>
      <c r="I65" s="119"/>
      <c r="J65" s="122"/>
      <c r="K65" s="118"/>
      <c r="L65" s="54" t="str">
        <f aca="false">IF(B65="","",IF(C65="Not found","Emp ID not found",IF(ISNA(MATCH(D65,Setup!$A$18:$A$23,0)),"Pick leave type",IF(OR(E65="",F65=""),"Enter From &amp; To",IF(F65&lt;E65,"To before From",IF(AND(G65="Yes",F65&gt;E65),"Half day = 1 date",IF(OR(E65&lt;Setup!$C$12,F65&gt;Setup!$C$13),"Outside leave year",IF(H65=0,"No working day",IF(AND(J65&lt;&gt;"Rejected",COUNTIFS($B$6:$B$305,B65,$J$6:$J$305,"&lt;&gt;Rejected",$E$6:$E$305,"&lt;="&amp;F65,$F$6:$F$305,"&gt;="&amp;E65)&gt;1),"Overlaps another leave",IF(AND(J65="Approved",N(INDEX(Balance!$F$6:$W$55,MATCH(B65,Balance!$B$6:$B$55,0),MATCH(D65,Setup!$A$18:$A$23,0)*3))&lt;0),"Exceeds balance",IF(J65="","Set status","OK")))))))))))</f>
        <v/>
      </c>
      <c r="M65" s="55" t="str">
        <f aca="false">IF(AND(B65&lt;&gt;"",B65='Leave Card'!$C$3),COUNTIF($B$6:B65,'Leave Card'!$C$3),"")</f>
        <v/>
      </c>
    </row>
    <row r="66" customFormat="false" ht="15" hidden="false" customHeight="false" outlineLevel="0" collapsed="false">
      <c r="A66" s="51" t="str">
        <f aca="false">IF(B66="","",ROW()-5)</f>
        <v/>
      </c>
      <c r="B66" s="118"/>
      <c r="C66" s="10" t="str">
        <f aca="false">IF(B66="","",IFERROR(INDEX(Employees!$C$5:$C$54,MATCH(B66,Employees!$B$5:$B$54,0)),"Not found"))</f>
        <v/>
      </c>
      <c r="D66" s="122"/>
      <c r="E66" s="123"/>
      <c r="F66" s="123"/>
      <c r="G66" s="118"/>
      <c r="H66" s="11" t="n">
        <f aca="false">IF(OR(B66="",E66="",F66="",F66&lt;E66),0,IF(G66="Yes",0.5,NETWORKDAYS.INTL(E66,F66,Setup!$C$14,Holidays!$B$5:$B$34)))</f>
        <v>0</v>
      </c>
      <c r="I66" s="119"/>
      <c r="J66" s="122"/>
      <c r="K66" s="118"/>
      <c r="L66" s="54" t="str">
        <f aca="false">IF(B66="","",IF(C66="Not found","Emp ID not found",IF(ISNA(MATCH(D66,Setup!$A$18:$A$23,0)),"Pick leave type",IF(OR(E66="",F66=""),"Enter From &amp; To",IF(F66&lt;E66,"To before From",IF(AND(G66="Yes",F66&gt;E66),"Half day = 1 date",IF(OR(E66&lt;Setup!$C$12,F66&gt;Setup!$C$13),"Outside leave year",IF(H66=0,"No working day",IF(AND(J66&lt;&gt;"Rejected",COUNTIFS($B$6:$B$305,B66,$J$6:$J$305,"&lt;&gt;Rejected",$E$6:$E$305,"&lt;="&amp;F66,$F$6:$F$305,"&gt;="&amp;E66)&gt;1),"Overlaps another leave",IF(AND(J66="Approved",N(INDEX(Balance!$F$6:$W$55,MATCH(B66,Balance!$B$6:$B$55,0),MATCH(D66,Setup!$A$18:$A$23,0)*3))&lt;0),"Exceeds balance",IF(J66="","Set status","OK")))))))))))</f>
        <v/>
      </c>
      <c r="M66" s="55" t="str">
        <f aca="false">IF(AND(B66&lt;&gt;"",B66='Leave Card'!$C$3),COUNTIF($B$6:B66,'Leave Card'!$C$3),"")</f>
        <v/>
      </c>
    </row>
    <row r="67" customFormat="false" ht="15" hidden="false" customHeight="false" outlineLevel="0" collapsed="false">
      <c r="A67" s="51" t="str">
        <f aca="false">IF(B67="","",ROW()-5)</f>
        <v/>
      </c>
      <c r="B67" s="118"/>
      <c r="C67" s="10" t="str">
        <f aca="false">IF(B67="","",IFERROR(INDEX(Employees!$C$5:$C$54,MATCH(B67,Employees!$B$5:$B$54,0)),"Not found"))</f>
        <v/>
      </c>
      <c r="D67" s="122"/>
      <c r="E67" s="123"/>
      <c r="F67" s="123"/>
      <c r="G67" s="118"/>
      <c r="H67" s="11" t="n">
        <f aca="false">IF(OR(B67="",E67="",F67="",F67&lt;E67),0,IF(G67="Yes",0.5,NETWORKDAYS.INTL(E67,F67,Setup!$C$14,Holidays!$B$5:$B$34)))</f>
        <v>0</v>
      </c>
      <c r="I67" s="119"/>
      <c r="J67" s="122"/>
      <c r="K67" s="118"/>
      <c r="L67" s="54" t="str">
        <f aca="false">IF(B67="","",IF(C67="Not found","Emp ID not found",IF(ISNA(MATCH(D67,Setup!$A$18:$A$23,0)),"Pick leave type",IF(OR(E67="",F67=""),"Enter From &amp; To",IF(F67&lt;E67,"To before From",IF(AND(G67="Yes",F67&gt;E67),"Half day = 1 date",IF(OR(E67&lt;Setup!$C$12,F67&gt;Setup!$C$13),"Outside leave year",IF(H67=0,"No working day",IF(AND(J67&lt;&gt;"Rejected",COUNTIFS($B$6:$B$305,B67,$J$6:$J$305,"&lt;&gt;Rejected",$E$6:$E$305,"&lt;="&amp;F67,$F$6:$F$305,"&gt;="&amp;E67)&gt;1),"Overlaps another leave",IF(AND(J67="Approved",N(INDEX(Balance!$F$6:$W$55,MATCH(B67,Balance!$B$6:$B$55,0),MATCH(D67,Setup!$A$18:$A$23,0)*3))&lt;0),"Exceeds balance",IF(J67="","Set status","OK")))))))))))</f>
        <v/>
      </c>
      <c r="M67" s="55" t="str">
        <f aca="false">IF(AND(B67&lt;&gt;"",B67='Leave Card'!$C$3),COUNTIF($B$6:B67,'Leave Card'!$C$3),"")</f>
        <v/>
      </c>
    </row>
    <row r="68" customFormat="false" ht="15" hidden="false" customHeight="false" outlineLevel="0" collapsed="false">
      <c r="A68" s="51" t="str">
        <f aca="false">IF(B68="","",ROW()-5)</f>
        <v/>
      </c>
      <c r="B68" s="118"/>
      <c r="C68" s="10" t="str">
        <f aca="false">IF(B68="","",IFERROR(INDEX(Employees!$C$5:$C$54,MATCH(B68,Employees!$B$5:$B$54,0)),"Not found"))</f>
        <v/>
      </c>
      <c r="D68" s="122"/>
      <c r="E68" s="123"/>
      <c r="F68" s="123"/>
      <c r="G68" s="118"/>
      <c r="H68" s="11" t="n">
        <f aca="false">IF(OR(B68="",E68="",F68="",F68&lt;E68),0,IF(G68="Yes",0.5,NETWORKDAYS.INTL(E68,F68,Setup!$C$14,Holidays!$B$5:$B$34)))</f>
        <v>0</v>
      </c>
      <c r="I68" s="119"/>
      <c r="J68" s="122"/>
      <c r="K68" s="118"/>
      <c r="L68" s="54" t="str">
        <f aca="false">IF(B68="","",IF(C68="Not found","Emp ID not found",IF(ISNA(MATCH(D68,Setup!$A$18:$A$23,0)),"Pick leave type",IF(OR(E68="",F68=""),"Enter From &amp; To",IF(F68&lt;E68,"To before From",IF(AND(G68="Yes",F68&gt;E68),"Half day = 1 date",IF(OR(E68&lt;Setup!$C$12,F68&gt;Setup!$C$13),"Outside leave year",IF(H68=0,"No working day",IF(AND(J68&lt;&gt;"Rejected",COUNTIFS($B$6:$B$305,B68,$J$6:$J$305,"&lt;&gt;Rejected",$E$6:$E$305,"&lt;="&amp;F68,$F$6:$F$305,"&gt;="&amp;E68)&gt;1),"Overlaps another leave",IF(AND(J68="Approved",N(INDEX(Balance!$F$6:$W$55,MATCH(B68,Balance!$B$6:$B$55,0),MATCH(D68,Setup!$A$18:$A$23,0)*3))&lt;0),"Exceeds balance",IF(J68="","Set status","OK")))))))))))</f>
        <v/>
      </c>
      <c r="M68" s="55" t="str">
        <f aca="false">IF(AND(B68&lt;&gt;"",B68='Leave Card'!$C$3),COUNTIF($B$6:B68,'Leave Card'!$C$3),"")</f>
        <v/>
      </c>
    </row>
    <row r="69" customFormat="false" ht="15" hidden="false" customHeight="false" outlineLevel="0" collapsed="false">
      <c r="A69" s="51" t="str">
        <f aca="false">IF(B69="","",ROW()-5)</f>
        <v/>
      </c>
      <c r="B69" s="118"/>
      <c r="C69" s="10" t="str">
        <f aca="false">IF(B69="","",IFERROR(INDEX(Employees!$C$5:$C$54,MATCH(B69,Employees!$B$5:$B$54,0)),"Not found"))</f>
        <v/>
      </c>
      <c r="D69" s="122"/>
      <c r="E69" s="123"/>
      <c r="F69" s="123"/>
      <c r="G69" s="118"/>
      <c r="H69" s="11" t="n">
        <f aca="false">IF(OR(B69="",E69="",F69="",F69&lt;E69),0,IF(G69="Yes",0.5,NETWORKDAYS.INTL(E69,F69,Setup!$C$14,Holidays!$B$5:$B$34)))</f>
        <v>0</v>
      </c>
      <c r="I69" s="119"/>
      <c r="J69" s="122"/>
      <c r="K69" s="118"/>
      <c r="L69" s="54" t="str">
        <f aca="false">IF(B69="","",IF(C69="Not found","Emp ID not found",IF(ISNA(MATCH(D69,Setup!$A$18:$A$23,0)),"Pick leave type",IF(OR(E69="",F69=""),"Enter From &amp; To",IF(F69&lt;E69,"To before From",IF(AND(G69="Yes",F69&gt;E69),"Half day = 1 date",IF(OR(E69&lt;Setup!$C$12,F69&gt;Setup!$C$13),"Outside leave year",IF(H69=0,"No working day",IF(AND(J69&lt;&gt;"Rejected",COUNTIFS($B$6:$B$305,B69,$J$6:$J$305,"&lt;&gt;Rejected",$E$6:$E$305,"&lt;="&amp;F69,$F$6:$F$305,"&gt;="&amp;E69)&gt;1),"Overlaps another leave",IF(AND(J69="Approved",N(INDEX(Balance!$F$6:$W$55,MATCH(B69,Balance!$B$6:$B$55,0),MATCH(D69,Setup!$A$18:$A$23,0)*3))&lt;0),"Exceeds balance",IF(J69="","Set status","OK")))))))))))</f>
        <v/>
      </c>
      <c r="M69" s="55" t="str">
        <f aca="false">IF(AND(B69&lt;&gt;"",B69='Leave Card'!$C$3),COUNTIF($B$6:B69,'Leave Card'!$C$3),"")</f>
        <v/>
      </c>
    </row>
    <row r="70" customFormat="false" ht="15" hidden="false" customHeight="false" outlineLevel="0" collapsed="false">
      <c r="A70" s="51" t="str">
        <f aca="false">IF(B70="","",ROW()-5)</f>
        <v/>
      </c>
      <c r="B70" s="118"/>
      <c r="C70" s="10" t="str">
        <f aca="false">IF(B70="","",IFERROR(INDEX(Employees!$C$5:$C$54,MATCH(B70,Employees!$B$5:$B$54,0)),"Not found"))</f>
        <v/>
      </c>
      <c r="D70" s="122"/>
      <c r="E70" s="123"/>
      <c r="F70" s="123"/>
      <c r="G70" s="118"/>
      <c r="H70" s="11" t="n">
        <f aca="false">IF(OR(B70="",E70="",F70="",F70&lt;E70),0,IF(G70="Yes",0.5,NETWORKDAYS.INTL(E70,F70,Setup!$C$14,Holidays!$B$5:$B$34)))</f>
        <v>0</v>
      </c>
      <c r="I70" s="119"/>
      <c r="J70" s="122"/>
      <c r="K70" s="118"/>
      <c r="L70" s="54" t="str">
        <f aca="false">IF(B70="","",IF(C70="Not found","Emp ID not found",IF(ISNA(MATCH(D70,Setup!$A$18:$A$23,0)),"Pick leave type",IF(OR(E70="",F70=""),"Enter From &amp; To",IF(F70&lt;E70,"To before From",IF(AND(G70="Yes",F70&gt;E70),"Half day = 1 date",IF(OR(E70&lt;Setup!$C$12,F70&gt;Setup!$C$13),"Outside leave year",IF(H70=0,"No working day",IF(AND(J70&lt;&gt;"Rejected",COUNTIFS($B$6:$B$305,B70,$J$6:$J$305,"&lt;&gt;Rejected",$E$6:$E$305,"&lt;="&amp;F70,$F$6:$F$305,"&gt;="&amp;E70)&gt;1),"Overlaps another leave",IF(AND(J70="Approved",N(INDEX(Balance!$F$6:$W$55,MATCH(B70,Balance!$B$6:$B$55,0),MATCH(D70,Setup!$A$18:$A$23,0)*3))&lt;0),"Exceeds balance",IF(J70="","Set status","OK")))))))))))</f>
        <v/>
      </c>
      <c r="M70" s="55" t="str">
        <f aca="false">IF(AND(B70&lt;&gt;"",B70='Leave Card'!$C$3),COUNTIF($B$6:B70,'Leave Card'!$C$3),"")</f>
        <v/>
      </c>
    </row>
    <row r="71" customFormat="false" ht="15" hidden="false" customHeight="false" outlineLevel="0" collapsed="false">
      <c r="A71" s="51" t="str">
        <f aca="false">IF(B71="","",ROW()-5)</f>
        <v/>
      </c>
      <c r="B71" s="118"/>
      <c r="C71" s="10" t="str">
        <f aca="false">IF(B71="","",IFERROR(INDEX(Employees!$C$5:$C$54,MATCH(B71,Employees!$B$5:$B$54,0)),"Not found"))</f>
        <v/>
      </c>
      <c r="D71" s="122"/>
      <c r="E71" s="123"/>
      <c r="F71" s="123"/>
      <c r="G71" s="118"/>
      <c r="H71" s="11" t="n">
        <f aca="false">IF(OR(B71="",E71="",F71="",F71&lt;E71),0,IF(G71="Yes",0.5,NETWORKDAYS.INTL(E71,F71,Setup!$C$14,Holidays!$B$5:$B$34)))</f>
        <v>0</v>
      </c>
      <c r="I71" s="119"/>
      <c r="J71" s="122"/>
      <c r="K71" s="118"/>
      <c r="L71" s="54" t="str">
        <f aca="false">IF(B71="","",IF(C71="Not found","Emp ID not found",IF(ISNA(MATCH(D71,Setup!$A$18:$A$23,0)),"Pick leave type",IF(OR(E71="",F71=""),"Enter From &amp; To",IF(F71&lt;E71,"To before From",IF(AND(G71="Yes",F71&gt;E71),"Half day = 1 date",IF(OR(E71&lt;Setup!$C$12,F71&gt;Setup!$C$13),"Outside leave year",IF(H71=0,"No working day",IF(AND(J71&lt;&gt;"Rejected",COUNTIFS($B$6:$B$305,B71,$J$6:$J$305,"&lt;&gt;Rejected",$E$6:$E$305,"&lt;="&amp;F71,$F$6:$F$305,"&gt;="&amp;E71)&gt;1),"Overlaps another leave",IF(AND(J71="Approved",N(INDEX(Balance!$F$6:$W$55,MATCH(B71,Balance!$B$6:$B$55,0),MATCH(D71,Setup!$A$18:$A$23,0)*3))&lt;0),"Exceeds balance",IF(J71="","Set status","OK")))))))))))</f>
        <v/>
      </c>
      <c r="M71" s="55" t="str">
        <f aca="false">IF(AND(B71&lt;&gt;"",B71='Leave Card'!$C$3),COUNTIF($B$6:B71,'Leave Card'!$C$3),"")</f>
        <v/>
      </c>
    </row>
    <row r="72" customFormat="false" ht="15" hidden="false" customHeight="false" outlineLevel="0" collapsed="false">
      <c r="A72" s="51" t="str">
        <f aca="false">IF(B72="","",ROW()-5)</f>
        <v/>
      </c>
      <c r="B72" s="118"/>
      <c r="C72" s="10" t="str">
        <f aca="false">IF(B72="","",IFERROR(INDEX(Employees!$C$5:$C$54,MATCH(B72,Employees!$B$5:$B$54,0)),"Not found"))</f>
        <v/>
      </c>
      <c r="D72" s="122"/>
      <c r="E72" s="123"/>
      <c r="F72" s="123"/>
      <c r="G72" s="118"/>
      <c r="H72" s="11" t="n">
        <f aca="false">IF(OR(B72="",E72="",F72="",F72&lt;E72),0,IF(G72="Yes",0.5,NETWORKDAYS.INTL(E72,F72,Setup!$C$14,Holidays!$B$5:$B$34)))</f>
        <v>0</v>
      </c>
      <c r="I72" s="119"/>
      <c r="J72" s="122"/>
      <c r="K72" s="118"/>
      <c r="L72" s="54" t="str">
        <f aca="false">IF(B72="","",IF(C72="Not found","Emp ID not found",IF(ISNA(MATCH(D72,Setup!$A$18:$A$23,0)),"Pick leave type",IF(OR(E72="",F72=""),"Enter From &amp; To",IF(F72&lt;E72,"To before From",IF(AND(G72="Yes",F72&gt;E72),"Half day = 1 date",IF(OR(E72&lt;Setup!$C$12,F72&gt;Setup!$C$13),"Outside leave year",IF(H72=0,"No working day",IF(AND(J72&lt;&gt;"Rejected",COUNTIFS($B$6:$B$305,B72,$J$6:$J$305,"&lt;&gt;Rejected",$E$6:$E$305,"&lt;="&amp;F72,$F$6:$F$305,"&gt;="&amp;E72)&gt;1),"Overlaps another leave",IF(AND(J72="Approved",N(INDEX(Balance!$F$6:$W$55,MATCH(B72,Balance!$B$6:$B$55,0),MATCH(D72,Setup!$A$18:$A$23,0)*3))&lt;0),"Exceeds balance",IF(J72="","Set status","OK")))))))))))</f>
        <v/>
      </c>
      <c r="M72" s="55" t="str">
        <f aca="false">IF(AND(B72&lt;&gt;"",B72='Leave Card'!$C$3),COUNTIF($B$6:B72,'Leave Card'!$C$3),"")</f>
        <v/>
      </c>
    </row>
    <row r="73" customFormat="false" ht="15" hidden="false" customHeight="false" outlineLevel="0" collapsed="false">
      <c r="A73" s="51" t="str">
        <f aca="false">IF(B73="","",ROW()-5)</f>
        <v/>
      </c>
      <c r="B73" s="118"/>
      <c r="C73" s="10" t="str">
        <f aca="false">IF(B73="","",IFERROR(INDEX(Employees!$C$5:$C$54,MATCH(B73,Employees!$B$5:$B$54,0)),"Not found"))</f>
        <v/>
      </c>
      <c r="D73" s="122"/>
      <c r="E73" s="123"/>
      <c r="F73" s="123"/>
      <c r="G73" s="118"/>
      <c r="H73" s="11" t="n">
        <f aca="false">IF(OR(B73="",E73="",F73="",F73&lt;E73),0,IF(G73="Yes",0.5,NETWORKDAYS.INTL(E73,F73,Setup!$C$14,Holidays!$B$5:$B$34)))</f>
        <v>0</v>
      </c>
      <c r="I73" s="119"/>
      <c r="J73" s="122"/>
      <c r="K73" s="118"/>
      <c r="L73" s="54" t="str">
        <f aca="false">IF(B73="","",IF(C73="Not found","Emp ID not found",IF(ISNA(MATCH(D73,Setup!$A$18:$A$23,0)),"Pick leave type",IF(OR(E73="",F73=""),"Enter From &amp; To",IF(F73&lt;E73,"To before From",IF(AND(G73="Yes",F73&gt;E73),"Half day = 1 date",IF(OR(E73&lt;Setup!$C$12,F73&gt;Setup!$C$13),"Outside leave year",IF(H73=0,"No working day",IF(AND(J73&lt;&gt;"Rejected",COUNTIFS($B$6:$B$305,B73,$J$6:$J$305,"&lt;&gt;Rejected",$E$6:$E$305,"&lt;="&amp;F73,$F$6:$F$305,"&gt;="&amp;E73)&gt;1),"Overlaps another leave",IF(AND(J73="Approved",N(INDEX(Balance!$F$6:$W$55,MATCH(B73,Balance!$B$6:$B$55,0),MATCH(D73,Setup!$A$18:$A$23,0)*3))&lt;0),"Exceeds balance",IF(J73="","Set status","OK")))))))))))</f>
        <v/>
      </c>
      <c r="M73" s="55" t="str">
        <f aca="false">IF(AND(B73&lt;&gt;"",B73='Leave Card'!$C$3),COUNTIF($B$6:B73,'Leave Card'!$C$3),"")</f>
        <v/>
      </c>
    </row>
    <row r="74" customFormat="false" ht="15" hidden="false" customHeight="false" outlineLevel="0" collapsed="false">
      <c r="A74" s="51" t="str">
        <f aca="false">IF(B74="","",ROW()-5)</f>
        <v/>
      </c>
      <c r="B74" s="118"/>
      <c r="C74" s="10" t="str">
        <f aca="false">IF(B74="","",IFERROR(INDEX(Employees!$C$5:$C$54,MATCH(B74,Employees!$B$5:$B$54,0)),"Not found"))</f>
        <v/>
      </c>
      <c r="D74" s="122"/>
      <c r="E74" s="123"/>
      <c r="F74" s="123"/>
      <c r="G74" s="118"/>
      <c r="H74" s="11" t="n">
        <f aca="false">IF(OR(B74="",E74="",F74="",F74&lt;E74),0,IF(G74="Yes",0.5,NETWORKDAYS.INTL(E74,F74,Setup!$C$14,Holidays!$B$5:$B$34)))</f>
        <v>0</v>
      </c>
      <c r="I74" s="119"/>
      <c r="J74" s="122"/>
      <c r="K74" s="118"/>
      <c r="L74" s="54" t="str">
        <f aca="false">IF(B74="","",IF(C74="Not found","Emp ID not found",IF(ISNA(MATCH(D74,Setup!$A$18:$A$23,0)),"Pick leave type",IF(OR(E74="",F74=""),"Enter From &amp; To",IF(F74&lt;E74,"To before From",IF(AND(G74="Yes",F74&gt;E74),"Half day = 1 date",IF(OR(E74&lt;Setup!$C$12,F74&gt;Setup!$C$13),"Outside leave year",IF(H74=0,"No working day",IF(AND(J74&lt;&gt;"Rejected",COUNTIFS($B$6:$B$305,B74,$J$6:$J$305,"&lt;&gt;Rejected",$E$6:$E$305,"&lt;="&amp;F74,$F$6:$F$305,"&gt;="&amp;E74)&gt;1),"Overlaps another leave",IF(AND(J74="Approved",N(INDEX(Balance!$F$6:$W$55,MATCH(B74,Balance!$B$6:$B$55,0),MATCH(D74,Setup!$A$18:$A$23,0)*3))&lt;0),"Exceeds balance",IF(J74="","Set status","OK")))))))))))</f>
        <v/>
      </c>
      <c r="M74" s="55" t="str">
        <f aca="false">IF(AND(B74&lt;&gt;"",B74='Leave Card'!$C$3),COUNTIF($B$6:B74,'Leave Card'!$C$3),"")</f>
        <v/>
      </c>
    </row>
    <row r="75" customFormat="false" ht="15" hidden="false" customHeight="false" outlineLevel="0" collapsed="false">
      <c r="A75" s="51" t="str">
        <f aca="false">IF(B75="","",ROW()-5)</f>
        <v/>
      </c>
      <c r="B75" s="118"/>
      <c r="C75" s="10" t="str">
        <f aca="false">IF(B75="","",IFERROR(INDEX(Employees!$C$5:$C$54,MATCH(B75,Employees!$B$5:$B$54,0)),"Not found"))</f>
        <v/>
      </c>
      <c r="D75" s="122"/>
      <c r="E75" s="123"/>
      <c r="F75" s="123"/>
      <c r="G75" s="118"/>
      <c r="H75" s="11" t="n">
        <f aca="false">IF(OR(B75="",E75="",F75="",F75&lt;E75),0,IF(G75="Yes",0.5,NETWORKDAYS.INTL(E75,F75,Setup!$C$14,Holidays!$B$5:$B$34)))</f>
        <v>0</v>
      </c>
      <c r="I75" s="119"/>
      <c r="J75" s="122"/>
      <c r="K75" s="118"/>
      <c r="L75" s="54" t="str">
        <f aca="false">IF(B75="","",IF(C75="Not found","Emp ID not found",IF(ISNA(MATCH(D75,Setup!$A$18:$A$23,0)),"Pick leave type",IF(OR(E75="",F75=""),"Enter From &amp; To",IF(F75&lt;E75,"To before From",IF(AND(G75="Yes",F75&gt;E75),"Half day = 1 date",IF(OR(E75&lt;Setup!$C$12,F75&gt;Setup!$C$13),"Outside leave year",IF(H75=0,"No working day",IF(AND(J75&lt;&gt;"Rejected",COUNTIFS($B$6:$B$305,B75,$J$6:$J$305,"&lt;&gt;Rejected",$E$6:$E$305,"&lt;="&amp;F75,$F$6:$F$305,"&gt;="&amp;E75)&gt;1),"Overlaps another leave",IF(AND(J75="Approved",N(INDEX(Balance!$F$6:$W$55,MATCH(B75,Balance!$B$6:$B$55,0),MATCH(D75,Setup!$A$18:$A$23,0)*3))&lt;0),"Exceeds balance",IF(J75="","Set status","OK")))))))))))</f>
        <v/>
      </c>
      <c r="M75" s="55" t="str">
        <f aca="false">IF(AND(B75&lt;&gt;"",B75='Leave Card'!$C$3),COUNTIF($B$6:B75,'Leave Card'!$C$3),"")</f>
        <v/>
      </c>
    </row>
    <row r="76" customFormat="false" ht="15" hidden="false" customHeight="false" outlineLevel="0" collapsed="false">
      <c r="A76" s="51" t="str">
        <f aca="false">IF(B76="","",ROW()-5)</f>
        <v/>
      </c>
      <c r="B76" s="118"/>
      <c r="C76" s="10" t="str">
        <f aca="false">IF(B76="","",IFERROR(INDEX(Employees!$C$5:$C$54,MATCH(B76,Employees!$B$5:$B$54,0)),"Not found"))</f>
        <v/>
      </c>
      <c r="D76" s="122"/>
      <c r="E76" s="123"/>
      <c r="F76" s="123"/>
      <c r="G76" s="118"/>
      <c r="H76" s="11" t="n">
        <f aca="false">IF(OR(B76="",E76="",F76="",F76&lt;E76),0,IF(G76="Yes",0.5,NETWORKDAYS.INTL(E76,F76,Setup!$C$14,Holidays!$B$5:$B$34)))</f>
        <v>0</v>
      </c>
      <c r="I76" s="119"/>
      <c r="J76" s="122"/>
      <c r="K76" s="118"/>
      <c r="L76" s="54" t="str">
        <f aca="false">IF(B76="","",IF(C76="Not found","Emp ID not found",IF(ISNA(MATCH(D76,Setup!$A$18:$A$23,0)),"Pick leave type",IF(OR(E76="",F76=""),"Enter From &amp; To",IF(F76&lt;E76,"To before From",IF(AND(G76="Yes",F76&gt;E76),"Half day = 1 date",IF(OR(E76&lt;Setup!$C$12,F76&gt;Setup!$C$13),"Outside leave year",IF(H76=0,"No working day",IF(AND(J76&lt;&gt;"Rejected",COUNTIFS($B$6:$B$305,B76,$J$6:$J$305,"&lt;&gt;Rejected",$E$6:$E$305,"&lt;="&amp;F76,$F$6:$F$305,"&gt;="&amp;E76)&gt;1),"Overlaps another leave",IF(AND(J76="Approved",N(INDEX(Balance!$F$6:$W$55,MATCH(B76,Balance!$B$6:$B$55,0),MATCH(D76,Setup!$A$18:$A$23,0)*3))&lt;0),"Exceeds balance",IF(J76="","Set status","OK")))))))))))</f>
        <v/>
      </c>
      <c r="M76" s="55" t="str">
        <f aca="false">IF(AND(B76&lt;&gt;"",B76='Leave Card'!$C$3),COUNTIF($B$6:B76,'Leave Card'!$C$3),"")</f>
        <v/>
      </c>
    </row>
    <row r="77" customFormat="false" ht="15" hidden="false" customHeight="false" outlineLevel="0" collapsed="false">
      <c r="A77" s="51" t="str">
        <f aca="false">IF(B77="","",ROW()-5)</f>
        <v/>
      </c>
      <c r="B77" s="118"/>
      <c r="C77" s="10" t="str">
        <f aca="false">IF(B77="","",IFERROR(INDEX(Employees!$C$5:$C$54,MATCH(B77,Employees!$B$5:$B$54,0)),"Not found"))</f>
        <v/>
      </c>
      <c r="D77" s="122"/>
      <c r="E77" s="123"/>
      <c r="F77" s="123"/>
      <c r="G77" s="118"/>
      <c r="H77" s="11" t="n">
        <f aca="false">IF(OR(B77="",E77="",F77="",F77&lt;E77),0,IF(G77="Yes",0.5,NETWORKDAYS.INTL(E77,F77,Setup!$C$14,Holidays!$B$5:$B$34)))</f>
        <v>0</v>
      </c>
      <c r="I77" s="119"/>
      <c r="J77" s="122"/>
      <c r="K77" s="118"/>
      <c r="L77" s="54" t="str">
        <f aca="false">IF(B77="","",IF(C77="Not found","Emp ID not found",IF(ISNA(MATCH(D77,Setup!$A$18:$A$23,0)),"Pick leave type",IF(OR(E77="",F77=""),"Enter From &amp; To",IF(F77&lt;E77,"To before From",IF(AND(G77="Yes",F77&gt;E77),"Half day = 1 date",IF(OR(E77&lt;Setup!$C$12,F77&gt;Setup!$C$13),"Outside leave year",IF(H77=0,"No working day",IF(AND(J77&lt;&gt;"Rejected",COUNTIFS($B$6:$B$305,B77,$J$6:$J$305,"&lt;&gt;Rejected",$E$6:$E$305,"&lt;="&amp;F77,$F$6:$F$305,"&gt;="&amp;E77)&gt;1),"Overlaps another leave",IF(AND(J77="Approved",N(INDEX(Balance!$F$6:$W$55,MATCH(B77,Balance!$B$6:$B$55,0),MATCH(D77,Setup!$A$18:$A$23,0)*3))&lt;0),"Exceeds balance",IF(J77="","Set status","OK")))))))))))</f>
        <v/>
      </c>
      <c r="M77" s="55" t="str">
        <f aca="false">IF(AND(B77&lt;&gt;"",B77='Leave Card'!$C$3),COUNTIF($B$6:B77,'Leave Card'!$C$3),"")</f>
        <v/>
      </c>
    </row>
    <row r="78" customFormat="false" ht="15" hidden="false" customHeight="false" outlineLevel="0" collapsed="false">
      <c r="A78" s="51" t="str">
        <f aca="false">IF(B78="","",ROW()-5)</f>
        <v/>
      </c>
      <c r="B78" s="118"/>
      <c r="C78" s="10" t="str">
        <f aca="false">IF(B78="","",IFERROR(INDEX(Employees!$C$5:$C$54,MATCH(B78,Employees!$B$5:$B$54,0)),"Not found"))</f>
        <v/>
      </c>
      <c r="D78" s="122"/>
      <c r="E78" s="123"/>
      <c r="F78" s="123"/>
      <c r="G78" s="118"/>
      <c r="H78" s="11" t="n">
        <f aca="false">IF(OR(B78="",E78="",F78="",F78&lt;E78),0,IF(G78="Yes",0.5,NETWORKDAYS.INTL(E78,F78,Setup!$C$14,Holidays!$B$5:$B$34)))</f>
        <v>0</v>
      </c>
      <c r="I78" s="119"/>
      <c r="J78" s="122"/>
      <c r="K78" s="118"/>
      <c r="L78" s="54" t="str">
        <f aca="false">IF(B78="","",IF(C78="Not found","Emp ID not found",IF(ISNA(MATCH(D78,Setup!$A$18:$A$23,0)),"Pick leave type",IF(OR(E78="",F78=""),"Enter From &amp; To",IF(F78&lt;E78,"To before From",IF(AND(G78="Yes",F78&gt;E78),"Half day = 1 date",IF(OR(E78&lt;Setup!$C$12,F78&gt;Setup!$C$13),"Outside leave year",IF(H78=0,"No working day",IF(AND(J78&lt;&gt;"Rejected",COUNTIFS($B$6:$B$305,B78,$J$6:$J$305,"&lt;&gt;Rejected",$E$6:$E$305,"&lt;="&amp;F78,$F$6:$F$305,"&gt;="&amp;E78)&gt;1),"Overlaps another leave",IF(AND(J78="Approved",N(INDEX(Balance!$F$6:$W$55,MATCH(B78,Balance!$B$6:$B$55,0),MATCH(D78,Setup!$A$18:$A$23,0)*3))&lt;0),"Exceeds balance",IF(J78="","Set status","OK")))))))))))</f>
        <v/>
      </c>
      <c r="M78" s="55" t="str">
        <f aca="false">IF(AND(B78&lt;&gt;"",B78='Leave Card'!$C$3),COUNTIF($B$6:B78,'Leave Card'!$C$3),"")</f>
        <v/>
      </c>
    </row>
    <row r="79" customFormat="false" ht="15" hidden="false" customHeight="false" outlineLevel="0" collapsed="false">
      <c r="A79" s="51" t="str">
        <f aca="false">IF(B79="","",ROW()-5)</f>
        <v/>
      </c>
      <c r="B79" s="118"/>
      <c r="C79" s="10" t="str">
        <f aca="false">IF(B79="","",IFERROR(INDEX(Employees!$C$5:$C$54,MATCH(B79,Employees!$B$5:$B$54,0)),"Not found"))</f>
        <v/>
      </c>
      <c r="D79" s="122"/>
      <c r="E79" s="123"/>
      <c r="F79" s="123"/>
      <c r="G79" s="118"/>
      <c r="H79" s="11" t="n">
        <f aca="false">IF(OR(B79="",E79="",F79="",F79&lt;E79),0,IF(G79="Yes",0.5,NETWORKDAYS.INTL(E79,F79,Setup!$C$14,Holidays!$B$5:$B$34)))</f>
        <v>0</v>
      </c>
      <c r="I79" s="119"/>
      <c r="J79" s="122"/>
      <c r="K79" s="118"/>
      <c r="L79" s="54" t="str">
        <f aca="false">IF(B79="","",IF(C79="Not found","Emp ID not found",IF(ISNA(MATCH(D79,Setup!$A$18:$A$23,0)),"Pick leave type",IF(OR(E79="",F79=""),"Enter From &amp; To",IF(F79&lt;E79,"To before From",IF(AND(G79="Yes",F79&gt;E79),"Half day = 1 date",IF(OR(E79&lt;Setup!$C$12,F79&gt;Setup!$C$13),"Outside leave year",IF(H79=0,"No working day",IF(AND(J79&lt;&gt;"Rejected",COUNTIFS($B$6:$B$305,B79,$J$6:$J$305,"&lt;&gt;Rejected",$E$6:$E$305,"&lt;="&amp;F79,$F$6:$F$305,"&gt;="&amp;E79)&gt;1),"Overlaps another leave",IF(AND(J79="Approved",N(INDEX(Balance!$F$6:$W$55,MATCH(B79,Balance!$B$6:$B$55,0),MATCH(D79,Setup!$A$18:$A$23,0)*3))&lt;0),"Exceeds balance",IF(J79="","Set status","OK")))))))))))</f>
        <v/>
      </c>
      <c r="M79" s="55" t="str">
        <f aca="false">IF(AND(B79&lt;&gt;"",B79='Leave Card'!$C$3),COUNTIF($B$6:B79,'Leave Card'!$C$3),"")</f>
        <v/>
      </c>
    </row>
    <row r="80" customFormat="false" ht="15" hidden="false" customHeight="false" outlineLevel="0" collapsed="false">
      <c r="A80" s="51" t="str">
        <f aca="false">IF(B80="","",ROW()-5)</f>
        <v/>
      </c>
      <c r="B80" s="118"/>
      <c r="C80" s="10" t="str">
        <f aca="false">IF(B80="","",IFERROR(INDEX(Employees!$C$5:$C$54,MATCH(B80,Employees!$B$5:$B$54,0)),"Not found"))</f>
        <v/>
      </c>
      <c r="D80" s="122"/>
      <c r="E80" s="123"/>
      <c r="F80" s="123"/>
      <c r="G80" s="118"/>
      <c r="H80" s="11" t="n">
        <f aca="false">IF(OR(B80="",E80="",F80="",F80&lt;E80),0,IF(G80="Yes",0.5,NETWORKDAYS.INTL(E80,F80,Setup!$C$14,Holidays!$B$5:$B$34)))</f>
        <v>0</v>
      </c>
      <c r="I80" s="119"/>
      <c r="J80" s="122"/>
      <c r="K80" s="118"/>
      <c r="L80" s="54" t="str">
        <f aca="false">IF(B80="","",IF(C80="Not found","Emp ID not found",IF(ISNA(MATCH(D80,Setup!$A$18:$A$23,0)),"Pick leave type",IF(OR(E80="",F80=""),"Enter From &amp; To",IF(F80&lt;E80,"To before From",IF(AND(G80="Yes",F80&gt;E80),"Half day = 1 date",IF(OR(E80&lt;Setup!$C$12,F80&gt;Setup!$C$13),"Outside leave year",IF(H80=0,"No working day",IF(AND(J80&lt;&gt;"Rejected",COUNTIFS($B$6:$B$305,B80,$J$6:$J$305,"&lt;&gt;Rejected",$E$6:$E$305,"&lt;="&amp;F80,$F$6:$F$305,"&gt;="&amp;E80)&gt;1),"Overlaps another leave",IF(AND(J80="Approved",N(INDEX(Balance!$F$6:$W$55,MATCH(B80,Balance!$B$6:$B$55,0),MATCH(D80,Setup!$A$18:$A$23,0)*3))&lt;0),"Exceeds balance",IF(J80="","Set status","OK")))))))))))</f>
        <v/>
      </c>
      <c r="M80" s="55" t="str">
        <f aca="false">IF(AND(B80&lt;&gt;"",B80='Leave Card'!$C$3),COUNTIF($B$6:B80,'Leave Card'!$C$3),"")</f>
        <v/>
      </c>
    </row>
    <row r="81" customFormat="false" ht="15" hidden="false" customHeight="false" outlineLevel="0" collapsed="false">
      <c r="A81" s="51" t="str">
        <f aca="false">IF(B81="","",ROW()-5)</f>
        <v/>
      </c>
      <c r="B81" s="118"/>
      <c r="C81" s="10" t="str">
        <f aca="false">IF(B81="","",IFERROR(INDEX(Employees!$C$5:$C$54,MATCH(B81,Employees!$B$5:$B$54,0)),"Not found"))</f>
        <v/>
      </c>
      <c r="D81" s="122"/>
      <c r="E81" s="123"/>
      <c r="F81" s="123"/>
      <c r="G81" s="118"/>
      <c r="H81" s="11" t="n">
        <f aca="false">IF(OR(B81="",E81="",F81="",F81&lt;E81),0,IF(G81="Yes",0.5,NETWORKDAYS.INTL(E81,F81,Setup!$C$14,Holidays!$B$5:$B$34)))</f>
        <v>0</v>
      </c>
      <c r="I81" s="119"/>
      <c r="J81" s="122"/>
      <c r="K81" s="118"/>
      <c r="L81" s="54" t="str">
        <f aca="false">IF(B81="","",IF(C81="Not found","Emp ID not found",IF(ISNA(MATCH(D81,Setup!$A$18:$A$23,0)),"Pick leave type",IF(OR(E81="",F81=""),"Enter From &amp; To",IF(F81&lt;E81,"To before From",IF(AND(G81="Yes",F81&gt;E81),"Half day = 1 date",IF(OR(E81&lt;Setup!$C$12,F81&gt;Setup!$C$13),"Outside leave year",IF(H81=0,"No working day",IF(AND(J81&lt;&gt;"Rejected",COUNTIFS($B$6:$B$305,B81,$J$6:$J$305,"&lt;&gt;Rejected",$E$6:$E$305,"&lt;="&amp;F81,$F$6:$F$305,"&gt;="&amp;E81)&gt;1),"Overlaps another leave",IF(AND(J81="Approved",N(INDEX(Balance!$F$6:$W$55,MATCH(B81,Balance!$B$6:$B$55,0),MATCH(D81,Setup!$A$18:$A$23,0)*3))&lt;0),"Exceeds balance",IF(J81="","Set status","OK")))))))))))</f>
        <v/>
      </c>
      <c r="M81" s="55" t="str">
        <f aca="false">IF(AND(B81&lt;&gt;"",B81='Leave Card'!$C$3),COUNTIF($B$6:B81,'Leave Card'!$C$3),"")</f>
        <v/>
      </c>
    </row>
    <row r="82" customFormat="false" ht="15" hidden="false" customHeight="false" outlineLevel="0" collapsed="false">
      <c r="A82" s="51" t="str">
        <f aca="false">IF(B82="","",ROW()-5)</f>
        <v/>
      </c>
      <c r="B82" s="118"/>
      <c r="C82" s="10" t="str">
        <f aca="false">IF(B82="","",IFERROR(INDEX(Employees!$C$5:$C$54,MATCH(B82,Employees!$B$5:$B$54,0)),"Not found"))</f>
        <v/>
      </c>
      <c r="D82" s="122"/>
      <c r="E82" s="123"/>
      <c r="F82" s="123"/>
      <c r="G82" s="118"/>
      <c r="H82" s="11" t="n">
        <f aca="false">IF(OR(B82="",E82="",F82="",F82&lt;E82),0,IF(G82="Yes",0.5,NETWORKDAYS.INTL(E82,F82,Setup!$C$14,Holidays!$B$5:$B$34)))</f>
        <v>0</v>
      </c>
      <c r="I82" s="119"/>
      <c r="J82" s="122"/>
      <c r="K82" s="118"/>
      <c r="L82" s="54" t="str">
        <f aca="false">IF(B82="","",IF(C82="Not found","Emp ID not found",IF(ISNA(MATCH(D82,Setup!$A$18:$A$23,0)),"Pick leave type",IF(OR(E82="",F82=""),"Enter From &amp; To",IF(F82&lt;E82,"To before From",IF(AND(G82="Yes",F82&gt;E82),"Half day = 1 date",IF(OR(E82&lt;Setup!$C$12,F82&gt;Setup!$C$13),"Outside leave year",IF(H82=0,"No working day",IF(AND(J82&lt;&gt;"Rejected",COUNTIFS($B$6:$B$305,B82,$J$6:$J$305,"&lt;&gt;Rejected",$E$6:$E$305,"&lt;="&amp;F82,$F$6:$F$305,"&gt;="&amp;E82)&gt;1),"Overlaps another leave",IF(AND(J82="Approved",N(INDEX(Balance!$F$6:$W$55,MATCH(B82,Balance!$B$6:$B$55,0),MATCH(D82,Setup!$A$18:$A$23,0)*3))&lt;0),"Exceeds balance",IF(J82="","Set status","OK")))))))))))</f>
        <v/>
      </c>
      <c r="M82" s="55" t="str">
        <f aca="false">IF(AND(B82&lt;&gt;"",B82='Leave Card'!$C$3),COUNTIF($B$6:B82,'Leave Card'!$C$3),"")</f>
        <v/>
      </c>
    </row>
    <row r="83" customFormat="false" ht="15" hidden="false" customHeight="false" outlineLevel="0" collapsed="false">
      <c r="A83" s="51" t="str">
        <f aca="false">IF(B83="","",ROW()-5)</f>
        <v/>
      </c>
      <c r="B83" s="118"/>
      <c r="C83" s="10" t="str">
        <f aca="false">IF(B83="","",IFERROR(INDEX(Employees!$C$5:$C$54,MATCH(B83,Employees!$B$5:$B$54,0)),"Not found"))</f>
        <v/>
      </c>
      <c r="D83" s="122"/>
      <c r="E83" s="123"/>
      <c r="F83" s="123"/>
      <c r="G83" s="118"/>
      <c r="H83" s="11" t="n">
        <f aca="false">IF(OR(B83="",E83="",F83="",F83&lt;E83),0,IF(G83="Yes",0.5,NETWORKDAYS.INTL(E83,F83,Setup!$C$14,Holidays!$B$5:$B$34)))</f>
        <v>0</v>
      </c>
      <c r="I83" s="119"/>
      <c r="J83" s="122"/>
      <c r="K83" s="118"/>
      <c r="L83" s="54" t="str">
        <f aca="false">IF(B83="","",IF(C83="Not found","Emp ID not found",IF(ISNA(MATCH(D83,Setup!$A$18:$A$23,0)),"Pick leave type",IF(OR(E83="",F83=""),"Enter From &amp; To",IF(F83&lt;E83,"To before From",IF(AND(G83="Yes",F83&gt;E83),"Half day = 1 date",IF(OR(E83&lt;Setup!$C$12,F83&gt;Setup!$C$13),"Outside leave year",IF(H83=0,"No working day",IF(AND(J83&lt;&gt;"Rejected",COUNTIFS($B$6:$B$305,B83,$J$6:$J$305,"&lt;&gt;Rejected",$E$6:$E$305,"&lt;="&amp;F83,$F$6:$F$305,"&gt;="&amp;E83)&gt;1),"Overlaps another leave",IF(AND(J83="Approved",N(INDEX(Balance!$F$6:$W$55,MATCH(B83,Balance!$B$6:$B$55,0),MATCH(D83,Setup!$A$18:$A$23,0)*3))&lt;0),"Exceeds balance",IF(J83="","Set status","OK")))))))))))</f>
        <v/>
      </c>
      <c r="M83" s="55" t="str">
        <f aca="false">IF(AND(B83&lt;&gt;"",B83='Leave Card'!$C$3),COUNTIF($B$6:B83,'Leave Card'!$C$3),"")</f>
        <v/>
      </c>
    </row>
    <row r="84" customFormat="false" ht="15" hidden="false" customHeight="false" outlineLevel="0" collapsed="false">
      <c r="A84" s="51" t="str">
        <f aca="false">IF(B84="","",ROW()-5)</f>
        <v/>
      </c>
      <c r="B84" s="118"/>
      <c r="C84" s="10" t="str">
        <f aca="false">IF(B84="","",IFERROR(INDEX(Employees!$C$5:$C$54,MATCH(B84,Employees!$B$5:$B$54,0)),"Not found"))</f>
        <v/>
      </c>
      <c r="D84" s="122"/>
      <c r="E84" s="123"/>
      <c r="F84" s="123"/>
      <c r="G84" s="118"/>
      <c r="H84" s="11" t="n">
        <f aca="false">IF(OR(B84="",E84="",F84="",F84&lt;E84),0,IF(G84="Yes",0.5,NETWORKDAYS.INTL(E84,F84,Setup!$C$14,Holidays!$B$5:$B$34)))</f>
        <v>0</v>
      </c>
      <c r="I84" s="119"/>
      <c r="J84" s="122"/>
      <c r="K84" s="118"/>
      <c r="L84" s="54" t="str">
        <f aca="false">IF(B84="","",IF(C84="Not found","Emp ID not found",IF(ISNA(MATCH(D84,Setup!$A$18:$A$23,0)),"Pick leave type",IF(OR(E84="",F84=""),"Enter From &amp; To",IF(F84&lt;E84,"To before From",IF(AND(G84="Yes",F84&gt;E84),"Half day = 1 date",IF(OR(E84&lt;Setup!$C$12,F84&gt;Setup!$C$13),"Outside leave year",IF(H84=0,"No working day",IF(AND(J84&lt;&gt;"Rejected",COUNTIFS($B$6:$B$305,B84,$J$6:$J$305,"&lt;&gt;Rejected",$E$6:$E$305,"&lt;="&amp;F84,$F$6:$F$305,"&gt;="&amp;E84)&gt;1),"Overlaps another leave",IF(AND(J84="Approved",N(INDEX(Balance!$F$6:$W$55,MATCH(B84,Balance!$B$6:$B$55,0),MATCH(D84,Setup!$A$18:$A$23,0)*3))&lt;0),"Exceeds balance",IF(J84="","Set status","OK")))))))))))</f>
        <v/>
      </c>
      <c r="M84" s="55" t="str">
        <f aca="false">IF(AND(B84&lt;&gt;"",B84='Leave Card'!$C$3),COUNTIF($B$6:B84,'Leave Card'!$C$3),"")</f>
        <v/>
      </c>
    </row>
    <row r="85" customFormat="false" ht="15" hidden="false" customHeight="false" outlineLevel="0" collapsed="false">
      <c r="A85" s="51" t="str">
        <f aca="false">IF(B85="","",ROW()-5)</f>
        <v/>
      </c>
      <c r="B85" s="118"/>
      <c r="C85" s="10" t="str">
        <f aca="false">IF(B85="","",IFERROR(INDEX(Employees!$C$5:$C$54,MATCH(B85,Employees!$B$5:$B$54,0)),"Not found"))</f>
        <v/>
      </c>
      <c r="D85" s="122"/>
      <c r="E85" s="123"/>
      <c r="F85" s="123"/>
      <c r="G85" s="118"/>
      <c r="H85" s="11" t="n">
        <f aca="false">IF(OR(B85="",E85="",F85="",F85&lt;E85),0,IF(G85="Yes",0.5,NETWORKDAYS.INTL(E85,F85,Setup!$C$14,Holidays!$B$5:$B$34)))</f>
        <v>0</v>
      </c>
      <c r="I85" s="119"/>
      <c r="J85" s="122"/>
      <c r="K85" s="118"/>
      <c r="L85" s="54" t="str">
        <f aca="false">IF(B85="","",IF(C85="Not found","Emp ID not found",IF(ISNA(MATCH(D85,Setup!$A$18:$A$23,0)),"Pick leave type",IF(OR(E85="",F85=""),"Enter From &amp; To",IF(F85&lt;E85,"To before From",IF(AND(G85="Yes",F85&gt;E85),"Half day = 1 date",IF(OR(E85&lt;Setup!$C$12,F85&gt;Setup!$C$13),"Outside leave year",IF(H85=0,"No working day",IF(AND(J85&lt;&gt;"Rejected",COUNTIFS($B$6:$B$305,B85,$J$6:$J$305,"&lt;&gt;Rejected",$E$6:$E$305,"&lt;="&amp;F85,$F$6:$F$305,"&gt;="&amp;E85)&gt;1),"Overlaps another leave",IF(AND(J85="Approved",N(INDEX(Balance!$F$6:$W$55,MATCH(B85,Balance!$B$6:$B$55,0),MATCH(D85,Setup!$A$18:$A$23,0)*3))&lt;0),"Exceeds balance",IF(J85="","Set status","OK")))))))))))</f>
        <v/>
      </c>
      <c r="M85" s="55" t="str">
        <f aca="false">IF(AND(B85&lt;&gt;"",B85='Leave Card'!$C$3),COUNTIF($B$6:B85,'Leave Card'!$C$3),"")</f>
        <v/>
      </c>
    </row>
    <row r="86" customFormat="false" ht="15" hidden="false" customHeight="false" outlineLevel="0" collapsed="false">
      <c r="A86" s="51" t="str">
        <f aca="false">IF(B86="","",ROW()-5)</f>
        <v/>
      </c>
      <c r="B86" s="118"/>
      <c r="C86" s="10" t="str">
        <f aca="false">IF(B86="","",IFERROR(INDEX(Employees!$C$5:$C$54,MATCH(B86,Employees!$B$5:$B$54,0)),"Not found"))</f>
        <v/>
      </c>
      <c r="D86" s="122"/>
      <c r="E86" s="123"/>
      <c r="F86" s="123"/>
      <c r="G86" s="118"/>
      <c r="H86" s="11" t="n">
        <f aca="false">IF(OR(B86="",E86="",F86="",F86&lt;E86),0,IF(G86="Yes",0.5,NETWORKDAYS.INTL(E86,F86,Setup!$C$14,Holidays!$B$5:$B$34)))</f>
        <v>0</v>
      </c>
      <c r="I86" s="119"/>
      <c r="J86" s="122"/>
      <c r="K86" s="118"/>
      <c r="L86" s="54" t="str">
        <f aca="false">IF(B86="","",IF(C86="Not found","Emp ID not found",IF(ISNA(MATCH(D86,Setup!$A$18:$A$23,0)),"Pick leave type",IF(OR(E86="",F86=""),"Enter From &amp; To",IF(F86&lt;E86,"To before From",IF(AND(G86="Yes",F86&gt;E86),"Half day = 1 date",IF(OR(E86&lt;Setup!$C$12,F86&gt;Setup!$C$13),"Outside leave year",IF(H86=0,"No working day",IF(AND(J86&lt;&gt;"Rejected",COUNTIFS($B$6:$B$305,B86,$J$6:$J$305,"&lt;&gt;Rejected",$E$6:$E$305,"&lt;="&amp;F86,$F$6:$F$305,"&gt;="&amp;E86)&gt;1),"Overlaps another leave",IF(AND(J86="Approved",N(INDEX(Balance!$F$6:$W$55,MATCH(B86,Balance!$B$6:$B$55,0),MATCH(D86,Setup!$A$18:$A$23,0)*3))&lt;0),"Exceeds balance",IF(J86="","Set status","OK")))))))))))</f>
        <v/>
      </c>
      <c r="M86" s="55" t="str">
        <f aca="false">IF(AND(B86&lt;&gt;"",B86='Leave Card'!$C$3),COUNTIF($B$6:B86,'Leave Card'!$C$3),"")</f>
        <v/>
      </c>
    </row>
    <row r="87" customFormat="false" ht="15" hidden="false" customHeight="false" outlineLevel="0" collapsed="false">
      <c r="A87" s="51" t="str">
        <f aca="false">IF(B87="","",ROW()-5)</f>
        <v/>
      </c>
      <c r="B87" s="118"/>
      <c r="C87" s="10" t="str">
        <f aca="false">IF(B87="","",IFERROR(INDEX(Employees!$C$5:$C$54,MATCH(B87,Employees!$B$5:$B$54,0)),"Not found"))</f>
        <v/>
      </c>
      <c r="D87" s="122"/>
      <c r="E87" s="123"/>
      <c r="F87" s="123"/>
      <c r="G87" s="118"/>
      <c r="H87" s="11" t="n">
        <f aca="false">IF(OR(B87="",E87="",F87="",F87&lt;E87),0,IF(G87="Yes",0.5,NETWORKDAYS.INTL(E87,F87,Setup!$C$14,Holidays!$B$5:$B$34)))</f>
        <v>0</v>
      </c>
      <c r="I87" s="119"/>
      <c r="J87" s="122"/>
      <c r="K87" s="118"/>
      <c r="L87" s="54" t="str">
        <f aca="false">IF(B87="","",IF(C87="Not found","Emp ID not found",IF(ISNA(MATCH(D87,Setup!$A$18:$A$23,0)),"Pick leave type",IF(OR(E87="",F87=""),"Enter From &amp; To",IF(F87&lt;E87,"To before From",IF(AND(G87="Yes",F87&gt;E87),"Half day = 1 date",IF(OR(E87&lt;Setup!$C$12,F87&gt;Setup!$C$13),"Outside leave year",IF(H87=0,"No working day",IF(AND(J87&lt;&gt;"Rejected",COUNTIFS($B$6:$B$305,B87,$J$6:$J$305,"&lt;&gt;Rejected",$E$6:$E$305,"&lt;="&amp;F87,$F$6:$F$305,"&gt;="&amp;E87)&gt;1),"Overlaps another leave",IF(AND(J87="Approved",N(INDEX(Balance!$F$6:$W$55,MATCH(B87,Balance!$B$6:$B$55,0),MATCH(D87,Setup!$A$18:$A$23,0)*3))&lt;0),"Exceeds balance",IF(J87="","Set status","OK")))))))))))</f>
        <v/>
      </c>
      <c r="M87" s="55" t="str">
        <f aca="false">IF(AND(B87&lt;&gt;"",B87='Leave Card'!$C$3),COUNTIF($B$6:B87,'Leave Card'!$C$3),"")</f>
        <v/>
      </c>
    </row>
    <row r="88" customFormat="false" ht="15" hidden="false" customHeight="false" outlineLevel="0" collapsed="false">
      <c r="A88" s="51" t="str">
        <f aca="false">IF(B88="","",ROW()-5)</f>
        <v/>
      </c>
      <c r="B88" s="118"/>
      <c r="C88" s="10" t="str">
        <f aca="false">IF(B88="","",IFERROR(INDEX(Employees!$C$5:$C$54,MATCH(B88,Employees!$B$5:$B$54,0)),"Not found"))</f>
        <v/>
      </c>
      <c r="D88" s="122"/>
      <c r="E88" s="123"/>
      <c r="F88" s="123"/>
      <c r="G88" s="118"/>
      <c r="H88" s="11" t="n">
        <f aca="false">IF(OR(B88="",E88="",F88="",F88&lt;E88),0,IF(G88="Yes",0.5,NETWORKDAYS.INTL(E88,F88,Setup!$C$14,Holidays!$B$5:$B$34)))</f>
        <v>0</v>
      </c>
      <c r="I88" s="119"/>
      <c r="J88" s="122"/>
      <c r="K88" s="118"/>
      <c r="L88" s="54" t="str">
        <f aca="false">IF(B88="","",IF(C88="Not found","Emp ID not found",IF(ISNA(MATCH(D88,Setup!$A$18:$A$23,0)),"Pick leave type",IF(OR(E88="",F88=""),"Enter From &amp; To",IF(F88&lt;E88,"To before From",IF(AND(G88="Yes",F88&gt;E88),"Half day = 1 date",IF(OR(E88&lt;Setup!$C$12,F88&gt;Setup!$C$13),"Outside leave year",IF(H88=0,"No working day",IF(AND(J88&lt;&gt;"Rejected",COUNTIFS($B$6:$B$305,B88,$J$6:$J$305,"&lt;&gt;Rejected",$E$6:$E$305,"&lt;="&amp;F88,$F$6:$F$305,"&gt;="&amp;E88)&gt;1),"Overlaps another leave",IF(AND(J88="Approved",N(INDEX(Balance!$F$6:$W$55,MATCH(B88,Balance!$B$6:$B$55,0),MATCH(D88,Setup!$A$18:$A$23,0)*3))&lt;0),"Exceeds balance",IF(J88="","Set status","OK")))))))))))</f>
        <v/>
      </c>
      <c r="M88" s="55" t="str">
        <f aca="false">IF(AND(B88&lt;&gt;"",B88='Leave Card'!$C$3),COUNTIF($B$6:B88,'Leave Card'!$C$3),"")</f>
        <v/>
      </c>
    </row>
    <row r="89" customFormat="false" ht="15" hidden="false" customHeight="false" outlineLevel="0" collapsed="false">
      <c r="A89" s="51" t="str">
        <f aca="false">IF(B89="","",ROW()-5)</f>
        <v/>
      </c>
      <c r="B89" s="118"/>
      <c r="C89" s="10" t="str">
        <f aca="false">IF(B89="","",IFERROR(INDEX(Employees!$C$5:$C$54,MATCH(B89,Employees!$B$5:$B$54,0)),"Not found"))</f>
        <v/>
      </c>
      <c r="D89" s="122"/>
      <c r="E89" s="123"/>
      <c r="F89" s="123"/>
      <c r="G89" s="118"/>
      <c r="H89" s="11" t="n">
        <f aca="false">IF(OR(B89="",E89="",F89="",F89&lt;E89),0,IF(G89="Yes",0.5,NETWORKDAYS.INTL(E89,F89,Setup!$C$14,Holidays!$B$5:$B$34)))</f>
        <v>0</v>
      </c>
      <c r="I89" s="119"/>
      <c r="J89" s="122"/>
      <c r="K89" s="118"/>
      <c r="L89" s="54" t="str">
        <f aca="false">IF(B89="","",IF(C89="Not found","Emp ID not found",IF(ISNA(MATCH(D89,Setup!$A$18:$A$23,0)),"Pick leave type",IF(OR(E89="",F89=""),"Enter From &amp; To",IF(F89&lt;E89,"To before From",IF(AND(G89="Yes",F89&gt;E89),"Half day = 1 date",IF(OR(E89&lt;Setup!$C$12,F89&gt;Setup!$C$13),"Outside leave year",IF(H89=0,"No working day",IF(AND(J89&lt;&gt;"Rejected",COUNTIFS($B$6:$B$305,B89,$J$6:$J$305,"&lt;&gt;Rejected",$E$6:$E$305,"&lt;="&amp;F89,$F$6:$F$305,"&gt;="&amp;E89)&gt;1),"Overlaps another leave",IF(AND(J89="Approved",N(INDEX(Balance!$F$6:$W$55,MATCH(B89,Balance!$B$6:$B$55,0),MATCH(D89,Setup!$A$18:$A$23,0)*3))&lt;0),"Exceeds balance",IF(J89="","Set status","OK")))))))))))</f>
        <v/>
      </c>
      <c r="M89" s="55" t="str">
        <f aca="false">IF(AND(B89&lt;&gt;"",B89='Leave Card'!$C$3),COUNTIF($B$6:B89,'Leave Card'!$C$3),"")</f>
        <v/>
      </c>
    </row>
    <row r="90" customFormat="false" ht="15" hidden="false" customHeight="false" outlineLevel="0" collapsed="false">
      <c r="A90" s="51" t="str">
        <f aca="false">IF(B90="","",ROW()-5)</f>
        <v/>
      </c>
      <c r="B90" s="118"/>
      <c r="C90" s="10" t="str">
        <f aca="false">IF(B90="","",IFERROR(INDEX(Employees!$C$5:$C$54,MATCH(B90,Employees!$B$5:$B$54,0)),"Not found"))</f>
        <v/>
      </c>
      <c r="D90" s="122"/>
      <c r="E90" s="123"/>
      <c r="F90" s="123"/>
      <c r="G90" s="118"/>
      <c r="H90" s="11" t="n">
        <f aca="false">IF(OR(B90="",E90="",F90="",F90&lt;E90),0,IF(G90="Yes",0.5,NETWORKDAYS.INTL(E90,F90,Setup!$C$14,Holidays!$B$5:$B$34)))</f>
        <v>0</v>
      </c>
      <c r="I90" s="119"/>
      <c r="J90" s="122"/>
      <c r="K90" s="118"/>
      <c r="L90" s="54" t="str">
        <f aca="false">IF(B90="","",IF(C90="Not found","Emp ID not found",IF(ISNA(MATCH(D90,Setup!$A$18:$A$23,0)),"Pick leave type",IF(OR(E90="",F90=""),"Enter From &amp; To",IF(F90&lt;E90,"To before From",IF(AND(G90="Yes",F90&gt;E90),"Half day = 1 date",IF(OR(E90&lt;Setup!$C$12,F90&gt;Setup!$C$13),"Outside leave year",IF(H90=0,"No working day",IF(AND(J90&lt;&gt;"Rejected",COUNTIFS($B$6:$B$305,B90,$J$6:$J$305,"&lt;&gt;Rejected",$E$6:$E$305,"&lt;="&amp;F90,$F$6:$F$305,"&gt;="&amp;E90)&gt;1),"Overlaps another leave",IF(AND(J90="Approved",N(INDEX(Balance!$F$6:$W$55,MATCH(B90,Balance!$B$6:$B$55,0),MATCH(D90,Setup!$A$18:$A$23,0)*3))&lt;0),"Exceeds balance",IF(J90="","Set status","OK")))))))))))</f>
        <v/>
      </c>
      <c r="M90" s="55" t="str">
        <f aca="false">IF(AND(B90&lt;&gt;"",B90='Leave Card'!$C$3),COUNTIF($B$6:B90,'Leave Card'!$C$3),"")</f>
        <v/>
      </c>
    </row>
    <row r="91" customFormat="false" ht="15" hidden="false" customHeight="false" outlineLevel="0" collapsed="false">
      <c r="A91" s="51" t="str">
        <f aca="false">IF(B91="","",ROW()-5)</f>
        <v/>
      </c>
      <c r="B91" s="118"/>
      <c r="C91" s="10" t="str">
        <f aca="false">IF(B91="","",IFERROR(INDEX(Employees!$C$5:$C$54,MATCH(B91,Employees!$B$5:$B$54,0)),"Not found"))</f>
        <v/>
      </c>
      <c r="D91" s="122"/>
      <c r="E91" s="123"/>
      <c r="F91" s="123"/>
      <c r="G91" s="118"/>
      <c r="H91" s="11" t="n">
        <f aca="false">IF(OR(B91="",E91="",F91="",F91&lt;E91),0,IF(G91="Yes",0.5,NETWORKDAYS.INTL(E91,F91,Setup!$C$14,Holidays!$B$5:$B$34)))</f>
        <v>0</v>
      </c>
      <c r="I91" s="119"/>
      <c r="J91" s="122"/>
      <c r="K91" s="118"/>
      <c r="L91" s="54" t="str">
        <f aca="false">IF(B91="","",IF(C91="Not found","Emp ID not found",IF(ISNA(MATCH(D91,Setup!$A$18:$A$23,0)),"Pick leave type",IF(OR(E91="",F91=""),"Enter From &amp; To",IF(F91&lt;E91,"To before From",IF(AND(G91="Yes",F91&gt;E91),"Half day = 1 date",IF(OR(E91&lt;Setup!$C$12,F91&gt;Setup!$C$13),"Outside leave year",IF(H91=0,"No working day",IF(AND(J91&lt;&gt;"Rejected",COUNTIFS($B$6:$B$305,B91,$J$6:$J$305,"&lt;&gt;Rejected",$E$6:$E$305,"&lt;="&amp;F91,$F$6:$F$305,"&gt;="&amp;E91)&gt;1),"Overlaps another leave",IF(AND(J91="Approved",N(INDEX(Balance!$F$6:$W$55,MATCH(B91,Balance!$B$6:$B$55,0),MATCH(D91,Setup!$A$18:$A$23,0)*3))&lt;0),"Exceeds balance",IF(J91="","Set status","OK")))))))))))</f>
        <v/>
      </c>
      <c r="M91" s="55" t="str">
        <f aca="false">IF(AND(B91&lt;&gt;"",B91='Leave Card'!$C$3),COUNTIF($B$6:B91,'Leave Card'!$C$3),"")</f>
        <v/>
      </c>
    </row>
    <row r="92" customFormat="false" ht="15" hidden="false" customHeight="false" outlineLevel="0" collapsed="false">
      <c r="A92" s="51" t="str">
        <f aca="false">IF(B92="","",ROW()-5)</f>
        <v/>
      </c>
      <c r="B92" s="118"/>
      <c r="C92" s="10" t="str">
        <f aca="false">IF(B92="","",IFERROR(INDEX(Employees!$C$5:$C$54,MATCH(B92,Employees!$B$5:$B$54,0)),"Not found"))</f>
        <v/>
      </c>
      <c r="D92" s="122"/>
      <c r="E92" s="123"/>
      <c r="F92" s="123"/>
      <c r="G92" s="118"/>
      <c r="H92" s="11" t="n">
        <f aca="false">IF(OR(B92="",E92="",F92="",F92&lt;E92),0,IF(G92="Yes",0.5,NETWORKDAYS.INTL(E92,F92,Setup!$C$14,Holidays!$B$5:$B$34)))</f>
        <v>0</v>
      </c>
      <c r="I92" s="119"/>
      <c r="J92" s="122"/>
      <c r="K92" s="118"/>
      <c r="L92" s="54" t="str">
        <f aca="false">IF(B92="","",IF(C92="Not found","Emp ID not found",IF(ISNA(MATCH(D92,Setup!$A$18:$A$23,0)),"Pick leave type",IF(OR(E92="",F92=""),"Enter From &amp; To",IF(F92&lt;E92,"To before From",IF(AND(G92="Yes",F92&gt;E92),"Half day = 1 date",IF(OR(E92&lt;Setup!$C$12,F92&gt;Setup!$C$13),"Outside leave year",IF(H92=0,"No working day",IF(AND(J92&lt;&gt;"Rejected",COUNTIFS($B$6:$B$305,B92,$J$6:$J$305,"&lt;&gt;Rejected",$E$6:$E$305,"&lt;="&amp;F92,$F$6:$F$305,"&gt;="&amp;E92)&gt;1),"Overlaps another leave",IF(AND(J92="Approved",N(INDEX(Balance!$F$6:$W$55,MATCH(B92,Balance!$B$6:$B$55,0),MATCH(D92,Setup!$A$18:$A$23,0)*3))&lt;0),"Exceeds balance",IF(J92="","Set status","OK")))))))))))</f>
        <v/>
      </c>
      <c r="M92" s="55" t="str">
        <f aca="false">IF(AND(B92&lt;&gt;"",B92='Leave Card'!$C$3),COUNTIF($B$6:B92,'Leave Card'!$C$3),"")</f>
        <v/>
      </c>
    </row>
    <row r="93" customFormat="false" ht="15" hidden="false" customHeight="false" outlineLevel="0" collapsed="false">
      <c r="A93" s="51" t="str">
        <f aca="false">IF(B93="","",ROW()-5)</f>
        <v/>
      </c>
      <c r="B93" s="118"/>
      <c r="C93" s="10" t="str">
        <f aca="false">IF(B93="","",IFERROR(INDEX(Employees!$C$5:$C$54,MATCH(B93,Employees!$B$5:$B$54,0)),"Not found"))</f>
        <v/>
      </c>
      <c r="D93" s="122"/>
      <c r="E93" s="123"/>
      <c r="F93" s="123"/>
      <c r="G93" s="118"/>
      <c r="H93" s="11" t="n">
        <f aca="false">IF(OR(B93="",E93="",F93="",F93&lt;E93),0,IF(G93="Yes",0.5,NETWORKDAYS.INTL(E93,F93,Setup!$C$14,Holidays!$B$5:$B$34)))</f>
        <v>0</v>
      </c>
      <c r="I93" s="119"/>
      <c r="J93" s="122"/>
      <c r="K93" s="118"/>
      <c r="L93" s="54" t="str">
        <f aca="false">IF(B93="","",IF(C93="Not found","Emp ID not found",IF(ISNA(MATCH(D93,Setup!$A$18:$A$23,0)),"Pick leave type",IF(OR(E93="",F93=""),"Enter From &amp; To",IF(F93&lt;E93,"To before From",IF(AND(G93="Yes",F93&gt;E93),"Half day = 1 date",IF(OR(E93&lt;Setup!$C$12,F93&gt;Setup!$C$13),"Outside leave year",IF(H93=0,"No working day",IF(AND(J93&lt;&gt;"Rejected",COUNTIFS($B$6:$B$305,B93,$J$6:$J$305,"&lt;&gt;Rejected",$E$6:$E$305,"&lt;="&amp;F93,$F$6:$F$305,"&gt;="&amp;E93)&gt;1),"Overlaps another leave",IF(AND(J93="Approved",N(INDEX(Balance!$F$6:$W$55,MATCH(B93,Balance!$B$6:$B$55,0),MATCH(D93,Setup!$A$18:$A$23,0)*3))&lt;0),"Exceeds balance",IF(J93="","Set status","OK")))))))))))</f>
        <v/>
      </c>
      <c r="M93" s="55" t="str">
        <f aca="false">IF(AND(B93&lt;&gt;"",B93='Leave Card'!$C$3),COUNTIF($B$6:B93,'Leave Card'!$C$3),"")</f>
        <v/>
      </c>
    </row>
    <row r="94" customFormat="false" ht="15" hidden="false" customHeight="false" outlineLevel="0" collapsed="false">
      <c r="A94" s="51" t="str">
        <f aca="false">IF(B94="","",ROW()-5)</f>
        <v/>
      </c>
      <c r="B94" s="118"/>
      <c r="C94" s="10" t="str">
        <f aca="false">IF(B94="","",IFERROR(INDEX(Employees!$C$5:$C$54,MATCH(B94,Employees!$B$5:$B$54,0)),"Not found"))</f>
        <v/>
      </c>
      <c r="D94" s="122"/>
      <c r="E94" s="123"/>
      <c r="F94" s="123"/>
      <c r="G94" s="118"/>
      <c r="H94" s="11" t="n">
        <f aca="false">IF(OR(B94="",E94="",F94="",F94&lt;E94),0,IF(G94="Yes",0.5,NETWORKDAYS.INTL(E94,F94,Setup!$C$14,Holidays!$B$5:$B$34)))</f>
        <v>0</v>
      </c>
      <c r="I94" s="119"/>
      <c r="J94" s="122"/>
      <c r="K94" s="118"/>
      <c r="L94" s="54" t="str">
        <f aca="false">IF(B94="","",IF(C94="Not found","Emp ID not found",IF(ISNA(MATCH(D94,Setup!$A$18:$A$23,0)),"Pick leave type",IF(OR(E94="",F94=""),"Enter From &amp; To",IF(F94&lt;E94,"To before From",IF(AND(G94="Yes",F94&gt;E94),"Half day = 1 date",IF(OR(E94&lt;Setup!$C$12,F94&gt;Setup!$C$13),"Outside leave year",IF(H94=0,"No working day",IF(AND(J94&lt;&gt;"Rejected",COUNTIFS($B$6:$B$305,B94,$J$6:$J$305,"&lt;&gt;Rejected",$E$6:$E$305,"&lt;="&amp;F94,$F$6:$F$305,"&gt;="&amp;E94)&gt;1),"Overlaps another leave",IF(AND(J94="Approved",N(INDEX(Balance!$F$6:$W$55,MATCH(B94,Balance!$B$6:$B$55,0),MATCH(D94,Setup!$A$18:$A$23,0)*3))&lt;0),"Exceeds balance",IF(J94="","Set status","OK")))))))))))</f>
        <v/>
      </c>
      <c r="M94" s="55" t="str">
        <f aca="false">IF(AND(B94&lt;&gt;"",B94='Leave Card'!$C$3),COUNTIF($B$6:B94,'Leave Card'!$C$3),"")</f>
        <v/>
      </c>
    </row>
    <row r="95" customFormat="false" ht="15" hidden="false" customHeight="false" outlineLevel="0" collapsed="false">
      <c r="A95" s="51" t="str">
        <f aca="false">IF(B95="","",ROW()-5)</f>
        <v/>
      </c>
      <c r="B95" s="118"/>
      <c r="C95" s="10" t="str">
        <f aca="false">IF(B95="","",IFERROR(INDEX(Employees!$C$5:$C$54,MATCH(B95,Employees!$B$5:$B$54,0)),"Not found"))</f>
        <v/>
      </c>
      <c r="D95" s="122"/>
      <c r="E95" s="123"/>
      <c r="F95" s="123"/>
      <c r="G95" s="118"/>
      <c r="H95" s="11" t="n">
        <f aca="false">IF(OR(B95="",E95="",F95="",F95&lt;E95),0,IF(G95="Yes",0.5,NETWORKDAYS.INTL(E95,F95,Setup!$C$14,Holidays!$B$5:$B$34)))</f>
        <v>0</v>
      </c>
      <c r="I95" s="119"/>
      <c r="J95" s="122"/>
      <c r="K95" s="118"/>
      <c r="L95" s="54" t="str">
        <f aca="false">IF(B95="","",IF(C95="Not found","Emp ID not found",IF(ISNA(MATCH(D95,Setup!$A$18:$A$23,0)),"Pick leave type",IF(OR(E95="",F95=""),"Enter From &amp; To",IF(F95&lt;E95,"To before From",IF(AND(G95="Yes",F95&gt;E95),"Half day = 1 date",IF(OR(E95&lt;Setup!$C$12,F95&gt;Setup!$C$13),"Outside leave year",IF(H95=0,"No working day",IF(AND(J95&lt;&gt;"Rejected",COUNTIFS($B$6:$B$305,B95,$J$6:$J$305,"&lt;&gt;Rejected",$E$6:$E$305,"&lt;="&amp;F95,$F$6:$F$305,"&gt;="&amp;E95)&gt;1),"Overlaps another leave",IF(AND(J95="Approved",N(INDEX(Balance!$F$6:$W$55,MATCH(B95,Balance!$B$6:$B$55,0),MATCH(D95,Setup!$A$18:$A$23,0)*3))&lt;0),"Exceeds balance",IF(J95="","Set status","OK")))))))))))</f>
        <v/>
      </c>
      <c r="M95" s="55" t="str">
        <f aca="false">IF(AND(B95&lt;&gt;"",B95='Leave Card'!$C$3),COUNTIF($B$6:B95,'Leave Card'!$C$3),"")</f>
        <v/>
      </c>
    </row>
    <row r="96" customFormat="false" ht="15" hidden="false" customHeight="false" outlineLevel="0" collapsed="false">
      <c r="A96" s="51" t="str">
        <f aca="false">IF(B96="","",ROW()-5)</f>
        <v/>
      </c>
      <c r="B96" s="118"/>
      <c r="C96" s="10" t="str">
        <f aca="false">IF(B96="","",IFERROR(INDEX(Employees!$C$5:$C$54,MATCH(B96,Employees!$B$5:$B$54,0)),"Not found"))</f>
        <v/>
      </c>
      <c r="D96" s="122"/>
      <c r="E96" s="123"/>
      <c r="F96" s="123"/>
      <c r="G96" s="118"/>
      <c r="H96" s="11" t="n">
        <f aca="false">IF(OR(B96="",E96="",F96="",F96&lt;E96),0,IF(G96="Yes",0.5,NETWORKDAYS.INTL(E96,F96,Setup!$C$14,Holidays!$B$5:$B$34)))</f>
        <v>0</v>
      </c>
      <c r="I96" s="119"/>
      <c r="J96" s="122"/>
      <c r="K96" s="118"/>
      <c r="L96" s="54" t="str">
        <f aca="false">IF(B96="","",IF(C96="Not found","Emp ID not found",IF(ISNA(MATCH(D96,Setup!$A$18:$A$23,0)),"Pick leave type",IF(OR(E96="",F96=""),"Enter From &amp; To",IF(F96&lt;E96,"To before From",IF(AND(G96="Yes",F96&gt;E96),"Half day = 1 date",IF(OR(E96&lt;Setup!$C$12,F96&gt;Setup!$C$13),"Outside leave year",IF(H96=0,"No working day",IF(AND(J96&lt;&gt;"Rejected",COUNTIFS($B$6:$B$305,B96,$J$6:$J$305,"&lt;&gt;Rejected",$E$6:$E$305,"&lt;="&amp;F96,$F$6:$F$305,"&gt;="&amp;E96)&gt;1),"Overlaps another leave",IF(AND(J96="Approved",N(INDEX(Balance!$F$6:$W$55,MATCH(B96,Balance!$B$6:$B$55,0),MATCH(D96,Setup!$A$18:$A$23,0)*3))&lt;0),"Exceeds balance",IF(J96="","Set status","OK")))))))))))</f>
        <v/>
      </c>
      <c r="M96" s="55" t="str">
        <f aca="false">IF(AND(B96&lt;&gt;"",B96='Leave Card'!$C$3),COUNTIF($B$6:B96,'Leave Card'!$C$3),"")</f>
        <v/>
      </c>
    </row>
    <row r="97" customFormat="false" ht="15" hidden="false" customHeight="false" outlineLevel="0" collapsed="false">
      <c r="A97" s="51" t="str">
        <f aca="false">IF(B97="","",ROW()-5)</f>
        <v/>
      </c>
      <c r="B97" s="118"/>
      <c r="C97" s="10" t="str">
        <f aca="false">IF(B97="","",IFERROR(INDEX(Employees!$C$5:$C$54,MATCH(B97,Employees!$B$5:$B$54,0)),"Not found"))</f>
        <v/>
      </c>
      <c r="D97" s="122"/>
      <c r="E97" s="123"/>
      <c r="F97" s="123"/>
      <c r="G97" s="118"/>
      <c r="H97" s="11" t="n">
        <f aca="false">IF(OR(B97="",E97="",F97="",F97&lt;E97),0,IF(G97="Yes",0.5,NETWORKDAYS.INTL(E97,F97,Setup!$C$14,Holidays!$B$5:$B$34)))</f>
        <v>0</v>
      </c>
      <c r="I97" s="119"/>
      <c r="J97" s="122"/>
      <c r="K97" s="118"/>
      <c r="L97" s="54" t="str">
        <f aca="false">IF(B97="","",IF(C97="Not found","Emp ID not found",IF(ISNA(MATCH(D97,Setup!$A$18:$A$23,0)),"Pick leave type",IF(OR(E97="",F97=""),"Enter From &amp; To",IF(F97&lt;E97,"To before From",IF(AND(G97="Yes",F97&gt;E97),"Half day = 1 date",IF(OR(E97&lt;Setup!$C$12,F97&gt;Setup!$C$13),"Outside leave year",IF(H97=0,"No working day",IF(AND(J97&lt;&gt;"Rejected",COUNTIFS($B$6:$B$305,B97,$J$6:$J$305,"&lt;&gt;Rejected",$E$6:$E$305,"&lt;="&amp;F97,$F$6:$F$305,"&gt;="&amp;E97)&gt;1),"Overlaps another leave",IF(AND(J97="Approved",N(INDEX(Balance!$F$6:$W$55,MATCH(B97,Balance!$B$6:$B$55,0),MATCH(D97,Setup!$A$18:$A$23,0)*3))&lt;0),"Exceeds balance",IF(J97="","Set status","OK")))))))))))</f>
        <v/>
      </c>
      <c r="M97" s="55" t="str">
        <f aca="false">IF(AND(B97&lt;&gt;"",B97='Leave Card'!$C$3),COUNTIF($B$6:B97,'Leave Card'!$C$3),"")</f>
        <v/>
      </c>
    </row>
    <row r="98" customFormat="false" ht="15" hidden="false" customHeight="false" outlineLevel="0" collapsed="false">
      <c r="A98" s="51" t="str">
        <f aca="false">IF(B98="","",ROW()-5)</f>
        <v/>
      </c>
      <c r="B98" s="118"/>
      <c r="C98" s="10" t="str">
        <f aca="false">IF(B98="","",IFERROR(INDEX(Employees!$C$5:$C$54,MATCH(B98,Employees!$B$5:$B$54,0)),"Not found"))</f>
        <v/>
      </c>
      <c r="D98" s="122"/>
      <c r="E98" s="123"/>
      <c r="F98" s="123"/>
      <c r="G98" s="118"/>
      <c r="H98" s="11" t="n">
        <f aca="false">IF(OR(B98="",E98="",F98="",F98&lt;E98),0,IF(G98="Yes",0.5,NETWORKDAYS.INTL(E98,F98,Setup!$C$14,Holidays!$B$5:$B$34)))</f>
        <v>0</v>
      </c>
      <c r="I98" s="119"/>
      <c r="J98" s="122"/>
      <c r="K98" s="118"/>
      <c r="L98" s="54" t="str">
        <f aca="false">IF(B98="","",IF(C98="Not found","Emp ID not found",IF(ISNA(MATCH(D98,Setup!$A$18:$A$23,0)),"Pick leave type",IF(OR(E98="",F98=""),"Enter From &amp; To",IF(F98&lt;E98,"To before From",IF(AND(G98="Yes",F98&gt;E98),"Half day = 1 date",IF(OR(E98&lt;Setup!$C$12,F98&gt;Setup!$C$13),"Outside leave year",IF(H98=0,"No working day",IF(AND(J98&lt;&gt;"Rejected",COUNTIFS($B$6:$B$305,B98,$J$6:$J$305,"&lt;&gt;Rejected",$E$6:$E$305,"&lt;="&amp;F98,$F$6:$F$305,"&gt;="&amp;E98)&gt;1),"Overlaps another leave",IF(AND(J98="Approved",N(INDEX(Balance!$F$6:$W$55,MATCH(B98,Balance!$B$6:$B$55,0),MATCH(D98,Setup!$A$18:$A$23,0)*3))&lt;0),"Exceeds balance",IF(J98="","Set status","OK")))))))))))</f>
        <v/>
      </c>
      <c r="M98" s="55" t="str">
        <f aca="false">IF(AND(B98&lt;&gt;"",B98='Leave Card'!$C$3),COUNTIF($B$6:B98,'Leave Card'!$C$3),"")</f>
        <v/>
      </c>
    </row>
    <row r="99" customFormat="false" ht="15" hidden="false" customHeight="false" outlineLevel="0" collapsed="false">
      <c r="A99" s="51" t="str">
        <f aca="false">IF(B99="","",ROW()-5)</f>
        <v/>
      </c>
      <c r="B99" s="118"/>
      <c r="C99" s="10" t="str">
        <f aca="false">IF(B99="","",IFERROR(INDEX(Employees!$C$5:$C$54,MATCH(B99,Employees!$B$5:$B$54,0)),"Not found"))</f>
        <v/>
      </c>
      <c r="D99" s="122"/>
      <c r="E99" s="123"/>
      <c r="F99" s="123"/>
      <c r="G99" s="118"/>
      <c r="H99" s="11" t="n">
        <f aca="false">IF(OR(B99="",E99="",F99="",F99&lt;E99),0,IF(G99="Yes",0.5,NETWORKDAYS.INTL(E99,F99,Setup!$C$14,Holidays!$B$5:$B$34)))</f>
        <v>0</v>
      </c>
      <c r="I99" s="119"/>
      <c r="J99" s="122"/>
      <c r="K99" s="118"/>
      <c r="L99" s="54" t="str">
        <f aca="false">IF(B99="","",IF(C99="Not found","Emp ID not found",IF(ISNA(MATCH(D99,Setup!$A$18:$A$23,0)),"Pick leave type",IF(OR(E99="",F99=""),"Enter From &amp; To",IF(F99&lt;E99,"To before From",IF(AND(G99="Yes",F99&gt;E99),"Half day = 1 date",IF(OR(E99&lt;Setup!$C$12,F99&gt;Setup!$C$13),"Outside leave year",IF(H99=0,"No working day",IF(AND(J99&lt;&gt;"Rejected",COUNTIFS($B$6:$B$305,B99,$J$6:$J$305,"&lt;&gt;Rejected",$E$6:$E$305,"&lt;="&amp;F99,$F$6:$F$305,"&gt;="&amp;E99)&gt;1),"Overlaps another leave",IF(AND(J99="Approved",N(INDEX(Balance!$F$6:$W$55,MATCH(B99,Balance!$B$6:$B$55,0),MATCH(D99,Setup!$A$18:$A$23,0)*3))&lt;0),"Exceeds balance",IF(J99="","Set status","OK")))))))))))</f>
        <v/>
      </c>
      <c r="M99" s="55" t="str">
        <f aca="false">IF(AND(B99&lt;&gt;"",B99='Leave Card'!$C$3),COUNTIF($B$6:B99,'Leave Card'!$C$3),"")</f>
        <v/>
      </c>
    </row>
    <row r="100" customFormat="false" ht="15" hidden="false" customHeight="false" outlineLevel="0" collapsed="false">
      <c r="A100" s="51" t="str">
        <f aca="false">IF(B100="","",ROW()-5)</f>
        <v/>
      </c>
      <c r="B100" s="118"/>
      <c r="C100" s="10" t="str">
        <f aca="false">IF(B100="","",IFERROR(INDEX(Employees!$C$5:$C$54,MATCH(B100,Employees!$B$5:$B$54,0)),"Not found"))</f>
        <v/>
      </c>
      <c r="D100" s="122"/>
      <c r="E100" s="123"/>
      <c r="F100" s="123"/>
      <c r="G100" s="118"/>
      <c r="H100" s="11" t="n">
        <f aca="false">IF(OR(B100="",E100="",F100="",F100&lt;E100),0,IF(G100="Yes",0.5,NETWORKDAYS.INTL(E100,F100,Setup!$C$14,Holidays!$B$5:$B$34)))</f>
        <v>0</v>
      </c>
      <c r="I100" s="119"/>
      <c r="J100" s="122"/>
      <c r="K100" s="118"/>
      <c r="L100" s="54" t="str">
        <f aca="false">IF(B100="","",IF(C100="Not found","Emp ID not found",IF(ISNA(MATCH(D100,Setup!$A$18:$A$23,0)),"Pick leave type",IF(OR(E100="",F100=""),"Enter From &amp; To",IF(F100&lt;E100,"To before From",IF(AND(G100="Yes",F100&gt;E100),"Half day = 1 date",IF(OR(E100&lt;Setup!$C$12,F100&gt;Setup!$C$13),"Outside leave year",IF(H100=0,"No working day",IF(AND(J100&lt;&gt;"Rejected",COUNTIFS($B$6:$B$305,B100,$J$6:$J$305,"&lt;&gt;Rejected",$E$6:$E$305,"&lt;="&amp;F100,$F$6:$F$305,"&gt;="&amp;E100)&gt;1),"Overlaps another leave",IF(AND(J100="Approved",N(INDEX(Balance!$F$6:$W$55,MATCH(B100,Balance!$B$6:$B$55,0),MATCH(D100,Setup!$A$18:$A$23,0)*3))&lt;0),"Exceeds balance",IF(J100="","Set status","OK")))))))))))</f>
        <v/>
      </c>
      <c r="M100" s="55" t="str">
        <f aca="false">IF(AND(B100&lt;&gt;"",B100='Leave Card'!$C$3),COUNTIF($B$6:B100,'Leave Card'!$C$3),"")</f>
        <v/>
      </c>
    </row>
    <row r="101" customFormat="false" ht="15" hidden="false" customHeight="false" outlineLevel="0" collapsed="false">
      <c r="A101" s="51" t="str">
        <f aca="false">IF(B101="","",ROW()-5)</f>
        <v/>
      </c>
      <c r="B101" s="118"/>
      <c r="C101" s="10" t="str">
        <f aca="false">IF(B101="","",IFERROR(INDEX(Employees!$C$5:$C$54,MATCH(B101,Employees!$B$5:$B$54,0)),"Not found"))</f>
        <v/>
      </c>
      <c r="D101" s="122"/>
      <c r="E101" s="123"/>
      <c r="F101" s="123"/>
      <c r="G101" s="118"/>
      <c r="H101" s="11" t="n">
        <f aca="false">IF(OR(B101="",E101="",F101="",F101&lt;E101),0,IF(G101="Yes",0.5,NETWORKDAYS.INTL(E101,F101,Setup!$C$14,Holidays!$B$5:$B$34)))</f>
        <v>0</v>
      </c>
      <c r="I101" s="119"/>
      <c r="J101" s="122"/>
      <c r="K101" s="118"/>
      <c r="L101" s="54" t="str">
        <f aca="false">IF(B101="","",IF(C101="Not found","Emp ID not found",IF(ISNA(MATCH(D101,Setup!$A$18:$A$23,0)),"Pick leave type",IF(OR(E101="",F101=""),"Enter From &amp; To",IF(F101&lt;E101,"To before From",IF(AND(G101="Yes",F101&gt;E101),"Half day = 1 date",IF(OR(E101&lt;Setup!$C$12,F101&gt;Setup!$C$13),"Outside leave year",IF(H101=0,"No working day",IF(AND(J101&lt;&gt;"Rejected",COUNTIFS($B$6:$B$305,B101,$J$6:$J$305,"&lt;&gt;Rejected",$E$6:$E$305,"&lt;="&amp;F101,$F$6:$F$305,"&gt;="&amp;E101)&gt;1),"Overlaps another leave",IF(AND(J101="Approved",N(INDEX(Balance!$F$6:$W$55,MATCH(B101,Balance!$B$6:$B$55,0),MATCH(D101,Setup!$A$18:$A$23,0)*3))&lt;0),"Exceeds balance",IF(J101="","Set status","OK")))))))))))</f>
        <v/>
      </c>
      <c r="M101" s="55" t="str">
        <f aca="false">IF(AND(B101&lt;&gt;"",B101='Leave Card'!$C$3),COUNTIF($B$6:B101,'Leave Card'!$C$3),"")</f>
        <v/>
      </c>
    </row>
    <row r="102" customFormat="false" ht="15" hidden="false" customHeight="false" outlineLevel="0" collapsed="false">
      <c r="A102" s="51" t="str">
        <f aca="false">IF(B102="","",ROW()-5)</f>
        <v/>
      </c>
      <c r="B102" s="118"/>
      <c r="C102" s="10" t="str">
        <f aca="false">IF(B102="","",IFERROR(INDEX(Employees!$C$5:$C$54,MATCH(B102,Employees!$B$5:$B$54,0)),"Not found"))</f>
        <v/>
      </c>
      <c r="D102" s="122"/>
      <c r="E102" s="123"/>
      <c r="F102" s="123"/>
      <c r="G102" s="118"/>
      <c r="H102" s="11" t="n">
        <f aca="false">IF(OR(B102="",E102="",F102="",F102&lt;E102),0,IF(G102="Yes",0.5,NETWORKDAYS.INTL(E102,F102,Setup!$C$14,Holidays!$B$5:$B$34)))</f>
        <v>0</v>
      </c>
      <c r="I102" s="119"/>
      <c r="J102" s="122"/>
      <c r="K102" s="118"/>
      <c r="L102" s="54" t="str">
        <f aca="false">IF(B102="","",IF(C102="Not found","Emp ID not found",IF(ISNA(MATCH(D102,Setup!$A$18:$A$23,0)),"Pick leave type",IF(OR(E102="",F102=""),"Enter From &amp; To",IF(F102&lt;E102,"To before From",IF(AND(G102="Yes",F102&gt;E102),"Half day = 1 date",IF(OR(E102&lt;Setup!$C$12,F102&gt;Setup!$C$13),"Outside leave year",IF(H102=0,"No working day",IF(AND(J102&lt;&gt;"Rejected",COUNTIFS($B$6:$B$305,B102,$J$6:$J$305,"&lt;&gt;Rejected",$E$6:$E$305,"&lt;="&amp;F102,$F$6:$F$305,"&gt;="&amp;E102)&gt;1),"Overlaps another leave",IF(AND(J102="Approved",N(INDEX(Balance!$F$6:$W$55,MATCH(B102,Balance!$B$6:$B$55,0),MATCH(D102,Setup!$A$18:$A$23,0)*3))&lt;0),"Exceeds balance",IF(J102="","Set status","OK")))))))))))</f>
        <v/>
      </c>
      <c r="M102" s="55" t="str">
        <f aca="false">IF(AND(B102&lt;&gt;"",B102='Leave Card'!$C$3),COUNTIF($B$6:B102,'Leave Card'!$C$3),"")</f>
        <v/>
      </c>
    </row>
    <row r="103" customFormat="false" ht="15" hidden="false" customHeight="false" outlineLevel="0" collapsed="false">
      <c r="A103" s="51" t="str">
        <f aca="false">IF(B103="","",ROW()-5)</f>
        <v/>
      </c>
      <c r="B103" s="118"/>
      <c r="C103" s="10" t="str">
        <f aca="false">IF(B103="","",IFERROR(INDEX(Employees!$C$5:$C$54,MATCH(B103,Employees!$B$5:$B$54,0)),"Not found"))</f>
        <v/>
      </c>
      <c r="D103" s="122"/>
      <c r="E103" s="123"/>
      <c r="F103" s="123"/>
      <c r="G103" s="118"/>
      <c r="H103" s="11" t="n">
        <f aca="false">IF(OR(B103="",E103="",F103="",F103&lt;E103),0,IF(G103="Yes",0.5,NETWORKDAYS.INTL(E103,F103,Setup!$C$14,Holidays!$B$5:$B$34)))</f>
        <v>0</v>
      </c>
      <c r="I103" s="119"/>
      <c r="J103" s="122"/>
      <c r="K103" s="118"/>
      <c r="L103" s="54" t="str">
        <f aca="false">IF(B103="","",IF(C103="Not found","Emp ID not found",IF(ISNA(MATCH(D103,Setup!$A$18:$A$23,0)),"Pick leave type",IF(OR(E103="",F103=""),"Enter From &amp; To",IF(F103&lt;E103,"To before From",IF(AND(G103="Yes",F103&gt;E103),"Half day = 1 date",IF(OR(E103&lt;Setup!$C$12,F103&gt;Setup!$C$13),"Outside leave year",IF(H103=0,"No working day",IF(AND(J103&lt;&gt;"Rejected",COUNTIFS($B$6:$B$305,B103,$J$6:$J$305,"&lt;&gt;Rejected",$E$6:$E$305,"&lt;="&amp;F103,$F$6:$F$305,"&gt;="&amp;E103)&gt;1),"Overlaps another leave",IF(AND(J103="Approved",N(INDEX(Balance!$F$6:$W$55,MATCH(B103,Balance!$B$6:$B$55,0),MATCH(D103,Setup!$A$18:$A$23,0)*3))&lt;0),"Exceeds balance",IF(J103="","Set status","OK")))))))))))</f>
        <v/>
      </c>
      <c r="M103" s="55" t="str">
        <f aca="false">IF(AND(B103&lt;&gt;"",B103='Leave Card'!$C$3),COUNTIF($B$6:B103,'Leave Card'!$C$3),"")</f>
        <v/>
      </c>
    </row>
    <row r="104" customFormat="false" ht="15" hidden="false" customHeight="false" outlineLevel="0" collapsed="false">
      <c r="A104" s="51" t="str">
        <f aca="false">IF(B104="","",ROW()-5)</f>
        <v/>
      </c>
      <c r="B104" s="118"/>
      <c r="C104" s="10" t="str">
        <f aca="false">IF(B104="","",IFERROR(INDEX(Employees!$C$5:$C$54,MATCH(B104,Employees!$B$5:$B$54,0)),"Not found"))</f>
        <v/>
      </c>
      <c r="D104" s="122"/>
      <c r="E104" s="123"/>
      <c r="F104" s="123"/>
      <c r="G104" s="118"/>
      <c r="H104" s="11" t="n">
        <f aca="false">IF(OR(B104="",E104="",F104="",F104&lt;E104),0,IF(G104="Yes",0.5,NETWORKDAYS.INTL(E104,F104,Setup!$C$14,Holidays!$B$5:$B$34)))</f>
        <v>0</v>
      </c>
      <c r="I104" s="119"/>
      <c r="J104" s="122"/>
      <c r="K104" s="118"/>
      <c r="L104" s="54" t="str">
        <f aca="false">IF(B104="","",IF(C104="Not found","Emp ID not found",IF(ISNA(MATCH(D104,Setup!$A$18:$A$23,0)),"Pick leave type",IF(OR(E104="",F104=""),"Enter From &amp; To",IF(F104&lt;E104,"To before From",IF(AND(G104="Yes",F104&gt;E104),"Half day = 1 date",IF(OR(E104&lt;Setup!$C$12,F104&gt;Setup!$C$13),"Outside leave year",IF(H104=0,"No working day",IF(AND(J104&lt;&gt;"Rejected",COUNTIFS($B$6:$B$305,B104,$J$6:$J$305,"&lt;&gt;Rejected",$E$6:$E$305,"&lt;="&amp;F104,$F$6:$F$305,"&gt;="&amp;E104)&gt;1),"Overlaps another leave",IF(AND(J104="Approved",N(INDEX(Balance!$F$6:$W$55,MATCH(B104,Balance!$B$6:$B$55,0),MATCH(D104,Setup!$A$18:$A$23,0)*3))&lt;0),"Exceeds balance",IF(J104="","Set status","OK")))))))))))</f>
        <v/>
      </c>
      <c r="M104" s="55" t="str">
        <f aca="false">IF(AND(B104&lt;&gt;"",B104='Leave Card'!$C$3),COUNTIF($B$6:B104,'Leave Card'!$C$3),"")</f>
        <v/>
      </c>
    </row>
    <row r="105" customFormat="false" ht="15" hidden="false" customHeight="false" outlineLevel="0" collapsed="false">
      <c r="A105" s="51" t="str">
        <f aca="false">IF(B105="","",ROW()-5)</f>
        <v/>
      </c>
      <c r="B105" s="118"/>
      <c r="C105" s="10" t="str">
        <f aca="false">IF(B105="","",IFERROR(INDEX(Employees!$C$5:$C$54,MATCH(B105,Employees!$B$5:$B$54,0)),"Not found"))</f>
        <v/>
      </c>
      <c r="D105" s="122"/>
      <c r="E105" s="123"/>
      <c r="F105" s="123"/>
      <c r="G105" s="118"/>
      <c r="H105" s="11" t="n">
        <f aca="false">IF(OR(B105="",E105="",F105="",F105&lt;E105),0,IF(G105="Yes",0.5,NETWORKDAYS.INTL(E105,F105,Setup!$C$14,Holidays!$B$5:$B$34)))</f>
        <v>0</v>
      </c>
      <c r="I105" s="119"/>
      <c r="J105" s="122"/>
      <c r="K105" s="118"/>
      <c r="L105" s="54" t="str">
        <f aca="false">IF(B105="","",IF(C105="Not found","Emp ID not found",IF(ISNA(MATCH(D105,Setup!$A$18:$A$23,0)),"Pick leave type",IF(OR(E105="",F105=""),"Enter From &amp; To",IF(F105&lt;E105,"To before From",IF(AND(G105="Yes",F105&gt;E105),"Half day = 1 date",IF(OR(E105&lt;Setup!$C$12,F105&gt;Setup!$C$13),"Outside leave year",IF(H105=0,"No working day",IF(AND(J105&lt;&gt;"Rejected",COUNTIFS($B$6:$B$305,B105,$J$6:$J$305,"&lt;&gt;Rejected",$E$6:$E$305,"&lt;="&amp;F105,$F$6:$F$305,"&gt;="&amp;E105)&gt;1),"Overlaps another leave",IF(AND(J105="Approved",N(INDEX(Balance!$F$6:$W$55,MATCH(B105,Balance!$B$6:$B$55,0),MATCH(D105,Setup!$A$18:$A$23,0)*3))&lt;0),"Exceeds balance",IF(J105="","Set status","OK")))))))))))</f>
        <v/>
      </c>
      <c r="M105" s="55" t="str">
        <f aca="false">IF(AND(B105&lt;&gt;"",B105='Leave Card'!$C$3),COUNTIF($B$6:B105,'Leave Card'!$C$3),"")</f>
        <v/>
      </c>
    </row>
    <row r="106" customFormat="false" ht="15" hidden="false" customHeight="false" outlineLevel="0" collapsed="false">
      <c r="A106" s="51" t="str">
        <f aca="false">IF(B106="","",ROW()-5)</f>
        <v/>
      </c>
      <c r="B106" s="118"/>
      <c r="C106" s="10" t="str">
        <f aca="false">IF(B106="","",IFERROR(INDEX(Employees!$C$5:$C$54,MATCH(B106,Employees!$B$5:$B$54,0)),"Not found"))</f>
        <v/>
      </c>
      <c r="D106" s="122"/>
      <c r="E106" s="123"/>
      <c r="F106" s="123"/>
      <c r="G106" s="118"/>
      <c r="H106" s="11" t="n">
        <f aca="false">IF(OR(B106="",E106="",F106="",F106&lt;E106),0,IF(G106="Yes",0.5,NETWORKDAYS.INTL(E106,F106,Setup!$C$14,Holidays!$B$5:$B$34)))</f>
        <v>0</v>
      </c>
      <c r="I106" s="119"/>
      <c r="J106" s="122"/>
      <c r="K106" s="118"/>
      <c r="L106" s="54" t="str">
        <f aca="false">IF(B106="","",IF(C106="Not found","Emp ID not found",IF(ISNA(MATCH(D106,Setup!$A$18:$A$23,0)),"Pick leave type",IF(OR(E106="",F106=""),"Enter From &amp; To",IF(F106&lt;E106,"To before From",IF(AND(G106="Yes",F106&gt;E106),"Half day = 1 date",IF(OR(E106&lt;Setup!$C$12,F106&gt;Setup!$C$13),"Outside leave year",IF(H106=0,"No working day",IF(AND(J106&lt;&gt;"Rejected",COUNTIFS($B$6:$B$305,B106,$J$6:$J$305,"&lt;&gt;Rejected",$E$6:$E$305,"&lt;="&amp;F106,$F$6:$F$305,"&gt;="&amp;E106)&gt;1),"Overlaps another leave",IF(AND(J106="Approved",N(INDEX(Balance!$F$6:$W$55,MATCH(B106,Balance!$B$6:$B$55,0),MATCH(D106,Setup!$A$18:$A$23,0)*3))&lt;0),"Exceeds balance",IF(J106="","Set status","OK")))))))))))</f>
        <v/>
      </c>
      <c r="M106" s="55" t="str">
        <f aca="false">IF(AND(B106&lt;&gt;"",B106='Leave Card'!$C$3),COUNTIF($B$6:B106,'Leave Card'!$C$3),"")</f>
        <v/>
      </c>
    </row>
    <row r="107" customFormat="false" ht="15" hidden="false" customHeight="false" outlineLevel="0" collapsed="false">
      <c r="A107" s="51" t="str">
        <f aca="false">IF(B107="","",ROW()-5)</f>
        <v/>
      </c>
      <c r="B107" s="118"/>
      <c r="C107" s="10" t="str">
        <f aca="false">IF(B107="","",IFERROR(INDEX(Employees!$C$5:$C$54,MATCH(B107,Employees!$B$5:$B$54,0)),"Not found"))</f>
        <v/>
      </c>
      <c r="D107" s="122"/>
      <c r="E107" s="123"/>
      <c r="F107" s="123"/>
      <c r="G107" s="118"/>
      <c r="H107" s="11" t="n">
        <f aca="false">IF(OR(B107="",E107="",F107="",F107&lt;E107),0,IF(G107="Yes",0.5,NETWORKDAYS.INTL(E107,F107,Setup!$C$14,Holidays!$B$5:$B$34)))</f>
        <v>0</v>
      </c>
      <c r="I107" s="119"/>
      <c r="J107" s="122"/>
      <c r="K107" s="118"/>
      <c r="L107" s="54" t="str">
        <f aca="false">IF(B107="","",IF(C107="Not found","Emp ID not found",IF(ISNA(MATCH(D107,Setup!$A$18:$A$23,0)),"Pick leave type",IF(OR(E107="",F107=""),"Enter From &amp; To",IF(F107&lt;E107,"To before From",IF(AND(G107="Yes",F107&gt;E107),"Half day = 1 date",IF(OR(E107&lt;Setup!$C$12,F107&gt;Setup!$C$13),"Outside leave year",IF(H107=0,"No working day",IF(AND(J107&lt;&gt;"Rejected",COUNTIFS($B$6:$B$305,B107,$J$6:$J$305,"&lt;&gt;Rejected",$E$6:$E$305,"&lt;="&amp;F107,$F$6:$F$305,"&gt;="&amp;E107)&gt;1),"Overlaps another leave",IF(AND(J107="Approved",N(INDEX(Balance!$F$6:$W$55,MATCH(B107,Balance!$B$6:$B$55,0),MATCH(D107,Setup!$A$18:$A$23,0)*3))&lt;0),"Exceeds balance",IF(J107="","Set status","OK")))))))))))</f>
        <v/>
      </c>
      <c r="M107" s="55" t="str">
        <f aca="false">IF(AND(B107&lt;&gt;"",B107='Leave Card'!$C$3),COUNTIF($B$6:B107,'Leave Card'!$C$3),"")</f>
        <v/>
      </c>
    </row>
    <row r="108" customFormat="false" ht="15" hidden="false" customHeight="false" outlineLevel="0" collapsed="false">
      <c r="A108" s="51" t="str">
        <f aca="false">IF(B108="","",ROW()-5)</f>
        <v/>
      </c>
      <c r="B108" s="118"/>
      <c r="C108" s="10" t="str">
        <f aca="false">IF(B108="","",IFERROR(INDEX(Employees!$C$5:$C$54,MATCH(B108,Employees!$B$5:$B$54,0)),"Not found"))</f>
        <v/>
      </c>
      <c r="D108" s="122"/>
      <c r="E108" s="123"/>
      <c r="F108" s="123"/>
      <c r="G108" s="118"/>
      <c r="H108" s="11" t="n">
        <f aca="false">IF(OR(B108="",E108="",F108="",F108&lt;E108),0,IF(G108="Yes",0.5,NETWORKDAYS.INTL(E108,F108,Setup!$C$14,Holidays!$B$5:$B$34)))</f>
        <v>0</v>
      </c>
      <c r="I108" s="119"/>
      <c r="J108" s="122"/>
      <c r="K108" s="118"/>
      <c r="L108" s="54" t="str">
        <f aca="false">IF(B108="","",IF(C108="Not found","Emp ID not found",IF(ISNA(MATCH(D108,Setup!$A$18:$A$23,0)),"Pick leave type",IF(OR(E108="",F108=""),"Enter From &amp; To",IF(F108&lt;E108,"To before From",IF(AND(G108="Yes",F108&gt;E108),"Half day = 1 date",IF(OR(E108&lt;Setup!$C$12,F108&gt;Setup!$C$13),"Outside leave year",IF(H108=0,"No working day",IF(AND(J108&lt;&gt;"Rejected",COUNTIFS($B$6:$B$305,B108,$J$6:$J$305,"&lt;&gt;Rejected",$E$6:$E$305,"&lt;="&amp;F108,$F$6:$F$305,"&gt;="&amp;E108)&gt;1),"Overlaps another leave",IF(AND(J108="Approved",N(INDEX(Balance!$F$6:$W$55,MATCH(B108,Balance!$B$6:$B$55,0),MATCH(D108,Setup!$A$18:$A$23,0)*3))&lt;0),"Exceeds balance",IF(J108="","Set status","OK")))))))))))</f>
        <v/>
      </c>
      <c r="M108" s="55" t="str">
        <f aca="false">IF(AND(B108&lt;&gt;"",B108='Leave Card'!$C$3),COUNTIF($B$6:B108,'Leave Card'!$C$3),"")</f>
        <v/>
      </c>
    </row>
    <row r="109" customFormat="false" ht="15" hidden="false" customHeight="false" outlineLevel="0" collapsed="false">
      <c r="A109" s="51" t="str">
        <f aca="false">IF(B109="","",ROW()-5)</f>
        <v/>
      </c>
      <c r="B109" s="118"/>
      <c r="C109" s="10" t="str">
        <f aca="false">IF(B109="","",IFERROR(INDEX(Employees!$C$5:$C$54,MATCH(B109,Employees!$B$5:$B$54,0)),"Not found"))</f>
        <v/>
      </c>
      <c r="D109" s="122"/>
      <c r="E109" s="123"/>
      <c r="F109" s="123"/>
      <c r="G109" s="118"/>
      <c r="H109" s="11" t="n">
        <f aca="false">IF(OR(B109="",E109="",F109="",F109&lt;E109),0,IF(G109="Yes",0.5,NETWORKDAYS.INTL(E109,F109,Setup!$C$14,Holidays!$B$5:$B$34)))</f>
        <v>0</v>
      </c>
      <c r="I109" s="119"/>
      <c r="J109" s="122"/>
      <c r="K109" s="118"/>
      <c r="L109" s="54" t="str">
        <f aca="false">IF(B109="","",IF(C109="Not found","Emp ID not found",IF(ISNA(MATCH(D109,Setup!$A$18:$A$23,0)),"Pick leave type",IF(OR(E109="",F109=""),"Enter From &amp; To",IF(F109&lt;E109,"To before From",IF(AND(G109="Yes",F109&gt;E109),"Half day = 1 date",IF(OR(E109&lt;Setup!$C$12,F109&gt;Setup!$C$13),"Outside leave year",IF(H109=0,"No working day",IF(AND(J109&lt;&gt;"Rejected",COUNTIFS($B$6:$B$305,B109,$J$6:$J$305,"&lt;&gt;Rejected",$E$6:$E$305,"&lt;="&amp;F109,$F$6:$F$305,"&gt;="&amp;E109)&gt;1),"Overlaps another leave",IF(AND(J109="Approved",N(INDEX(Balance!$F$6:$W$55,MATCH(B109,Balance!$B$6:$B$55,0),MATCH(D109,Setup!$A$18:$A$23,0)*3))&lt;0),"Exceeds balance",IF(J109="","Set status","OK")))))))))))</f>
        <v/>
      </c>
      <c r="M109" s="55" t="str">
        <f aca="false">IF(AND(B109&lt;&gt;"",B109='Leave Card'!$C$3),COUNTIF($B$6:B109,'Leave Card'!$C$3),"")</f>
        <v/>
      </c>
    </row>
    <row r="110" customFormat="false" ht="15" hidden="false" customHeight="false" outlineLevel="0" collapsed="false">
      <c r="A110" s="51" t="str">
        <f aca="false">IF(B110="","",ROW()-5)</f>
        <v/>
      </c>
      <c r="B110" s="118"/>
      <c r="C110" s="10" t="str">
        <f aca="false">IF(B110="","",IFERROR(INDEX(Employees!$C$5:$C$54,MATCH(B110,Employees!$B$5:$B$54,0)),"Not found"))</f>
        <v/>
      </c>
      <c r="D110" s="122"/>
      <c r="E110" s="123"/>
      <c r="F110" s="123"/>
      <c r="G110" s="118"/>
      <c r="H110" s="11" t="n">
        <f aca="false">IF(OR(B110="",E110="",F110="",F110&lt;E110),0,IF(G110="Yes",0.5,NETWORKDAYS.INTL(E110,F110,Setup!$C$14,Holidays!$B$5:$B$34)))</f>
        <v>0</v>
      </c>
      <c r="I110" s="119"/>
      <c r="J110" s="122"/>
      <c r="K110" s="118"/>
      <c r="L110" s="54" t="str">
        <f aca="false">IF(B110="","",IF(C110="Not found","Emp ID not found",IF(ISNA(MATCH(D110,Setup!$A$18:$A$23,0)),"Pick leave type",IF(OR(E110="",F110=""),"Enter From &amp; To",IF(F110&lt;E110,"To before From",IF(AND(G110="Yes",F110&gt;E110),"Half day = 1 date",IF(OR(E110&lt;Setup!$C$12,F110&gt;Setup!$C$13),"Outside leave year",IF(H110=0,"No working day",IF(AND(J110&lt;&gt;"Rejected",COUNTIFS($B$6:$B$305,B110,$J$6:$J$305,"&lt;&gt;Rejected",$E$6:$E$305,"&lt;="&amp;F110,$F$6:$F$305,"&gt;="&amp;E110)&gt;1),"Overlaps another leave",IF(AND(J110="Approved",N(INDEX(Balance!$F$6:$W$55,MATCH(B110,Balance!$B$6:$B$55,0),MATCH(D110,Setup!$A$18:$A$23,0)*3))&lt;0),"Exceeds balance",IF(J110="","Set status","OK")))))))))))</f>
        <v/>
      </c>
      <c r="M110" s="55" t="str">
        <f aca="false">IF(AND(B110&lt;&gt;"",B110='Leave Card'!$C$3),COUNTIF($B$6:B110,'Leave Card'!$C$3),"")</f>
        <v/>
      </c>
    </row>
    <row r="111" customFormat="false" ht="15" hidden="false" customHeight="false" outlineLevel="0" collapsed="false">
      <c r="A111" s="51" t="str">
        <f aca="false">IF(B111="","",ROW()-5)</f>
        <v/>
      </c>
      <c r="B111" s="118"/>
      <c r="C111" s="10" t="str">
        <f aca="false">IF(B111="","",IFERROR(INDEX(Employees!$C$5:$C$54,MATCH(B111,Employees!$B$5:$B$54,0)),"Not found"))</f>
        <v/>
      </c>
      <c r="D111" s="122"/>
      <c r="E111" s="123"/>
      <c r="F111" s="123"/>
      <c r="G111" s="118"/>
      <c r="H111" s="11" t="n">
        <f aca="false">IF(OR(B111="",E111="",F111="",F111&lt;E111),0,IF(G111="Yes",0.5,NETWORKDAYS.INTL(E111,F111,Setup!$C$14,Holidays!$B$5:$B$34)))</f>
        <v>0</v>
      </c>
      <c r="I111" s="119"/>
      <c r="J111" s="122"/>
      <c r="K111" s="118"/>
      <c r="L111" s="54" t="str">
        <f aca="false">IF(B111="","",IF(C111="Not found","Emp ID not found",IF(ISNA(MATCH(D111,Setup!$A$18:$A$23,0)),"Pick leave type",IF(OR(E111="",F111=""),"Enter From &amp; To",IF(F111&lt;E111,"To before From",IF(AND(G111="Yes",F111&gt;E111),"Half day = 1 date",IF(OR(E111&lt;Setup!$C$12,F111&gt;Setup!$C$13),"Outside leave year",IF(H111=0,"No working day",IF(AND(J111&lt;&gt;"Rejected",COUNTIFS($B$6:$B$305,B111,$J$6:$J$305,"&lt;&gt;Rejected",$E$6:$E$305,"&lt;="&amp;F111,$F$6:$F$305,"&gt;="&amp;E111)&gt;1),"Overlaps another leave",IF(AND(J111="Approved",N(INDEX(Balance!$F$6:$W$55,MATCH(B111,Balance!$B$6:$B$55,0),MATCH(D111,Setup!$A$18:$A$23,0)*3))&lt;0),"Exceeds balance",IF(J111="","Set status","OK")))))))))))</f>
        <v/>
      </c>
      <c r="M111" s="55" t="str">
        <f aca="false">IF(AND(B111&lt;&gt;"",B111='Leave Card'!$C$3),COUNTIF($B$6:B111,'Leave Card'!$C$3),"")</f>
        <v/>
      </c>
    </row>
    <row r="112" customFormat="false" ht="15" hidden="false" customHeight="false" outlineLevel="0" collapsed="false">
      <c r="A112" s="51" t="str">
        <f aca="false">IF(B112="","",ROW()-5)</f>
        <v/>
      </c>
      <c r="B112" s="118"/>
      <c r="C112" s="10" t="str">
        <f aca="false">IF(B112="","",IFERROR(INDEX(Employees!$C$5:$C$54,MATCH(B112,Employees!$B$5:$B$54,0)),"Not found"))</f>
        <v/>
      </c>
      <c r="D112" s="122"/>
      <c r="E112" s="123"/>
      <c r="F112" s="123"/>
      <c r="G112" s="118"/>
      <c r="H112" s="11" t="n">
        <f aca="false">IF(OR(B112="",E112="",F112="",F112&lt;E112),0,IF(G112="Yes",0.5,NETWORKDAYS.INTL(E112,F112,Setup!$C$14,Holidays!$B$5:$B$34)))</f>
        <v>0</v>
      </c>
      <c r="I112" s="119"/>
      <c r="J112" s="122"/>
      <c r="K112" s="118"/>
      <c r="L112" s="54" t="str">
        <f aca="false">IF(B112="","",IF(C112="Not found","Emp ID not found",IF(ISNA(MATCH(D112,Setup!$A$18:$A$23,0)),"Pick leave type",IF(OR(E112="",F112=""),"Enter From &amp; To",IF(F112&lt;E112,"To before From",IF(AND(G112="Yes",F112&gt;E112),"Half day = 1 date",IF(OR(E112&lt;Setup!$C$12,F112&gt;Setup!$C$13),"Outside leave year",IF(H112=0,"No working day",IF(AND(J112&lt;&gt;"Rejected",COUNTIFS($B$6:$B$305,B112,$J$6:$J$305,"&lt;&gt;Rejected",$E$6:$E$305,"&lt;="&amp;F112,$F$6:$F$305,"&gt;="&amp;E112)&gt;1),"Overlaps another leave",IF(AND(J112="Approved",N(INDEX(Balance!$F$6:$W$55,MATCH(B112,Balance!$B$6:$B$55,0),MATCH(D112,Setup!$A$18:$A$23,0)*3))&lt;0),"Exceeds balance",IF(J112="","Set status","OK")))))))))))</f>
        <v/>
      </c>
      <c r="M112" s="55" t="str">
        <f aca="false">IF(AND(B112&lt;&gt;"",B112='Leave Card'!$C$3),COUNTIF($B$6:B112,'Leave Card'!$C$3),"")</f>
        <v/>
      </c>
    </row>
    <row r="113" customFormat="false" ht="15" hidden="false" customHeight="false" outlineLevel="0" collapsed="false">
      <c r="A113" s="51" t="str">
        <f aca="false">IF(B113="","",ROW()-5)</f>
        <v/>
      </c>
      <c r="B113" s="118"/>
      <c r="C113" s="10" t="str">
        <f aca="false">IF(B113="","",IFERROR(INDEX(Employees!$C$5:$C$54,MATCH(B113,Employees!$B$5:$B$54,0)),"Not found"))</f>
        <v/>
      </c>
      <c r="D113" s="122"/>
      <c r="E113" s="123"/>
      <c r="F113" s="123"/>
      <c r="G113" s="118"/>
      <c r="H113" s="11" t="n">
        <f aca="false">IF(OR(B113="",E113="",F113="",F113&lt;E113),0,IF(G113="Yes",0.5,NETWORKDAYS.INTL(E113,F113,Setup!$C$14,Holidays!$B$5:$B$34)))</f>
        <v>0</v>
      </c>
      <c r="I113" s="119"/>
      <c r="J113" s="122"/>
      <c r="K113" s="118"/>
      <c r="L113" s="54" t="str">
        <f aca="false">IF(B113="","",IF(C113="Not found","Emp ID not found",IF(ISNA(MATCH(D113,Setup!$A$18:$A$23,0)),"Pick leave type",IF(OR(E113="",F113=""),"Enter From &amp; To",IF(F113&lt;E113,"To before From",IF(AND(G113="Yes",F113&gt;E113),"Half day = 1 date",IF(OR(E113&lt;Setup!$C$12,F113&gt;Setup!$C$13),"Outside leave year",IF(H113=0,"No working day",IF(AND(J113&lt;&gt;"Rejected",COUNTIFS($B$6:$B$305,B113,$J$6:$J$305,"&lt;&gt;Rejected",$E$6:$E$305,"&lt;="&amp;F113,$F$6:$F$305,"&gt;="&amp;E113)&gt;1),"Overlaps another leave",IF(AND(J113="Approved",N(INDEX(Balance!$F$6:$W$55,MATCH(B113,Balance!$B$6:$B$55,0),MATCH(D113,Setup!$A$18:$A$23,0)*3))&lt;0),"Exceeds balance",IF(J113="","Set status","OK")))))))))))</f>
        <v/>
      </c>
      <c r="M113" s="55" t="str">
        <f aca="false">IF(AND(B113&lt;&gt;"",B113='Leave Card'!$C$3),COUNTIF($B$6:B113,'Leave Card'!$C$3),"")</f>
        <v/>
      </c>
    </row>
    <row r="114" customFormat="false" ht="15" hidden="false" customHeight="false" outlineLevel="0" collapsed="false">
      <c r="A114" s="51" t="str">
        <f aca="false">IF(B114="","",ROW()-5)</f>
        <v/>
      </c>
      <c r="B114" s="118"/>
      <c r="C114" s="10" t="str">
        <f aca="false">IF(B114="","",IFERROR(INDEX(Employees!$C$5:$C$54,MATCH(B114,Employees!$B$5:$B$54,0)),"Not found"))</f>
        <v/>
      </c>
      <c r="D114" s="122"/>
      <c r="E114" s="123"/>
      <c r="F114" s="123"/>
      <c r="G114" s="118"/>
      <c r="H114" s="11" t="n">
        <f aca="false">IF(OR(B114="",E114="",F114="",F114&lt;E114),0,IF(G114="Yes",0.5,NETWORKDAYS.INTL(E114,F114,Setup!$C$14,Holidays!$B$5:$B$34)))</f>
        <v>0</v>
      </c>
      <c r="I114" s="119"/>
      <c r="J114" s="122"/>
      <c r="K114" s="118"/>
      <c r="L114" s="54" t="str">
        <f aca="false">IF(B114="","",IF(C114="Not found","Emp ID not found",IF(ISNA(MATCH(D114,Setup!$A$18:$A$23,0)),"Pick leave type",IF(OR(E114="",F114=""),"Enter From &amp; To",IF(F114&lt;E114,"To before From",IF(AND(G114="Yes",F114&gt;E114),"Half day = 1 date",IF(OR(E114&lt;Setup!$C$12,F114&gt;Setup!$C$13),"Outside leave year",IF(H114=0,"No working day",IF(AND(J114&lt;&gt;"Rejected",COUNTIFS($B$6:$B$305,B114,$J$6:$J$305,"&lt;&gt;Rejected",$E$6:$E$305,"&lt;="&amp;F114,$F$6:$F$305,"&gt;="&amp;E114)&gt;1),"Overlaps another leave",IF(AND(J114="Approved",N(INDEX(Balance!$F$6:$W$55,MATCH(B114,Balance!$B$6:$B$55,0),MATCH(D114,Setup!$A$18:$A$23,0)*3))&lt;0),"Exceeds balance",IF(J114="","Set status","OK")))))))))))</f>
        <v/>
      </c>
      <c r="M114" s="55" t="str">
        <f aca="false">IF(AND(B114&lt;&gt;"",B114='Leave Card'!$C$3),COUNTIF($B$6:B114,'Leave Card'!$C$3),"")</f>
        <v/>
      </c>
    </row>
    <row r="115" customFormat="false" ht="15" hidden="false" customHeight="false" outlineLevel="0" collapsed="false">
      <c r="A115" s="51" t="str">
        <f aca="false">IF(B115="","",ROW()-5)</f>
        <v/>
      </c>
      <c r="B115" s="118"/>
      <c r="C115" s="10" t="str">
        <f aca="false">IF(B115="","",IFERROR(INDEX(Employees!$C$5:$C$54,MATCH(B115,Employees!$B$5:$B$54,0)),"Not found"))</f>
        <v/>
      </c>
      <c r="D115" s="122"/>
      <c r="E115" s="123"/>
      <c r="F115" s="123"/>
      <c r="G115" s="118"/>
      <c r="H115" s="11" t="n">
        <f aca="false">IF(OR(B115="",E115="",F115="",F115&lt;E115),0,IF(G115="Yes",0.5,NETWORKDAYS.INTL(E115,F115,Setup!$C$14,Holidays!$B$5:$B$34)))</f>
        <v>0</v>
      </c>
      <c r="I115" s="119"/>
      <c r="J115" s="122"/>
      <c r="K115" s="118"/>
      <c r="L115" s="54" t="str">
        <f aca="false">IF(B115="","",IF(C115="Not found","Emp ID not found",IF(ISNA(MATCH(D115,Setup!$A$18:$A$23,0)),"Pick leave type",IF(OR(E115="",F115=""),"Enter From &amp; To",IF(F115&lt;E115,"To before From",IF(AND(G115="Yes",F115&gt;E115),"Half day = 1 date",IF(OR(E115&lt;Setup!$C$12,F115&gt;Setup!$C$13),"Outside leave year",IF(H115=0,"No working day",IF(AND(J115&lt;&gt;"Rejected",COUNTIFS($B$6:$B$305,B115,$J$6:$J$305,"&lt;&gt;Rejected",$E$6:$E$305,"&lt;="&amp;F115,$F$6:$F$305,"&gt;="&amp;E115)&gt;1),"Overlaps another leave",IF(AND(J115="Approved",N(INDEX(Balance!$F$6:$W$55,MATCH(B115,Balance!$B$6:$B$55,0),MATCH(D115,Setup!$A$18:$A$23,0)*3))&lt;0),"Exceeds balance",IF(J115="","Set status","OK")))))))))))</f>
        <v/>
      </c>
      <c r="M115" s="55" t="str">
        <f aca="false">IF(AND(B115&lt;&gt;"",B115='Leave Card'!$C$3),COUNTIF($B$6:B115,'Leave Card'!$C$3),"")</f>
        <v/>
      </c>
    </row>
    <row r="116" customFormat="false" ht="15" hidden="false" customHeight="false" outlineLevel="0" collapsed="false">
      <c r="A116" s="51" t="str">
        <f aca="false">IF(B116="","",ROW()-5)</f>
        <v/>
      </c>
      <c r="B116" s="118"/>
      <c r="C116" s="10" t="str">
        <f aca="false">IF(B116="","",IFERROR(INDEX(Employees!$C$5:$C$54,MATCH(B116,Employees!$B$5:$B$54,0)),"Not found"))</f>
        <v/>
      </c>
      <c r="D116" s="122"/>
      <c r="E116" s="123"/>
      <c r="F116" s="123"/>
      <c r="G116" s="118"/>
      <c r="H116" s="11" t="n">
        <f aca="false">IF(OR(B116="",E116="",F116="",F116&lt;E116),0,IF(G116="Yes",0.5,NETWORKDAYS.INTL(E116,F116,Setup!$C$14,Holidays!$B$5:$B$34)))</f>
        <v>0</v>
      </c>
      <c r="I116" s="119"/>
      <c r="J116" s="122"/>
      <c r="K116" s="118"/>
      <c r="L116" s="54" t="str">
        <f aca="false">IF(B116="","",IF(C116="Not found","Emp ID not found",IF(ISNA(MATCH(D116,Setup!$A$18:$A$23,0)),"Pick leave type",IF(OR(E116="",F116=""),"Enter From &amp; To",IF(F116&lt;E116,"To before From",IF(AND(G116="Yes",F116&gt;E116),"Half day = 1 date",IF(OR(E116&lt;Setup!$C$12,F116&gt;Setup!$C$13),"Outside leave year",IF(H116=0,"No working day",IF(AND(J116&lt;&gt;"Rejected",COUNTIFS($B$6:$B$305,B116,$J$6:$J$305,"&lt;&gt;Rejected",$E$6:$E$305,"&lt;="&amp;F116,$F$6:$F$305,"&gt;="&amp;E116)&gt;1),"Overlaps another leave",IF(AND(J116="Approved",N(INDEX(Balance!$F$6:$W$55,MATCH(B116,Balance!$B$6:$B$55,0),MATCH(D116,Setup!$A$18:$A$23,0)*3))&lt;0),"Exceeds balance",IF(J116="","Set status","OK")))))))))))</f>
        <v/>
      </c>
      <c r="M116" s="55" t="str">
        <f aca="false">IF(AND(B116&lt;&gt;"",B116='Leave Card'!$C$3),COUNTIF($B$6:B116,'Leave Card'!$C$3),"")</f>
        <v/>
      </c>
    </row>
    <row r="117" customFormat="false" ht="15" hidden="false" customHeight="false" outlineLevel="0" collapsed="false">
      <c r="A117" s="51" t="str">
        <f aca="false">IF(B117="","",ROW()-5)</f>
        <v/>
      </c>
      <c r="B117" s="118"/>
      <c r="C117" s="10" t="str">
        <f aca="false">IF(B117="","",IFERROR(INDEX(Employees!$C$5:$C$54,MATCH(B117,Employees!$B$5:$B$54,0)),"Not found"))</f>
        <v/>
      </c>
      <c r="D117" s="122"/>
      <c r="E117" s="123"/>
      <c r="F117" s="123"/>
      <c r="G117" s="118"/>
      <c r="H117" s="11" t="n">
        <f aca="false">IF(OR(B117="",E117="",F117="",F117&lt;E117),0,IF(G117="Yes",0.5,NETWORKDAYS.INTL(E117,F117,Setup!$C$14,Holidays!$B$5:$B$34)))</f>
        <v>0</v>
      </c>
      <c r="I117" s="119"/>
      <c r="J117" s="122"/>
      <c r="K117" s="118"/>
      <c r="L117" s="54" t="str">
        <f aca="false">IF(B117="","",IF(C117="Not found","Emp ID not found",IF(ISNA(MATCH(D117,Setup!$A$18:$A$23,0)),"Pick leave type",IF(OR(E117="",F117=""),"Enter From &amp; To",IF(F117&lt;E117,"To before From",IF(AND(G117="Yes",F117&gt;E117),"Half day = 1 date",IF(OR(E117&lt;Setup!$C$12,F117&gt;Setup!$C$13),"Outside leave year",IF(H117=0,"No working day",IF(AND(J117&lt;&gt;"Rejected",COUNTIFS($B$6:$B$305,B117,$J$6:$J$305,"&lt;&gt;Rejected",$E$6:$E$305,"&lt;="&amp;F117,$F$6:$F$305,"&gt;="&amp;E117)&gt;1),"Overlaps another leave",IF(AND(J117="Approved",N(INDEX(Balance!$F$6:$W$55,MATCH(B117,Balance!$B$6:$B$55,0),MATCH(D117,Setup!$A$18:$A$23,0)*3))&lt;0),"Exceeds balance",IF(J117="","Set status","OK")))))))))))</f>
        <v/>
      </c>
      <c r="M117" s="55" t="str">
        <f aca="false">IF(AND(B117&lt;&gt;"",B117='Leave Card'!$C$3),COUNTIF($B$6:B117,'Leave Card'!$C$3),"")</f>
        <v/>
      </c>
    </row>
    <row r="118" customFormat="false" ht="15" hidden="false" customHeight="false" outlineLevel="0" collapsed="false">
      <c r="A118" s="51" t="str">
        <f aca="false">IF(B118="","",ROW()-5)</f>
        <v/>
      </c>
      <c r="B118" s="118"/>
      <c r="C118" s="10" t="str">
        <f aca="false">IF(B118="","",IFERROR(INDEX(Employees!$C$5:$C$54,MATCH(B118,Employees!$B$5:$B$54,0)),"Not found"))</f>
        <v/>
      </c>
      <c r="D118" s="122"/>
      <c r="E118" s="123"/>
      <c r="F118" s="123"/>
      <c r="G118" s="118"/>
      <c r="H118" s="11" t="n">
        <f aca="false">IF(OR(B118="",E118="",F118="",F118&lt;E118),0,IF(G118="Yes",0.5,NETWORKDAYS.INTL(E118,F118,Setup!$C$14,Holidays!$B$5:$B$34)))</f>
        <v>0</v>
      </c>
      <c r="I118" s="119"/>
      <c r="J118" s="122"/>
      <c r="K118" s="118"/>
      <c r="L118" s="54" t="str">
        <f aca="false">IF(B118="","",IF(C118="Not found","Emp ID not found",IF(ISNA(MATCH(D118,Setup!$A$18:$A$23,0)),"Pick leave type",IF(OR(E118="",F118=""),"Enter From &amp; To",IF(F118&lt;E118,"To before From",IF(AND(G118="Yes",F118&gt;E118),"Half day = 1 date",IF(OR(E118&lt;Setup!$C$12,F118&gt;Setup!$C$13),"Outside leave year",IF(H118=0,"No working day",IF(AND(J118&lt;&gt;"Rejected",COUNTIFS($B$6:$B$305,B118,$J$6:$J$305,"&lt;&gt;Rejected",$E$6:$E$305,"&lt;="&amp;F118,$F$6:$F$305,"&gt;="&amp;E118)&gt;1),"Overlaps another leave",IF(AND(J118="Approved",N(INDEX(Balance!$F$6:$W$55,MATCH(B118,Balance!$B$6:$B$55,0),MATCH(D118,Setup!$A$18:$A$23,0)*3))&lt;0),"Exceeds balance",IF(J118="","Set status","OK")))))))))))</f>
        <v/>
      </c>
      <c r="M118" s="55" t="str">
        <f aca="false">IF(AND(B118&lt;&gt;"",B118='Leave Card'!$C$3),COUNTIF($B$6:B118,'Leave Card'!$C$3),"")</f>
        <v/>
      </c>
    </row>
    <row r="119" customFormat="false" ht="15" hidden="false" customHeight="false" outlineLevel="0" collapsed="false">
      <c r="A119" s="51" t="str">
        <f aca="false">IF(B119="","",ROW()-5)</f>
        <v/>
      </c>
      <c r="B119" s="118"/>
      <c r="C119" s="10" t="str">
        <f aca="false">IF(B119="","",IFERROR(INDEX(Employees!$C$5:$C$54,MATCH(B119,Employees!$B$5:$B$54,0)),"Not found"))</f>
        <v/>
      </c>
      <c r="D119" s="122"/>
      <c r="E119" s="123"/>
      <c r="F119" s="123"/>
      <c r="G119" s="118"/>
      <c r="H119" s="11" t="n">
        <f aca="false">IF(OR(B119="",E119="",F119="",F119&lt;E119),0,IF(G119="Yes",0.5,NETWORKDAYS.INTL(E119,F119,Setup!$C$14,Holidays!$B$5:$B$34)))</f>
        <v>0</v>
      </c>
      <c r="I119" s="119"/>
      <c r="J119" s="122"/>
      <c r="K119" s="118"/>
      <c r="L119" s="54" t="str">
        <f aca="false">IF(B119="","",IF(C119="Not found","Emp ID not found",IF(ISNA(MATCH(D119,Setup!$A$18:$A$23,0)),"Pick leave type",IF(OR(E119="",F119=""),"Enter From &amp; To",IF(F119&lt;E119,"To before From",IF(AND(G119="Yes",F119&gt;E119),"Half day = 1 date",IF(OR(E119&lt;Setup!$C$12,F119&gt;Setup!$C$13),"Outside leave year",IF(H119=0,"No working day",IF(AND(J119&lt;&gt;"Rejected",COUNTIFS($B$6:$B$305,B119,$J$6:$J$305,"&lt;&gt;Rejected",$E$6:$E$305,"&lt;="&amp;F119,$F$6:$F$305,"&gt;="&amp;E119)&gt;1),"Overlaps another leave",IF(AND(J119="Approved",N(INDEX(Balance!$F$6:$W$55,MATCH(B119,Balance!$B$6:$B$55,0),MATCH(D119,Setup!$A$18:$A$23,0)*3))&lt;0),"Exceeds balance",IF(J119="","Set status","OK")))))))))))</f>
        <v/>
      </c>
      <c r="M119" s="55" t="str">
        <f aca="false">IF(AND(B119&lt;&gt;"",B119='Leave Card'!$C$3),COUNTIF($B$6:B119,'Leave Card'!$C$3),"")</f>
        <v/>
      </c>
    </row>
    <row r="120" customFormat="false" ht="15" hidden="false" customHeight="false" outlineLevel="0" collapsed="false">
      <c r="A120" s="51" t="str">
        <f aca="false">IF(B120="","",ROW()-5)</f>
        <v/>
      </c>
      <c r="B120" s="118"/>
      <c r="C120" s="10" t="str">
        <f aca="false">IF(B120="","",IFERROR(INDEX(Employees!$C$5:$C$54,MATCH(B120,Employees!$B$5:$B$54,0)),"Not found"))</f>
        <v/>
      </c>
      <c r="D120" s="122"/>
      <c r="E120" s="123"/>
      <c r="F120" s="123"/>
      <c r="G120" s="118"/>
      <c r="H120" s="11" t="n">
        <f aca="false">IF(OR(B120="",E120="",F120="",F120&lt;E120),0,IF(G120="Yes",0.5,NETWORKDAYS.INTL(E120,F120,Setup!$C$14,Holidays!$B$5:$B$34)))</f>
        <v>0</v>
      </c>
      <c r="I120" s="119"/>
      <c r="J120" s="122"/>
      <c r="K120" s="118"/>
      <c r="L120" s="54" t="str">
        <f aca="false">IF(B120="","",IF(C120="Not found","Emp ID not found",IF(ISNA(MATCH(D120,Setup!$A$18:$A$23,0)),"Pick leave type",IF(OR(E120="",F120=""),"Enter From &amp; To",IF(F120&lt;E120,"To before From",IF(AND(G120="Yes",F120&gt;E120),"Half day = 1 date",IF(OR(E120&lt;Setup!$C$12,F120&gt;Setup!$C$13),"Outside leave year",IF(H120=0,"No working day",IF(AND(J120&lt;&gt;"Rejected",COUNTIFS($B$6:$B$305,B120,$J$6:$J$305,"&lt;&gt;Rejected",$E$6:$E$305,"&lt;="&amp;F120,$F$6:$F$305,"&gt;="&amp;E120)&gt;1),"Overlaps another leave",IF(AND(J120="Approved",N(INDEX(Balance!$F$6:$W$55,MATCH(B120,Balance!$B$6:$B$55,0),MATCH(D120,Setup!$A$18:$A$23,0)*3))&lt;0),"Exceeds balance",IF(J120="","Set status","OK")))))))))))</f>
        <v/>
      </c>
      <c r="M120" s="55" t="str">
        <f aca="false">IF(AND(B120&lt;&gt;"",B120='Leave Card'!$C$3),COUNTIF($B$6:B120,'Leave Card'!$C$3),"")</f>
        <v/>
      </c>
    </row>
    <row r="121" customFormat="false" ht="15" hidden="false" customHeight="false" outlineLevel="0" collapsed="false">
      <c r="A121" s="51" t="str">
        <f aca="false">IF(B121="","",ROW()-5)</f>
        <v/>
      </c>
      <c r="B121" s="118"/>
      <c r="C121" s="10" t="str">
        <f aca="false">IF(B121="","",IFERROR(INDEX(Employees!$C$5:$C$54,MATCH(B121,Employees!$B$5:$B$54,0)),"Not found"))</f>
        <v/>
      </c>
      <c r="D121" s="122"/>
      <c r="E121" s="123"/>
      <c r="F121" s="123"/>
      <c r="G121" s="118"/>
      <c r="H121" s="11" t="n">
        <f aca="false">IF(OR(B121="",E121="",F121="",F121&lt;E121),0,IF(G121="Yes",0.5,NETWORKDAYS.INTL(E121,F121,Setup!$C$14,Holidays!$B$5:$B$34)))</f>
        <v>0</v>
      </c>
      <c r="I121" s="119"/>
      <c r="J121" s="122"/>
      <c r="K121" s="118"/>
      <c r="L121" s="54" t="str">
        <f aca="false">IF(B121="","",IF(C121="Not found","Emp ID not found",IF(ISNA(MATCH(D121,Setup!$A$18:$A$23,0)),"Pick leave type",IF(OR(E121="",F121=""),"Enter From &amp; To",IF(F121&lt;E121,"To before From",IF(AND(G121="Yes",F121&gt;E121),"Half day = 1 date",IF(OR(E121&lt;Setup!$C$12,F121&gt;Setup!$C$13),"Outside leave year",IF(H121=0,"No working day",IF(AND(J121&lt;&gt;"Rejected",COUNTIFS($B$6:$B$305,B121,$J$6:$J$305,"&lt;&gt;Rejected",$E$6:$E$305,"&lt;="&amp;F121,$F$6:$F$305,"&gt;="&amp;E121)&gt;1),"Overlaps another leave",IF(AND(J121="Approved",N(INDEX(Balance!$F$6:$W$55,MATCH(B121,Balance!$B$6:$B$55,0),MATCH(D121,Setup!$A$18:$A$23,0)*3))&lt;0),"Exceeds balance",IF(J121="","Set status","OK")))))))))))</f>
        <v/>
      </c>
      <c r="M121" s="55" t="str">
        <f aca="false">IF(AND(B121&lt;&gt;"",B121='Leave Card'!$C$3),COUNTIF($B$6:B121,'Leave Card'!$C$3),"")</f>
        <v/>
      </c>
    </row>
    <row r="122" customFormat="false" ht="15" hidden="false" customHeight="false" outlineLevel="0" collapsed="false">
      <c r="A122" s="51" t="str">
        <f aca="false">IF(B122="","",ROW()-5)</f>
        <v/>
      </c>
      <c r="B122" s="118"/>
      <c r="C122" s="10" t="str">
        <f aca="false">IF(B122="","",IFERROR(INDEX(Employees!$C$5:$C$54,MATCH(B122,Employees!$B$5:$B$54,0)),"Not found"))</f>
        <v/>
      </c>
      <c r="D122" s="122"/>
      <c r="E122" s="123"/>
      <c r="F122" s="123"/>
      <c r="G122" s="118"/>
      <c r="H122" s="11" t="n">
        <f aca="false">IF(OR(B122="",E122="",F122="",F122&lt;E122),0,IF(G122="Yes",0.5,NETWORKDAYS.INTL(E122,F122,Setup!$C$14,Holidays!$B$5:$B$34)))</f>
        <v>0</v>
      </c>
      <c r="I122" s="119"/>
      <c r="J122" s="122"/>
      <c r="K122" s="118"/>
      <c r="L122" s="54" t="str">
        <f aca="false">IF(B122="","",IF(C122="Not found","Emp ID not found",IF(ISNA(MATCH(D122,Setup!$A$18:$A$23,0)),"Pick leave type",IF(OR(E122="",F122=""),"Enter From &amp; To",IF(F122&lt;E122,"To before From",IF(AND(G122="Yes",F122&gt;E122),"Half day = 1 date",IF(OR(E122&lt;Setup!$C$12,F122&gt;Setup!$C$13),"Outside leave year",IF(H122=0,"No working day",IF(AND(J122&lt;&gt;"Rejected",COUNTIFS($B$6:$B$305,B122,$J$6:$J$305,"&lt;&gt;Rejected",$E$6:$E$305,"&lt;="&amp;F122,$F$6:$F$305,"&gt;="&amp;E122)&gt;1),"Overlaps another leave",IF(AND(J122="Approved",N(INDEX(Balance!$F$6:$W$55,MATCH(B122,Balance!$B$6:$B$55,0),MATCH(D122,Setup!$A$18:$A$23,0)*3))&lt;0),"Exceeds balance",IF(J122="","Set status","OK")))))))))))</f>
        <v/>
      </c>
      <c r="M122" s="55" t="str">
        <f aca="false">IF(AND(B122&lt;&gt;"",B122='Leave Card'!$C$3),COUNTIF($B$6:B122,'Leave Card'!$C$3),"")</f>
        <v/>
      </c>
    </row>
    <row r="123" customFormat="false" ht="15" hidden="false" customHeight="false" outlineLevel="0" collapsed="false">
      <c r="A123" s="51" t="str">
        <f aca="false">IF(B123="","",ROW()-5)</f>
        <v/>
      </c>
      <c r="B123" s="118"/>
      <c r="C123" s="10" t="str">
        <f aca="false">IF(B123="","",IFERROR(INDEX(Employees!$C$5:$C$54,MATCH(B123,Employees!$B$5:$B$54,0)),"Not found"))</f>
        <v/>
      </c>
      <c r="D123" s="122"/>
      <c r="E123" s="123"/>
      <c r="F123" s="123"/>
      <c r="G123" s="118"/>
      <c r="H123" s="11" t="n">
        <f aca="false">IF(OR(B123="",E123="",F123="",F123&lt;E123),0,IF(G123="Yes",0.5,NETWORKDAYS.INTL(E123,F123,Setup!$C$14,Holidays!$B$5:$B$34)))</f>
        <v>0</v>
      </c>
      <c r="I123" s="119"/>
      <c r="J123" s="122"/>
      <c r="K123" s="118"/>
      <c r="L123" s="54" t="str">
        <f aca="false">IF(B123="","",IF(C123="Not found","Emp ID not found",IF(ISNA(MATCH(D123,Setup!$A$18:$A$23,0)),"Pick leave type",IF(OR(E123="",F123=""),"Enter From &amp; To",IF(F123&lt;E123,"To before From",IF(AND(G123="Yes",F123&gt;E123),"Half day = 1 date",IF(OR(E123&lt;Setup!$C$12,F123&gt;Setup!$C$13),"Outside leave year",IF(H123=0,"No working day",IF(AND(J123&lt;&gt;"Rejected",COUNTIFS($B$6:$B$305,B123,$J$6:$J$305,"&lt;&gt;Rejected",$E$6:$E$305,"&lt;="&amp;F123,$F$6:$F$305,"&gt;="&amp;E123)&gt;1),"Overlaps another leave",IF(AND(J123="Approved",N(INDEX(Balance!$F$6:$W$55,MATCH(B123,Balance!$B$6:$B$55,0),MATCH(D123,Setup!$A$18:$A$23,0)*3))&lt;0),"Exceeds balance",IF(J123="","Set status","OK")))))))))))</f>
        <v/>
      </c>
      <c r="M123" s="55" t="str">
        <f aca="false">IF(AND(B123&lt;&gt;"",B123='Leave Card'!$C$3),COUNTIF($B$6:B123,'Leave Card'!$C$3),"")</f>
        <v/>
      </c>
    </row>
    <row r="124" customFormat="false" ht="15" hidden="false" customHeight="false" outlineLevel="0" collapsed="false">
      <c r="A124" s="51" t="str">
        <f aca="false">IF(B124="","",ROW()-5)</f>
        <v/>
      </c>
      <c r="B124" s="118"/>
      <c r="C124" s="10" t="str">
        <f aca="false">IF(B124="","",IFERROR(INDEX(Employees!$C$5:$C$54,MATCH(B124,Employees!$B$5:$B$54,0)),"Not found"))</f>
        <v/>
      </c>
      <c r="D124" s="122"/>
      <c r="E124" s="123"/>
      <c r="F124" s="123"/>
      <c r="G124" s="118"/>
      <c r="H124" s="11" t="n">
        <f aca="false">IF(OR(B124="",E124="",F124="",F124&lt;E124),0,IF(G124="Yes",0.5,NETWORKDAYS.INTL(E124,F124,Setup!$C$14,Holidays!$B$5:$B$34)))</f>
        <v>0</v>
      </c>
      <c r="I124" s="119"/>
      <c r="J124" s="122"/>
      <c r="K124" s="118"/>
      <c r="L124" s="54" t="str">
        <f aca="false">IF(B124="","",IF(C124="Not found","Emp ID not found",IF(ISNA(MATCH(D124,Setup!$A$18:$A$23,0)),"Pick leave type",IF(OR(E124="",F124=""),"Enter From &amp; To",IF(F124&lt;E124,"To before From",IF(AND(G124="Yes",F124&gt;E124),"Half day = 1 date",IF(OR(E124&lt;Setup!$C$12,F124&gt;Setup!$C$13),"Outside leave year",IF(H124=0,"No working day",IF(AND(J124&lt;&gt;"Rejected",COUNTIFS($B$6:$B$305,B124,$J$6:$J$305,"&lt;&gt;Rejected",$E$6:$E$305,"&lt;="&amp;F124,$F$6:$F$305,"&gt;="&amp;E124)&gt;1),"Overlaps another leave",IF(AND(J124="Approved",N(INDEX(Balance!$F$6:$W$55,MATCH(B124,Balance!$B$6:$B$55,0),MATCH(D124,Setup!$A$18:$A$23,0)*3))&lt;0),"Exceeds balance",IF(J124="","Set status","OK")))))))))))</f>
        <v/>
      </c>
      <c r="M124" s="55" t="str">
        <f aca="false">IF(AND(B124&lt;&gt;"",B124='Leave Card'!$C$3),COUNTIF($B$6:B124,'Leave Card'!$C$3),"")</f>
        <v/>
      </c>
    </row>
    <row r="125" customFormat="false" ht="15" hidden="false" customHeight="false" outlineLevel="0" collapsed="false">
      <c r="A125" s="51" t="str">
        <f aca="false">IF(B125="","",ROW()-5)</f>
        <v/>
      </c>
      <c r="B125" s="118"/>
      <c r="C125" s="10" t="str">
        <f aca="false">IF(B125="","",IFERROR(INDEX(Employees!$C$5:$C$54,MATCH(B125,Employees!$B$5:$B$54,0)),"Not found"))</f>
        <v/>
      </c>
      <c r="D125" s="122"/>
      <c r="E125" s="123"/>
      <c r="F125" s="123"/>
      <c r="G125" s="118"/>
      <c r="H125" s="11" t="n">
        <f aca="false">IF(OR(B125="",E125="",F125="",F125&lt;E125),0,IF(G125="Yes",0.5,NETWORKDAYS.INTL(E125,F125,Setup!$C$14,Holidays!$B$5:$B$34)))</f>
        <v>0</v>
      </c>
      <c r="I125" s="119"/>
      <c r="J125" s="122"/>
      <c r="K125" s="118"/>
      <c r="L125" s="54" t="str">
        <f aca="false">IF(B125="","",IF(C125="Not found","Emp ID not found",IF(ISNA(MATCH(D125,Setup!$A$18:$A$23,0)),"Pick leave type",IF(OR(E125="",F125=""),"Enter From &amp; To",IF(F125&lt;E125,"To before From",IF(AND(G125="Yes",F125&gt;E125),"Half day = 1 date",IF(OR(E125&lt;Setup!$C$12,F125&gt;Setup!$C$13),"Outside leave year",IF(H125=0,"No working day",IF(AND(J125&lt;&gt;"Rejected",COUNTIFS($B$6:$B$305,B125,$J$6:$J$305,"&lt;&gt;Rejected",$E$6:$E$305,"&lt;="&amp;F125,$F$6:$F$305,"&gt;="&amp;E125)&gt;1),"Overlaps another leave",IF(AND(J125="Approved",N(INDEX(Balance!$F$6:$W$55,MATCH(B125,Balance!$B$6:$B$55,0),MATCH(D125,Setup!$A$18:$A$23,0)*3))&lt;0),"Exceeds balance",IF(J125="","Set status","OK")))))))))))</f>
        <v/>
      </c>
      <c r="M125" s="55" t="str">
        <f aca="false">IF(AND(B125&lt;&gt;"",B125='Leave Card'!$C$3),COUNTIF($B$6:B125,'Leave Card'!$C$3),"")</f>
        <v/>
      </c>
    </row>
    <row r="126" customFormat="false" ht="15" hidden="false" customHeight="false" outlineLevel="0" collapsed="false">
      <c r="A126" s="51" t="str">
        <f aca="false">IF(B126="","",ROW()-5)</f>
        <v/>
      </c>
      <c r="B126" s="118"/>
      <c r="C126" s="10" t="str">
        <f aca="false">IF(B126="","",IFERROR(INDEX(Employees!$C$5:$C$54,MATCH(B126,Employees!$B$5:$B$54,0)),"Not found"))</f>
        <v/>
      </c>
      <c r="D126" s="122"/>
      <c r="E126" s="123"/>
      <c r="F126" s="123"/>
      <c r="G126" s="118"/>
      <c r="H126" s="11" t="n">
        <f aca="false">IF(OR(B126="",E126="",F126="",F126&lt;E126),0,IF(G126="Yes",0.5,NETWORKDAYS.INTL(E126,F126,Setup!$C$14,Holidays!$B$5:$B$34)))</f>
        <v>0</v>
      </c>
      <c r="I126" s="119"/>
      <c r="J126" s="122"/>
      <c r="K126" s="118"/>
      <c r="L126" s="54" t="str">
        <f aca="false">IF(B126="","",IF(C126="Not found","Emp ID not found",IF(ISNA(MATCH(D126,Setup!$A$18:$A$23,0)),"Pick leave type",IF(OR(E126="",F126=""),"Enter From &amp; To",IF(F126&lt;E126,"To before From",IF(AND(G126="Yes",F126&gt;E126),"Half day = 1 date",IF(OR(E126&lt;Setup!$C$12,F126&gt;Setup!$C$13),"Outside leave year",IF(H126=0,"No working day",IF(AND(J126&lt;&gt;"Rejected",COUNTIFS($B$6:$B$305,B126,$J$6:$J$305,"&lt;&gt;Rejected",$E$6:$E$305,"&lt;="&amp;F126,$F$6:$F$305,"&gt;="&amp;E126)&gt;1),"Overlaps another leave",IF(AND(J126="Approved",N(INDEX(Balance!$F$6:$W$55,MATCH(B126,Balance!$B$6:$B$55,0),MATCH(D126,Setup!$A$18:$A$23,0)*3))&lt;0),"Exceeds balance",IF(J126="","Set status","OK")))))))))))</f>
        <v/>
      </c>
      <c r="M126" s="55" t="str">
        <f aca="false">IF(AND(B126&lt;&gt;"",B126='Leave Card'!$C$3),COUNTIF($B$6:B126,'Leave Card'!$C$3),"")</f>
        <v/>
      </c>
    </row>
    <row r="127" customFormat="false" ht="15" hidden="false" customHeight="false" outlineLevel="0" collapsed="false">
      <c r="A127" s="51" t="str">
        <f aca="false">IF(B127="","",ROW()-5)</f>
        <v/>
      </c>
      <c r="B127" s="118"/>
      <c r="C127" s="10" t="str">
        <f aca="false">IF(B127="","",IFERROR(INDEX(Employees!$C$5:$C$54,MATCH(B127,Employees!$B$5:$B$54,0)),"Not found"))</f>
        <v/>
      </c>
      <c r="D127" s="122"/>
      <c r="E127" s="123"/>
      <c r="F127" s="123"/>
      <c r="G127" s="118"/>
      <c r="H127" s="11" t="n">
        <f aca="false">IF(OR(B127="",E127="",F127="",F127&lt;E127),0,IF(G127="Yes",0.5,NETWORKDAYS.INTL(E127,F127,Setup!$C$14,Holidays!$B$5:$B$34)))</f>
        <v>0</v>
      </c>
      <c r="I127" s="119"/>
      <c r="J127" s="122"/>
      <c r="K127" s="118"/>
      <c r="L127" s="54" t="str">
        <f aca="false">IF(B127="","",IF(C127="Not found","Emp ID not found",IF(ISNA(MATCH(D127,Setup!$A$18:$A$23,0)),"Pick leave type",IF(OR(E127="",F127=""),"Enter From &amp; To",IF(F127&lt;E127,"To before From",IF(AND(G127="Yes",F127&gt;E127),"Half day = 1 date",IF(OR(E127&lt;Setup!$C$12,F127&gt;Setup!$C$13),"Outside leave year",IF(H127=0,"No working day",IF(AND(J127&lt;&gt;"Rejected",COUNTIFS($B$6:$B$305,B127,$J$6:$J$305,"&lt;&gt;Rejected",$E$6:$E$305,"&lt;="&amp;F127,$F$6:$F$305,"&gt;="&amp;E127)&gt;1),"Overlaps another leave",IF(AND(J127="Approved",N(INDEX(Balance!$F$6:$W$55,MATCH(B127,Balance!$B$6:$B$55,0),MATCH(D127,Setup!$A$18:$A$23,0)*3))&lt;0),"Exceeds balance",IF(J127="","Set status","OK")))))))))))</f>
        <v/>
      </c>
      <c r="M127" s="55" t="str">
        <f aca="false">IF(AND(B127&lt;&gt;"",B127='Leave Card'!$C$3),COUNTIF($B$6:B127,'Leave Card'!$C$3),"")</f>
        <v/>
      </c>
    </row>
    <row r="128" customFormat="false" ht="15" hidden="false" customHeight="false" outlineLevel="0" collapsed="false">
      <c r="A128" s="51" t="str">
        <f aca="false">IF(B128="","",ROW()-5)</f>
        <v/>
      </c>
      <c r="B128" s="118"/>
      <c r="C128" s="10" t="str">
        <f aca="false">IF(B128="","",IFERROR(INDEX(Employees!$C$5:$C$54,MATCH(B128,Employees!$B$5:$B$54,0)),"Not found"))</f>
        <v/>
      </c>
      <c r="D128" s="122"/>
      <c r="E128" s="123"/>
      <c r="F128" s="123"/>
      <c r="G128" s="118"/>
      <c r="H128" s="11" t="n">
        <f aca="false">IF(OR(B128="",E128="",F128="",F128&lt;E128),0,IF(G128="Yes",0.5,NETWORKDAYS.INTL(E128,F128,Setup!$C$14,Holidays!$B$5:$B$34)))</f>
        <v>0</v>
      </c>
      <c r="I128" s="119"/>
      <c r="J128" s="122"/>
      <c r="K128" s="118"/>
      <c r="L128" s="54" t="str">
        <f aca="false">IF(B128="","",IF(C128="Not found","Emp ID not found",IF(ISNA(MATCH(D128,Setup!$A$18:$A$23,0)),"Pick leave type",IF(OR(E128="",F128=""),"Enter From &amp; To",IF(F128&lt;E128,"To before From",IF(AND(G128="Yes",F128&gt;E128),"Half day = 1 date",IF(OR(E128&lt;Setup!$C$12,F128&gt;Setup!$C$13),"Outside leave year",IF(H128=0,"No working day",IF(AND(J128&lt;&gt;"Rejected",COUNTIFS($B$6:$B$305,B128,$J$6:$J$305,"&lt;&gt;Rejected",$E$6:$E$305,"&lt;="&amp;F128,$F$6:$F$305,"&gt;="&amp;E128)&gt;1),"Overlaps another leave",IF(AND(J128="Approved",N(INDEX(Balance!$F$6:$W$55,MATCH(B128,Balance!$B$6:$B$55,0),MATCH(D128,Setup!$A$18:$A$23,0)*3))&lt;0),"Exceeds balance",IF(J128="","Set status","OK")))))))))))</f>
        <v/>
      </c>
      <c r="M128" s="55" t="str">
        <f aca="false">IF(AND(B128&lt;&gt;"",B128='Leave Card'!$C$3),COUNTIF($B$6:B128,'Leave Card'!$C$3),"")</f>
        <v/>
      </c>
    </row>
    <row r="129" customFormat="false" ht="15" hidden="false" customHeight="false" outlineLevel="0" collapsed="false">
      <c r="A129" s="51" t="str">
        <f aca="false">IF(B129="","",ROW()-5)</f>
        <v/>
      </c>
      <c r="B129" s="118"/>
      <c r="C129" s="10" t="str">
        <f aca="false">IF(B129="","",IFERROR(INDEX(Employees!$C$5:$C$54,MATCH(B129,Employees!$B$5:$B$54,0)),"Not found"))</f>
        <v/>
      </c>
      <c r="D129" s="122"/>
      <c r="E129" s="123"/>
      <c r="F129" s="123"/>
      <c r="G129" s="118"/>
      <c r="H129" s="11" t="n">
        <f aca="false">IF(OR(B129="",E129="",F129="",F129&lt;E129),0,IF(G129="Yes",0.5,NETWORKDAYS.INTL(E129,F129,Setup!$C$14,Holidays!$B$5:$B$34)))</f>
        <v>0</v>
      </c>
      <c r="I129" s="119"/>
      <c r="J129" s="122"/>
      <c r="K129" s="118"/>
      <c r="L129" s="54" t="str">
        <f aca="false">IF(B129="","",IF(C129="Not found","Emp ID not found",IF(ISNA(MATCH(D129,Setup!$A$18:$A$23,0)),"Pick leave type",IF(OR(E129="",F129=""),"Enter From &amp; To",IF(F129&lt;E129,"To before From",IF(AND(G129="Yes",F129&gt;E129),"Half day = 1 date",IF(OR(E129&lt;Setup!$C$12,F129&gt;Setup!$C$13),"Outside leave year",IF(H129=0,"No working day",IF(AND(J129&lt;&gt;"Rejected",COUNTIFS($B$6:$B$305,B129,$J$6:$J$305,"&lt;&gt;Rejected",$E$6:$E$305,"&lt;="&amp;F129,$F$6:$F$305,"&gt;="&amp;E129)&gt;1),"Overlaps another leave",IF(AND(J129="Approved",N(INDEX(Balance!$F$6:$W$55,MATCH(B129,Balance!$B$6:$B$55,0),MATCH(D129,Setup!$A$18:$A$23,0)*3))&lt;0),"Exceeds balance",IF(J129="","Set status","OK")))))))))))</f>
        <v/>
      </c>
      <c r="M129" s="55" t="str">
        <f aca="false">IF(AND(B129&lt;&gt;"",B129='Leave Card'!$C$3),COUNTIF($B$6:B129,'Leave Card'!$C$3),"")</f>
        <v/>
      </c>
    </row>
    <row r="130" customFormat="false" ht="15" hidden="false" customHeight="false" outlineLevel="0" collapsed="false">
      <c r="A130" s="51" t="str">
        <f aca="false">IF(B130="","",ROW()-5)</f>
        <v/>
      </c>
      <c r="B130" s="118"/>
      <c r="C130" s="10" t="str">
        <f aca="false">IF(B130="","",IFERROR(INDEX(Employees!$C$5:$C$54,MATCH(B130,Employees!$B$5:$B$54,0)),"Not found"))</f>
        <v/>
      </c>
      <c r="D130" s="122"/>
      <c r="E130" s="123"/>
      <c r="F130" s="123"/>
      <c r="G130" s="118"/>
      <c r="H130" s="11" t="n">
        <f aca="false">IF(OR(B130="",E130="",F130="",F130&lt;E130),0,IF(G130="Yes",0.5,NETWORKDAYS.INTL(E130,F130,Setup!$C$14,Holidays!$B$5:$B$34)))</f>
        <v>0</v>
      </c>
      <c r="I130" s="119"/>
      <c r="J130" s="122"/>
      <c r="K130" s="118"/>
      <c r="L130" s="54" t="str">
        <f aca="false">IF(B130="","",IF(C130="Not found","Emp ID not found",IF(ISNA(MATCH(D130,Setup!$A$18:$A$23,0)),"Pick leave type",IF(OR(E130="",F130=""),"Enter From &amp; To",IF(F130&lt;E130,"To before From",IF(AND(G130="Yes",F130&gt;E130),"Half day = 1 date",IF(OR(E130&lt;Setup!$C$12,F130&gt;Setup!$C$13),"Outside leave year",IF(H130=0,"No working day",IF(AND(J130&lt;&gt;"Rejected",COUNTIFS($B$6:$B$305,B130,$J$6:$J$305,"&lt;&gt;Rejected",$E$6:$E$305,"&lt;="&amp;F130,$F$6:$F$305,"&gt;="&amp;E130)&gt;1),"Overlaps another leave",IF(AND(J130="Approved",N(INDEX(Balance!$F$6:$W$55,MATCH(B130,Balance!$B$6:$B$55,0),MATCH(D130,Setup!$A$18:$A$23,0)*3))&lt;0),"Exceeds balance",IF(J130="","Set status","OK")))))))))))</f>
        <v/>
      </c>
      <c r="M130" s="55" t="str">
        <f aca="false">IF(AND(B130&lt;&gt;"",B130='Leave Card'!$C$3),COUNTIF($B$6:B130,'Leave Card'!$C$3),"")</f>
        <v/>
      </c>
    </row>
    <row r="131" customFormat="false" ht="15" hidden="false" customHeight="false" outlineLevel="0" collapsed="false">
      <c r="A131" s="51" t="str">
        <f aca="false">IF(B131="","",ROW()-5)</f>
        <v/>
      </c>
      <c r="B131" s="118"/>
      <c r="C131" s="10" t="str">
        <f aca="false">IF(B131="","",IFERROR(INDEX(Employees!$C$5:$C$54,MATCH(B131,Employees!$B$5:$B$54,0)),"Not found"))</f>
        <v/>
      </c>
      <c r="D131" s="122"/>
      <c r="E131" s="123"/>
      <c r="F131" s="123"/>
      <c r="G131" s="118"/>
      <c r="H131" s="11" t="n">
        <f aca="false">IF(OR(B131="",E131="",F131="",F131&lt;E131),0,IF(G131="Yes",0.5,NETWORKDAYS.INTL(E131,F131,Setup!$C$14,Holidays!$B$5:$B$34)))</f>
        <v>0</v>
      </c>
      <c r="I131" s="119"/>
      <c r="J131" s="122"/>
      <c r="K131" s="118"/>
      <c r="L131" s="54" t="str">
        <f aca="false">IF(B131="","",IF(C131="Not found","Emp ID not found",IF(ISNA(MATCH(D131,Setup!$A$18:$A$23,0)),"Pick leave type",IF(OR(E131="",F131=""),"Enter From &amp; To",IF(F131&lt;E131,"To before From",IF(AND(G131="Yes",F131&gt;E131),"Half day = 1 date",IF(OR(E131&lt;Setup!$C$12,F131&gt;Setup!$C$13),"Outside leave year",IF(H131=0,"No working day",IF(AND(J131&lt;&gt;"Rejected",COUNTIFS($B$6:$B$305,B131,$J$6:$J$305,"&lt;&gt;Rejected",$E$6:$E$305,"&lt;="&amp;F131,$F$6:$F$305,"&gt;="&amp;E131)&gt;1),"Overlaps another leave",IF(AND(J131="Approved",N(INDEX(Balance!$F$6:$W$55,MATCH(B131,Balance!$B$6:$B$55,0),MATCH(D131,Setup!$A$18:$A$23,0)*3))&lt;0),"Exceeds balance",IF(J131="","Set status","OK")))))))))))</f>
        <v/>
      </c>
      <c r="M131" s="55" t="str">
        <f aca="false">IF(AND(B131&lt;&gt;"",B131='Leave Card'!$C$3),COUNTIF($B$6:B131,'Leave Card'!$C$3),"")</f>
        <v/>
      </c>
    </row>
    <row r="132" customFormat="false" ht="15" hidden="false" customHeight="false" outlineLevel="0" collapsed="false">
      <c r="A132" s="51" t="str">
        <f aca="false">IF(B132="","",ROW()-5)</f>
        <v/>
      </c>
      <c r="B132" s="118"/>
      <c r="C132" s="10" t="str">
        <f aca="false">IF(B132="","",IFERROR(INDEX(Employees!$C$5:$C$54,MATCH(B132,Employees!$B$5:$B$54,0)),"Not found"))</f>
        <v/>
      </c>
      <c r="D132" s="122"/>
      <c r="E132" s="123"/>
      <c r="F132" s="123"/>
      <c r="G132" s="118"/>
      <c r="H132" s="11" t="n">
        <f aca="false">IF(OR(B132="",E132="",F132="",F132&lt;E132),0,IF(G132="Yes",0.5,NETWORKDAYS.INTL(E132,F132,Setup!$C$14,Holidays!$B$5:$B$34)))</f>
        <v>0</v>
      </c>
      <c r="I132" s="119"/>
      <c r="J132" s="122"/>
      <c r="K132" s="118"/>
      <c r="L132" s="54" t="str">
        <f aca="false">IF(B132="","",IF(C132="Not found","Emp ID not found",IF(ISNA(MATCH(D132,Setup!$A$18:$A$23,0)),"Pick leave type",IF(OR(E132="",F132=""),"Enter From &amp; To",IF(F132&lt;E132,"To before From",IF(AND(G132="Yes",F132&gt;E132),"Half day = 1 date",IF(OR(E132&lt;Setup!$C$12,F132&gt;Setup!$C$13),"Outside leave year",IF(H132=0,"No working day",IF(AND(J132&lt;&gt;"Rejected",COUNTIFS($B$6:$B$305,B132,$J$6:$J$305,"&lt;&gt;Rejected",$E$6:$E$305,"&lt;="&amp;F132,$F$6:$F$305,"&gt;="&amp;E132)&gt;1),"Overlaps another leave",IF(AND(J132="Approved",N(INDEX(Balance!$F$6:$W$55,MATCH(B132,Balance!$B$6:$B$55,0),MATCH(D132,Setup!$A$18:$A$23,0)*3))&lt;0),"Exceeds balance",IF(J132="","Set status","OK")))))))))))</f>
        <v/>
      </c>
      <c r="M132" s="55" t="str">
        <f aca="false">IF(AND(B132&lt;&gt;"",B132='Leave Card'!$C$3),COUNTIF($B$6:B132,'Leave Card'!$C$3),"")</f>
        <v/>
      </c>
    </row>
    <row r="133" customFormat="false" ht="15" hidden="false" customHeight="false" outlineLevel="0" collapsed="false">
      <c r="A133" s="51" t="str">
        <f aca="false">IF(B133="","",ROW()-5)</f>
        <v/>
      </c>
      <c r="B133" s="118"/>
      <c r="C133" s="10" t="str">
        <f aca="false">IF(B133="","",IFERROR(INDEX(Employees!$C$5:$C$54,MATCH(B133,Employees!$B$5:$B$54,0)),"Not found"))</f>
        <v/>
      </c>
      <c r="D133" s="122"/>
      <c r="E133" s="123"/>
      <c r="F133" s="123"/>
      <c r="G133" s="118"/>
      <c r="H133" s="11" t="n">
        <f aca="false">IF(OR(B133="",E133="",F133="",F133&lt;E133),0,IF(G133="Yes",0.5,NETWORKDAYS.INTL(E133,F133,Setup!$C$14,Holidays!$B$5:$B$34)))</f>
        <v>0</v>
      </c>
      <c r="I133" s="119"/>
      <c r="J133" s="122"/>
      <c r="K133" s="118"/>
      <c r="L133" s="54" t="str">
        <f aca="false">IF(B133="","",IF(C133="Not found","Emp ID not found",IF(ISNA(MATCH(D133,Setup!$A$18:$A$23,0)),"Pick leave type",IF(OR(E133="",F133=""),"Enter From &amp; To",IF(F133&lt;E133,"To before From",IF(AND(G133="Yes",F133&gt;E133),"Half day = 1 date",IF(OR(E133&lt;Setup!$C$12,F133&gt;Setup!$C$13),"Outside leave year",IF(H133=0,"No working day",IF(AND(J133&lt;&gt;"Rejected",COUNTIFS($B$6:$B$305,B133,$J$6:$J$305,"&lt;&gt;Rejected",$E$6:$E$305,"&lt;="&amp;F133,$F$6:$F$305,"&gt;="&amp;E133)&gt;1),"Overlaps another leave",IF(AND(J133="Approved",N(INDEX(Balance!$F$6:$W$55,MATCH(B133,Balance!$B$6:$B$55,0),MATCH(D133,Setup!$A$18:$A$23,0)*3))&lt;0),"Exceeds balance",IF(J133="","Set status","OK")))))))))))</f>
        <v/>
      </c>
      <c r="M133" s="55" t="str">
        <f aca="false">IF(AND(B133&lt;&gt;"",B133='Leave Card'!$C$3),COUNTIF($B$6:B133,'Leave Card'!$C$3),"")</f>
        <v/>
      </c>
    </row>
    <row r="134" customFormat="false" ht="15" hidden="false" customHeight="false" outlineLevel="0" collapsed="false">
      <c r="A134" s="51" t="str">
        <f aca="false">IF(B134="","",ROW()-5)</f>
        <v/>
      </c>
      <c r="B134" s="118"/>
      <c r="C134" s="10" t="str">
        <f aca="false">IF(B134="","",IFERROR(INDEX(Employees!$C$5:$C$54,MATCH(B134,Employees!$B$5:$B$54,0)),"Not found"))</f>
        <v/>
      </c>
      <c r="D134" s="122"/>
      <c r="E134" s="123"/>
      <c r="F134" s="123"/>
      <c r="G134" s="118"/>
      <c r="H134" s="11" t="n">
        <f aca="false">IF(OR(B134="",E134="",F134="",F134&lt;E134),0,IF(G134="Yes",0.5,NETWORKDAYS.INTL(E134,F134,Setup!$C$14,Holidays!$B$5:$B$34)))</f>
        <v>0</v>
      </c>
      <c r="I134" s="119"/>
      <c r="J134" s="122"/>
      <c r="K134" s="118"/>
      <c r="L134" s="54" t="str">
        <f aca="false">IF(B134="","",IF(C134="Not found","Emp ID not found",IF(ISNA(MATCH(D134,Setup!$A$18:$A$23,0)),"Pick leave type",IF(OR(E134="",F134=""),"Enter From &amp; To",IF(F134&lt;E134,"To before From",IF(AND(G134="Yes",F134&gt;E134),"Half day = 1 date",IF(OR(E134&lt;Setup!$C$12,F134&gt;Setup!$C$13),"Outside leave year",IF(H134=0,"No working day",IF(AND(J134&lt;&gt;"Rejected",COUNTIFS($B$6:$B$305,B134,$J$6:$J$305,"&lt;&gt;Rejected",$E$6:$E$305,"&lt;="&amp;F134,$F$6:$F$305,"&gt;="&amp;E134)&gt;1),"Overlaps another leave",IF(AND(J134="Approved",N(INDEX(Balance!$F$6:$W$55,MATCH(B134,Balance!$B$6:$B$55,0),MATCH(D134,Setup!$A$18:$A$23,0)*3))&lt;0),"Exceeds balance",IF(J134="","Set status","OK")))))))))))</f>
        <v/>
      </c>
      <c r="M134" s="55" t="str">
        <f aca="false">IF(AND(B134&lt;&gt;"",B134='Leave Card'!$C$3),COUNTIF($B$6:B134,'Leave Card'!$C$3),"")</f>
        <v/>
      </c>
    </row>
    <row r="135" customFormat="false" ht="15" hidden="false" customHeight="false" outlineLevel="0" collapsed="false">
      <c r="A135" s="51" t="str">
        <f aca="false">IF(B135="","",ROW()-5)</f>
        <v/>
      </c>
      <c r="B135" s="118"/>
      <c r="C135" s="10" t="str">
        <f aca="false">IF(B135="","",IFERROR(INDEX(Employees!$C$5:$C$54,MATCH(B135,Employees!$B$5:$B$54,0)),"Not found"))</f>
        <v/>
      </c>
      <c r="D135" s="122"/>
      <c r="E135" s="123"/>
      <c r="F135" s="123"/>
      <c r="G135" s="118"/>
      <c r="H135" s="11" t="n">
        <f aca="false">IF(OR(B135="",E135="",F135="",F135&lt;E135),0,IF(G135="Yes",0.5,NETWORKDAYS.INTL(E135,F135,Setup!$C$14,Holidays!$B$5:$B$34)))</f>
        <v>0</v>
      </c>
      <c r="I135" s="119"/>
      <c r="J135" s="122"/>
      <c r="K135" s="118"/>
      <c r="L135" s="54" t="str">
        <f aca="false">IF(B135="","",IF(C135="Not found","Emp ID not found",IF(ISNA(MATCH(D135,Setup!$A$18:$A$23,0)),"Pick leave type",IF(OR(E135="",F135=""),"Enter From &amp; To",IF(F135&lt;E135,"To before From",IF(AND(G135="Yes",F135&gt;E135),"Half day = 1 date",IF(OR(E135&lt;Setup!$C$12,F135&gt;Setup!$C$13),"Outside leave year",IF(H135=0,"No working day",IF(AND(J135&lt;&gt;"Rejected",COUNTIFS($B$6:$B$305,B135,$J$6:$J$305,"&lt;&gt;Rejected",$E$6:$E$305,"&lt;="&amp;F135,$F$6:$F$305,"&gt;="&amp;E135)&gt;1),"Overlaps another leave",IF(AND(J135="Approved",N(INDEX(Balance!$F$6:$W$55,MATCH(B135,Balance!$B$6:$B$55,0),MATCH(D135,Setup!$A$18:$A$23,0)*3))&lt;0),"Exceeds balance",IF(J135="","Set status","OK")))))))))))</f>
        <v/>
      </c>
      <c r="M135" s="55" t="str">
        <f aca="false">IF(AND(B135&lt;&gt;"",B135='Leave Card'!$C$3),COUNTIF($B$6:B135,'Leave Card'!$C$3),"")</f>
        <v/>
      </c>
    </row>
    <row r="136" customFormat="false" ht="15" hidden="false" customHeight="false" outlineLevel="0" collapsed="false">
      <c r="A136" s="51" t="str">
        <f aca="false">IF(B136="","",ROW()-5)</f>
        <v/>
      </c>
      <c r="B136" s="118"/>
      <c r="C136" s="10" t="str">
        <f aca="false">IF(B136="","",IFERROR(INDEX(Employees!$C$5:$C$54,MATCH(B136,Employees!$B$5:$B$54,0)),"Not found"))</f>
        <v/>
      </c>
      <c r="D136" s="122"/>
      <c r="E136" s="123"/>
      <c r="F136" s="123"/>
      <c r="G136" s="118"/>
      <c r="H136" s="11" t="n">
        <f aca="false">IF(OR(B136="",E136="",F136="",F136&lt;E136),0,IF(G136="Yes",0.5,NETWORKDAYS.INTL(E136,F136,Setup!$C$14,Holidays!$B$5:$B$34)))</f>
        <v>0</v>
      </c>
      <c r="I136" s="119"/>
      <c r="J136" s="122"/>
      <c r="K136" s="118"/>
      <c r="L136" s="54" t="str">
        <f aca="false">IF(B136="","",IF(C136="Not found","Emp ID not found",IF(ISNA(MATCH(D136,Setup!$A$18:$A$23,0)),"Pick leave type",IF(OR(E136="",F136=""),"Enter From &amp; To",IF(F136&lt;E136,"To before From",IF(AND(G136="Yes",F136&gt;E136),"Half day = 1 date",IF(OR(E136&lt;Setup!$C$12,F136&gt;Setup!$C$13),"Outside leave year",IF(H136=0,"No working day",IF(AND(J136&lt;&gt;"Rejected",COUNTIFS($B$6:$B$305,B136,$J$6:$J$305,"&lt;&gt;Rejected",$E$6:$E$305,"&lt;="&amp;F136,$F$6:$F$305,"&gt;="&amp;E136)&gt;1),"Overlaps another leave",IF(AND(J136="Approved",N(INDEX(Balance!$F$6:$W$55,MATCH(B136,Balance!$B$6:$B$55,0),MATCH(D136,Setup!$A$18:$A$23,0)*3))&lt;0),"Exceeds balance",IF(J136="","Set status","OK")))))))))))</f>
        <v/>
      </c>
      <c r="M136" s="55" t="str">
        <f aca="false">IF(AND(B136&lt;&gt;"",B136='Leave Card'!$C$3),COUNTIF($B$6:B136,'Leave Card'!$C$3),"")</f>
        <v/>
      </c>
    </row>
    <row r="137" customFormat="false" ht="15" hidden="false" customHeight="false" outlineLevel="0" collapsed="false">
      <c r="A137" s="51" t="str">
        <f aca="false">IF(B137="","",ROW()-5)</f>
        <v/>
      </c>
      <c r="B137" s="118"/>
      <c r="C137" s="10" t="str">
        <f aca="false">IF(B137="","",IFERROR(INDEX(Employees!$C$5:$C$54,MATCH(B137,Employees!$B$5:$B$54,0)),"Not found"))</f>
        <v/>
      </c>
      <c r="D137" s="122"/>
      <c r="E137" s="123"/>
      <c r="F137" s="123"/>
      <c r="G137" s="118"/>
      <c r="H137" s="11" t="n">
        <f aca="false">IF(OR(B137="",E137="",F137="",F137&lt;E137),0,IF(G137="Yes",0.5,NETWORKDAYS.INTL(E137,F137,Setup!$C$14,Holidays!$B$5:$B$34)))</f>
        <v>0</v>
      </c>
      <c r="I137" s="119"/>
      <c r="J137" s="122"/>
      <c r="K137" s="118"/>
      <c r="L137" s="54" t="str">
        <f aca="false">IF(B137="","",IF(C137="Not found","Emp ID not found",IF(ISNA(MATCH(D137,Setup!$A$18:$A$23,0)),"Pick leave type",IF(OR(E137="",F137=""),"Enter From &amp; To",IF(F137&lt;E137,"To before From",IF(AND(G137="Yes",F137&gt;E137),"Half day = 1 date",IF(OR(E137&lt;Setup!$C$12,F137&gt;Setup!$C$13),"Outside leave year",IF(H137=0,"No working day",IF(AND(J137&lt;&gt;"Rejected",COUNTIFS($B$6:$B$305,B137,$J$6:$J$305,"&lt;&gt;Rejected",$E$6:$E$305,"&lt;="&amp;F137,$F$6:$F$305,"&gt;="&amp;E137)&gt;1),"Overlaps another leave",IF(AND(J137="Approved",N(INDEX(Balance!$F$6:$W$55,MATCH(B137,Balance!$B$6:$B$55,0),MATCH(D137,Setup!$A$18:$A$23,0)*3))&lt;0),"Exceeds balance",IF(J137="","Set status","OK")))))))))))</f>
        <v/>
      </c>
      <c r="M137" s="55" t="str">
        <f aca="false">IF(AND(B137&lt;&gt;"",B137='Leave Card'!$C$3),COUNTIF($B$6:B137,'Leave Card'!$C$3),"")</f>
        <v/>
      </c>
    </row>
    <row r="138" customFormat="false" ht="15" hidden="false" customHeight="false" outlineLevel="0" collapsed="false">
      <c r="A138" s="51" t="str">
        <f aca="false">IF(B138="","",ROW()-5)</f>
        <v/>
      </c>
      <c r="B138" s="118"/>
      <c r="C138" s="10" t="str">
        <f aca="false">IF(B138="","",IFERROR(INDEX(Employees!$C$5:$C$54,MATCH(B138,Employees!$B$5:$B$54,0)),"Not found"))</f>
        <v/>
      </c>
      <c r="D138" s="122"/>
      <c r="E138" s="123"/>
      <c r="F138" s="123"/>
      <c r="G138" s="118"/>
      <c r="H138" s="11" t="n">
        <f aca="false">IF(OR(B138="",E138="",F138="",F138&lt;E138),0,IF(G138="Yes",0.5,NETWORKDAYS.INTL(E138,F138,Setup!$C$14,Holidays!$B$5:$B$34)))</f>
        <v>0</v>
      </c>
      <c r="I138" s="119"/>
      <c r="J138" s="122"/>
      <c r="K138" s="118"/>
      <c r="L138" s="54" t="str">
        <f aca="false">IF(B138="","",IF(C138="Not found","Emp ID not found",IF(ISNA(MATCH(D138,Setup!$A$18:$A$23,0)),"Pick leave type",IF(OR(E138="",F138=""),"Enter From &amp; To",IF(F138&lt;E138,"To before From",IF(AND(G138="Yes",F138&gt;E138),"Half day = 1 date",IF(OR(E138&lt;Setup!$C$12,F138&gt;Setup!$C$13),"Outside leave year",IF(H138=0,"No working day",IF(AND(J138&lt;&gt;"Rejected",COUNTIFS($B$6:$B$305,B138,$J$6:$J$305,"&lt;&gt;Rejected",$E$6:$E$305,"&lt;="&amp;F138,$F$6:$F$305,"&gt;="&amp;E138)&gt;1),"Overlaps another leave",IF(AND(J138="Approved",N(INDEX(Balance!$F$6:$W$55,MATCH(B138,Balance!$B$6:$B$55,0),MATCH(D138,Setup!$A$18:$A$23,0)*3))&lt;0),"Exceeds balance",IF(J138="","Set status","OK")))))))))))</f>
        <v/>
      </c>
      <c r="M138" s="55" t="str">
        <f aca="false">IF(AND(B138&lt;&gt;"",B138='Leave Card'!$C$3),COUNTIF($B$6:B138,'Leave Card'!$C$3),"")</f>
        <v/>
      </c>
    </row>
    <row r="139" customFormat="false" ht="15" hidden="false" customHeight="false" outlineLevel="0" collapsed="false">
      <c r="A139" s="51" t="str">
        <f aca="false">IF(B139="","",ROW()-5)</f>
        <v/>
      </c>
      <c r="B139" s="118"/>
      <c r="C139" s="10" t="str">
        <f aca="false">IF(B139="","",IFERROR(INDEX(Employees!$C$5:$C$54,MATCH(B139,Employees!$B$5:$B$54,0)),"Not found"))</f>
        <v/>
      </c>
      <c r="D139" s="122"/>
      <c r="E139" s="123"/>
      <c r="F139" s="123"/>
      <c r="G139" s="118"/>
      <c r="H139" s="11" t="n">
        <f aca="false">IF(OR(B139="",E139="",F139="",F139&lt;E139),0,IF(G139="Yes",0.5,NETWORKDAYS.INTL(E139,F139,Setup!$C$14,Holidays!$B$5:$B$34)))</f>
        <v>0</v>
      </c>
      <c r="I139" s="119"/>
      <c r="J139" s="122"/>
      <c r="K139" s="118"/>
      <c r="L139" s="54" t="str">
        <f aca="false">IF(B139="","",IF(C139="Not found","Emp ID not found",IF(ISNA(MATCH(D139,Setup!$A$18:$A$23,0)),"Pick leave type",IF(OR(E139="",F139=""),"Enter From &amp; To",IF(F139&lt;E139,"To before From",IF(AND(G139="Yes",F139&gt;E139),"Half day = 1 date",IF(OR(E139&lt;Setup!$C$12,F139&gt;Setup!$C$13),"Outside leave year",IF(H139=0,"No working day",IF(AND(J139&lt;&gt;"Rejected",COUNTIFS($B$6:$B$305,B139,$J$6:$J$305,"&lt;&gt;Rejected",$E$6:$E$305,"&lt;="&amp;F139,$F$6:$F$305,"&gt;="&amp;E139)&gt;1),"Overlaps another leave",IF(AND(J139="Approved",N(INDEX(Balance!$F$6:$W$55,MATCH(B139,Balance!$B$6:$B$55,0),MATCH(D139,Setup!$A$18:$A$23,0)*3))&lt;0),"Exceeds balance",IF(J139="","Set status","OK")))))))))))</f>
        <v/>
      </c>
      <c r="M139" s="55" t="str">
        <f aca="false">IF(AND(B139&lt;&gt;"",B139='Leave Card'!$C$3),COUNTIF($B$6:B139,'Leave Card'!$C$3),"")</f>
        <v/>
      </c>
    </row>
    <row r="140" customFormat="false" ht="15" hidden="false" customHeight="false" outlineLevel="0" collapsed="false">
      <c r="A140" s="51" t="str">
        <f aca="false">IF(B140="","",ROW()-5)</f>
        <v/>
      </c>
      <c r="B140" s="118"/>
      <c r="C140" s="10" t="str">
        <f aca="false">IF(B140="","",IFERROR(INDEX(Employees!$C$5:$C$54,MATCH(B140,Employees!$B$5:$B$54,0)),"Not found"))</f>
        <v/>
      </c>
      <c r="D140" s="122"/>
      <c r="E140" s="123"/>
      <c r="F140" s="123"/>
      <c r="G140" s="118"/>
      <c r="H140" s="11" t="n">
        <f aca="false">IF(OR(B140="",E140="",F140="",F140&lt;E140),0,IF(G140="Yes",0.5,NETWORKDAYS.INTL(E140,F140,Setup!$C$14,Holidays!$B$5:$B$34)))</f>
        <v>0</v>
      </c>
      <c r="I140" s="119"/>
      <c r="J140" s="122"/>
      <c r="K140" s="118"/>
      <c r="L140" s="54" t="str">
        <f aca="false">IF(B140="","",IF(C140="Not found","Emp ID not found",IF(ISNA(MATCH(D140,Setup!$A$18:$A$23,0)),"Pick leave type",IF(OR(E140="",F140=""),"Enter From &amp; To",IF(F140&lt;E140,"To before From",IF(AND(G140="Yes",F140&gt;E140),"Half day = 1 date",IF(OR(E140&lt;Setup!$C$12,F140&gt;Setup!$C$13),"Outside leave year",IF(H140=0,"No working day",IF(AND(J140&lt;&gt;"Rejected",COUNTIFS($B$6:$B$305,B140,$J$6:$J$305,"&lt;&gt;Rejected",$E$6:$E$305,"&lt;="&amp;F140,$F$6:$F$305,"&gt;="&amp;E140)&gt;1),"Overlaps another leave",IF(AND(J140="Approved",N(INDEX(Balance!$F$6:$W$55,MATCH(B140,Balance!$B$6:$B$55,0),MATCH(D140,Setup!$A$18:$A$23,0)*3))&lt;0),"Exceeds balance",IF(J140="","Set status","OK")))))))))))</f>
        <v/>
      </c>
      <c r="M140" s="55" t="str">
        <f aca="false">IF(AND(B140&lt;&gt;"",B140='Leave Card'!$C$3),COUNTIF($B$6:B140,'Leave Card'!$C$3),"")</f>
        <v/>
      </c>
    </row>
    <row r="141" customFormat="false" ht="15" hidden="false" customHeight="false" outlineLevel="0" collapsed="false">
      <c r="A141" s="51" t="str">
        <f aca="false">IF(B141="","",ROW()-5)</f>
        <v/>
      </c>
      <c r="B141" s="118"/>
      <c r="C141" s="10" t="str">
        <f aca="false">IF(B141="","",IFERROR(INDEX(Employees!$C$5:$C$54,MATCH(B141,Employees!$B$5:$B$54,0)),"Not found"))</f>
        <v/>
      </c>
      <c r="D141" s="122"/>
      <c r="E141" s="123"/>
      <c r="F141" s="123"/>
      <c r="G141" s="118"/>
      <c r="H141" s="11" t="n">
        <f aca="false">IF(OR(B141="",E141="",F141="",F141&lt;E141),0,IF(G141="Yes",0.5,NETWORKDAYS.INTL(E141,F141,Setup!$C$14,Holidays!$B$5:$B$34)))</f>
        <v>0</v>
      </c>
      <c r="I141" s="119"/>
      <c r="J141" s="122"/>
      <c r="K141" s="118"/>
      <c r="L141" s="54" t="str">
        <f aca="false">IF(B141="","",IF(C141="Not found","Emp ID not found",IF(ISNA(MATCH(D141,Setup!$A$18:$A$23,0)),"Pick leave type",IF(OR(E141="",F141=""),"Enter From &amp; To",IF(F141&lt;E141,"To before From",IF(AND(G141="Yes",F141&gt;E141),"Half day = 1 date",IF(OR(E141&lt;Setup!$C$12,F141&gt;Setup!$C$13),"Outside leave year",IF(H141=0,"No working day",IF(AND(J141&lt;&gt;"Rejected",COUNTIFS($B$6:$B$305,B141,$J$6:$J$305,"&lt;&gt;Rejected",$E$6:$E$305,"&lt;="&amp;F141,$F$6:$F$305,"&gt;="&amp;E141)&gt;1),"Overlaps another leave",IF(AND(J141="Approved",N(INDEX(Balance!$F$6:$W$55,MATCH(B141,Balance!$B$6:$B$55,0),MATCH(D141,Setup!$A$18:$A$23,0)*3))&lt;0),"Exceeds balance",IF(J141="","Set status","OK")))))))))))</f>
        <v/>
      </c>
      <c r="M141" s="55" t="str">
        <f aca="false">IF(AND(B141&lt;&gt;"",B141='Leave Card'!$C$3),COUNTIF($B$6:B141,'Leave Card'!$C$3),"")</f>
        <v/>
      </c>
    </row>
    <row r="142" customFormat="false" ht="15" hidden="false" customHeight="false" outlineLevel="0" collapsed="false">
      <c r="A142" s="51" t="str">
        <f aca="false">IF(B142="","",ROW()-5)</f>
        <v/>
      </c>
      <c r="B142" s="118"/>
      <c r="C142" s="10" t="str">
        <f aca="false">IF(B142="","",IFERROR(INDEX(Employees!$C$5:$C$54,MATCH(B142,Employees!$B$5:$B$54,0)),"Not found"))</f>
        <v/>
      </c>
      <c r="D142" s="122"/>
      <c r="E142" s="123"/>
      <c r="F142" s="123"/>
      <c r="G142" s="118"/>
      <c r="H142" s="11" t="n">
        <f aca="false">IF(OR(B142="",E142="",F142="",F142&lt;E142),0,IF(G142="Yes",0.5,NETWORKDAYS.INTL(E142,F142,Setup!$C$14,Holidays!$B$5:$B$34)))</f>
        <v>0</v>
      </c>
      <c r="I142" s="119"/>
      <c r="J142" s="122"/>
      <c r="K142" s="118"/>
      <c r="L142" s="54" t="str">
        <f aca="false">IF(B142="","",IF(C142="Not found","Emp ID not found",IF(ISNA(MATCH(D142,Setup!$A$18:$A$23,0)),"Pick leave type",IF(OR(E142="",F142=""),"Enter From &amp; To",IF(F142&lt;E142,"To before From",IF(AND(G142="Yes",F142&gt;E142),"Half day = 1 date",IF(OR(E142&lt;Setup!$C$12,F142&gt;Setup!$C$13),"Outside leave year",IF(H142=0,"No working day",IF(AND(J142&lt;&gt;"Rejected",COUNTIFS($B$6:$B$305,B142,$J$6:$J$305,"&lt;&gt;Rejected",$E$6:$E$305,"&lt;="&amp;F142,$F$6:$F$305,"&gt;="&amp;E142)&gt;1),"Overlaps another leave",IF(AND(J142="Approved",N(INDEX(Balance!$F$6:$W$55,MATCH(B142,Balance!$B$6:$B$55,0),MATCH(D142,Setup!$A$18:$A$23,0)*3))&lt;0),"Exceeds balance",IF(J142="","Set status","OK")))))))))))</f>
        <v/>
      </c>
      <c r="M142" s="55" t="str">
        <f aca="false">IF(AND(B142&lt;&gt;"",B142='Leave Card'!$C$3),COUNTIF($B$6:B142,'Leave Card'!$C$3),"")</f>
        <v/>
      </c>
    </row>
    <row r="143" customFormat="false" ht="15" hidden="false" customHeight="false" outlineLevel="0" collapsed="false">
      <c r="A143" s="51" t="str">
        <f aca="false">IF(B143="","",ROW()-5)</f>
        <v/>
      </c>
      <c r="B143" s="118"/>
      <c r="C143" s="10" t="str">
        <f aca="false">IF(B143="","",IFERROR(INDEX(Employees!$C$5:$C$54,MATCH(B143,Employees!$B$5:$B$54,0)),"Not found"))</f>
        <v/>
      </c>
      <c r="D143" s="122"/>
      <c r="E143" s="123"/>
      <c r="F143" s="123"/>
      <c r="G143" s="118"/>
      <c r="H143" s="11" t="n">
        <f aca="false">IF(OR(B143="",E143="",F143="",F143&lt;E143),0,IF(G143="Yes",0.5,NETWORKDAYS.INTL(E143,F143,Setup!$C$14,Holidays!$B$5:$B$34)))</f>
        <v>0</v>
      </c>
      <c r="I143" s="119"/>
      <c r="J143" s="122"/>
      <c r="K143" s="118"/>
      <c r="L143" s="54" t="str">
        <f aca="false">IF(B143="","",IF(C143="Not found","Emp ID not found",IF(ISNA(MATCH(D143,Setup!$A$18:$A$23,0)),"Pick leave type",IF(OR(E143="",F143=""),"Enter From &amp; To",IF(F143&lt;E143,"To before From",IF(AND(G143="Yes",F143&gt;E143),"Half day = 1 date",IF(OR(E143&lt;Setup!$C$12,F143&gt;Setup!$C$13),"Outside leave year",IF(H143=0,"No working day",IF(AND(J143&lt;&gt;"Rejected",COUNTIFS($B$6:$B$305,B143,$J$6:$J$305,"&lt;&gt;Rejected",$E$6:$E$305,"&lt;="&amp;F143,$F$6:$F$305,"&gt;="&amp;E143)&gt;1),"Overlaps another leave",IF(AND(J143="Approved",N(INDEX(Balance!$F$6:$W$55,MATCH(B143,Balance!$B$6:$B$55,0),MATCH(D143,Setup!$A$18:$A$23,0)*3))&lt;0),"Exceeds balance",IF(J143="","Set status","OK")))))))))))</f>
        <v/>
      </c>
      <c r="M143" s="55" t="str">
        <f aca="false">IF(AND(B143&lt;&gt;"",B143='Leave Card'!$C$3),COUNTIF($B$6:B143,'Leave Card'!$C$3),"")</f>
        <v/>
      </c>
    </row>
    <row r="144" customFormat="false" ht="15" hidden="false" customHeight="false" outlineLevel="0" collapsed="false">
      <c r="A144" s="51" t="str">
        <f aca="false">IF(B144="","",ROW()-5)</f>
        <v/>
      </c>
      <c r="B144" s="118"/>
      <c r="C144" s="10" t="str">
        <f aca="false">IF(B144="","",IFERROR(INDEX(Employees!$C$5:$C$54,MATCH(B144,Employees!$B$5:$B$54,0)),"Not found"))</f>
        <v/>
      </c>
      <c r="D144" s="122"/>
      <c r="E144" s="123"/>
      <c r="F144" s="123"/>
      <c r="G144" s="118"/>
      <c r="H144" s="11" t="n">
        <f aca="false">IF(OR(B144="",E144="",F144="",F144&lt;E144),0,IF(G144="Yes",0.5,NETWORKDAYS.INTL(E144,F144,Setup!$C$14,Holidays!$B$5:$B$34)))</f>
        <v>0</v>
      </c>
      <c r="I144" s="119"/>
      <c r="J144" s="122"/>
      <c r="K144" s="118"/>
      <c r="L144" s="54" t="str">
        <f aca="false">IF(B144="","",IF(C144="Not found","Emp ID not found",IF(ISNA(MATCH(D144,Setup!$A$18:$A$23,0)),"Pick leave type",IF(OR(E144="",F144=""),"Enter From &amp; To",IF(F144&lt;E144,"To before From",IF(AND(G144="Yes",F144&gt;E144),"Half day = 1 date",IF(OR(E144&lt;Setup!$C$12,F144&gt;Setup!$C$13),"Outside leave year",IF(H144=0,"No working day",IF(AND(J144&lt;&gt;"Rejected",COUNTIFS($B$6:$B$305,B144,$J$6:$J$305,"&lt;&gt;Rejected",$E$6:$E$305,"&lt;="&amp;F144,$F$6:$F$305,"&gt;="&amp;E144)&gt;1),"Overlaps another leave",IF(AND(J144="Approved",N(INDEX(Balance!$F$6:$W$55,MATCH(B144,Balance!$B$6:$B$55,0),MATCH(D144,Setup!$A$18:$A$23,0)*3))&lt;0),"Exceeds balance",IF(J144="","Set status","OK")))))))))))</f>
        <v/>
      </c>
      <c r="M144" s="55" t="str">
        <f aca="false">IF(AND(B144&lt;&gt;"",B144='Leave Card'!$C$3),COUNTIF($B$6:B144,'Leave Card'!$C$3),"")</f>
        <v/>
      </c>
    </row>
    <row r="145" customFormat="false" ht="15" hidden="false" customHeight="false" outlineLevel="0" collapsed="false">
      <c r="A145" s="51" t="str">
        <f aca="false">IF(B145="","",ROW()-5)</f>
        <v/>
      </c>
      <c r="B145" s="118"/>
      <c r="C145" s="10" t="str">
        <f aca="false">IF(B145="","",IFERROR(INDEX(Employees!$C$5:$C$54,MATCH(B145,Employees!$B$5:$B$54,0)),"Not found"))</f>
        <v/>
      </c>
      <c r="D145" s="122"/>
      <c r="E145" s="123"/>
      <c r="F145" s="123"/>
      <c r="G145" s="118"/>
      <c r="H145" s="11" t="n">
        <f aca="false">IF(OR(B145="",E145="",F145="",F145&lt;E145),0,IF(G145="Yes",0.5,NETWORKDAYS.INTL(E145,F145,Setup!$C$14,Holidays!$B$5:$B$34)))</f>
        <v>0</v>
      </c>
      <c r="I145" s="119"/>
      <c r="J145" s="122"/>
      <c r="K145" s="118"/>
      <c r="L145" s="54" t="str">
        <f aca="false">IF(B145="","",IF(C145="Not found","Emp ID not found",IF(ISNA(MATCH(D145,Setup!$A$18:$A$23,0)),"Pick leave type",IF(OR(E145="",F145=""),"Enter From &amp; To",IF(F145&lt;E145,"To before From",IF(AND(G145="Yes",F145&gt;E145),"Half day = 1 date",IF(OR(E145&lt;Setup!$C$12,F145&gt;Setup!$C$13),"Outside leave year",IF(H145=0,"No working day",IF(AND(J145&lt;&gt;"Rejected",COUNTIFS($B$6:$B$305,B145,$J$6:$J$305,"&lt;&gt;Rejected",$E$6:$E$305,"&lt;="&amp;F145,$F$6:$F$305,"&gt;="&amp;E145)&gt;1),"Overlaps another leave",IF(AND(J145="Approved",N(INDEX(Balance!$F$6:$W$55,MATCH(B145,Balance!$B$6:$B$55,0),MATCH(D145,Setup!$A$18:$A$23,0)*3))&lt;0),"Exceeds balance",IF(J145="","Set status","OK")))))))))))</f>
        <v/>
      </c>
      <c r="M145" s="55" t="str">
        <f aca="false">IF(AND(B145&lt;&gt;"",B145='Leave Card'!$C$3),COUNTIF($B$6:B145,'Leave Card'!$C$3),"")</f>
        <v/>
      </c>
    </row>
    <row r="146" customFormat="false" ht="15" hidden="false" customHeight="false" outlineLevel="0" collapsed="false">
      <c r="A146" s="51" t="str">
        <f aca="false">IF(B146="","",ROW()-5)</f>
        <v/>
      </c>
      <c r="B146" s="118"/>
      <c r="C146" s="10" t="str">
        <f aca="false">IF(B146="","",IFERROR(INDEX(Employees!$C$5:$C$54,MATCH(B146,Employees!$B$5:$B$54,0)),"Not found"))</f>
        <v/>
      </c>
      <c r="D146" s="122"/>
      <c r="E146" s="123"/>
      <c r="F146" s="123"/>
      <c r="G146" s="118"/>
      <c r="H146" s="11" t="n">
        <f aca="false">IF(OR(B146="",E146="",F146="",F146&lt;E146),0,IF(G146="Yes",0.5,NETWORKDAYS.INTL(E146,F146,Setup!$C$14,Holidays!$B$5:$B$34)))</f>
        <v>0</v>
      </c>
      <c r="I146" s="119"/>
      <c r="J146" s="122"/>
      <c r="K146" s="118"/>
      <c r="L146" s="54" t="str">
        <f aca="false">IF(B146="","",IF(C146="Not found","Emp ID not found",IF(ISNA(MATCH(D146,Setup!$A$18:$A$23,0)),"Pick leave type",IF(OR(E146="",F146=""),"Enter From &amp; To",IF(F146&lt;E146,"To before From",IF(AND(G146="Yes",F146&gt;E146),"Half day = 1 date",IF(OR(E146&lt;Setup!$C$12,F146&gt;Setup!$C$13),"Outside leave year",IF(H146=0,"No working day",IF(AND(J146&lt;&gt;"Rejected",COUNTIFS($B$6:$B$305,B146,$J$6:$J$305,"&lt;&gt;Rejected",$E$6:$E$305,"&lt;="&amp;F146,$F$6:$F$305,"&gt;="&amp;E146)&gt;1),"Overlaps another leave",IF(AND(J146="Approved",N(INDEX(Balance!$F$6:$W$55,MATCH(B146,Balance!$B$6:$B$55,0),MATCH(D146,Setup!$A$18:$A$23,0)*3))&lt;0),"Exceeds balance",IF(J146="","Set status","OK")))))))))))</f>
        <v/>
      </c>
      <c r="M146" s="55" t="str">
        <f aca="false">IF(AND(B146&lt;&gt;"",B146='Leave Card'!$C$3),COUNTIF($B$6:B146,'Leave Card'!$C$3),"")</f>
        <v/>
      </c>
    </row>
    <row r="147" customFormat="false" ht="15" hidden="false" customHeight="false" outlineLevel="0" collapsed="false">
      <c r="A147" s="51" t="str">
        <f aca="false">IF(B147="","",ROW()-5)</f>
        <v/>
      </c>
      <c r="B147" s="118"/>
      <c r="C147" s="10" t="str">
        <f aca="false">IF(B147="","",IFERROR(INDEX(Employees!$C$5:$C$54,MATCH(B147,Employees!$B$5:$B$54,0)),"Not found"))</f>
        <v/>
      </c>
      <c r="D147" s="122"/>
      <c r="E147" s="123"/>
      <c r="F147" s="123"/>
      <c r="G147" s="118"/>
      <c r="H147" s="11" t="n">
        <f aca="false">IF(OR(B147="",E147="",F147="",F147&lt;E147),0,IF(G147="Yes",0.5,NETWORKDAYS.INTL(E147,F147,Setup!$C$14,Holidays!$B$5:$B$34)))</f>
        <v>0</v>
      </c>
      <c r="I147" s="119"/>
      <c r="J147" s="122"/>
      <c r="K147" s="118"/>
      <c r="L147" s="54" t="str">
        <f aca="false">IF(B147="","",IF(C147="Not found","Emp ID not found",IF(ISNA(MATCH(D147,Setup!$A$18:$A$23,0)),"Pick leave type",IF(OR(E147="",F147=""),"Enter From &amp; To",IF(F147&lt;E147,"To before From",IF(AND(G147="Yes",F147&gt;E147),"Half day = 1 date",IF(OR(E147&lt;Setup!$C$12,F147&gt;Setup!$C$13),"Outside leave year",IF(H147=0,"No working day",IF(AND(J147&lt;&gt;"Rejected",COUNTIFS($B$6:$B$305,B147,$J$6:$J$305,"&lt;&gt;Rejected",$E$6:$E$305,"&lt;="&amp;F147,$F$6:$F$305,"&gt;="&amp;E147)&gt;1),"Overlaps another leave",IF(AND(J147="Approved",N(INDEX(Balance!$F$6:$W$55,MATCH(B147,Balance!$B$6:$B$55,0),MATCH(D147,Setup!$A$18:$A$23,0)*3))&lt;0),"Exceeds balance",IF(J147="","Set status","OK")))))))))))</f>
        <v/>
      </c>
      <c r="M147" s="55" t="str">
        <f aca="false">IF(AND(B147&lt;&gt;"",B147='Leave Card'!$C$3),COUNTIF($B$6:B147,'Leave Card'!$C$3),"")</f>
        <v/>
      </c>
    </row>
    <row r="148" customFormat="false" ht="15" hidden="false" customHeight="false" outlineLevel="0" collapsed="false">
      <c r="A148" s="51" t="str">
        <f aca="false">IF(B148="","",ROW()-5)</f>
        <v/>
      </c>
      <c r="B148" s="118"/>
      <c r="C148" s="10" t="str">
        <f aca="false">IF(B148="","",IFERROR(INDEX(Employees!$C$5:$C$54,MATCH(B148,Employees!$B$5:$B$54,0)),"Not found"))</f>
        <v/>
      </c>
      <c r="D148" s="122"/>
      <c r="E148" s="123"/>
      <c r="F148" s="123"/>
      <c r="G148" s="118"/>
      <c r="H148" s="11" t="n">
        <f aca="false">IF(OR(B148="",E148="",F148="",F148&lt;E148),0,IF(G148="Yes",0.5,NETWORKDAYS.INTL(E148,F148,Setup!$C$14,Holidays!$B$5:$B$34)))</f>
        <v>0</v>
      </c>
      <c r="I148" s="119"/>
      <c r="J148" s="122"/>
      <c r="K148" s="118"/>
      <c r="L148" s="54" t="str">
        <f aca="false">IF(B148="","",IF(C148="Not found","Emp ID not found",IF(ISNA(MATCH(D148,Setup!$A$18:$A$23,0)),"Pick leave type",IF(OR(E148="",F148=""),"Enter From &amp; To",IF(F148&lt;E148,"To before From",IF(AND(G148="Yes",F148&gt;E148),"Half day = 1 date",IF(OR(E148&lt;Setup!$C$12,F148&gt;Setup!$C$13),"Outside leave year",IF(H148=0,"No working day",IF(AND(J148&lt;&gt;"Rejected",COUNTIFS($B$6:$B$305,B148,$J$6:$J$305,"&lt;&gt;Rejected",$E$6:$E$305,"&lt;="&amp;F148,$F$6:$F$305,"&gt;="&amp;E148)&gt;1),"Overlaps another leave",IF(AND(J148="Approved",N(INDEX(Balance!$F$6:$W$55,MATCH(B148,Balance!$B$6:$B$55,0),MATCH(D148,Setup!$A$18:$A$23,0)*3))&lt;0),"Exceeds balance",IF(J148="","Set status","OK")))))))))))</f>
        <v/>
      </c>
      <c r="M148" s="55" t="str">
        <f aca="false">IF(AND(B148&lt;&gt;"",B148='Leave Card'!$C$3),COUNTIF($B$6:B148,'Leave Card'!$C$3),"")</f>
        <v/>
      </c>
    </row>
    <row r="149" customFormat="false" ht="15" hidden="false" customHeight="false" outlineLevel="0" collapsed="false">
      <c r="A149" s="51" t="str">
        <f aca="false">IF(B149="","",ROW()-5)</f>
        <v/>
      </c>
      <c r="B149" s="118"/>
      <c r="C149" s="10" t="str">
        <f aca="false">IF(B149="","",IFERROR(INDEX(Employees!$C$5:$C$54,MATCH(B149,Employees!$B$5:$B$54,0)),"Not found"))</f>
        <v/>
      </c>
      <c r="D149" s="122"/>
      <c r="E149" s="123"/>
      <c r="F149" s="123"/>
      <c r="G149" s="118"/>
      <c r="H149" s="11" t="n">
        <f aca="false">IF(OR(B149="",E149="",F149="",F149&lt;E149),0,IF(G149="Yes",0.5,NETWORKDAYS.INTL(E149,F149,Setup!$C$14,Holidays!$B$5:$B$34)))</f>
        <v>0</v>
      </c>
      <c r="I149" s="119"/>
      <c r="J149" s="122"/>
      <c r="K149" s="118"/>
      <c r="L149" s="54" t="str">
        <f aca="false">IF(B149="","",IF(C149="Not found","Emp ID not found",IF(ISNA(MATCH(D149,Setup!$A$18:$A$23,0)),"Pick leave type",IF(OR(E149="",F149=""),"Enter From &amp; To",IF(F149&lt;E149,"To before From",IF(AND(G149="Yes",F149&gt;E149),"Half day = 1 date",IF(OR(E149&lt;Setup!$C$12,F149&gt;Setup!$C$13),"Outside leave year",IF(H149=0,"No working day",IF(AND(J149&lt;&gt;"Rejected",COUNTIFS($B$6:$B$305,B149,$J$6:$J$305,"&lt;&gt;Rejected",$E$6:$E$305,"&lt;="&amp;F149,$F$6:$F$305,"&gt;="&amp;E149)&gt;1),"Overlaps another leave",IF(AND(J149="Approved",N(INDEX(Balance!$F$6:$W$55,MATCH(B149,Balance!$B$6:$B$55,0),MATCH(D149,Setup!$A$18:$A$23,0)*3))&lt;0),"Exceeds balance",IF(J149="","Set status","OK")))))))))))</f>
        <v/>
      </c>
      <c r="M149" s="55" t="str">
        <f aca="false">IF(AND(B149&lt;&gt;"",B149='Leave Card'!$C$3),COUNTIF($B$6:B149,'Leave Card'!$C$3),"")</f>
        <v/>
      </c>
    </row>
    <row r="150" customFormat="false" ht="15" hidden="false" customHeight="false" outlineLevel="0" collapsed="false">
      <c r="A150" s="51" t="str">
        <f aca="false">IF(B150="","",ROW()-5)</f>
        <v/>
      </c>
      <c r="B150" s="118"/>
      <c r="C150" s="10" t="str">
        <f aca="false">IF(B150="","",IFERROR(INDEX(Employees!$C$5:$C$54,MATCH(B150,Employees!$B$5:$B$54,0)),"Not found"))</f>
        <v/>
      </c>
      <c r="D150" s="122"/>
      <c r="E150" s="123"/>
      <c r="F150" s="123"/>
      <c r="G150" s="118"/>
      <c r="H150" s="11" t="n">
        <f aca="false">IF(OR(B150="",E150="",F150="",F150&lt;E150),0,IF(G150="Yes",0.5,NETWORKDAYS.INTL(E150,F150,Setup!$C$14,Holidays!$B$5:$B$34)))</f>
        <v>0</v>
      </c>
      <c r="I150" s="119"/>
      <c r="J150" s="122"/>
      <c r="K150" s="118"/>
      <c r="L150" s="54" t="str">
        <f aca="false">IF(B150="","",IF(C150="Not found","Emp ID not found",IF(ISNA(MATCH(D150,Setup!$A$18:$A$23,0)),"Pick leave type",IF(OR(E150="",F150=""),"Enter From &amp; To",IF(F150&lt;E150,"To before From",IF(AND(G150="Yes",F150&gt;E150),"Half day = 1 date",IF(OR(E150&lt;Setup!$C$12,F150&gt;Setup!$C$13),"Outside leave year",IF(H150=0,"No working day",IF(AND(J150&lt;&gt;"Rejected",COUNTIFS($B$6:$B$305,B150,$J$6:$J$305,"&lt;&gt;Rejected",$E$6:$E$305,"&lt;="&amp;F150,$F$6:$F$305,"&gt;="&amp;E150)&gt;1),"Overlaps another leave",IF(AND(J150="Approved",N(INDEX(Balance!$F$6:$W$55,MATCH(B150,Balance!$B$6:$B$55,0),MATCH(D150,Setup!$A$18:$A$23,0)*3))&lt;0),"Exceeds balance",IF(J150="","Set status","OK")))))))))))</f>
        <v/>
      </c>
      <c r="M150" s="55" t="str">
        <f aca="false">IF(AND(B150&lt;&gt;"",B150='Leave Card'!$C$3),COUNTIF($B$6:B150,'Leave Card'!$C$3),"")</f>
        <v/>
      </c>
    </row>
    <row r="151" customFormat="false" ht="15" hidden="false" customHeight="false" outlineLevel="0" collapsed="false">
      <c r="A151" s="51" t="str">
        <f aca="false">IF(B151="","",ROW()-5)</f>
        <v/>
      </c>
      <c r="B151" s="118"/>
      <c r="C151" s="10" t="str">
        <f aca="false">IF(B151="","",IFERROR(INDEX(Employees!$C$5:$C$54,MATCH(B151,Employees!$B$5:$B$54,0)),"Not found"))</f>
        <v/>
      </c>
      <c r="D151" s="122"/>
      <c r="E151" s="123"/>
      <c r="F151" s="123"/>
      <c r="G151" s="118"/>
      <c r="H151" s="11" t="n">
        <f aca="false">IF(OR(B151="",E151="",F151="",F151&lt;E151),0,IF(G151="Yes",0.5,NETWORKDAYS.INTL(E151,F151,Setup!$C$14,Holidays!$B$5:$B$34)))</f>
        <v>0</v>
      </c>
      <c r="I151" s="119"/>
      <c r="J151" s="122"/>
      <c r="K151" s="118"/>
      <c r="L151" s="54" t="str">
        <f aca="false">IF(B151="","",IF(C151="Not found","Emp ID not found",IF(ISNA(MATCH(D151,Setup!$A$18:$A$23,0)),"Pick leave type",IF(OR(E151="",F151=""),"Enter From &amp; To",IF(F151&lt;E151,"To before From",IF(AND(G151="Yes",F151&gt;E151),"Half day = 1 date",IF(OR(E151&lt;Setup!$C$12,F151&gt;Setup!$C$13),"Outside leave year",IF(H151=0,"No working day",IF(AND(J151&lt;&gt;"Rejected",COUNTIFS($B$6:$B$305,B151,$J$6:$J$305,"&lt;&gt;Rejected",$E$6:$E$305,"&lt;="&amp;F151,$F$6:$F$305,"&gt;="&amp;E151)&gt;1),"Overlaps another leave",IF(AND(J151="Approved",N(INDEX(Balance!$F$6:$W$55,MATCH(B151,Balance!$B$6:$B$55,0),MATCH(D151,Setup!$A$18:$A$23,0)*3))&lt;0),"Exceeds balance",IF(J151="","Set status","OK")))))))))))</f>
        <v/>
      </c>
      <c r="M151" s="55" t="str">
        <f aca="false">IF(AND(B151&lt;&gt;"",B151='Leave Card'!$C$3),COUNTIF($B$6:B151,'Leave Card'!$C$3),"")</f>
        <v/>
      </c>
    </row>
    <row r="152" customFormat="false" ht="15" hidden="false" customHeight="false" outlineLevel="0" collapsed="false">
      <c r="A152" s="51" t="str">
        <f aca="false">IF(B152="","",ROW()-5)</f>
        <v/>
      </c>
      <c r="B152" s="118"/>
      <c r="C152" s="10" t="str">
        <f aca="false">IF(B152="","",IFERROR(INDEX(Employees!$C$5:$C$54,MATCH(B152,Employees!$B$5:$B$54,0)),"Not found"))</f>
        <v/>
      </c>
      <c r="D152" s="122"/>
      <c r="E152" s="123"/>
      <c r="F152" s="123"/>
      <c r="G152" s="118"/>
      <c r="H152" s="11" t="n">
        <f aca="false">IF(OR(B152="",E152="",F152="",F152&lt;E152),0,IF(G152="Yes",0.5,NETWORKDAYS.INTL(E152,F152,Setup!$C$14,Holidays!$B$5:$B$34)))</f>
        <v>0</v>
      </c>
      <c r="I152" s="119"/>
      <c r="J152" s="122"/>
      <c r="K152" s="118"/>
      <c r="L152" s="54" t="str">
        <f aca="false">IF(B152="","",IF(C152="Not found","Emp ID not found",IF(ISNA(MATCH(D152,Setup!$A$18:$A$23,0)),"Pick leave type",IF(OR(E152="",F152=""),"Enter From &amp; To",IF(F152&lt;E152,"To before From",IF(AND(G152="Yes",F152&gt;E152),"Half day = 1 date",IF(OR(E152&lt;Setup!$C$12,F152&gt;Setup!$C$13),"Outside leave year",IF(H152=0,"No working day",IF(AND(J152&lt;&gt;"Rejected",COUNTIFS($B$6:$B$305,B152,$J$6:$J$305,"&lt;&gt;Rejected",$E$6:$E$305,"&lt;="&amp;F152,$F$6:$F$305,"&gt;="&amp;E152)&gt;1),"Overlaps another leave",IF(AND(J152="Approved",N(INDEX(Balance!$F$6:$W$55,MATCH(B152,Balance!$B$6:$B$55,0),MATCH(D152,Setup!$A$18:$A$23,0)*3))&lt;0),"Exceeds balance",IF(J152="","Set status","OK")))))))))))</f>
        <v/>
      </c>
      <c r="M152" s="55" t="str">
        <f aca="false">IF(AND(B152&lt;&gt;"",B152='Leave Card'!$C$3),COUNTIF($B$6:B152,'Leave Card'!$C$3),"")</f>
        <v/>
      </c>
    </row>
    <row r="153" customFormat="false" ht="15" hidden="false" customHeight="false" outlineLevel="0" collapsed="false">
      <c r="A153" s="51" t="str">
        <f aca="false">IF(B153="","",ROW()-5)</f>
        <v/>
      </c>
      <c r="B153" s="118"/>
      <c r="C153" s="10" t="str">
        <f aca="false">IF(B153="","",IFERROR(INDEX(Employees!$C$5:$C$54,MATCH(B153,Employees!$B$5:$B$54,0)),"Not found"))</f>
        <v/>
      </c>
      <c r="D153" s="122"/>
      <c r="E153" s="123"/>
      <c r="F153" s="123"/>
      <c r="G153" s="118"/>
      <c r="H153" s="11" t="n">
        <f aca="false">IF(OR(B153="",E153="",F153="",F153&lt;E153),0,IF(G153="Yes",0.5,NETWORKDAYS.INTL(E153,F153,Setup!$C$14,Holidays!$B$5:$B$34)))</f>
        <v>0</v>
      </c>
      <c r="I153" s="119"/>
      <c r="J153" s="122"/>
      <c r="K153" s="118"/>
      <c r="L153" s="54" t="str">
        <f aca="false">IF(B153="","",IF(C153="Not found","Emp ID not found",IF(ISNA(MATCH(D153,Setup!$A$18:$A$23,0)),"Pick leave type",IF(OR(E153="",F153=""),"Enter From &amp; To",IF(F153&lt;E153,"To before From",IF(AND(G153="Yes",F153&gt;E153),"Half day = 1 date",IF(OR(E153&lt;Setup!$C$12,F153&gt;Setup!$C$13),"Outside leave year",IF(H153=0,"No working day",IF(AND(J153&lt;&gt;"Rejected",COUNTIFS($B$6:$B$305,B153,$J$6:$J$305,"&lt;&gt;Rejected",$E$6:$E$305,"&lt;="&amp;F153,$F$6:$F$305,"&gt;="&amp;E153)&gt;1),"Overlaps another leave",IF(AND(J153="Approved",N(INDEX(Balance!$F$6:$W$55,MATCH(B153,Balance!$B$6:$B$55,0),MATCH(D153,Setup!$A$18:$A$23,0)*3))&lt;0),"Exceeds balance",IF(J153="","Set status","OK")))))))))))</f>
        <v/>
      </c>
      <c r="M153" s="55" t="str">
        <f aca="false">IF(AND(B153&lt;&gt;"",B153='Leave Card'!$C$3),COUNTIF($B$6:B153,'Leave Card'!$C$3),"")</f>
        <v/>
      </c>
    </row>
    <row r="154" customFormat="false" ht="15" hidden="false" customHeight="false" outlineLevel="0" collapsed="false">
      <c r="A154" s="51" t="str">
        <f aca="false">IF(B154="","",ROW()-5)</f>
        <v/>
      </c>
      <c r="B154" s="118"/>
      <c r="C154" s="10" t="str">
        <f aca="false">IF(B154="","",IFERROR(INDEX(Employees!$C$5:$C$54,MATCH(B154,Employees!$B$5:$B$54,0)),"Not found"))</f>
        <v/>
      </c>
      <c r="D154" s="122"/>
      <c r="E154" s="123"/>
      <c r="F154" s="123"/>
      <c r="G154" s="118"/>
      <c r="H154" s="11" t="n">
        <f aca="false">IF(OR(B154="",E154="",F154="",F154&lt;E154),0,IF(G154="Yes",0.5,NETWORKDAYS.INTL(E154,F154,Setup!$C$14,Holidays!$B$5:$B$34)))</f>
        <v>0</v>
      </c>
      <c r="I154" s="119"/>
      <c r="J154" s="122"/>
      <c r="K154" s="118"/>
      <c r="L154" s="54" t="str">
        <f aca="false">IF(B154="","",IF(C154="Not found","Emp ID not found",IF(ISNA(MATCH(D154,Setup!$A$18:$A$23,0)),"Pick leave type",IF(OR(E154="",F154=""),"Enter From &amp; To",IF(F154&lt;E154,"To before From",IF(AND(G154="Yes",F154&gt;E154),"Half day = 1 date",IF(OR(E154&lt;Setup!$C$12,F154&gt;Setup!$C$13),"Outside leave year",IF(H154=0,"No working day",IF(AND(J154&lt;&gt;"Rejected",COUNTIFS($B$6:$B$305,B154,$J$6:$J$305,"&lt;&gt;Rejected",$E$6:$E$305,"&lt;="&amp;F154,$F$6:$F$305,"&gt;="&amp;E154)&gt;1),"Overlaps another leave",IF(AND(J154="Approved",N(INDEX(Balance!$F$6:$W$55,MATCH(B154,Balance!$B$6:$B$55,0),MATCH(D154,Setup!$A$18:$A$23,0)*3))&lt;0),"Exceeds balance",IF(J154="","Set status","OK")))))))))))</f>
        <v/>
      </c>
      <c r="M154" s="55" t="str">
        <f aca="false">IF(AND(B154&lt;&gt;"",B154='Leave Card'!$C$3),COUNTIF($B$6:B154,'Leave Card'!$C$3),"")</f>
        <v/>
      </c>
    </row>
    <row r="155" customFormat="false" ht="15" hidden="false" customHeight="false" outlineLevel="0" collapsed="false">
      <c r="A155" s="51" t="str">
        <f aca="false">IF(B155="","",ROW()-5)</f>
        <v/>
      </c>
      <c r="B155" s="118"/>
      <c r="C155" s="10" t="str">
        <f aca="false">IF(B155="","",IFERROR(INDEX(Employees!$C$5:$C$54,MATCH(B155,Employees!$B$5:$B$54,0)),"Not found"))</f>
        <v/>
      </c>
      <c r="D155" s="122"/>
      <c r="E155" s="123"/>
      <c r="F155" s="123"/>
      <c r="G155" s="118"/>
      <c r="H155" s="11" t="n">
        <f aca="false">IF(OR(B155="",E155="",F155="",F155&lt;E155),0,IF(G155="Yes",0.5,NETWORKDAYS.INTL(E155,F155,Setup!$C$14,Holidays!$B$5:$B$34)))</f>
        <v>0</v>
      </c>
      <c r="I155" s="119"/>
      <c r="J155" s="122"/>
      <c r="K155" s="118"/>
      <c r="L155" s="54" t="str">
        <f aca="false">IF(B155="","",IF(C155="Not found","Emp ID not found",IF(ISNA(MATCH(D155,Setup!$A$18:$A$23,0)),"Pick leave type",IF(OR(E155="",F155=""),"Enter From &amp; To",IF(F155&lt;E155,"To before From",IF(AND(G155="Yes",F155&gt;E155),"Half day = 1 date",IF(OR(E155&lt;Setup!$C$12,F155&gt;Setup!$C$13),"Outside leave year",IF(H155=0,"No working day",IF(AND(J155&lt;&gt;"Rejected",COUNTIFS($B$6:$B$305,B155,$J$6:$J$305,"&lt;&gt;Rejected",$E$6:$E$305,"&lt;="&amp;F155,$F$6:$F$305,"&gt;="&amp;E155)&gt;1),"Overlaps another leave",IF(AND(J155="Approved",N(INDEX(Balance!$F$6:$W$55,MATCH(B155,Balance!$B$6:$B$55,0),MATCH(D155,Setup!$A$18:$A$23,0)*3))&lt;0),"Exceeds balance",IF(J155="","Set status","OK")))))))))))</f>
        <v/>
      </c>
      <c r="M155" s="55" t="str">
        <f aca="false">IF(AND(B155&lt;&gt;"",B155='Leave Card'!$C$3),COUNTIF($B$6:B155,'Leave Card'!$C$3),"")</f>
        <v/>
      </c>
    </row>
    <row r="156" customFormat="false" ht="15" hidden="false" customHeight="false" outlineLevel="0" collapsed="false">
      <c r="A156" s="51" t="str">
        <f aca="false">IF(B156="","",ROW()-5)</f>
        <v/>
      </c>
      <c r="B156" s="118"/>
      <c r="C156" s="10" t="str">
        <f aca="false">IF(B156="","",IFERROR(INDEX(Employees!$C$5:$C$54,MATCH(B156,Employees!$B$5:$B$54,0)),"Not found"))</f>
        <v/>
      </c>
      <c r="D156" s="122"/>
      <c r="E156" s="123"/>
      <c r="F156" s="123"/>
      <c r="G156" s="118"/>
      <c r="H156" s="11" t="n">
        <f aca="false">IF(OR(B156="",E156="",F156="",F156&lt;E156),0,IF(G156="Yes",0.5,NETWORKDAYS.INTL(E156,F156,Setup!$C$14,Holidays!$B$5:$B$34)))</f>
        <v>0</v>
      </c>
      <c r="I156" s="119"/>
      <c r="J156" s="122"/>
      <c r="K156" s="118"/>
      <c r="L156" s="54" t="str">
        <f aca="false">IF(B156="","",IF(C156="Not found","Emp ID not found",IF(ISNA(MATCH(D156,Setup!$A$18:$A$23,0)),"Pick leave type",IF(OR(E156="",F156=""),"Enter From &amp; To",IF(F156&lt;E156,"To before From",IF(AND(G156="Yes",F156&gt;E156),"Half day = 1 date",IF(OR(E156&lt;Setup!$C$12,F156&gt;Setup!$C$13),"Outside leave year",IF(H156=0,"No working day",IF(AND(J156&lt;&gt;"Rejected",COUNTIFS($B$6:$B$305,B156,$J$6:$J$305,"&lt;&gt;Rejected",$E$6:$E$305,"&lt;="&amp;F156,$F$6:$F$305,"&gt;="&amp;E156)&gt;1),"Overlaps another leave",IF(AND(J156="Approved",N(INDEX(Balance!$F$6:$W$55,MATCH(B156,Balance!$B$6:$B$55,0),MATCH(D156,Setup!$A$18:$A$23,0)*3))&lt;0),"Exceeds balance",IF(J156="","Set status","OK")))))))))))</f>
        <v/>
      </c>
      <c r="M156" s="55" t="str">
        <f aca="false">IF(AND(B156&lt;&gt;"",B156='Leave Card'!$C$3),COUNTIF($B$6:B156,'Leave Card'!$C$3),"")</f>
        <v/>
      </c>
    </row>
    <row r="157" customFormat="false" ht="15" hidden="false" customHeight="false" outlineLevel="0" collapsed="false">
      <c r="A157" s="51" t="str">
        <f aca="false">IF(B157="","",ROW()-5)</f>
        <v/>
      </c>
      <c r="B157" s="118"/>
      <c r="C157" s="10" t="str">
        <f aca="false">IF(B157="","",IFERROR(INDEX(Employees!$C$5:$C$54,MATCH(B157,Employees!$B$5:$B$54,0)),"Not found"))</f>
        <v/>
      </c>
      <c r="D157" s="122"/>
      <c r="E157" s="123"/>
      <c r="F157" s="123"/>
      <c r="G157" s="118"/>
      <c r="H157" s="11" t="n">
        <f aca="false">IF(OR(B157="",E157="",F157="",F157&lt;E157),0,IF(G157="Yes",0.5,NETWORKDAYS.INTL(E157,F157,Setup!$C$14,Holidays!$B$5:$B$34)))</f>
        <v>0</v>
      </c>
      <c r="I157" s="119"/>
      <c r="J157" s="122"/>
      <c r="K157" s="118"/>
      <c r="L157" s="54" t="str">
        <f aca="false">IF(B157="","",IF(C157="Not found","Emp ID not found",IF(ISNA(MATCH(D157,Setup!$A$18:$A$23,0)),"Pick leave type",IF(OR(E157="",F157=""),"Enter From &amp; To",IF(F157&lt;E157,"To before From",IF(AND(G157="Yes",F157&gt;E157),"Half day = 1 date",IF(OR(E157&lt;Setup!$C$12,F157&gt;Setup!$C$13),"Outside leave year",IF(H157=0,"No working day",IF(AND(J157&lt;&gt;"Rejected",COUNTIFS($B$6:$B$305,B157,$J$6:$J$305,"&lt;&gt;Rejected",$E$6:$E$305,"&lt;="&amp;F157,$F$6:$F$305,"&gt;="&amp;E157)&gt;1),"Overlaps another leave",IF(AND(J157="Approved",N(INDEX(Balance!$F$6:$W$55,MATCH(B157,Balance!$B$6:$B$55,0),MATCH(D157,Setup!$A$18:$A$23,0)*3))&lt;0),"Exceeds balance",IF(J157="","Set status","OK")))))))))))</f>
        <v/>
      </c>
      <c r="M157" s="55" t="str">
        <f aca="false">IF(AND(B157&lt;&gt;"",B157='Leave Card'!$C$3),COUNTIF($B$6:B157,'Leave Card'!$C$3),"")</f>
        <v/>
      </c>
    </row>
    <row r="158" customFormat="false" ht="15" hidden="false" customHeight="false" outlineLevel="0" collapsed="false">
      <c r="A158" s="51" t="str">
        <f aca="false">IF(B158="","",ROW()-5)</f>
        <v/>
      </c>
      <c r="B158" s="118"/>
      <c r="C158" s="10" t="str">
        <f aca="false">IF(B158="","",IFERROR(INDEX(Employees!$C$5:$C$54,MATCH(B158,Employees!$B$5:$B$54,0)),"Not found"))</f>
        <v/>
      </c>
      <c r="D158" s="122"/>
      <c r="E158" s="123"/>
      <c r="F158" s="123"/>
      <c r="G158" s="118"/>
      <c r="H158" s="11" t="n">
        <f aca="false">IF(OR(B158="",E158="",F158="",F158&lt;E158),0,IF(G158="Yes",0.5,NETWORKDAYS.INTL(E158,F158,Setup!$C$14,Holidays!$B$5:$B$34)))</f>
        <v>0</v>
      </c>
      <c r="I158" s="119"/>
      <c r="J158" s="122"/>
      <c r="K158" s="118"/>
      <c r="L158" s="54" t="str">
        <f aca="false">IF(B158="","",IF(C158="Not found","Emp ID not found",IF(ISNA(MATCH(D158,Setup!$A$18:$A$23,0)),"Pick leave type",IF(OR(E158="",F158=""),"Enter From &amp; To",IF(F158&lt;E158,"To before From",IF(AND(G158="Yes",F158&gt;E158),"Half day = 1 date",IF(OR(E158&lt;Setup!$C$12,F158&gt;Setup!$C$13),"Outside leave year",IF(H158=0,"No working day",IF(AND(J158&lt;&gt;"Rejected",COUNTIFS($B$6:$B$305,B158,$J$6:$J$305,"&lt;&gt;Rejected",$E$6:$E$305,"&lt;="&amp;F158,$F$6:$F$305,"&gt;="&amp;E158)&gt;1),"Overlaps another leave",IF(AND(J158="Approved",N(INDEX(Balance!$F$6:$W$55,MATCH(B158,Balance!$B$6:$B$55,0),MATCH(D158,Setup!$A$18:$A$23,0)*3))&lt;0),"Exceeds balance",IF(J158="","Set status","OK")))))))))))</f>
        <v/>
      </c>
      <c r="M158" s="55" t="str">
        <f aca="false">IF(AND(B158&lt;&gt;"",B158='Leave Card'!$C$3),COUNTIF($B$6:B158,'Leave Card'!$C$3),"")</f>
        <v/>
      </c>
    </row>
    <row r="159" customFormat="false" ht="15" hidden="false" customHeight="false" outlineLevel="0" collapsed="false">
      <c r="A159" s="51" t="str">
        <f aca="false">IF(B159="","",ROW()-5)</f>
        <v/>
      </c>
      <c r="B159" s="118"/>
      <c r="C159" s="10" t="str">
        <f aca="false">IF(B159="","",IFERROR(INDEX(Employees!$C$5:$C$54,MATCH(B159,Employees!$B$5:$B$54,0)),"Not found"))</f>
        <v/>
      </c>
      <c r="D159" s="122"/>
      <c r="E159" s="123"/>
      <c r="F159" s="123"/>
      <c r="G159" s="118"/>
      <c r="H159" s="11" t="n">
        <f aca="false">IF(OR(B159="",E159="",F159="",F159&lt;E159),0,IF(G159="Yes",0.5,NETWORKDAYS.INTL(E159,F159,Setup!$C$14,Holidays!$B$5:$B$34)))</f>
        <v>0</v>
      </c>
      <c r="I159" s="119"/>
      <c r="J159" s="122"/>
      <c r="K159" s="118"/>
      <c r="L159" s="54" t="str">
        <f aca="false">IF(B159="","",IF(C159="Not found","Emp ID not found",IF(ISNA(MATCH(D159,Setup!$A$18:$A$23,0)),"Pick leave type",IF(OR(E159="",F159=""),"Enter From &amp; To",IF(F159&lt;E159,"To before From",IF(AND(G159="Yes",F159&gt;E159),"Half day = 1 date",IF(OR(E159&lt;Setup!$C$12,F159&gt;Setup!$C$13),"Outside leave year",IF(H159=0,"No working day",IF(AND(J159&lt;&gt;"Rejected",COUNTIFS($B$6:$B$305,B159,$J$6:$J$305,"&lt;&gt;Rejected",$E$6:$E$305,"&lt;="&amp;F159,$F$6:$F$305,"&gt;="&amp;E159)&gt;1),"Overlaps another leave",IF(AND(J159="Approved",N(INDEX(Balance!$F$6:$W$55,MATCH(B159,Balance!$B$6:$B$55,0),MATCH(D159,Setup!$A$18:$A$23,0)*3))&lt;0),"Exceeds balance",IF(J159="","Set status","OK")))))))))))</f>
        <v/>
      </c>
      <c r="M159" s="55" t="str">
        <f aca="false">IF(AND(B159&lt;&gt;"",B159='Leave Card'!$C$3),COUNTIF($B$6:B159,'Leave Card'!$C$3),"")</f>
        <v/>
      </c>
    </row>
    <row r="160" customFormat="false" ht="15" hidden="false" customHeight="false" outlineLevel="0" collapsed="false">
      <c r="A160" s="51" t="str">
        <f aca="false">IF(B160="","",ROW()-5)</f>
        <v/>
      </c>
      <c r="B160" s="118"/>
      <c r="C160" s="10" t="str">
        <f aca="false">IF(B160="","",IFERROR(INDEX(Employees!$C$5:$C$54,MATCH(B160,Employees!$B$5:$B$54,0)),"Not found"))</f>
        <v/>
      </c>
      <c r="D160" s="122"/>
      <c r="E160" s="123"/>
      <c r="F160" s="123"/>
      <c r="G160" s="118"/>
      <c r="H160" s="11" t="n">
        <f aca="false">IF(OR(B160="",E160="",F160="",F160&lt;E160),0,IF(G160="Yes",0.5,NETWORKDAYS.INTL(E160,F160,Setup!$C$14,Holidays!$B$5:$B$34)))</f>
        <v>0</v>
      </c>
      <c r="I160" s="119"/>
      <c r="J160" s="122"/>
      <c r="K160" s="118"/>
      <c r="L160" s="54" t="str">
        <f aca="false">IF(B160="","",IF(C160="Not found","Emp ID not found",IF(ISNA(MATCH(D160,Setup!$A$18:$A$23,0)),"Pick leave type",IF(OR(E160="",F160=""),"Enter From &amp; To",IF(F160&lt;E160,"To before From",IF(AND(G160="Yes",F160&gt;E160),"Half day = 1 date",IF(OR(E160&lt;Setup!$C$12,F160&gt;Setup!$C$13),"Outside leave year",IF(H160=0,"No working day",IF(AND(J160&lt;&gt;"Rejected",COUNTIFS($B$6:$B$305,B160,$J$6:$J$305,"&lt;&gt;Rejected",$E$6:$E$305,"&lt;="&amp;F160,$F$6:$F$305,"&gt;="&amp;E160)&gt;1),"Overlaps another leave",IF(AND(J160="Approved",N(INDEX(Balance!$F$6:$W$55,MATCH(B160,Balance!$B$6:$B$55,0),MATCH(D160,Setup!$A$18:$A$23,0)*3))&lt;0),"Exceeds balance",IF(J160="","Set status","OK")))))))))))</f>
        <v/>
      </c>
      <c r="M160" s="55" t="str">
        <f aca="false">IF(AND(B160&lt;&gt;"",B160='Leave Card'!$C$3),COUNTIF($B$6:B160,'Leave Card'!$C$3),"")</f>
        <v/>
      </c>
    </row>
    <row r="161" customFormat="false" ht="15" hidden="false" customHeight="false" outlineLevel="0" collapsed="false">
      <c r="A161" s="51" t="str">
        <f aca="false">IF(B161="","",ROW()-5)</f>
        <v/>
      </c>
      <c r="B161" s="118"/>
      <c r="C161" s="10" t="str">
        <f aca="false">IF(B161="","",IFERROR(INDEX(Employees!$C$5:$C$54,MATCH(B161,Employees!$B$5:$B$54,0)),"Not found"))</f>
        <v/>
      </c>
      <c r="D161" s="122"/>
      <c r="E161" s="123"/>
      <c r="F161" s="123"/>
      <c r="G161" s="118"/>
      <c r="H161" s="11" t="n">
        <f aca="false">IF(OR(B161="",E161="",F161="",F161&lt;E161),0,IF(G161="Yes",0.5,NETWORKDAYS.INTL(E161,F161,Setup!$C$14,Holidays!$B$5:$B$34)))</f>
        <v>0</v>
      </c>
      <c r="I161" s="119"/>
      <c r="J161" s="122"/>
      <c r="K161" s="118"/>
      <c r="L161" s="54" t="str">
        <f aca="false">IF(B161="","",IF(C161="Not found","Emp ID not found",IF(ISNA(MATCH(D161,Setup!$A$18:$A$23,0)),"Pick leave type",IF(OR(E161="",F161=""),"Enter From &amp; To",IF(F161&lt;E161,"To before From",IF(AND(G161="Yes",F161&gt;E161),"Half day = 1 date",IF(OR(E161&lt;Setup!$C$12,F161&gt;Setup!$C$13),"Outside leave year",IF(H161=0,"No working day",IF(AND(J161&lt;&gt;"Rejected",COUNTIFS($B$6:$B$305,B161,$J$6:$J$305,"&lt;&gt;Rejected",$E$6:$E$305,"&lt;="&amp;F161,$F$6:$F$305,"&gt;="&amp;E161)&gt;1),"Overlaps another leave",IF(AND(J161="Approved",N(INDEX(Balance!$F$6:$W$55,MATCH(B161,Balance!$B$6:$B$55,0),MATCH(D161,Setup!$A$18:$A$23,0)*3))&lt;0),"Exceeds balance",IF(J161="","Set status","OK")))))))))))</f>
        <v/>
      </c>
      <c r="M161" s="55" t="str">
        <f aca="false">IF(AND(B161&lt;&gt;"",B161='Leave Card'!$C$3),COUNTIF($B$6:B161,'Leave Card'!$C$3),"")</f>
        <v/>
      </c>
    </row>
    <row r="162" customFormat="false" ht="15" hidden="false" customHeight="false" outlineLevel="0" collapsed="false">
      <c r="A162" s="51" t="str">
        <f aca="false">IF(B162="","",ROW()-5)</f>
        <v/>
      </c>
      <c r="B162" s="118"/>
      <c r="C162" s="10" t="str">
        <f aca="false">IF(B162="","",IFERROR(INDEX(Employees!$C$5:$C$54,MATCH(B162,Employees!$B$5:$B$54,0)),"Not found"))</f>
        <v/>
      </c>
      <c r="D162" s="122"/>
      <c r="E162" s="123"/>
      <c r="F162" s="123"/>
      <c r="G162" s="118"/>
      <c r="H162" s="11" t="n">
        <f aca="false">IF(OR(B162="",E162="",F162="",F162&lt;E162),0,IF(G162="Yes",0.5,NETWORKDAYS.INTL(E162,F162,Setup!$C$14,Holidays!$B$5:$B$34)))</f>
        <v>0</v>
      </c>
      <c r="I162" s="119"/>
      <c r="J162" s="122"/>
      <c r="K162" s="118"/>
      <c r="L162" s="54" t="str">
        <f aca="false">IF(B162="","",IF(C162="Not found","Emp ID not found",IF(ISNA(MATCH(D162,Setup!$A$18:$A$23,0)),"Pick leave type",IF(OR(E162="",F162=""),"Enter From &amp; To",IF(F162&lt;E162,"To before From",IF(AND(G162="Yes",F162&gt;E162),"Half day = 1 date",IF(OR(E162&lt;Setup!$C$12,F162&gt;Setup!$C$13),"Outside leave year",IF(H162=0,"No working day",IF(AND(J162&lt;&gt;"Rejected",COUNTIFS($B$6:$B$305,B162,$J$6:$J$305,"&lt;&gt;Rejected",$E$6:$E$305,"&lt;="&amp;F162,$F$6:$F$305,"&gt;="&amp;E162)&gt;1),"Overlaps another leave",IF(AND(J162="Approved",N(INDEX(Balance!$F$6:$W$55,MATCH(B162,Balance!$B$6:$B$55,0),MATCH(D162,Setup!$A$18:$A$23,0)*3))&lt;0),"Exceeds balance",IF(J162="","Set status","OK")))))))))))</f>
        <v/>
      </c>
      <c r="M162" s="55" t="str">
        <f aca="false">IF(AND(B162&lt;&gt;"",B162='Leave Card'!$C$3),COUNTIF($B$6:B162,'Leave Card'!$C$3),"")</f>
        <v/>
      </c>
    </row>
    <row r="163" customFormat="false" ht="15" hidden="false" customHeight="false" outlineLevel="0" collapsed="false">
      <c r="A163" s="51" t="str">
        <f aca="false">IF(B163="","",ROW()-5)</f>
        <v/>
      </c>
      <c r="B163" s="118"/>
      <c r="C163" s="10" t="str">
        <f aca="false">IF(B163="","",IFERROR(INDEX(Employees!$C$5:$C$54,MATCH(B163,Employees!$B$5:$B$54,0)),"Not found"))</f>
        <v/>
      </c>
      <c r="D163" s="122"/>
      <c r="E163" s="123"/>
      <c r="F163" s="123"/>
      <c r="G163" s="118"/>
      <c r="H163" s="11" t="n">
        <f aca="false">IF(OR(B163="",E163="",F163="",F163&lt;E163),0,IF(G163="Yes",0.5,NETWORKDAYS.INTL(E163,F163,Setup!$C$14,Holidays!$B$5:$B$34)))</f>
        <v>0</v>
      </c>
      <c r="I163" s="119"/>
      <c r="J163" s="122"/>
      <c r="K163" s="118"/>
      <c r="L163" s="54" t="str">
        <f aca="false">IF(B163="","",IF(C163="Not found","Emp ID not found",IF(ISNA(MATCH(D163,Setup!$A$18:$A$23,0)),"Pick leave type",IF(OR(E163="",F163=""),"Enter From &amp; To",IF(F163&lt;E163,"To before From",IF(AND(G163="Yes",F163&gt;E163),"Half day = 1 date",IF(OR(E163&lt;Setup!$C$12,F163&gt;Setup!$C$13),"Outside leave year",IF(H163=0,"No working day",IF(AND(J163&lt;&gt;"Rejected",COUNTIFS($B$6:$B$305,B163,$J$6:$J$305,"&lt;&gt;Rejected",$E$6:$E$305,"&lt;="&amp;F163,$F$6:$F$305,"&gt;="&amp;E163)&gt;1),"Overlaps another leave",IF(AND(J163="Approved",N(INDEX(Balance!$F$6:$W$55,MATCH(B163,Balance!$B$6:$B$55,0),MATCH(D163,Setup!$A$18:$A$23,0)*3))&lt;0),"Exceeds balance",IF(J163="","Set status","OK")))))))))))</f>
        <v/>
      </c>
      <c r="M163" s="55" t="str">
        <f aca="false">IF(AND(B163&lt;&gt;"",B163='Leave Card'!$C$3),COUNTIF($B$6:B163,'Leave Card'!$C$3),"")</f>
        <v/>
      </c>
    </row>
    <row r="164" customFormat="false" ht="15" hidden="false" customHeight="false" outlineLevel="0" collapsed="false">
      <c r="A164" s="51" t="str">
        <f aca="false">IF(B164="","",ROW()-5)</f>
        <v/>
      </c>
      <c r="B164" s="118"/>
      <c r="C164" s="10" t="str">
        <f aca="false">IF(B164="","",IFERROR(INDEX(Employees!$C$5:$C$54,MATCH(B164,Employees!$B$5:$B$54,0)),"Not found"))</f>
        <v/>
      </c>
      <c r="D164" s="122"/>
      <c r="E164" s="123"/>
      <c r="F164" s="123"/>
      <c r="G164" s="118"/>
      <c r="H164" s="11" t="n">
        <f aca="false">IF(OR(B164="",E164="",F164="",F164&lt;E164),0,IF(G164="Yes",0.5,NETWORKDAYS.INTL(E164,F164,Setup!$C$14,Holidays!$B$5:$B$34)))</f>
        <v>0</v>
      </c>
      <c r="I164" s="119"/>
      <c r="J164" s="122"/>
      <c r="K164" s="118"/>
      <c r="L164" s="54" t="str">
        <f aca="false">IF(B164="","",IF(C164="Not found","Emp ID not found",IF(ISNA(MATCH(D164,Setup!$A$18:$A$23,0)),"Pick leave type",IF(OR(E164="",F164=""),"Enter From &amp; To",IF(F164&lt;E164,"To before From",IF(AND(G164="Yes",F164&gt;E164),"Half day = 1 date",IF(OR(E164&lt;Setup!$C$12,F164&gt;Setup!$C$13),"Outside leave year",IF(H164=0,"No working day",IF(AND(J164&lt;&gt;"Rejected",COUNTIFS($B$6:$B$305,B164,$J$6:$J$305,"&lt;&gt;Rejected",$E$6:$E$305,"&lt;="&amp;F164,$F$6:$F$305,"&gt;="&amp;E164)&gt;1),"Overlaps another leave",IF(AND(J164="Approved",N(INDEX(Balance!$F$6:$W$55,MATCH(B164,Balance!$B$6:$B$55,0),MATCH(D164,Setup!$A$18:$A$23,0)*3))&lt;0),"Exceeds balance",IF(J164="","Set status","OK")))))))))))</f>
        <v/>
      </c>
      <c r="M164" s="55" t="str">
        <f aca="false">IF(AND(B164&lt;&gt;"",B164='Leave Card'!$C$3),COUNTIF($B$6:B164,'Leave Card'!$C$3),"")</f>
        <v/>
      </c>
    </row>
    <row r="165" customFormat="false" ht="15" hidden="false" customHeight="false" outlineLevel="0" collapsed="false">
      <c r="A165" s="51" t="str">
        <f aca="false">IF(B165="","",ROW()-5)</f>
        <v/>
      </c>
      <c r="B165" s="118"/>
      <c r="C165" s="10" t="str">
        <f aca="false">IF(B165="","",IFERROR(INDEX(Employees!$C$5:$C$54,MATCH(B165,Employees!$B$5:$B$54,0)),"Not found"))</f>
        <v/>
      </c>
      <c r="D165" s="122"/>
      <c r="E165" s="123"/>
      <c r="F165" s="123"/>
      <c r="G165" s="118"/>
      <c r="H165" s="11" t="n">
        <f aca="false">IF(OR(B165="",E165="",F165="",F165&lt;E165),0,IF(G165="Yes",0.5,NETWORKDAYS.INTL(E165,F165,Setup!$C$14,Holidays!$B$5:$B$34)))</f>
        <v>0</v>
      </c>
      <c r="I165" s="119"/>
      <c r="J165" s="122"/>
      <c r="K165" s="118"/>
      <c r="L165" s="54" t="str">
        <f aca="false">IF(B165="","",IF(C165="Not found","Emp ID not found",IF(ISNA(MATCH(D165,Setup!$A$18:$A$23,0)),"Pick leave type",IF(OR(E165="",F165=""),"Enter From &amp; To",IF(F165&lt;E165,"To before From",IF(AND(G165="Yes",F165&gt;E165),"Half day = 1 date",IF(OR(E165&lt;Setup!$C$12,F165&gt;Setup!$C$13),"Outside leave year",IF(H165=0,"No working day",IF(AND(J165&lt;&gt;"Rejected",COUNTIFS($B$6:$B$305,B165,$J$6:$J$305,"&lt;&gt;Rejected",$E$6:$E$305,"&lt;="&amp;F165,$F$6:$F$305,"&gt;="&amp;E165)&gt;1),"Overlaps another leave",IF(AND(J165="Approved",N(INDEX(Balance!$F$6:$W$55,MATCH(B165,Balance!$B$6:$B$55,0),MATCH(D165,Setup!$A$18:$A$23,0)*3))&lt;0),"Exceeds balance",IF(J165="","Set status","OK")))))))))))</f>
        <v/>
      </c>
      <c r="M165" s="55" t="str">
        <f aca="false">IF(AND(B165&lt;&gt;"",B165='Leave Card'!$C$3),COUNTIF($B$6:B165,'Leave Card'!$C$3),"")</f>
        <v/>
      </c>
    </row>
    <row r="166" customFormat="false" ht="15" hidden="false" customHeight="false" outlineLevel="0" collapsed="false">
      <c r="A166" s="51" t="str">
        <f aca="false">IF(B166="","",ROW()-5)</f>
        <v/>
      </c>
      <c r="B166" s="118"/>
      <c r="C166" s="10" t="str">
        <f aca="false">IF(B166="","",IFERROR(INDEX(Employees!$C$5:$C$54,MATCH(B166,Employees!$B$5:$B$54,0)),"Not found"))</f>
        <v/>
      </c>
      <c r="D166" s="122"/>
      <c r="E166" s="123"/>
      <c r="F166" s="123"/>
      <c r="G166" s="118"/>
      <c r="H166" s="11" t="n">
        <f aca="false">IF(OR(B166="",E166="",F166="",F166&lt;E166),0,IF(G166="Yes",0.5,NETWORKDAYS.INTL(E166,F166,Setup!$C$14,Holidays!$B$5:$B$34)))</f>
        <v>0</v>
      </c>
      <c r="I166" s="119"/>
      <c r="J166" s="122"/>
      <c r="K166" s="118"/>
      <c r="L166" s="54" t="str">
        <f aca="false">IF(B166="","",IF(C166="Not found","Emp ID not found",IF(ISNA(MATCH(D166,Setup!$A$18:$A$23,0)),"Pick leave type",IF(OR(E166="",F166=""),"Enter From &amp; To",IF(F166&lt;E166,"To before From",IF(AND(G166="Yes",F166&gt;E166),"Half day = 1 date",IF(OR(E166&lt;Setup!$C$12,F166&gt;Setup!$C$13),"Outside leave year",IF(H166=0,"No working day",IF(AND(J166&lt;&gt;"Rejected",COUNTIFS($B$6:$B$305,B166,$J$6:$J$305,"&lt;&gt;Rejected",$E$6:$E$305,"&lt;="&amp;F166,$F$6:$F$305,"&gt;="&amp;E166)&gt;1),"Overlaps another leave",IF(AND(J166="Approved",N(INDEX(Balance!$F$6:$W$55,MATCH(B166,Balance!$B$6:$B$55,0),MATCH(D166,Setup!$A$18:$A$23,0)*3))&lt;0),"Exceeds balance",IF(J166="","Set status","OK")))))))))))</f>
        <v/>
      </c>
      <c r="M166" s="55" t="str">
        <f aca="false">IF(AND(B166&lt;&gt;"",B166='Leave Card'!$C$3),COUNTIF($B$6:B166,'Leave Card'!$C$3),"")</f>
        <v/>
      </c>
    </row>
    <row r="167" customFormat="false" ht="15" hidden="false" customHeight="false" outlineLevel="0" collapsed="false">
      <c r="A167" s="51" t="str">
        <f aca="false">IF(B167="","",ROW()-5)</f>
        <v/>
      </c>
      <c r="B167" s="118"/>
      <c r="C167" s="10" t="str">
        <f aca="false">IF(B167="","",IFERROR(INDEX(Employees!$C$5:$C$54,MATCH(B167,Employees!$B$5:$B$54,0)),"Not found"))</f>
        <v/>
      </c>
      <c r="D167" s="122"/>
      <c r="E167" s="123"/>
      <c r="F167" s="123"/>
      <c r="G167" s="118"/>
      <c r="H167" s="11" t="n">
        <f aca="false">IF(OR(B167="",E167="",F167="",F167&lt;E167),0,IF(G167="Yes",0.5,NETWORKDAYS.INTL(E167,F167,Setup!$C$14,Holidays!$B$5:$B$34)))</f>
        <v>0</v>
      </c>
      <c r="I167" s="119"/>
      <c r="J167" s="122"/>
      <c r="K167" s="118"/>
      <c r="L167" s="54" t="str">
        <f aca="false">IF(B167="","",IF(C167="Not found","Emp ID not found",IF(ISNA(MATCH(D167,Setup!$A$18:$A$23,0)),"Pick leave type",IF(OR(E167="",F167=""),"Enter From &amp; To",IF(F167&lt;E167,"To before From",IF(AND(G167="Yes",F167&gt;E167),"Half day = 1 date",IF(OR(E167&lt;Setup!$C$12,F167&gt;Setup!$C$13),"Outside leave year",IF(H167=0,"No working day",IF(AND(J167&lt;&gt;"Rejected",COUNTIFS($B$6:$B$305,B167,$J$6:$J$305,"&lt;&gt;Rejected",$E$6:$E$305,"&lt;="&amp;F167,$F$6:$F$305,"&gt;="&amp;E167)&gt;1),"Overlaps another leave",IF(AND(J167="Approved",N(INDEX(Balance!$F$6:$W$55,MATCH(B167,Balance!$B$6:$B$55,0),MATCH(D167,Setup!$A$18:$A$23,0)*3))&lt;0),"Exceeds balance",IF(J167="","Set status","OK")))))))))))</f>
        <v/>
      </c>
      <c r="M167" s="55" t="str">
        <f aca="false">IF(AND(B167&lt;&gt;"",B167='Leave Card'!$C$3),COUNTIF($B$6:B167,'Leave Card'!$C$3),"")</f>
        <v/>
      </c>
    </row>
    <row r="168" customFormat="false" ht="15" hidden="false" customHeight="false" outlineLevel="0" collapsed="false">
      <c r="A168" s="51" t="str">
        <f aca="false">IF(B168="","",ROW()-5)</f>
        <v/>
      </c>
      <c r="B168" s="118"/>
      <c r="C168" s="10" t="str">
        <f aca="false">IF(B168="","",IFERROR(INDEX(Employees!$C$5:$C$54,MATCH(B168,Employees!$B$5:$B$54,0)),"Not found"))</f>
        <v/>
      </c>
      <c r="D168" s="122"/>
      <c r="E168" s="123"/>
      <c r="F168" s="123"/>
      <c r="G168" s="118"/>
      <c r="H168" s="11" t="n">
        <f aca="false">IF(OR(B168="",E168="",F168="",F168&lt;E168),0,IF(G168="Yes",0.5,NETWORKDAYS.INTL(E168,F168,Setup!$C$14,Holidays!$B$5:$B$34)))</f>
        <v>0</v>
      </c>
      <c r="I168" s="119"/>
      <c r="J168" s="122"/>
      <c r="K168" s="118"/>
      <c r="L168" s="54" t="str">
        <f aca="false">IF(B168="","",IF(C168="Not found","Emp ID not found",IF(ISNA(MATCH(D168,Setup!$A$18:$A$23,0)),"Pick leave type",IF(OR(E168="",F168=""),"Enter From &amp; To",IF(F168&lt;E168,"To before From",IF(AND(G168="Yes",F168&gt;E168),"Half day = 1 date",IF(OR(E168&lt;Setup!$C$12,F168&gt;Setup!$C$13),"Outside leave year",IF(H168=0,"No working day",IF(AND(J168&lt;&gt;"Rejected",COUNTIFS($B$6:$B$305,B168,$J$6:$J$305,"&lt;&gt;Rejected",$E$6:$E$305,"&lt;="&amp;F168,$F$6:$F$305,"&gt;="&amp;E168)&gt;1),"Overlaps another leave",IF(AND(J168="Approved",N(INDEX(Balance!$F$6:$W$55,MATCH(B168,Balance!$B$6:$B$55,0),MATCH(D168,Setup!$A$18:$A$23,0)*3))&lt;0),"Exceeds balance",IF(J168="","Set status","OK")))))))))))</f>
        <v/>
      </c>
      <c r="M168" s="55" t="str">
        <f aca="false">IF(AND(B168&lt;&gt;"",B168='Leave Card'!$C$3),COUNTIF($B$6:B168,'Leave Card'!$C$3),"")</f>
        <v/>
      </c>
    </row>
    <row r="169" customFormat="false" ht="15" hidden="false" customHeight="false" outlineLevel="0" collapsed="false">
      <c r="A169" s="51" t="str">
        <f aca="false">IF(B169="","",ROW()-5)</f>
        <v/>
      </c>
      <c r="B169" s="118"/>
      <c r="C169" s="10" t="str">
        <f aca="false">IF(B169="","",IFERROR(INDEX(Employees!$C$5:$C$54,MATCH(B169,Employees!$B$5:$B$54,0)),"Not found"))</f>
        <v/>
      </c>
      <c r="D169" s="122"/>
      <c r="E169" s="123"/>
      <c r="F169" s="123"/>
      <c r="G169" s="118"/>
      <c r="H169" s="11" t="n">
        <f aca="false">IF(OR(B169="",E169="",F169="",F169&lt;E169),0,IF(G169="Yes",0.5,NETWORKDAYS.INTL(E169,F169,Setup!$C$14,Holidays!$B$5:$B$34)))</f>
        <v>0</v>
      </c>
      <c r="I169" s="119"/>
      <c r="J169" s="122"/>
      <c r="K169" s="118"/>
      <c r="L169" s="54" t="str">
        <f aca="false">IF(B169="","",IF(C169="Not found","Emp ID not found",IF(ISNA(MATCH(D169,Setup!$A$18:$A$23,0)),"Pick leave type",IF(OR(E169="",F169=""),"Enter From &amp; To",IF(F169&lt;E169,"To before From",IF(AND(G169="Yes",F169&gt;E169),"Half day = 1 date",IF(OR(E169&lt;Setup!$C$12,F169&gt;Setup!$C$13),"Outside leave year",IF(H169=0,"No working day",IF(AND(J169&lt;&gt;"Rejected",COUNTIFS($B$6:$B$305,B169,$J$6:$J$305,"&lt;&gt;Rejected",$E$6:$E$305,"&lt;="&amp;F169,$F$6:$F$305,"&gt;="&amp;E169)&gt;1),"Overlaps another leave",IF(AND(J169="Approved",N(INDEX(Balance!$F$6:$W$55,MATCH(B169,Balance!$B$6:$B$55,0),MATCH(D169,Setup!$A$18:$A$23,0)*3))&lt;0),"Exceeds balance",IF(J169="","Set status","OK")))))))))))</f>
        <v/>
      </c>
      <c r="M169" s="55" t="str">
        <f aca="false">IF(AND(B169&lt;&gt;"",B169='Leave Card'!$C$3),COUNTIF($B$6:B169,'Leave Card'!$C$3),"")</f>
        <v/>
      </c>
    </row>
    <row r="170" customFormat="false" ht="15" hidden="false" customHeight="false" outlineLevel="0" collapsed="false">
      <c r="A170" s="51" t="str">
        <f aca="false">IF(B170="","",ROW()-5)</f>
        <v/>
      </c>
      <c r="B170" s="118"/>
      <c r="C170" s="10" t="str">
        <f aca="false">IF(B170="","",IFERROR(INDEX(Employees!$C$5:$C$54,MATCH(B170,Employees!$B$5:$B$54,0)),"Not found"))</f>
        <v/>
      </c>
      <c r="D170" s="122"/>
      <c r="E170" s="123"/>
      <c r="F170" s="123"/>
      <c r="G170" s="118"/>
      <c r="H170" s="11" t="n">
        <f aca="false">IF(OR(B170="",E170="",F170="",F170&lt;E170),0,IF(G170="Yes",0.5,NETWORKDAYS.INTL(E170,F170,Setup!$C$14,Holidays!$B$5:$B$34)))</f>
        <v>0</v>
      </c>
      <c r="I170" s="119"/>
      <c r="J170" s="122"/>
      <c r="K170" s="118"/>
      <c r="L170" s="54" t="str">
        <f aca="false">IF(B170="","",IF(C170="Not found","Emp ID not found",IF(ISNA(MATCH(D170,Setup!$A$18:$A$23,0)),"Pick leave type",IF(OR(E170="",F170=""),"Enter From &amp; To",IF(F170&lt;E170,"To before From",IF(AND(G170="Yes",F170&gt;E170),"Half day = 1 date",IF(OR(E170&lt;Setup!$C$12,F170&gt;Setup!$C$13),"Outside leave year",IF(H170=0,"No working day",IF(AND(J170&lt;&gt;"Rejected",COUNTIFS($B$6:$B$305,B170,$J$6:$J$305,"&lt;&gt;Rejected",$E$6:$E$305,"&lt;="&amp;F170,$F$6:$F$305,"&gt;="&amp;E170)&gt;1),"Overlaps another leave",IF(AND(J170="Approved",N(INDEX(Balance!$F$6:$W$55,MATCH(B170,Balance!$B$6:$B$55,0),MATCH(D170,Setup!$A$18:$A$23,0)*3))&lt;0),"Exceeds balance",IF(J170="","Set status","OK")))))))))))</f>
        <v/>
      </c>
      <c r="M170" s="55" t="str">
        <f aca="false">IF(AND(B170&lt;&gt;"",B170='Leave Card'!$C$3),COUNTIF($B$6:B170,'Leave Card'!$C$3),"")</f>
        <v/>
      </c>
    </row>
    <row r="171" customFormat="false" ht="15" hidden="false" customHeight="false" outlineLevel="0" collapsed="false">
      <c r="A171" s="51" t="str">
        <f aca="false">IF(B171="","",ROW()-5)</f>
        <v/>
      </c>
      <c r="B171" s="118"/>
      <c r="C171" s="10" t="str">
        <f aca="false">IF(B171="","",IFERROR(INDEX(Employees!$C$5:$C$54,MATCH(B171,Employees!$B$5:$B$54,0)),"Not found"))</f>
        <v/>
      </c>
      <c r="D171" s="122"/>
      <c r="E171" s="123"/>
      <c r="F171" s="123"/>
      <c r="G171" s="118"/>
      <c r="H171" s="11" t="n">
        <f aca="false">IF(OR(B171="",E171="",F171="",F171&lt;E171),0,IF(G171="Yes",0.5,NETWORKDAYS.INTL(E171,F171,Setup!$C$14,Holidays!$B$5:$B$34)))</f>
        <v>0</v>
      </c>
      <c r="I171" s="119"/>
      <c r="J171" s="122"/>
      <c r="K171" s="118"/>
      <c r="L171" s="54" t="str">
        <f aca="false">IF(B171="","",IF(C171="Not found","Emp ID not found",IF(ISNA(MATCH(D171,Setup!$A$18:$A$23,0)),"Pick leave type",IF(OR(E171="",F171=""),"Enter From &amp; To",IF(F171&lt;E171,"To before From",IF(AND(G171="Yes",F171&gt;E171),"Half day = 1 date",IF(OR(E171&lt;Setup!$C$12,F171&gt;Setup!$C$13),"Outside leave year",IF(H171=0,"No working day",IF(AND(J171&lt;&gt;"Rejected",COUNTIFS($B$6:$B$305,B171,$J$6:$J$305,"&lt;&gt;Rejected",$E$6:$E$305,"&lt;="&amp;F171,$F$6:$F$305,"&gt;="&amp;E171)&gt;1),"Overlaps another leave",IF(AND(J171="Approved",N(INDEX(Balance!$F$6:$W$55,MATCH(B171,Balance!$B$6:$B$55,0),MATCH(D171,Setup!$A$18:$A$23,0)*3))&lt;0),"Exceeds balance",IF(J171="","Set status","OK")))))))))))</f>
        <v/>
      </c>
      <c r="M171" s="55" t="str">
        <f aca="false">IF(AND(B171&lt;&gt;"",B171='Leave Card'!$C$3),COUNTIF($B$6:B171,'Leave Card'!$C$3),"")</f>
        <v/>
      </c>
    </row>
    <row r="172" customFormat="false" ht="15" hidden="false" customHeight="false" outlineLevel="0" collapsed="false">
      <c r="A172" s="51" t="str">
        <f aca="false">IF(B172="","",ROW()-5)</f>
        <v/>
      </c>
      <c r="B172" s="118"/>
      <c r="C172" s="10" t="str">
        <f aca="false">IF(B172="","",IFERROR(INDEX(Employees!$C$5:$C$54,MATCH(B172,Employees!$B$5:$B$54,0)),"Not found"))</f>
        <v/>
      </c>
      <c r="D172" s="122"/>
      <c r="E172" s="123"/>
      <c r="F172" s="123"/>
      <c r="G172" s="118"/>
      <c r="H172" s="11" t="n">
        <f aca="false">IF(OR(B172="",E172="",F172="",F172&lt;E172),0,IF(G172="Yes",0.5,NETWORKDAYS.INTL(E172,F172,Setup!$C$14,Holidays!$B$5:$B$34)))</f>
        <v>0</v>
      </c>
      <c r="I172" s="119"/>
      <c r="J172" s="122"/>
      <c r="K172" s="118"/>
      <c r="L172" s="54" t="str">
        <f aca="false">IF(B172="","",IF(C172="Not found","Emp ID not found",IF(ISNA(MATCH(D172,Setup!$A$18:$A$23,0)),"Pick leave type",IF(OR(E172="",F172=""),"Enter From &amp; To",IF(F172&lt;E172,"To before From",IF(AND(G172="Yes",F172&gt;E172),"Half day = 1 date",IF(OR(E172&lt;Setup!$C$12,F172&gt;Setup!$C$13),"Outside leave year",IF(H172=0,"No working day",IF(AND(J172&lt;&gt;"Rejected",COUNTIFS($B$6:$B$305,B172,$J$6:$J$305,"&lt;&gt;Rejected",$E$6:$E$305,"&lt;="&amp;F172,$F$6:$F$305,"&gt;="&amp;E172)&gt;1),"Overlaps another leave",IF(AND(J172="Approved",N(INDEX(Balance!$F$6:$W$55,MATCH(B172,Balance!$B$6:$B$55,0),MATCH(D172,Setup!$A$18:$A$23,0)*3))&lt;0),"Exceeds balance",IF(J172="","Set status","OK")))))))))))</f>
        <v/>
      </c>
      <c r="M172" s="55" t="str">
        <f aca="false">IF(AND(B172&lt;&gt;"",B172='Leave Card'!$C$3),COUNTIF($B$6:B172,'Leave Card'!$C$3),"")</f>
        <v/>
      </c>
    </row>
    <row r="173" customFormat="false" ht="15" hidden="false" customHeight="false" outlineLevel="0" collapsed="false">
      <c r="A173" s="51" t="str">
        <f aca="false">IF(B173="","",ROW()-5)</f>
        <v/>
      </c>
      <c r="B173" s="118"/>
      <c r="C173" s="10" t="str">
        <f aca="false">IF(B173="","",IFERROR(INDEX(Employees!$C$5:$C$54,MATCH(B173,Employees!$B$5:$B$54,0)),"Not found"))</f>
        <v/>
      </c>
      <c r="D173" s="122"/>
      <c r="E173" s="123"/>
      <c r="F173" s="123"/>
      <c r="G173" s="118"/>
      <c r="H173" s="11" t="n">
        <f aca="false">IF(OR(B173="",E173="",F173="",F173&lt;E173),0,IF(G173="Yes",0.5,NETWORKDAYS.INTL(E173,F173,Setup!$C$14,Holidays!$B$5:$B$34)))</f>
        <v>0</v>
      </c>
      <c r="I173" s="119"/>
      <c r="J173" s="122"/>
      <c r="K173" s="118"/>
      <c r="L173" s="54" t="str">
        <f aca="false">IF(B173="","",IF(C173="Not found","Emp ID not found",IF(ISNA(MATCH(D173,Setup!$A$18:$A$23,0)),"Pick leave type",IF(OR(E173="",F173=""),"Enter From &amp; To",IF(F173&lt;E173,"To before From",IF(AND(G173="Yes",F173&gt;E173),"Half day = 1 date",IF(OR(E173&lt;Setup!$C$12,F173&gt;Setup!$C$13),"Outside leave year",IF(H173=0,"No working day",IF(AND(J173&lt;&gt;"Rejected",COUNTIFS($B$6:$B$305,B173,$J$6:$J$305,"&lt;&gt;Rejected",$E$6:$E$305,"&lt;="&amp;F173,$F$6:$F$305,"&gt;="&amp;E173)&gt;1),"Overlaps another leave",IF(AND(J173="Approved",N(INDEX(Balance!$F$6:$W$55,MATCH(B173,Balance!$B$6:$B$55,0),MATCH(D173,Setup!$A$18:$A$23,0)*3))&lt;0),"Exceeds balance",IF(J173="","Set status","OK")))))))))))</f>
        <v/>
      </c>
      <c r="M173" s="55" t="str">
        <f aca="false">IF(AND(B173&lt;&gt;"",B173='Leave Card'!$C$3),COUNTIF($B$6:B173,'Leave Card'!$C$3),"")</f>
        <v/>
      </c>
    </row>
    <row r="174" customFormat="false" ht="15" hidden="false" customHeight="false" outlineLevel="0" collapsed="false">
      <c r="A174" s="51" t="str">
        <f aca="false">IF(B174="","",ROW()-5)</f>
        <v/>
      </c>
      <c r="B174" s="118"/>
      <c r="C174" s="10" t="str">
        <f aca="false">IF(B174="","",IFERROR(INDEX(Employees!$C$5:$C$54,MATCH(B174,Employees!$B$5:$B$54,0)),"Not found"))</f>
        <v/>
      </c>
      <c r="D174" s="122"/>
      <c r="E174" s="123"/>
      <c r="F174" s="123"/>
      <c r="G174" s="118"/>
      <c r="H174" s="11" t="n">
        <f aca="false">IF(OR(B174="",E174="",F174="",F174&lt;E174),0,IF(G174="Yes",0.5,NETWORKDAYS.INTL(E174,F174,Setup!$C$14,Holidays!$B$5:$B$34)))</f>
        <v>0</v>
      </c>
      <c r="I174" s="119"/>
      <c r="J174" s="122"/>
      <c r="K174" s="118"/>
      <c r="L174" s="54" t="str">
        <f aca="false">IF(B174="","",IF(C174="Not found","Emp ID not found",IF(ISNA(MATCH(D174,Setup!$A$18:$A$23,0)),"Pick leave type",IF(OR(E174="",F174=""),"Enter From &amp; To",IF(F174&lt;E174,"To before From",IF(AND(G174="Yes",F174&gt;E174),"Half day = 1 date",IF(OR(E174&lt;Setup!$C$12,F174&gt;Setup!$C$13),"Outside leave year",IF(H174=0,"No working day",IF(AND(J174&lt;&gt;"Rejected",COUNTIFS($B$6:$B$305,B174,$J$6:$J$305,"&lt;&gt;Rejected",$E$6:$E$305,"&lt;="&amp;F174,$F$6:$F$305,"&gt;="&amp;E174)&gt;1),"Overlaps another leave",IF(AND(J174="Approved",N(INDEX(Balance!$F$6:$W$55,MATCH(B174,Balance!$B$6:$B$55,0),MATCH(D174,Setup!$A$18:$A$23,0)*3))&lt;0),"Exceeds balance",IF(J174="","Set status","OK")))))))))))</f>
        <v/>
      </c>
      <c r="M174" s="55" t="str">
        <f aca="false">IF(AND(B174&lt;&gt;"",B174='Leave Card'!$C$3),COUNTIF($B$6:B174,'Leave Card'!$C$3),"")</f>
        <v/>
      </c>
    </row>
    <row r="175" customFormat="false" ht="15" hidden="false" customHeight="false" outlineLevel="0" collapsed="false">
      <c r="A175" s="51" t="str">
        <f aca="false">IF(B175="","",ROW()-5)</f>
        <v/>
      </c>
      <c r="B175" s="118"/>
      <c r="C175" s="10" t="str">
        <f aca="false">IF(B175="","",IFERROR(INDEX(Employees!$C$5:$C$54,MATCH(B175,Employees!$B$5:$B$54,0)),"Not found"))</f>
        <v/>
      </c>
      <c r="D175" s="122"/>
      <c r="E175" s="123"/>
      <c r="F175" s="123"/>
      <c r="G175" s="118"/>
      <c r="H175" s="11" t="n">
        <f aca="false">IF(OR(B175="",E175="",F175="",F175&lt;E175),0,IF(G175="Yes",0.5,NETWORKDAYS.INTL(E175,F175,Setup!$C$14,Holidays!$B$5:$B$34)))</f>
        <v>0</v>
      </c>
      <c r="I175" s="119"/>
      <c r="J175" s="122"/>
      <c r="K175" s="118"/>
      <c r="L175" s="54" t="str">
        <f aca="false">IF(B175="","",IF(C175="Not found","Emp ID not found",IF(ISNA(MATCH(D175,Setup!$A$18:$A$23,0)),"Pick leave type",IF(OR(E175="",F175=""),"Enter From &amp; To",IF(F175&lt;E175,"To before From",IF(AND(G175="Yes",F175&gt;E175),"Half day = 1 date",IF(OR(E175&lt;Setup!$C$12,F175&gt;Setup!$C$13),"Outside leave year",IF(H175=0,"No working day",IF(AND(J175&lt;&gt;"Rejected",COUNTIFS($B$6:$B$305,B175,$J$6:$J$305,"&lt;&gt;Rejected",$E$6:$E$305,"&lt;="&amp;F175,$F$6:$F$305,"&gt;="&amp;E175)&gt;1),"Overlaps another leave",IF(AND(J175="Approved",N(INDEX(Balance!$F$6:$W$55,MATCH(B175,Balance!$B$6:$B$55,0),MATCH(D175,Setup!$A$18:$A$23,0)*3))&lt;0),"Exceeds balance",IF(J175="","Set status","OK")))))))))))</f>
        <v/>
      </c>
      <c r="M175" s="55" t="str">
        <f aca="false">IF(AND(B175&lt;&gt;"",B175='Leave Card'!$C$3),COUNTIF($B$6:B175,'Leave Card'!$C$3),"")</f>
        <v/>
      </c>
    </row>
    <row r="176" customFormat="false" ht="15" hidden="false" customHeight="false" outlineLevel="0" collapsed="false">
      <c r="A176" s="51" t="str">
        <f aca="false">IF(B176="","",ROW()-5)</f>
        <v/>
      </c>
      <c r="B176" s="118"/>
      <c r="C176" s="10" t="str">
        <f aca="false">IF(B176="","",IFERROR(INDEX(Employees!$C$5:$C$54,MATCH(B176,Employees!$B$5:$B$54,0)),"Not found"))</f>
        <v/>
      </c>
      <c r="D176" s="122"/>
      <c r="E176" s="123"/>
      <c r="F176" s="123"/>
      <c r="G176" s="118"/>
      <c r="H176" s="11" t="n">
        <f aca="false">IF(OR(B176="",E176="",F176="",F176&lt;E176),0,IF(G176="Yes",0.5,NETWORKDAYS.INTL(E176,F176,Setup!$C$14,Holidays!$B$5:$B$34)))</f>
        <v>0</v>
      </c>
      <c r="I176" s="119"/>
      <c r="J176" s="122"/>
      <c r="K176" s="118"/>
      <c r="L176" s="54" t="str">
        <f aca="false">IF(B176="","",IF(C176="Not found","Emp ID not found",IF(ISNA(MATCH(D176,Setup!$A$18:$A$23,0)),"Pick leave type",IF(OR(E176="",F176=""),"Enter From &amp; To",IF(F176&lt;E176,"To before From",IF(AND(G176="Yes",F176&gt;E176),"Half day = 1 date",IF(OR(E176&lt;Setup!$C$12,F176&gt;Setup!$C$13),"Outside leave year",IF(H176=0,"No working day",IF(AND(J176&lt;&gt;"Rejected",COUNTIFS($B$6:$B$305,B176,$J$6:$J$305,"&lt;&gt;Rejected",$E$6:$E$305,"&lt;="&amp;F176,$F$6:$F$305,"&gt;="&amp;E176)&gt;1),"Overlaps another leave",IF(AND(J176="Approved",N(INDEX(Balance!$F$6:$W$55,MATCH(B176,Balance!$B$6:$B$55,0),MATCH(D176,Setup!$A$18:$A$23,0)*3))&lt;0),"Exceeds balance",IF(J176="","Set status","OK")))))))))))</f>
        <v/>
      </c>
      <c r="M176" s="55" t="str">
        <f aca="false">IF(AND(B176&lt;&gt;"",B176='Leave Card'!$C$3),COUNTIF($B$6:B176,'Leave Card'!$C$3),"")</f>
        <v/>
      </c>
    </row>
    <row r="177" customFormat="false" ht="15" hidden="false" customHeight="false" outlineLevel="0" collapsed="false">
      <c r="A177" s="51" t="str">
        <f aca="false">IF(B177="","",ROW()-5)</f>
        <v/>
      </c>
      <c r="B177" s="118"/>
      <c r="C177" s="10" t="str">
        <f aca="false">IF(B177="","",IFERROR(INDEX(Employees!$C$5:$C$54,MATCH(B177,Employees!$B$5:$B$54,0)),"Not found"))</f>
        <v/>
      </c>
      <c r="D177" s="122"/>
      <c r="E177" s="123"/>
      <c r="F177" s="123"/>
      <c r="G177" s="118"/>
      <c r="H177" s="11" t="n">
        <f aca="false">IF(OR(B177="",E177="",F177="",F177&lt;E177),0,IF(G177="Yes",0.5,NETWORKDAYS.INTL(E177,F177,Setup!$C$14,Holidays!$B$5:$B$34)))</f>
        <v>0</v>
      </c>
      <c r="I177" s="119"/>
      <c r="J177" s="122"/>
      <c r="K177" s="118"/>
      <c r="L177" s="54" t="str">
        <f aca="false">IF(B177="","",IF(C177="Not found","Emp ID not found",IF(ISNA(MATCH(D177,Setup!$A$18:$A$23,0)),"Pick leave type",IF(OR(E177="",F177=""),"Enter From &amp; To",IF(F177&lt;E177,"To before From",IF(AND(G177="Yes",F177&gt;E177),"Half day = 1 date",IF(OR(E177&lt;Setup!$C$12,F177&gt;Setup!$C$13),"Outside leave year",IF(H177=0,"No working day",IF(AND(J177&lt;&gt;"Rejected",COUNTIFS($B$6:$B$305,B177,$J$6:$J$305,"&lt;&gt;Rejected",$E$6:$E$305,"&lt;="&amp;F177,$F$6:$F$305,"&gt;="&amp;E177)&gt;1),"Overlaps another leave",IF(AND(J177="Approved",N(INDEX(Balance!$F$6:$W$55,MATCH(B177,Balance!$B$6:$B$55,0),MATCH(D177,Setup!$A$18:$A$23,0)*3))&lt;0),"Exceeds balance",IF(J177="","Set status","OK")))))))))))</f>
        <v/>
      </c>
      <c r="M177" s="55" t="str">
        <f aca="false">IF(AND(B177&lt;&gt;"",B177='Leave Card'!$C$3),COUNTIF($B$6:B177,'Leave Card'!$C$3),"")</f>
        <v/>
      </c>
    </row>
    <row r="178" customFormat="false" ht="15" hidden="false" customHeight="false" outlineLevel="0" collapsed="false">
      <c r="A178" s="51" t="str">
        <f aca="false">IF(B178="","",ROW()-5)</f>
        <v/>
      </c>
      <c r="B178" s="118"/>
      <c r="C178" s="10" t="str">
        <f aca="false">IF(B178="","",IFERROR(INDEX(Employees!$C$5:$C$54,MATCH(B178,Employees!$B$5:$B$54,0)),"Not found"))</f>
        <v/>
      </c>
      <c r="D178" s="122"/>
      <c r="E178" s="123"/>
      <c r="F178" s="123"/>
      <c r="G178" s="118"/>
      <c r="H178" s="11" t="n">
        <f aca="false">IF(OR(B178="",E178="",F178="",F178&lt;E178),0,IF(G178="Yes",0.5,NETWORKDAYS.INTL(E178,F178,Setup!$C$14,Holidays!$B$5:$B$34)))</f>
        <v>0</v>
      </c>
      <c r="I178" s="119"/>
      <c r="J178" s="122"/>
      <c r="K178" s="118"/>
      <c r="L178" s="54" t="str">
        <f aca="false">IF(B178="","",IF(C178="Not found","Emp ID not found",IF(ISNA(MATCH(D178,Setup!$A$18:$A$23,0)),"Pick leave type",IF(OR(E178="",F178=""),"Enter From &amp; To",IF(F178&lt;E178,"To before From",IF(AND(G178="Yes",F178&gt;E178),"Half day = 1 date",IF(OR(E178&lt;Setup!$C$12,F178&gt;Setup!$C$13),"Outside leave year",IF(H178=0,"No working day",IF(AND(J178&lt;&gt;"Rejected",COUNTIFS($B$6:$B$305,B178,$J$6:$J$305,"&lt;&gt;Rejected",$E$6:$E$305,"&lt;="&amp;F178,$F$6:$F$305,"&gt;="&amp;E178)&gt;1),"Overlaps another leave",IF(AND(J178="Approved",N(INDEX(Balance!$F$6:$W$55,MATCH(B178,Balance!$B$6:$B$55,0),MATCH(D178,Setup!$A$18:$A$23,0)*3))&lt;0),"Exceeds balance",IF(J178="","Set status","OK")))))))))))</f>
        <v/>
      </c>
      <c r="M178" s="55" t="str">
        <f aca="false">IF(AND(B178&lt;&gt;"",B178='Leave Card'!$C$3),COUNTIF($B$6:B178,'Leave Card'!$C$3),"")</f>
        <v/>
      </c>
    </row>
    <row r="179" customFormat="false" ht="15" hidden="false" customHeight="false" outlineLevel="0" collapsed="false">
      <c r="A179" s="51" t="str">
        <f aca="false">IF(B179="","",ROW()-5)</f>
        <v/>
      </c>
      <c r="B179" s="118"/>
      <c r="C179" s="10" t="str">
        <f aca="false">IF(B179="","",IFERROR(INDEX(Employees!$C$5:$C$54,MATCH(B179,Employees!$B$5:$B$54,0)),"Not found"))</f>
        <v/>
      </c>
      <c r="D179" s="122"/>
      <c r="E179" s="123"/>
      <c r="F179" s="123"/>
      <c r="G179" s="118"/>
      <c r="H179" s="11" t="n">
        <f aca="false">IF(OR(B179="",E179="",F179="",F179&lt;E179),0,IF(G179="Yes",0.5,NETWORKDAYS.INTL(E179,F179,Setup!$C$14,Holidays!$B$5:$B$34)))</f>
        <v>0</v>
      </c>
      <c r="I179" s="119"/>
      <c r="J179" s="122"/>
      <c r="K179" s="118"/>
      <c r="L179" s="54" t="str">
        <f aca="false">IF(B179="","",IF(C179="Not found","Emp ID not found",IF(ISNA(MATCH(D179,Setup!$A$18:$A$23,0)),"Pick leave type",IF(OR(E179="",F179=""),"Enter From &amp; To",IF(F179&lt;E179,"To before From",IF(AND(G179="Yes",F179&gt;E179),"Half day = 1 date",IF(OR(E179&lt;Setup!$C$12,F179&gt;Setup!$C$13),"Outside leave year",IF(H179=0,"No working day",IF(AND(J179&lt;&gt;"Rejected",COUNTIFS($B$6:$B$305,B179,$J$6:$J$305,"&lt;&gt;Rejected",$E$6:$E$305,"&lt;="&amp;F179,$F$6:$F$305,"&gt;="&amp;E179)&gt;1),"Overlaps another leave",IF(AND(J179="Approved",N(INDEX(Balance!$F$6:$W$55,MATCH(B179,Balance!$B$6:$B$55,0),MATCH(D179,Setup!$A$18:$A$23,0)*3))&lt;0),"Exceeds balance",IF(J179="","Set status","OK")))))))))))</f>
        <v/>
      </c>
      <c r="M179" s="55" t="str">
        <f aca="false">IF(AND(B179&lt;&gt;"",B179='Leave Card'!$C$3),COUNTIF($B$6:B179,'Leave Card'!$C$3),"")</f>
        <v/>
      </c>
    </row>
    <row r="180" customFormat="false" ht="15" hidden="false" customHeight="false" outlineLevel="0" collapsed="false">
      <c r="A180" s="51" t="str">
        <f aca="false">IF(B180="","",ROW()-5)</f>
        <v/>
      </c>
      <c r="B180" s="118"/>
      <c r="C180" s="10" t="str">
        <f aca="false">IF(B180="","",IFERROR(INDEX(Employees!$C$5:$C$54,MATCH(B180,Employees!$B$5:$B$54,0)),"Not found"))</f>
        <v/>
      </c>
      <c r="D180" s="122"/>
      <c r="E180" s="123"/>
      <c r="F180" s="123"/>
      <c r="G180" s="118"/>
      <c r="H180" s="11" t="n">
        <f aca="false">IF(OR(B180="",E180="",F180="",F180&lt;E180),0,IF(G180="Yes",0.5,NETWORKDAYS.INTL(E180,F180,Setup!$C$14,Holidays!$B$5:$B$34)))</f>
        <v>0</v>
      </c>
      <c r="I180" s="119"/>
      <c r="J180" s="122"/>
      <c r="K180" s="118"/>
      <c r="L180" s="54" t="str">
        <f aca="false">IF(B180="","",IF(C180="Not found","Emp ID not found",IF(ISNA(MATCH(D180,Setup!$A$18:$A$23,0)),"Pick leave type",IF(OR(E180="",F180=""),"Enter From &amp; To",IF(F180&lt;E180,"To before From",IF(AND(G180="Yes",F180&gt;E180),"Half day = 1 date",IF(OR(E180&lt;Setup!$C$12,F180&gt;Setup!$C$13),"Outside leave year",IF(H180=0,"No working day",IF(AND(J180&lt;&gt;"Rejected",COUNTIFS($B$6:$B$305,B180,$J$6:$J$305,"&lt;&gt;Rejected",$E$6:$E$305,"&lt;="&amp;F180,$F$6:$F$305,"&gt;="&amp;E180)&gt;1),"Overlaps another leave",IF(AND(J180="Approved",N(INDEX(Balance!$F$6:$W$55,MATCH(B180,Balance!$B$6:$B$55,0),MATCH(D180,Setup!$A$18:$A$23,0)*3))&lt;0),"Exceeds balance",IF(J180="","Set status","OK")))))))))))</f>
        <v/>
      </c>
      <c r="M180" s="55" t="str">
        <f aca="false">IF(AND(B180&lt;&gt;"",B180='Leave Card'!$C$3),COUNTIF($B$6:B180,'Leave Card'!$C$3),"")</f>
        <v/>
      </c>
    </row>
    <row r="181" customFormat="false" ht="15" hidden="false" customHeight="false" outlineLevel="0" collapsed="false">
      <c r="A181" s="51" t="str">
        <f aca="false">IF(B181="","",ROW()-5)</f>
        <v/>
      </c>
      <c r="B181" s="118"/>
      <c r="C181" s="10" t="str">
        <f aca="false">IF(B181="","",IFERROR(INDEX(Employees!$C$5:$C$54,MATCH(B181,Employees!$B$5:$B$54,0)),"Not found"))</f>
        <v/>
      </c>
      <c r="D181" s="122"/>
      <c r="E181" s="123"/>
      <c r="F181" s="123"/>
      <c r="G181" s="118"/>
      <c r="H181" s="11" t="n">
        <f aca="false">IF(OR(B181="",E181="",F181="",F181&lt;E181),0,IF(G181="Yes",0.5,NETWORKDAYS.INTL(E181,F181,Setup!$C$14,Holidays!$B$5:$B$34)))</f>
        <v>0</v>
      </c>
      <c r="I181" s="119"/>
      <c r="J181" s="122"/>
      <c r="K181" s="118"/>
      <c r="L181" s="54" t="str">
        <f aca="false">IF(B181="","",IF(C181="Not found","Emp ID not found",IF(ISNA(MATCH(D181,Setup!$A$18:$A$23,0)),"Pick leave type",IF(OR(E181="",F181=""),"Enter From &amp; To",IF(F181&lt;E181,"To before From",IF(AND(G181="Yes",F181&gt;E181),"Half day = 1 date",IF(OR(E181&lt;Setup!$C$12,F181&gt;Setup!$C$13),"Outside leave year",IF(H181=0,"No working day",IF(AND(J181&lt;&gt;"Rejected",COUNTIFS($B$6:$B$305,B181,$J$6:$J$305,"&lt;&gt;Rejected",$E$6:$E$305,"&lt;="&amp;F181,$F$6:$F$305,"&gt;="&amp;E181)&gt;1),"Overlaps another leave",IF(AND(J181="Approved",N(INDEX(Balance!$F$6:$W$55,MATCH(B181,Balance!$B$6:$B$55,0),MATCH(D181,Setup!$A$18:$A$23,0)*3))&lt;0),"Exceeds balance",IF(J181="","Set status","OK")))))))))))</f>
        <v/>
      </c>
      <c r="M181" s="55" t="str">
        <f aca="false">IF(AND(B181&lt;&gt;"",B181='Leave Card'!$C$3),COUNTIF($B$6:B181,'Leave Card'!$C$3),"")</f>
        <v/>
      </c>
    </row>
    <row r="182" customFormat="false" ht="15" hidden="false" customHeight="false" outlineLevel="0" collapsed="false">
      <c r="A182" s="51" t="str">
        <f aca="false">IF(B182="","",ROW()-5)</f>
        <v/>
      </c>
      <c r="B182" s="118"/>
      <c r="C182" s="10" t="str">
        <f aca="false">IF(B182="","",IFERROR(INDEX(Employees!$C$5:$C$54,MATCH(B182,Employees!$B$5:$B$54,0)),"Not found"))</f>
        <v/>
      </c>
      <c r="D182" s="122"/>
      <c r="E182" s="123"/>
      <c r="F182" s="123"/>
      <c r="G182" s="118"/>
      <c r="H182" s="11" t="n">
        <f aca="false">IF(OR(B182="",E182="",F182="",F182&lt;E182),0,IF(G182="Yes",0.5,NETWORKDAYS.INTL(E182,F182,Setup!$C$14,Holidays!$B$5:$B$34)))</f>
        <v>0</v>
      </c>
      <c r="I182" s="119"/>
      <c r="J182" s="122"/>
      <c r="K182" s="118"/>
      <c r="L182" s="54" t="str">
        <f aca="false">IF(B182="","",IF(C182="Not found","Emp ID not found",IF(ISNA(MATCH(D182,Setup!$A$18:$A$23,0)),"Pick leave type",IF(OR(E182="",F182=""),"Enter From &amp; To",IF(F182&lt;E182,"To before From",IF(AND(G182="Yes",F182&gt;E182),"Half day = 1 date",IF(OR(E182&lt;Setup!$C$12,F182&gt;Setup!$C$13),"Outside leave year",IF(H182=0,"No working day",IF(AND(J182&lt;&gt;"Rejected",COUNTIFS($B$6:$B$305,B182,$J$6:$J$305,"&lt;&gt;Rejected",$E$6:$E$305,"&lt;="&amp;F182,$F$6:$F$305,"&gt;="&amp;E182)&gt;1),"Overlaps another leave",IF(AND(J182="Approved",N(INDEX(Balance!$F$6:$W$55,MATCH(B182,Balance!$B$6:$B$55,0),MATCH(D182,Setup!$A$18:$A$23,0)*3))&lt;0),"Exceeds balance",IF(J182="","Set status","OK")))))))))))</f>
        <v/>
      </c>
      <c r="M182" s="55" t="str">
        <f aca="false">IF(AND(B182&lt;&gt;"",B182='Leave Card'!$C$3),COUNTIF($B$6:B182,'Leave Card'!$C$3),"")</f>
        <v/>
      </c>
    </row>
    <row r="183" customFormat="false" ht="15" hidden="false" customHeight="false" outlineLevel="0" collapsed="false">
      <c r="A183" s="51" t="str">
        <f aca="false">IF(B183="","",ROW()-5)</f>
        <v/>
      </c>
      <c r="B183" s="118"/>
      <c r="C183" s="10" t="str">
        <f aca="false">IF(B183="","",IFERROR(INDEX(Employees!$C$5:$C$54,MATCH(B183,Employees!$B$5:$B$54,0)),"Not found"))</f>
        <v/>
      </c>
      <c r="D183" s="122"/>
      <c r="E183" s="123"/>
      <c r="F183" s="123"/>
      <c r="G183" s="118"/>
      <c r="H183" s="11" t="n">
        <f aca="false">IF(OR(B183="",E183="",F183="",F183&lt;E183),0,IF(G183="Yes",0.5,NETWORKDAYS.INTL(E183,F183,Setup!$C$14,Holidays!$B$5:$B$34)))</f>
        <v>0</v>
      </c>
      <c r="I183" s="119"/>
      <c r="J183" s="122"/>
      <c r="K183" s="118"/>
      <c r="L183" s="54" t="str">
        <f aca="false">IF(B183="","",IF(C183="Not found","Emp ID not found",IF(ISNA(MATCH(D183,Setup!$A$18:$A$23,0)),"Pick leave type",IF(OR(E183="",F183=""),"Enter From &amp; To",IF(F183&lt;E183,"To before From",IF(AND(G183="Yes",F183&gt;E183),"Half day = 1 date",IF(OR(E183&lt;Setup!$C$12,F183&gt;Setup!$C$13),"Outside leave year",IF(H183=0,"No working day",IF(AND(J183&lt;&gt;"Rejected",COUNTIFS($B$6:$B$305,B183,$J$6:$J$305,"&lt;&gt;Rejected",$E$6:$E$305,"&lt;="&amp;F183,$F$6:$F$305,"&gt;="&amp;E183)&gt;1),"Overlaps another leave",IF(AND(J183="Approved",N(INDEX(Balance!$F$6:$W$55,MATCH(B183,Balance!$B$6:$B$55,0),MATCH(D183,Setup!$A$18:$A$23,0)*3))&lt;0),"Exceeds balance",IF(J183="","Set status","OK")))))))))))</f>
        <v/>
      </c>
      <c r="M183" s="55" t="str">
        <f aca="false">IF(AND(B183&lt;&gt;"",B183='Leave Card'!$C$3),COUNTIF($B$6:B183,'Leave Card'!$C$3),"")</f>
        <v/>
      </c>
    </row>
    <row r="184" customFormat="false" ht="15" hidden="false" customHeight="false" outlineLevel="0" collapsed="false">
      <c r="A184" s="51" t="str">
        <f aca="false">IF(B184="","",ROW()-5)</f>
        <v/>
      </c>
      <c r="B184" s="118"/>
      <c r="C184" s="10" t="str">
        <f aca="false">IF(B184="","",IFERROR(INDEX(Employees!$C$5:$C$54,MATCH(B184,Employees!$B$5:$B$54,0)),"Not found"))</f>
        <v/>
      </c>
      <c r="D184" s="122"/>
      <c r="E184" s="123"/>
      <c r="F184" s="123"/>
      <c r="G184" s="118"/>
      <c r="H184" s="11" t="n">
        <f aca="false">IF(OR(B184="",E184="",F184="",F184&lt;E184),0,IF(G184="Yes",0.5,NETWORKDAYS.INTL(E184,F184,Setup!$C$14,Holidays!$B$5:$B$34)))</f>
        <v>0</v>
      </c>
      <c r="I184" s="119"/>
      <c r="J184" s="122"/>
      <c r="K184" s="118"/>
      <c r="L184" s="54" t="str">
        <f aca="false">IF(B184="","",IF(C184="Not found","Emp ID not found",IF(ISNA(MATCH(D184,Setup!$A$18:$A$23,0)),"Pick leave type",IF(OR(E184="",F184=""),"Enter From &amp; To",IF(F184&lt;E184,"To before From",IF(AND(G184="Yes",F184&gt;E184),"Half day = 1 date",IF(OR(E184&lt;Setup!$C$12,F184&gt;Setup!$C$13),"Outside leave year",IF(H184=0,"No working day",IF(AND(J184&lt;&gt;"Rejected",COUNTIFS($B$6:$B$305,B184,$J$6:$J$305,"&lt;&gt;Rejected",$E$6:$E$305,"&lt;="&amp;F184,$F$6:$F$305,"&gt;="&amp;E184)&gt;1),"Overlaps another leave",IF(AND(J184="Approved",N(INDEX(Balance!$F$6:$W$55,MATCH(B184,Balance!$B$6:$B$55,0),MATCH(D184,Setup!$A$18:$A$23,0)*3))&lt;0),"Exceeds balance",IF(J184="","Set status","OK")))))))))))</f>
        <v/>
      </c>
      <c r="M184" s="55" t="str">
        <f aca="false">IF(AND(B184&lt;&gt;"",B184='Leave Card'!$C$3),COUNTIF($B$6:B184,'Leave Card'!$C$3),"")</f>
        <v/>
      </c>
    </row>
    <row r="185" customFormat="false" ht="15" hidden="false" customHeight="false" outlineLevel="0" collapsed="false">
      <c r="A185" s="51" t="str">
        <f aca="false">IF(B185="","",ROW()-5)</f>
        <v/>
      </c>
      <c r="B185" s="118"/>
      <c r="C185" s="10" t="str">
        <f aca="false">IF(B185="","",IFERROR(INDEX(Employees!$C$5:$C$54,MATCH(B185,Employees!$B$5:$B$54,0)),"Not found"))</f>
        <v/>
      </c>
      <c r="D185" s="122"/>
      <c r="E185" s="123"/>
      <c r="F185" s="123"/>
      <c r="G185" s="118"/>
      <c r="H185" s="11" t="n">
        <f aca="false">IF(OR(B185="",E185="",F185="",F185&lt;E185),0,IF(G185="Yes",0.5,NETWORKDAYS.INTL(E185,F185,Setup!$C$14,Holidays!$B$5:$B$34)))</f>
        <v>0</v>
      </c>
      <c r="I185" s="119"/>
      <c r="J185" s="122"/>
      <c r="K185" s="118"/>
      <c r="L185" s="54" t="str">
        <f aca="false">IF(B185="","",IF(C185="Not found","Emp ID not found",IF(ISNA(MATCH(D185,Setup!$A$18:$A$23,0)),"Pick leave type",IF(OR(E185="",F185=""),"Enter From &amp; To",IF(F185&lt;E185,"To before From",IF(AND(G185="Yes",F185&gt;E185),"Half day = 1 date",IF(OR(E185&lt;Setup!$C$12,F185&gt;Setup!$C$13),"Outside leave year",IF(H185=0,"No working day",IF(AND(J185&lt;&gt;"Rejected",COUNTIFS($B$6:$B$305,B185,$J$6:$J$305,"&lt;&gt;Rejected",$E$6:$E$305,"&lt;="&amp;F185,$F$6:$F$305,"&gt;="&amp;E185)&gt;1),"Overlaps another leave",IF(AND(J185="Approved",N(INDEX(Balance!$F$6:$W$55,MATCH(B185,Balance!$B$6:$B$55,0),MATCH(D185,Setup!$A$18:$A$23,0)*3))&lt;0),"Exceeds balance",IF(J185="","Set status","OK")))))))))))</f>
        <v/>
      </c>
      <c r="M185" s="55" t="str">
        <f aca="false">IF(AND(B185&lt;&gt;"",B185='Leave Card'!$C$3),COUNTIF($B$6:B185,'Leave Card'!$C$3),"")</f>
        <v/>
      </c>
    </row>
    <row r="186" customFormat="false" ht="15" hidden="false" customHeight="false" outlineLevel="0" collapsed="false">
      <c r="A186" s="51" t="str">
        <f aca="false">IF(B186="","",ROW()-5)</f>
        <v/>
      </c>
      <c r="B186" s="118"/>
      <c r="C186" s="10" t="str">
        <f aca="false">IF(B186="","",IFERROR(INDEX(Employees!$C$5:$C$54,MATCH(B186,Employees!$B$5:$B$54,0)),"Not found"))</f>
        <v/>
      </c>
      <c r="D186" s="122"/>
      <c r="E186" s="123"/>
      <c r="F186" s="123"/>
      <c r="G186" s="118"/>
      <c r="H186" s="11" t="n">
        <f aca="false">IF(OR(B186="",E186="",F186="",F186&lt;E186),0,IF(G186="Yes",0.5,NETWORKDAYS.INTL(E186,F186,Setup!$C$14,Holidays!$B$5:$B$34)))</f>
        <v>0</v>
      </c>
      <c r="I186" s="119"/>
      <c r="J186" s="122"/>
      <c r="K186" s="118"/>
      <c r="L186" s="54" t="str">
        <f aca="false">IF(B186="","",IF(C186="Not found","Emp ID not found",IF(ISNA(MATCH(D186,Setup!$A$18:$A$23,0)),"Pick leave type",IF(OR(E186="",F186=""),"Enter From &amp; To",IF(F186&lt;E186,"To before From",IF(AND(G186="Yes",F186&gt;E186),"Half day = 1 date",IF(OR(E186&lt;Setup!$C$12,F186&gt;Setup!$C$13),"Outside leave year",IF(H186=0,"No working day",IF(AND(J186&lt;&gt;"Rejected",COUNTIFS($B$6:$B$305,B186,$J$6:$J$305,"&lt;&gt;Rejected",$E$6:$E$305,"&lt;="&amp;F186,$F$6:$F$305,"&gt;="&amp;E186)&gt;1),"Overlaps another leave",IF(AND(J186="Approved",N(INDEX(Balance!$F$6:$W$55,MATCH(B186,Balance!$B$6:$B$55,0),MATCH(D186,Setup!$A$18:$A$23,0)*3))&lt;0),"Exceeds balance",IF(J186="","Set status","OK")))))))))))</f>
        <v/>
      </c>
      <c r="M186" s="55" t="str">
        <f aca="false">IF(AND(B186&lt;&gt;"",B186='Leave Card'!$C$3),COUNTIF($B$6:B186,'Leave Card'!$C$3),"")</f>
        <v/>
      </c>
    </row>
    <row r="187" customFormat="false" ht="15" hidden="false" customHeight="false" outlineLevel="0" collapsed="false">
      <c r="A187" s="51" t="str">
        <f aca="false">IF(B187="","",ROW()-5)</f>
        <v/>
      </c>
      <c r="B187" s="118"/>
      <c r="C187" s="10" t="str">
        <f aca="false">IF(B187="","",IFERROR(INDEX(Employees!$C$5:$C$54,MATCH(B187,Employees!$B$5:$B$54,0)),"Not found"))</f>
        <v/>
      </c>
      <c r="D187" s="122"/>
      <c r="E187" s="123"/>
      <c r="F187" s="123"/>
      <c r="G187" s="118"/>
      <c r="H187" s="11" t="n">
        <f aca="false">IF(OR(B187="",E187="",F187="",F187&lt;E187),0,IF(G187="Yes",0.5,NETWORKDAYS.INTL(E187,F187,Setup!$C$14,Holidays!$B$5:$B$34)))</f>
        <v>0</v>
      </c>
      <c r="I187" s="119"/>
      <c r="J187" s="122"/>
      <c r="K187" s="118"/>
      <c r="L187" s="54" t="str">
        <f aca="false">IF(B187="","",IF(C187="Not found","Emp ID not found",IF(ISNA(MATCH(D187,Setup!$A$18:$A$23,0)),"Pick leave type",IF(OR(E187="",F187=""),"Enter From &amp; To",IF(F187&lt;E187,"To before From",IF(AND(G187="Yes",F187&gt;E187),"Half day = 1 date",IF(OR(E187&lt;Setup!$C$12,F187&gt;Setup!$C$13),"Outside leave year",IF(H187=0,"No working day",IF(AND(J187&lt;&gt;"Rejected",COUNTIFS($B$6:$B$305,B187,$J$6:$J$305,"&lt;&gt;Rejected",$E$6:$E$305,"&lt;="&amp;F187,$F$6:$F$305,"&gt;="&amp;E187)&gt;1),"Overlaps another leave",IF(AND(J187="Approved",N(INDEX(Balance!$F$6:$W$55,MATCH(B187,Balance!$B$6:$B$55,0),MATCH(D187,Setup!$A$18:$A$23,0)*3))&lt;0),"Exceeds balance",IF(J187="","Set status","OK")))))))))))</f>
        <v/>
      </c>
      <c r="M187" s="55" t="str">
        <f aca="false">IF(AND(B187&lt;&gt;"",B187='Leave Card'!$C$3),COUNTIF($B$6:B187,'Leave Card'!$C$3),"")</f>
        <v/>
      </c>
    </row>
    <row r="188" customFormat="false" ht="15" hidden="false" customHeight="false" outlineLevel="0" collapsed="false">
      <c r="A188" s="51" t="str">
        <f aca="false">IF(B188="","",ROW()-5)</f>
        <v/>
      </c>
      <c r="B188" s="118"/>
      <c r="C188" s="10" t="str">
        <f aca="false">IF(B188="","",IFERROR(INDEX(Employees!$C$5:$C$54,MATCH(B188,Employees!$B$5:$B$54,0)),"Not found"))</f>
        <v/>
      </c>
      <c r="D188" s="122"/>
      <c r="E188" s="123"/>
      <c r="F188" s="123"/>
      <c r="G188" s="118"/>
      <c r="H188" s="11" t="n">
        <f aca="false">IF(OR(B188="",E188="",F188="",F188&lt;E188),0,IF(G188="Yes",0.5,NETWORKDAYS.INTL(E188,F188,Setup!$C$14,Holidays!$B$5:$B$34)))</f>
        <v>0</v>
      </c>
      <c r="I188" s="119"/>
      <c r="J188" s="122"/>
      <c r="K188" s="118"/>
      <c r="L188" s="54" t="str">
        <f aca="false">IF(B188="","",IF(C188="Not found","Emp ID not found",IF(ISNA(MATCH(D188,Setup!$A$18:$A$23,0)),"Pick leave type",IF(OR(E188="",F188=""),"Enter From &amp; To",IF(F188&lt;E188,"To before From",IF(AND(G188="Yes",F188&gt;E188),"Half day = 1 date",IF(OR(E188&lt;Setup!$C$12,F188&gt;Setup!$C$13),"Outside leave year",IF(H188=0,"No working day",IF(AND(J188&lt;&gt;"Rejected",COUNTIFS($B$6:$B$305,B188,$J$6:$J$305,"&lt;&gt;Rejected",$E$6:$E$305,"&lt;="&amp;F188,$F$6:$F$305,"&gt;="&amp;E188)&gt;1),"Overlaps another leave",IF(AND(J188="Approved",N(INDEX(Balance!$F$6:$W$55,MATCH(B188,Balance!$B$6:$B$55,0),MATCH(D188,Setup!$A$18:$A$23,0)*3))&lt;0),"Exceeds balance",IF(J188="","Set status","OK")))))))))))</f>
        <v/>
      </c>
      <c r="M188" s="55" t="str">
        <f aca="false">IF(AND(B188&lt;&gt;"",B188='Leave Card'!$C$3),COUNTIF($B$6:B188,'Leave Card'!$C$3),"")</f>
        <v/>
      </c>
    </row>
    <row r="189" customFormat="false" ht="15" hidden="false" customHeight="false" outlineLevel="0" collapsed="false">
      <c r="A189" s="51" t="str">
        <f aca="false">IF(B189="","",ROW()-5)</f>
        <v/>
      </c>
      <c r="B189" s="118"/>
      <c r="C189" s="10" t="str">
        <f aca="false">IF(B189="","",IFERROR(INDEX(Employees!$C$5:$C$54,MATCH(B189,Employees!$B$5:$B$54,0)),"Not found"))</f>
        <v/>
      </c>
      <c r="D189" s="122"/>
      <c r="E189" s="123"/>
      <c r="F189" s="123"/>
      <c r="G189" s="118"/>
      <c r="H189" s="11" t="n">
        <f aca="false">IF(OR(B189="",E189="",F189="",F189&lt;E189),0,IF(G189="Yes",0.5,NETWORKDAYS.INTL(E189,F189,Setup!$C$14,Holidays!$B$5:$B$34)))</f>
        <v>0</v>
      </c>
      <c r="I189" s="119"/>
      <c r="J189" s="122"/>
      <c r="K189" s="118"/>
      <c r="L189" s="54" t="str">
        <f aca="false">IF(B189="","",IF(C189="Not found","Emp ID not found",IF(ISNA(MATCH(D189,Setup!$A$18:$A$23,0)),"Pick leave type",IF(OR(E189="",F189=""),"Enter From &amp; To",IF(F189&lt;E189,"To before From",IF(AND(G189="Yes",F189&gt;E189),"Half day = 1 date",IF(OR(E189&lt;Setup!$C$12,F189&gt;Setup!$C$13),"Outside leave year",IF(H189=0,"No working day",IF(AND(J189&lt;&gt;"Rejected",COUNTIFS($B$6:$B$305,B189,$J$6:$J$305,"&lt;&gt;Rejected",$E$6:$E$305,"&lt;="&amp;F189,$F$6:$F$305,"&gt;="&amp;E189)&gt;1),"Overlaps another leave",IF(AND(J189="Approved",N(INDEX(Balance!$F$6:$W$55,MATCH(B189,Balance!$B$6:$B$55,0),MATCH(D189,Setup!$A$18:$A$23,0)*3))&lt;0),"Exceeds balance",IF(J189="","Set status","OK")))))))))))</f>
        <v/>
      </c>
      <c r="M189" s="55" t="str">
        <f aca="false">IF(AND(B189&lt;&gt;"",B189='Leave Card'!$C$3),COUNTIF($B$6:B189,'Leave Card'!$C$3),"")</f>
        <v/>
      </c>
    </row>
    <row r="190" customFormat="false" ht="15" hidden="false" customHeight="false" outlineLevel="0" collapsed="false">
      <c r="A190" s="51" t="str">
        <f aca="false">IF(B190="","",ROW()-5)</f>
        <v/>
      </c>
      <c r="B190" s="118"/>
      <c r="C190" s="10" t="str">
        <f aca="false">IF(B190="","",IFERROR(INDEX(Employees!$C$5:$C$54,MATCH(B190,Employees!$B$5:$B$54,0)),"Not found"))</f>
        <v/>
      </c>
      <c r="D190" s="122"/>
      <c r="E190" s="123"/>
      <c r="F190" s="123"/>
      <c r="G190" s="118"/>
      <c r="H190" s="11" t="n">
        <f aca="false">IF(OR(B190="",E190="",F190="",F190&lt;E190),0,IF(G190="Yes",0.5,NETWORKDAYS.INTL(E190,F190,Setup!$C$14,Holidays!$B$5:$B$34)))</f>
        <v>0</v>
      </c>
      <c r="I190" s="119"/>
      <c r="J190" s="122"/>
      <c r="K190" s="118"/>
      <c r="L190" s="54" t="str">
        <f aca="false">IF(B190="","",IF(C190="Not found","Emp ID not found",IF(ISNA(MATCH(D190,Setup!$A$18:$A$23,0)),"Pick leave type",IF(OR(E190="",F190=""),"Enter From &amp; To",IF(F190&lt;E190,"To before From",IF(AND(G190="Yes",F190&gt;E190),"Half day = 1 date",IF(OR(E190&lt;Setup!$C$12,F190&gt;Setup!$C$13),"Outside leave year",IF(H190=0,"No working day",IF(AND(J190&lt;&gt;"Rejected",COUNTIFS($B$6:$B$305,B190,$J$6:$J$305,"&lt;&gt;Rejected",$E$6:$E$305,"&lt;="&amp;F190,$F$6:$F$305,"&gt;="&amp;E190)&gt;1),"Overlaps another leave",IF(AND(J190="Approved",N(INDEX(Balance!$F$6:$W$55,MATCH(B190,Balance!$B$6:$B$55,0),MATCH(D190,Setup!$A$18:$A$23,0)*3))&lt;0),"Exceeds balance",IF(J190="","Set status","OK")))))))))))</f>
        <v/>
      </c>
      <c r="M190" s="55" t="str">
        <f aca="false">IF(AND(B190&lt;&gt;"",B190='Leave Card'!$C$3),COUNTIF($B$6:B190,'Leave Card'!$C$3),"")</f>
        <v/>
      </c>
    </row>
    <row r="191" customFormat="false" ht="15" hidden="false" customHeight="false" outlineLevel="0" collapsed="false">
      <c r="A191" s="51" t="str">
        <f aca="false">IF(B191="","",ROW()-5)</f>
        <v/>
      </c>
      <c r="B191" s="118"/>
      <c r="C191" s="10" t="str">
        <f aca="false">IF(B191="","",IFERROR(INDEX(Employees!$C$5:$C$54,MATCH(B191,Employees!$B$5:$B$54,0)),"Not found"))</f>
        <v/>
      </c>
      <c r="D191" s="122"/>
      <c r="E191" s="123"/>
      <c r="F191" s="123"/>
      <c r="G191" s="118"/>
      <c r="H191" s="11" t="n">
        <f aca="false">IF(OR(B191="",E191="",F191="",F191&lt;E191),0,IF(G191="Yes",0.5,NETWORKDAYS.INTL(E191,F191,Setup!$C$14,Holidays!$B$5:$B$34)))</f>
        <v>0</v>
      </c>
      <c r="I191" s="119"/>
      <c r="J191" s="122"/>
      <c r="K191" s="118"/>
      <c r="L191" s="54" t="str">
        <f aca="false">IF(B191="","",IF(C191="Not found","Emp ID not found",IF(ISNA(MATCH(D191,Setup!$A$18:$A$23,0)),"Pick leave type",IF(OR(E191="",F191=""),"Enter From &amp; To",IF(F191&lt;E191,"To before From",IF(AND(G191="Yes",F191&gt;E191),"Half day = 1 date",IF(OR(E191&lt;Setup!$C$12,F191&gt;Setup!$C$13),"Outside leave year",IF(H191=0,"No working day",IF(AND(J191&lt;&gt;"Rejected",COUNTIFS($B$6:$B$305,B191,$J$6:$J$305,"&lt;&gt;Rejected",$E$6:$E$305,"&lt;="&amp;F191,$F$6:$F$305,"&gt;="&amp;E191)&gt;1),"Overlaps another leave",IF(AND(J191="Approved",N(INDEX(Balance!$F$6:$W$55,MATCH(B191,Balance!$B$6:$B$55,0),MATCH(D191,Setup!$A$18:$A$23,0)*3))&lt;0),"Exceeds balance",IF(J191="","Set status","OK")))))))))))</f>
        <v/>
      </c>
      <c r="M191" s="55" t="str">
        <f aca="false">IF(AND(B191&lt;&gt;"",B191='Leave Card'!$C$3),COUNTIF($B$6:B191,'Leave Card'!$C$3),"")</f>
        <v/>
      </c>
    </row>
    <row r="192" customFormat="false" ht="15" hidden="false" customHeight="false" outlineLevel="0" collapsed="false">
      <c r="A192" s="51" t="str">
        <f aca="false">IF(B192="","",ROW()-5)</f>
        <v/>
      </c>
      <c r="B192" s="118"/>
      <c r="C192" s="10" t="str">
        <f aca="false">IF(B192="","",IFERROR(INDEX(Employees!$C$5:$C$54,MATCH(B192,Employees!$B$5:$B$54,0)),"Not found"))</f>
        <v/>
      </c>
      <c r="D192" s="122"/>
      <c r="E192" s="123"/>
      <c r="F192" s="123"/>
      <c r="G192" s="118"/>
      <c r="H192" s="11" t="n">
        <f aca="false">IF(OR(B192="",E192="",F192="",F192&lt;E192),0,IF(G192="Yes",0.5,NETWORKDAYS.INTL(E192,F192,Setup!$C$14,Holidays!$B$5:$B$34)))</f>
        <v>0</v>
      </c>
      <c r="I192" s="119"/>
      <c r="J192" s="122"/>
      <c r="K192" s="118"/>
      <c r="L192" s="54" t="str">
        <f aca="false">IF(B192="","",IF(C192="Not found","Emp ID not found",IF(ISNA(MATCH(D192,Setup!$A$18:$A$23,0)),"Pick leave type",IF(OR(E192="",F192=""),"Enter From &amp; To",IF(F192&lt;E192,"To before From",IF(AND(G192="Yes",F192&gt;E192),"Half day = 1 date",IF(OR(E192&lt;Setup!$C$12,F192&gt;Setup!$C$13),"Outside leave year",IF(H192=0,"No working day",IF(AND(J192&lt;&gt;"Rejected",COUNTIFS($B$6:$B$305,B192,$J$6:$J$305,"&lt;&gt;Rejected",$E$6:$E$305,"&lt;="&amp;F192,$F$6:$F$305,"&gt;="&amp;E192)&gt;1),"Overlaps another leave",IF(AND(J192="Approved",N(INDEX(Balance!$F$6:$W$55,MATCH(B192,Balance!$B$6:$B$55,0),MATCH(D192,Setup!$A$18:$A$23,0)*3))&lt;0),"Exceeds balance",IF(J192="","Set status","OK")))))))))))</f>
        <v/>
      </c>
      <c r="M192" s="55" t="str">
        <f aca="false">IF(AND(B192&lt;&gt;"",B192='Leave Card'!$C$3),COUNTIF($B$6:B192,'Leave Card'!$C$3),"")</f>
        <v/>
      </c>
    </row>
    <row r="193" customFormat="false" ht="15" hidden="false" customHeight="false" outlineLevel="0" collapsed="false">
      <c r="A193" s="51" t="str">
        <f aca="false">IF(B193="","",ROW()-5)</f>
        <v/>
      </c>
      <c r="B193" s="118"/>
      <c r="C193" s="10" t="str">
        <f aca="false">IF(B193="","",IFERROR(INDEX(Employees!$C$5:$C$54,MATCH(B193,Employees!$B$5:$B$54,0)),"Not found"))</f>
        <v/>
      </c>
      <c r="D193" s="122"/>
      <c r="E193" s="123"/>
      <c r="F193" s="123"/>
      <c r="G193" s="118"/>
      <c r="H193" s="11" t="n">
        <f aca="false">IF(OR(B193="",E193="",F193="",F193&lt;E193),0,IF(G193="Yes",0.5,NETWORKDAYS.INTL(E193,F193,Setup!$C$14,Holidays!$B$5:$B$34)))</f>
        <v>0</v>
      </c>
      <c r="I193" s="119"/>
      <c r="J193" s="122"/>
      <c r="K193" s="118"/>
      <c r="L193" s="54" t="str">
        <f aca="false">IF(B193="","",IF(C193="Not found","Emp ID not found",IF(ISNA(MATCH(D193,Setup!$A$18:$A$23,0)),"Pick leave type",IF(OR(E193="",F193=""),"Enter From &amp; To",IF(F193&lt;E193,"To before From",IF(AND(G193="Yes",F193&gt;E193),"Half day = 1 date",IF(OR(E193&lt;Setup!$C$12,F193&gt;Setup!$C$13),"Outside leave year",IF(H193=0,"No working day",IF(AND(J193&lt;&gt;"Rejected",COUNTIFS($B$6:$B$305,B193,$J$6:$J$305,"&lt;&gt;Rejected",$E$6:$E$305,"&lt;="&amp;F193,$F$6:$F$305,"&gt;="&amp;E193)&gt;1),"Overlaps another leave",IF(AND(J193="Approved",N(INDEX(Balance!$F$6:$W$55,MATCH(B193,Balance!$B$6:$B$55,0),MATCH(D193,Setup!$A$18:$A$23,0)*3))&lt;0),"Exceeds balance",IF(J193="","Set status","OK")))))))))))</f>
        <v/>
      </c>
      <c r="M193" s="55" t="str">
        <f aca="false">IF(AND(B193&lt;&gt;"",B193='Leave Card'!$C$3),COUNTIF($B$6:B193,'Leave Card'!$C$3),"")</f>
        <v/>
      </c>
    </row>
    <row r="194" customFormat="false" ht="15" hidden="false" customHeight="false" outlineLevel="0" collapsed="false">
      <c r="A194" s="51" t="str">
        <f aca="false">IF(B194="","",ROW()-5)</f>
        <v/>
      </c>
      <c r="B194" s="118"/>
      <c r="C194" s="10" t="str">
        <f aca="false">IF(B194="","",IFERROR(INDEX(Employees!$C$5:$C$54,MATCH(B194,Employees!$B$5:$B$54,0)),"Not found"))</f>
        <v/>
      </c>
      <c r="D194" s="122"/>
      <c r="E194" s="123"/>
      <c r="F194" s="123"/>
      <c r="G194" s="118"/>
      <c r="H194" s="11" t="n">
        <f aca="false">IF(OR(B194="",E194="",F194="",F194&lt;E194),0,IF(G194="Yes",0.5,NETWORKDAYS.INTL(E194,F194,Setup!$C$14,Holidays!$B$5:$B$34)))</f>
        <v>0</v>
      </c>
      <c r="I194" s="119"/>
      <c r="J194" s="122"/>
      <c r="K194" s="118"/>
      <c r="L194" s="54" t="str">
        <f aca="false">IF(B194="","",IF(C194="Not found","Emp ID not found",IF(ISNA(MATCH(D194,Setup!$A$18:$A$23,0)),"Pick leave type",IF(OR(E194="",F194=""),"Enter From &amp; To",IF(F194&lt;E194,"To before From",IF(AND(G194="Yes",F194&gt;E194),"Half day = 1 date",IF(OR(E194&lt;Setup!$C$12,F194&gt;Setup!$C$13),"Outside leave year",IF(H194=0,"No working day",IF(AND(J194&lt;&gt;"Rejected",COUNTIFS($B$6:$B$305,B194,$J$6:$J$305,"&lt;&gt;Rejected",$E$6:$E$305,"&lt;="&amp;F194,$F$6:$F$305,"&gt;="&amp;E194)&gt;1),"Overlaps another leave",IF(AND(J194="Approved",N(INDEX(Balance!$F$6:$W$55,MATCH(B194,Balance!$B$6:$B$55,0),MATCH(D194,Setup!$A$18:$A$23,0)*3))&lt;0),"Exceeds balance",IF(J194="","Set status","OK")))))))))))</f>
        <v/>
      </c>
      <c r="M194" s="55" t="str">
        <f aca="false">IF(AND(B194&lt;&gt;"",B194='Leave Card'!$C$3),COUNTIF($B$6:B194,'Leave Card'!$C$3),"")</f>
        <v/>
      </c>
    </row>
    <row r="195" customFormat="false" ht="15" hidden="false" customHeight="false" outlineLevel="0" collapsed="false">
      <c r="A195" s="51" t="str">
        <f aca="false">IF(B195="","",ROW()-5)</f>
        <v/>
      </c>
      <c r="B195" s="118"/>
      <c r="C195" s="10" t="str">
        <f aca="false">IF(B195="","",IFERROR(INDEX(Employees!$C$5:$C$54,MATCH(B195,Employees!$B$5:$B$54,0)),"Not found"))</f>
        <v/>
      </c>
      <c r="D195" s="122"/>
      <c r="E195" s="123"/>
      <c r="F195" s="123"/>
      <c r="G195" s="118"/>
      <c r="H195" s="11" t="n">
        <f aca="false">IF(OR(B195="",E195="",F195="",F195&lt;E195),0,IF(G195="Yes",0.5,NETWORKDAYS.INTL(E195,F195,Setup!$C$14,Holidays!$B$5:$B$34)))</f>
        <v>0</v>
      </c>
      <c r="I195" s="119"/>
      <c r="J195" s="122"/>
      <c r="K195" s="118"/>
      <c r="L195" s="54" t="str">
        <f aca="false">IF(B195="","",IF(C195="Not found","Emp ID not found",IF(ISNA(MATCH(D195,Setup!$A$18:$A$23,0)),"Pick leave type",IF(OR(E195="",F195=""),"Enter From &amp; To",IF(F195&lt;E195,"To before From",IF(AND(G195="Yes",F195&gt;E195),"Half day = 1 date",IF(OR(E195&lt;Setup!$C$12,F195&gt;Setup!$C$13),"Outside leave year",IF(H195=0,"No working day",IF(AND(J195&lt;&gt;"Rejected",COUNTIFS($B$6:$B$305,B195,$J$6:$J$305,"&lt;&gt;Rejected",$E$6:$E$305,"&lt;="&amp;F195,$F$6:$F$305,"&gt;="&amp;E195)&gt;1),"Overlaps another leave",IF(AND(J195="Approved",N(INDEX(Balance!$F$6:$W$55,MATCH(B195,Balance!$B$6:$B$55,0),MATCH(D195,Setup!$A$18:$A$23,0)*3))&lt;0),"Exceeds balance",IF(J195="","Set status","OK")))))))))))</f>
        <v/>
      </c>
      <c r="M195" s="55" t="str">
        <f aca="false">IF(AND(B195&lt;&gt;"",B195='Leave Card'!$C$3),COUNTIF($B$6:B195,'Leave Card'!$C$3),"")</f>
        <v/>
      </c>
    </row>
    <row r="196" customFormat="false" ht="15" hidden="false" customHeight="false" outlineLevel="0" collapsed="false">
      <c r="A196" s="51" t="str">
        <f aca="false">IF(B196="","",ROW()-5)</f>
        <v/>
      </c>
      <c r="B196" s="118"/>
      <c r="C196" s="10" t="str">
        <f aca="false">IF(B196="","",IFERROR(INDEX(Employees!$C$5:$C$54,MATCH(B196,Employees!$B$5:$B$54,0)),"Not found"))</f>
        <v/>
      </c>
      <c r="D196" s="122"/>
      <c r="E196" s="123"/>
      <c r="F196" s="123"/>
      <c r="G196" s="118"/>
      <c r="H196" s="11" t="n">
        <f aca="false">IF(OR(B196="",E196="",F196="",F196&lt;E196),0,IF(G196="Yes",0.5,NETWORKDAYS.INTL(E196,F196,Setup!$C$14,Holidays!$B$5:$B$34)))</f>
        <v>0</v>
      </c>
      <c r="I196" s="119"/>
      <c r="J196" s="122"/>
      <c r="K196" s="118"/>
      <c r="L196" s="54" t="str">
        <f aca="false">IF(B196="","",IF(C196="Not found","Emp ID not found",IF(ISNA(MATCH(D196,Setup!$A$18:$A$23,0)),"Pick leave type",IF(OR(E196="",F196=""),"Enter From &amp; To",IF(F196&lt;E196,"To before From",IF(AND(G196="Yes",F196&gt;E196),"Half day = 1 date",IF(OR(E196&lt;Setup!$C$12,F196&gt;Setup!$C$13),"Outside leave year",IF(H196=0,"No working day",IF(AND(J196&lt;&gt;"Rejected",COUNTIFS($B$6:$B$305,B196,$J$6:$J$305,"&lt;&gt;Rejected",$E$6:$E$305,"&lt;="&amp;F196,$F$6:$F$305,"&gt;="&amp;E196)&gt;1),"Overlaps another leave",IF(AND(J196="Approved",N(INDEX(Balance!$F$6:$W$55,MATCH(B196,Balance!$B$6:$B$55,0),MATCH(D196,Setup!$A$18:$A$23,0)*3))&lt;0),"Exceeds balance",IF(J196="","Set status","OK")))))))))))</f>
        <v/>
      </c>
      <c r="M196" s="55" t="str">
        <f aca="false">IF(AND(B196&lt;&gt;"",B196='Leave Card'!$C$3),COUNTIF($B$6:B196,'Leave Card'!$C$3),"")</f>
        <v/>
      </c>
    </row>
    <row r="197" customFormat="false" ht="15" hidden="false" customHeight="false" outlineLevel="0" collapsed="false">
      <c r="A197" s="51" t="str">
        <f aca="false">IF(B197="","",ROW()-5)</f>
        <v/>
      </c>
      <c r="B197" s="118"/>
      <c r="C197" s="10" t="str">
        <f aca="false">IF(B197="","",IFERROR(INDEX(Employees!$C$5:$C$54,MATCH(B197,Employees!$B$5:$B$54,0)),"Not found"))</f>
        <v/>
      </c>
      <c r="D197" s="122"/>
      <c r="E197" s="123"/>
      <c r="F197" s="123"/>
      <c r="G197" s="118"/>
      <c r="H197" s="11" t="n">
        <f aca="false">IF(OR(B197="",E197="",F197="",F197&lt;E197),0,IF(G197="Yes",0.5,NETWORKDAYS.INTL(E197,F197,Setup!$C$14,Holidays!$B$5:$B$34)))</f>
        <v>0</v>
      </c>
      <c r="I197" s="119"/>
      <c r="J197" s="122"/>
      <c r="K197" s="118"/>
      <c r="L197" s="54" t="str">
        <f aca="false">IF(B197="","",IF(C197="Not found","Emp ID not found",IF(ISNA(MATCH(D197,Setup!$A$18:$A$23,0)),"Pick leave type",IF(OR(E197="",F197=""),"Enter From &amp; To",IF(F197&lt;E197,"To before From",IF(AND(G197="Yes",F197&gt;E197),"Half day = 1 date",IF(OR(E197&lt;Setup!$C$12,F197&gt;Setup!$C$13),"Outside leave year",IF(H197=0,"No working day",IF(AND(J197&lt;&gt;"Rejected",COUNTIFS($B$6:$B$305,B197,$J$6:$J$305,"&lt;&gt;Rejected",$E$6:$E$305,"&lt;="&amp;F197,$F$6:$F$305,"&gt;="&amp;E197)&gt;1),"Overlaps another leave",IF(AND(J197="Approved",N(INDEX(Balance!$F$6:$W$55,MATCH(B197,Balance!$B$6:$B$55,0),MATCH(D197,Setup!$A$18:$A$23,0)*3))&lt;0),"Exceeds balance",IF(J197="","Set status","OK")))))))))))</f>
        <v/>
      </c>
      <c r="M197" s="55" t="str">
        <f aca="false">IF(AND(B197&lt;&gt;"",B197='Leave Card'!$C$3),COUNTIF($B$6:B197,'Leave Card'!$C$3),"")</f>
        <v/>
      </c>
    </row>
    <row r="198" customFormat="false" ht="15" hidden="false" customHeight="false" outlineLevel="0" collapsed="false">
      <c r="A198" s="51" t="str">
        <f aca="false">IF(B198="","",ROW()-5)</f>
        <v/>
      </c>
      <c r="B198" s="118"/>
      <c r="C198" s="10" t="str">
        <f aca="false">IF(B198="","",IFERROR(INDEX(Employees!$C$5:$C$54,MATCH(B198,Employees!$B$5:$B$54,0)),"Not found"))</f>
        <v/>
      </c>
      <c r="D198" s="122"/>
      <c r="E198" s="123"/>
      <c r="F198" s="123"/>
      <c r="G198" s="118"/>
      <c r="H198" s="11" t="n">
        <f aca="false">IF(OR(B198="",E198="",F198="",F198&lt;E198),0,IF(G198="Yes",0.5,NETWORKDAYS.INTL(E198,F198,Setup!$C$14,Holidays!$B$5:$B$34)))</f>
        <v>0</v>
      </c>
      <c r="I198" s="119"/>
      <c r="J198" s="122"/>
      <c r="K198" s="118"/>
      <c r="L198" s="54" t="str">
        <f aca="false">IF(B198="","",IF(C198="Not found","Emp ID not found",IF(ISNA(MATCH(D198,Setup!$A$18:$A$23,0)),"Pick leave type",IF(OR(E198="",F198=""),"Enter From &amp; To",IF(F198&lt;E198,"To before From",IF(AND(G198="Yes",F198&gt;E198),"Half day = 1 date",IF(OR(E198&lt;Setup!$C$12,F198&gt;Setup!$C$13),"Outside leave year",IF(H198=0,"No working day",IF(AND(J198&lt;&gt;"Rejected",COUNTIFS($B$6:$B$305,B198,$J$6:$J$305,"&lt;&gt;Rejected",$E$6:$E$305,"&lt;="&amp;F198,$F$6:$F$305,"&gt;="&amp;E198)&gt;1),"Overlaps another leave",IF(AND(J198="Approved",N(INDEX(Balance!$F$6:$W$55,MATCH(B198,Balance!$B$6:$B$55,0),MATCH(D198,Setup!$A$18:$A$23,0)*3))&lt;0),"Exceeds balance",IF(J198="","Set status","OK")))))))))))</f>
        <v/>
      </c>
      <c r="M198" s="55" t="str">
        <f aca="false">IF(AND(B198&lt;&gt;"",B198='Leave Card'!$C$3),COUNTIF($B$6:B198,'Leave Card'!$C$3),"")</f>
        <v/>
      </c>
    </row>
    <row r="199" customFormat="false" ht="15" hidden="false" customHeight="false" outlineLevel="0" collapsed="false">
      <c r="A199" s="51" t="str">
        <f aca="false">IF(B199="","",ROW()-5)</f>
        <v/>
      </c>
      <c r="B199" s="118"/>
      <c r="C199" s="10" t="str">
        <f aca="false">IF(B199="","",IFERROR(INDEX(Employees!$C$5:$C$54,MATCH(B199,Employees!$B$5:$B$54,0)),"Not found"))</f>
        <v/>
      </c>
      <c r="D199" s="122"/>
      <c r="E199" s="123"/>
      <c r="F199" s="123"/>
      <c r="G199" s="118"/>
      <c r="H199" s="11" t="n">
        <f aca="false">IF(OR(B199="",E199="",F199="",F199&lt;E199),0,IF(G199="Yes",0.5,NETWORKDAYS.INTL(E199,F199,Setup!$C$14,Holidays!$B$5:$B$34)))</f>
        <v>0</v>
      </c>
      <c r="I199" s="119"/>
      <c r="J199" s="122"/>
      <c r="K199" s="118"/>
      <c r="L199" s="54" t="str">
        <f aca="false">IF(B199="","",IF(C199="Not found","Emp ID not found",IF(ISNA(MATCH(D199,Setup!$A$18:$A$23,0)),"Pick leave type",IF(OR(E199="",F199=""),"Enter From &amp; To",IF(F199&lt;E199,"To before From",IF(AND(G199="Yes",F199&gt;E199),"Half day = 1 date",IF(OR(E199&lt;Setup!$C$12,F199&gt;Setup!$C$13),"Outside leave year",IF(H199=0,"No working day",IF(AND(J199&lt;&gt;"Rejected",COUNTIFS($B$6:$B$305,B199,$J$6:$J$305,"&lt;&gt;Rejected",$E$6:$E$305,"&lt;="&amp;F199,$F$6:$F$305,"&gt;="&amp;E199)&gt;1),"Overlaps another leave",IF(AND(J199="Approved",N(INDEX(Balance!$F$6:$W$55,MATCH(B199,Balance!$B$6:$B$55,0),MATCH(D199,Setup!$A$18:$A$23,0)*3))&lt;0),"Exceeds balance",IF(J199="","Set status","OK")))))))))))</f>
        <v/>
      </c>
      <c r="M199" s="55" t="str">
        <f aca="false">IF(AND(B199&lt;&gt;"",B199='Leave Card'!$C$3),COUNTIF($B$6:B199,'Leave Card'!$C$3),"")</f>
        <v/>
      </c>
    </row>
    <row r="200" customFormat="false" ht="15" hidden="false" customHeight="false" outlineLevel="0" collapsed="false">
      <c r="A200" s="51" t="str">
        <f aca="false">IF(B200="","",ROW()-5)</f>
        <v/>
      </c>
      <c r="B200" s="118"/>
      <c r="C200" s="10" t="str">
        <f aca="false">IF(B200="","",IFERROR(INDEX(Employees!$C$5:$C$54,MATCH(B200,Employees!$B$5:$B$54,0)),"Not found"))</f>
        <v/>
      </c>
      <c r="D200" s="122"/>
      <c r="E200" s="123"/>
      <c r="F200" s="123"/>
      <c r="G200" s="118"/>
      <c r="H200" s="11" t="n">
        <f aca="false">IF(OR(B200="",E200="",F200="",F200&lt;E200),0,IF(G200="Yes",0.5,NETWORKDAYS.INTL(E200,F200,Setup!$C$14,Holidays!$B$5:$B$34)))</f>
        <v>0</v>
      </c>
      <c r="I200" s="119"/>
      <c r="J200" s="122"/>
      <c r="K200" s="118"/>
      <c r="L200" s="54" t="str">
        <f aca="false">IF(B200="","",IF(C200="Not found","Emp ID not found",IF(ISNA(MATCH(D200,Setup!$A$18:$A$23,0)),"Pick leave type",IF(OR(E200="",F200=""),"Enter From &amp; To",IF(F200&lt;E200,"To before From",IF(AND(G200="Yes",F200&gt;E200),"Half day = 1 date",IF(OR(E200&lt;Setup!$C$12,F200&gt;Setup!$C$13),"Outside leave year",IF(H200=0,"No working day",IF(AND(J200&lt;&gt;"Rejected",COUNTIFS($B$6:$B$305,B200,$J$6:$J$305,"&lt;&gt;Rejected",$E$6:$E$305,"&lt;="&amp;F200,$F$6:$F$305,"&gt;="&amp;E200)&gt;1),"Overlaps another leave",IF(AND(J200="Approved",N(INDEX(Balance!$F$6:$W$55,MATCH(B200,Balance!$B$6:$B$55,0),MATCH(D200,Setup!$A$18:$A$23,0)*3))&lt;0),"Exceeds balance",IF(J200="","Set status","OK")))))))))))</f>
        <v/>
      </c>
      <c r="M200" s="55" t="str">
        <f aca="false">IF(AND(B200&lt;&gt;"",B200='Leave Card'!$C$3),COUNTIF($B$6:B200,'Leave Card'!$C$3),"")</f>
        <v/>
      </c>
    </row>
    <row r="201" customFormat="false" ht="15" hidden="false" customHeight="false" outlineLevel="0" collapsed="false">
      <c r="A201" s="51" t="str">
        <f aca="false">IF(B201="","",ROW()-5)</f>
        <v/>
      </c>
      <c r="B201" s="118"/>
      <c r="C201" s="10" t="str">
        <f aca="false">IF(B201="","",IFERROR(INDEX(Employees!$C$5:$C$54,MATCH(B201,Employees!$B$5:$B$54,0)),"Not found"))</f>
        <v/>
      </c>
      <c r="D201" s="122"/>
      <c r="E201" s="123"/>
      <c r="F201" s="123"/>
      <c r="G201" s="118"/>
      <c r="H201" s="11" t="n">
        <f aca="false">IF(OR(B201="",E201="",F201="",F201&lt;E201),0,IF(G201="Yes",0.5,NETWORKDAYS.INTL(E201,F201,Setup!$C$14,Holidays!$B$5:$B$34)))</f>
        <v>0</v>
      </c>
      <c r="I201" s="119"/>
      <c r="J201" s="122"/>
      <c r="K201" s="118"/>
      <c r="L201" s="54" t="str">
        <f aca="false">IF(B201="","",IF(C201="Not found","Emp ID not found",IF(ISNA(MATCH(D201,Setup!$A$18:$A$23,0)),"Pick leave type",IF(OR(E201="",F201=""),"Enter From &amp; To",IF(F201&lt;E201,"To before From",IF(AND(G201="Yes",F201&gt;E201),"Half day = 1 date",IF(OR(E201&lt;Setup!$C$12,F201&gt;Setup!$C$13),"Outside leave year",IF(H201=0,"No working day",IF(AND(J201&lt;&gt;"Rejected",COUNTIFS($B$6:$B$305,B201,$J$6:$J$305,"&lt;&gt;Rejected",$E$6:$E$305,"&lt;="&amp;F201,$F$6:$F$305,"&gt;="&amp;E201)&gt;1),"Overlaps another leave",IF(AND(J201="Approved",N(INDEX(Balance!$F$6:$W$55,MATCH(B201,Balance!$B$6:$B$55,0),MATCH(D201,Setup!$A$18:$A$23,0)*3))&lt;0),"Exceeds balance",IF(J201="","Set status","OK")))))))))))</f>
        <v/>
      </c>
      <c r="M201" s="55" t="str">
        <f aca="false">IF(AND(B201&lt;&gt;"",B201='Leave Card'!$C$3),COUNTIF($B$6:B201,'Leave Card'!$C$3),"")</f>
        <v/>
      </c>
    </row>
    <row r="202" customFormat="false" ht="15" hidden="false" customHeight="false" outlineLevel="0" collapsed="false">
      <c r="A202" s="51" t="str">
        <f aca="false">IF(B202="","",ROW()-5)</f>
        <v/>
      </c>
      <c r="B202" s="118"/>
      <c r="C202" s="10" t="str">
        <f aca="false">IF(B202="","",IFERROR(INDEX(Employees!$C$5:$C$54,MATCH(B202,Employees!$B$5:$B$54,0)),"Not found"))</f>
        <v/>
      </c>
      <c r="D202" s="122"/>
      <c r="E202" s="123"/>
      <c r="F202" s="123"/>
      <c r="G202" s="118"/>
      <c r="H202" s="11" t="n">
        <f aca="false">IF(OR(B202="",E202="",F202="",F202&lt;E202),0,IF(G202="Yes",0.5,NETWORKDAYS.INTL(E202,F202,Setup!$C$14,Holidays!$B$5:$B$34)))</f>
        <v>0</v>
      </c>
      <c r="I202" s="119"/>
      <c r="J202" s="122"/>
      <c r="K202" s="118"/>
      <c r="L202" s="54" t="str">
        <f aca="false">IF(B202="","",IF(C202="Not found","Emp ID not found",IF(ISNA(MATCH(D202,Setup!$A$18:$A$23,0)),"Pick leave type",IF(OR(E202="",F202=""),"Enter From &amp; To",IF(F202&lt;E202,"To before From",IF(AND(G202="Yes",F202&gt;E202),"Half day = 1 date",IF(OR(E202&lt;Setup!$C$12,F202&gt;Setup!$C$13),"Outside leave year",IF(H202=0,"No working day",IF(AND(J202&lt;&gt;"Rejected",COUNTIFS($B$6:$B$305,B202,$J$6:$J$305,"&lt;&gt;Rejected",$E$6:$E$305,"&lt;="&amp;F202,$F$6:$F$305,"&gt;="&amp;E202)&gt;1),"Overlaps another leave",IF(AND(J202="Approved",N(INDEX(Balance!$F$6:$W$55,MATCH(B202,Balance!$B$6:$B$55,0),MATCH(D202,Setup!$A$18:$A$23,0)*3))&lt;0),"Exceeds balance",IF(J202="","Set status","OK")))))))))))</f>
        <v/>
      </c>
      <c r="M202" s="55" t="str">
        <f aca="false">IF(AND(B202&lt;&gt;"",B202='Leave Card'!$C$3),COUNTIF($B$6:B202,'Leave Card'!$C$3),"")</f>
        <v/>
      </c>
    </row>
    <row r="203" customFormat="false" ht="15" hidden="false" customHeight="false" outlineLevel="0" collapsed="false">
      <c r="A203" s="51" t="str">
        <f aca="false">IF(B203="","",ROW()-5)</f>
        <v/>
      </c>
      <c r="B203" s="118"/>
      <c r="C203" s="10" t="str">
        <f aca="false">IF(B203="","",IFERROR(INDEX(Employees!$C$5:$C$54,MATCH(B203,Employees!$B$5:$B$54,0)),"Not found"))</f>
        <v/>
      </c>
      <c r="D203" s="122"/>
      <c r="E203" s="123"/>
      <c r="F203" s="123"/>
      <c r="G203" s="118"/>
      <c r="H203" s="11" t="n">
        <f aca="false">IF(OR(B203="",E203="",F203="",F203&lt;E203),0,IF(G203="Yes",0.5,NETWORKDAYS.INTL(E203,F203,Setup!$C$14,Holidays!$B$5:$B$34)))</f>
        <v>0</v>
      </c>
      <c r="I203" s="119"/>
      <c r="J203" s="122"/>
      <c r="K203" s="118"/>
      <c r="L203" s="54" t="str">
        <f aca="false">IF(B203="","",IF(C203="Not found","Emp ID not found",IF(ISNA(MATCH(D203,Setup!$A$18:$A$23,0)),"Pick leave type",IF(OR(E203="",F203=""),"Enter From &amp; To",IF(F203&lt;E203,"To before From",IF(AND(G203="Yes",F203&gt;E203),"Half day = 1 date",IF(OR(E203&lt;Setup!$C$12,F203&gt;Setup!$C$13),"Outside leave year",IF(H203=0,"No working day",IF(AND(J203&lt;&gt;"Rejected",COUNTIFS($B$6:$B$305,B203,$J$6:$J$305,"&lt;&gt;Rejected",$E$6:$E$305,"&lt;="&amp;F203,$F$6:$F$305,"&gt;="&amp;E203)&gt;1),"Overlaps another leave",IF(AND(J203="Approved",N(INDEX(Balance!$F$6:$W$55,MATCH(B203,Balance!$B$6:$B$55,0),MATCH(D203,Setup!$A$18:$A$23,0)*3))&lt;0),"Exceeds balance",IF(J203="","Set status","OK")))))))))))</f>
        <v/>
      </c>
      <c r="M203" s="55" t="str">
        <f aca="false">IF(AND(B203&lt;&gt;"",B203='Leave Card'!$C$3),COUNTIF($B$6:B203,'Leave Card'!$C$3),"")</f>
        <v/>
      </c>
    </row>
    <row r="204" customFormat="false" ht="15" hidden="false" customHeight="false" outlineLevel="0" collapsed="false">
      <c r="A204" s="51" t="str">
        <f aca="false">IF(B204="","",ROW()-5)</f>
        <v/>
      </c>
      <c r="B204" s="118"/>
      <c r="C204" s="10" t="str">
        <f aca="false">IF(B204="","",IFERROR(INDEX(Employees!$C$5:$C$54,MATCH(B204,Employees!$B$5:$B$54,0)),"Not found"))</f>
        <v/>
      </c>
      <c r="D204" s="122"/>
      <c r="E204" s="123"/>
      <c r="F204" s="123"/>
      <c r="G204" s="118"/>
      <c r="H204" s="11" t="n">
        <f aca="false">IF(OR(B204="",E204="",F204="",F204&lt;E204),0,IF(G204="Yes",0.5,NETWORKDAYS.INTL(E204,F204,Setup!$C$14,Holidays!$B$5:$B$34)))</f>
        <v>0</v>
      </c>
      <c r="I204" s="119"/>
      <c r="J204" s="122"/>
      <c r="K204" s="118"/>
      <c r="L204" s="54" t="str">
        <f aca="false">IF(B204="","",IF(C204="Not found","Emp ID not found",IF(ISNA(MATCH(D204,Setup!$A$18:$A$23,0)),"Pick leave type",IF(OR(E204="",F204=""),"Enter From &amp; To",IF(F204&lt;E204,"To before From",IF(AND(G204="Yes",F204&gt;E204),"Half day = 1 date",IF(OR(E204&lt;Setup!$C$12,F204&gt;Setup!$C$13),"Outside leave year",IF(H204=0,"No working day",IF(AND(J204&lt;&gt;"Rejected",COUNTIFS($B$6:$B$305,B204,$J$6:$J$305,"&lt;&gt;Rejected",$E$6:$E$305,"&lt;="&amp;F204,$F$6:$F$305,"&gt;="&amp;E204)&gt;1),"Overlaps another leave",IF(AND(J204="Approved",N(INDEX(Balance!$F$6:$W$55,MATCH(B204,Balance!$B$6:$B$55,0),MATCH(D204,Setup!$A$18:$A$23,0)*3))&lt;0),"Exceeds balance",IF(J204="","Set status","OK")))))))))))</f>
        <v/>
      </c>
      <c r="M204" s="55" t="str">
        <f aca="false">IF(AND(B204&lt;&gt;"",B204='Leave Card'!$C$3),COUNTIF($B$6:B204,'Leave Card'!$C$3),"")</f>
        <v/>
      </c>
    </row>
    <row r="205" customFormat="false" ht="15" hidden="false" customHeight="false" outlineLevel="0" collapsed="false">
      <c r="A205" s="51" t="str">
        <f aca="false">IF(B205="","",ROW()-5)</f>
        <v/>
      </c>
      <c r="B205" s="118"/>
      <c r="C205" s="10" t="str">
        <f aca="false">IF(B205="","",IFERROR(INDEX(Employees!$C$5:$C$54,MATCH(B205,Employees!$B$5:$B$54,0)),"Not found"))</f>
        <v/>
      </c>
      <c r="D205" s="122"/>
      <c r="E205" s="123"/>
      <c r="F205" s="123"/>
      <c r="G205" s="118"/>
      <c r="H205" s="11" t="n">
        <f aca="false">IF(OR(B205="",E205="",F205="",F205&lt;E205),0,IF(G205="Yes",0.5,NETWORKDAYS.INTL(E205,F205,Setup!$C$14,Holidays!$B$5:$B$34)))</f>
        <v>0</v>
      </c>
      <c r="I205" s="119"/>
      <c r="J205" s="122"/>
      <c r="K205" s="118"/>
      <c r="L205" s="54" t="str">
        <f aca="false">IF(B205="","",IF(C205="Not found","Emp ID not found",IF(ISNA(MATCH(D205,Setup!$A$18:$A$23,0)),"Pick leave type",IF(OR(E205="",F205=""),"Enter From &amp; To",IF(F205&lt;E205,"To before From",IF(AND(G205="Yes",F205&gt;E205),"Half day = 1 date",IF(OR(E205&lt;Setup!$C$12,F205&gt;Setup!$C$13),"Outside leave year",IF(H205=0,"No working day",IF(AND(J205&lt;&gt;"Rejected",COUNTIFS($B$6:$B$305,B205,$J$6:$J$305,"&lt;&gt;Rejected",$E$6:$E$305,"&lt;="&amp;F205,$F$6:$F$305,"&gt;="&amp;E205)&gt;1),"Overlaps another leave",IF(AND(J205="Approved",N(INDEX(Balance!$F$6:$W$55,MATCH(B205,Balance!$B$6:$B$55,0),MATCH(D205,Setup!$A$18:$A$23,0)*3))&lt;0),"Exceeds balance",IF(J205="","Set status","OK")))))))))))</f>
        <v/>
      </c>
      <c r="M205" s="55" t="str">
        <f aca="false">IF(AND(B205&lt;&gt;"",B205='Leave Card'!$C$3),COUNTIF($B$6:B205,'Leave Card'!$C$3),"")</f>
        <v/>
      </c>
    </row>
    <row r="206" customFormat="false" ht="15" hidden="false" customHeight="false" outlineLevel="0" collapsed="false">
      <c r="A206" s="51" t="str">
        <f aca="false">IF(B206="","",ROW()-5)</f>
        <v/>
      </c>
      <c r="B206" s="118"/>
      <c r="C206" s="10" t="str">
        <f aca="false">IF(B206="","",IFERROR(INDEX(Employees!$C$5:$C$54,MATCH(B206,Employees!$B$5:$B$54,0)),"Not found"))</f>
        <v/>
      </c>
      <c r="D206" s="122"/>
      <c r="E206" s="123"/>
      <c r="F206" s="123"/>
      <c r="G206" s="118"/>
      <c r="H206" s="11" t="n">
        <f aca="false">IF(OR(B206="",E206="",F206="",F206&lt;E206),0,IF(G206="Yes",0.5,NETWORKDAYS.INTL(E206,F206,Setup!$C$14,Holidays!$B$5:$B$34)))</f>
        <v>0</v>
      </c>
      <c r="I206" s="119"/>
      <c r="J206" s="122"/>
      <c r="K206" s="118"/>
      <c r="L206" s="54" t="str">
        <f aca="false">IF(B206="","",IF(C206="Not found","Emp ID not found",IF(ISNA(MATCH(D206,Setup!$A$18:$A$23,0)),"Pick leave type",IF(OR(E206="",F206=""),"Enter From &amp; To",IF(F206&lt;E206,"To before From",IF(AND(G206="Yes",F206&gt;E206),"Half day = 1 date",IF(OR(E206&lt;Setup!$C$12,F206&gt;Setup!$C$13),"Outside leave year",IF(H206=0,"No working day",IF(AND(J206&lt;&gt;"Rejected",COUNTIFS($B$6:$B$305,B206,$J$6:$J$305,"&lt;&gt;Rejected",$E$6:$E$305,"&lt;="&amp;F206,$F$6:$F$305,"&gt;="&amp;E206)&gt;1),"Overlaps another leave",IF(AND(J206="Approved",N(INDEX(Balance!$F$6:$W$55,MATCH(B206,Balance!$B$6:$B$55,0),MATCH(D206,Setup!$A$18:$A$23,0)*3))&lt;0),"Exceeds balance",IF(J206="","Set status","OK")))))))))))</f>
        <v/>
      </c>
      <c r="M206" s="55" t="str">
        <f aca="false">IF(AND(B206&lt;&gt;"",B206='Leave Card'!$C$3),COUNTIF($B$6:B206,'Leave Card'!$C$3),"")</f>
        <v/>
      </c>
    </row>
    <row r="207" customFormat="false" ht="15" hidden="false" customHeight="false" outlineLevel="0" collapsed="false">
      <c r="A207" s="51" t="str">
        <f aca="false">IF(B207="","",ROW()-5)</f>
        <v/>
      </c>
      <c r="B207" s="118"/>
      <c r="C207" s="10" t="str">
        <f aca="false">IF(B207="","",IFERROR(INDEX(Employees!$C$5:$C$54,MATCH(B207,Employees!$B$5:$B$54,0)),"Not found"))</f>
        <v/>
      </c>
      <c r="D207" s="122"/>
      <c r="E207" s="123"/>
      <c r="F207" s="123"/>
      <c r="G207" s="118"/>
      <c r="H207" s="11" t="n">
        <f aca="false">IF(OR(B207="",E207="",F207="",F207&lt;E207),0,IF(G207="Yes",0.5,NETWORKDAYS.INTL(E207,F207,Setup!$C$14,Holidays!$B$5:$B$34)))</f>
        <v>0</v>
      </c>
      <c r="I207" s="119"/>
      <c r="J207" s="122"/>
      <c r="K207" s="118"/>
      <c r="L207" s="54" t="str">
        <f aca="false">IF(B207="","",IF(C207="Not found","Emp ID not found",IF(ISNA(MATCH(D207,Setup!$A$18:$A$23,0)),"Pick leave type",IF(OR(E207="",F207=""),"Enter From &amp; To",IF(F207&lt;E207,"To before From",IF(AND(G207="Yes",F207&gt;E207),"Half day = 1 date",IF(OR(E207&lt;Setup!$C$12,F207&gt;Setup!$C$13),"Outside leave year",IF(H207=0,"No working day",IF(AND(J207&lt;&gt;"Rejected",COUNTIFS($B$6:$B$305,B207,$J$6:$J$305,"&lt;&gt;Rejected",$E$6:$E$305,"&lt;="&amp;F207,$F$6:$F$305,"&gt;="&amp;E207)&gt;1),"Overlaps another leave",IF(AND(J207="Approved",N(INDEX(Balance!$F$6:$W$55,MATCH(B207,Balance!$B$6:$B$55,0),MATCH(D207,Setup!$A$18:$A$23,0)*3))&lt;0),"Exceeds balance",IF(J207="","Set status","OK")))))))))))</f>
        <v/>
      </c>
      <c r="M207" s="55" t="str">
        <f aca="false">IF(AND(B207&lt;&gt;"",B207='Leave Card'!$C$3),COUNTIF($B$6:B207,'Leave Card'!$C$3),"")</f>
        <v/>
      </c>
    </row>
    <row r="208" customFormat="false" ht="15" hidden="false" customHeight="false" outlineLevel="0" collapsed="false">
      <c r="A208" s="51" t="str">
        <f aca="false">IF(B208="","",ROW()-5)</f>
        <v/>
      </c>
      <c r="B208" s="118"/>
      <c r="C208" s="10" t="str">
        <f aca="false">IF(B208="","",IFERROR(INDEX(Employees!$C$5:$C$54,MATCH(B208,Employees!$B$5:$B$54,0)),"Not found"))</f>
        <v/>
      </c>
      <c r="D208" s="122"/>
      <c r="E208" s="123"/>
      <c r="F208" s="123"/>
      <c r="G208" s="118"/>
      <c r="H208" s="11" t="n">
        <f aca="false">IF(OR(B208="",E208="",F208="",F208&lt;E208),0,IF(G208="Yes",0.5,NETWORKDAYS.INTL(E208,F208,Setup!$C$14,Holidays!$B$5:$B$34)))</f>
        <v>0</v>
      </c>
      <c r="I208" s="119"/>
      <c r="J208" s="122"/>
      <c r="K208" s="118"/>
      <c r="L208" s="54" t="str">
        <f aca="false">IF(B208="","",IF(C208="Not found","Emp ID not found",IF(ISNA(MATCH(D208,Setup!$A$18:$A$23,0)),"Pick leave type",IF(OR(E208="",F208=""),"Enter From &amp; To",IF(F208&lt;E208,"To before From",IF(AND(G208="Yes",F208&gt;E208),"Half day = 1 date",IF(OR(E208&lt;Setup!$C$12,F208&gt;Setup!$C$13),"Outside leave year",IF(H208=0,"No working day",IF(AND(J208&lt;&gt;"Rejected",COUNTIFS($B$6:$B$305,B208,$J$6:$J$305,"&lt;&gt;Rejected",$E$6:$E$305,"&lt;="&amp;F208,$F$6:$F$305,"&gt;="&amp;E208)&gt;1),"Overlaps another leave",IF(AND(J208="Approved",N(INDEX(Balance!$F$6:$W$55,MATCH(B208,Balance!$B$6:$B$55,0),MATCH(D208,Setup!$A$18:$A$23,0)*3))&lt;0),"Exceeds balance",IF(J208="","Set status","OK")))))))))))</f>
        <v/>
      </c>
      <c r="M208" s="55" t="str">
        <f aca="false">IF(AND(B208&lt;&gt;"",B208='Leave Card'!$C$3),COUNTIF($B$6:B208,'Leave Card'!$C$3),"")</f>
        <v/>
      </c>
    </row>
    <row r="209" customFormat="false" ht="15" hidden="false" customHeight="false" outlineLevel="0" collapsed="false">
      <c r="A209" s="51" t="str">
        <f aca="false">IF(B209="","",ROW()-5)</f>
        <v/>
      </c>
      <c r="B209" s="118"/>
      <c r="C209" s="10" t="str">
        <f aca="false">IF(B209="","",IFERROR(INDEX(Employees!$C$5:$C$54,MATCH(B209,Employees!$B$5:$B$54,0)),"Not found"))</f>
        <v/>
      </c>
      <c r="D209" s="122"/>
      <c r="E209" s="123"/>
      <c r="F209" s="123"/>
      <c r="G209" s="118"/>
      <c r="H209" s="11" t="n">
        <f aca="false">IF(OR(B209="",E209="",F209="",F209&lt;E209),0,IF(G209="Yes",0.5,NETWORKDAYS.INTL(E209,F209,Setup!$C$14,Holidays!$B$5:$B$34)))</f>
        <v>0</v>
      </c>
      <c r="I209" s="119"/>
      <c r="J209" s="122"/>
      <c r="K209" s="118"/>
      <c r="L209" s="54" t="str">
        <f aca="false">IF(B209="","",IF(C209="Not found","Emp ID not found",IF(ISNA(MATCH(D209,Setup!$A$18:$A$23,0)),"Pick leave type",IF(OR(E209="",F209=""),"Enter From &amp; To",IF(F209&lt;E209,"To before From",IF(AND(G209="Yes",F209&gt;E209),"Half day = 1 date",IF(OR(E209&lt;Setup!$C$12,F209&gt;Setup!$C$13),"Outside leave year",IF(H209=0,"No working day",IF(AND(J209&lt;&gt;"Rejected",COUNTIFS($B$6:$B$305,B209,$J$6:$J$305,"&lt;&gt;Rejected",$E$6:$E$305,"&lt;="&amp;F209,$F$6:$F$305,"&gt;="&amp;E209)&gt;1),"Overlaps another leave",IF(AND(J209="Approved",N(INDEX(Balance!$F$6:$W$55,MATCH(B209,Balance!$B$6:$B$55,0),MATCH(D209,Setup!$A$18:$A$23,0)*3))&lt;0),"Exceeds balance",IF(J209="","Set status","OK")))))))))))</f>
        <v/>
      </c>
      <c r="M209" s="55" t="str">
        <f aca="false">IF(AND(B209&lt;&gt;"",B209='Leave Card'!$C$3),COUNTIF($B$6:B209,'Leave Card'!$C$3),"")</f>
        <v/>
      </c>
    </row>
    <row r="210" customFormat="false" ht="15" hidden="false" customHeight="false" outlineLevel="0" collapsed="false">
      <c r="A210" s="51" t="str">
        <f aca="false">IF(B210="","",ROW()-5)</f>
        <v/>
      </c>
      <c r="B210" s="118"/>
      <c r="C210" s="10" t="str">
        <f aca="false">IF(B210="","",IFERROR(INDEX(Employees!$C$5:$C$54,MATCH(B210,Employees!$B$5:$B$54,0)),"Not found"))</f>
        <v/>
      </c>
      <c r="D210" s="122"/>
      <c r="E210" s="123"/>
      <c r="F210" s="123"/>
      <c r="G210" s="118"/>
      <c r="H210" s="11" t="n">
        <f aca="false">IF(OR(B210="",E210="",F210="",F210&lt;E210),0,IF(G210="Yes",0.5,NETWORKDAYS.INTL(E210,F210,Setup!$C$14,Holidays!$B$5:$B$34)))</f>
        <v>0</v>
      </c>
      <c r="I210" s="119"/>
      <c r="J210" s="122"/>
      <c r="K210" s="118"/>
      <c r="L210" s="54" t="str">
        <f aca="false">IF(B210="","",IF(C210="Not found","Emp ID not found",IF(ISNA(MATCH(D210,Setup!$A$18:$A$23,0)),"Pick leave type",IF(OR(E210="",F210=""),"Enter From &amp; To",IF(F210&lt;E210,"To before From",IF(AND(G210="Yes",F210&gt;E210),"Half day = 1 date",IF(OR(E210&lt;Setup!$C$12,F210&gt;Setup!$C$13),"Outside leave year",IF(H210=0,"No working day",IF(AND(J210&lt;&gt;"Rejected",COUNTIFS($B$6:$B$305,B210,$J$6:$J$305,"&lt;&gt;Rejected",$E$6:$E$305,"&lt;="&amp;F210,$F$6:$F$305,"&gt;="&amp;E210)&gt;1),"Overlaps another leave",IF(AND(J210="Approved",N(INDEX(Balance!$F$6:$W$55,MATCH(B210,Balance!$B$6:$B$55,0),MATCH(D210,Setup!$A$18:$A$23,0)*3))&lt;0),"Exceeds balance",IF(J210="","Set status","OK")))))))))))</f>
        <v/>
      </c>
      <c r="M210" s="55" t="str">
        <f aca="false">IF(AND(B210&lt;&gt;"",B210='Leave Card'!$C$3),COUNTIF($B$6:B210,'Leave Card'!$C$3),"")</f>
        <v/>
      </c>
    </row>
    <row r="211" customFormat="false" ht="15" hidden="false" customHeight="false" outlineLevel="0" collapsed="false">
      <c r="A211" s="51" t="str">
        <f aca="false">IF(B211="","",ROW()-5)</f>
        <v/>
      </c>
      <c r="B211" s="118"/>
      <c r="C211" s="10" t="str">
        <f aca="false">IF(B211="","",IFERROR(INDEX(Employees!$C$5:$C$54,MATCH(B211,Employees!$B$5:$B$54,0)),"Not found"))</f>
        <v/>
      </c>
      <c r="D211" s="122"/>
      <c r="E211" s="123"/>
      <c r="F211" s="123"/>
      <c r="G211" s="118"/>
      <c r="H211" s="11" t="n">
        <f aca="false">IF(OR(B211="",E211="",F211="",F211&lt;E211),0,IF(G211="Yes",0.5,NETWORKDAYS.INTL(E211,F211,Setup!$C$14,Holidays!$B$5:$B$34)))</f>
        <v>0</v>
      </c>
      <c r="I211" s="119"/>
      <c r="J211" s="122"/>
      <c r="K211" s="118"/>
      <c r="L211" s="54" t="str">
        <f aca="false">IF(B211="","",IF(C211="Not found","Emp ID not found",IF(ISNA(MATCH(D211,Setup!$A$18:$A$23,0)),"Pick leave type",IF(OR(E211="",F211=""),"Enter From &amp; To",IF(F211&lt;E211,"To before From",IF(AND(G211="Yes",F211&gt;E211),"Half day = 1 date",IF(OR(E211&lt;Setup!$C$12,F211&gt;Setup!$C$13),"Outside leave year",IF(H211=0,"No working day",IF(AND(J211&lt;&gt;"Rejected",COUNTIFS($B$6:$B$305,B211,$J$6:$J$305,"&lt;&gt;Rejected",$E$6:$E$305,"&lt;="&amp;F211,$F$6:$F$305,"&gt;="&amp;E211)&gt;1),"Overlaps another leave",IF(AND(J211="Approved",N(INDEX(Balance!$F$6:$W$55,MATCH(B211,Balance!$B$6:$B$55,0),MATCH(D211,Setup!$A$18:$A$23,0)*3))&lt;0),"Exceeds balance",IF(J211="","Set status","OK")))))))))))</f>
        <v/>
      </c>
      <c r="M211" s="55" t="str">
        <f aca="false">IF(AND(B211&lt;&gt;"",B211='Leave Card'!$C$3),COUNTIF($B$6:B211,'Leave Card'!$C$3),"")</f>
        <v/>
      </c>
    </row>
    <row r="212" customFormat="false" ht="15" hidden="false" customHeight="false" outlineLevel="0" collapsed="false">
      <c r="A212" s="51" t="str">
        <f aca="false">IF(B212="","",ROW()-5)</f>
        <v/>
      </c>
      <c r="B212" s="118"/>
      <c r="C212" s="10" t="str">
        <f aca="false">IF(B212="","",IFERROR(INDEX(Employees!$C$5:$C$54,MATCH(B212,Employees!$B$5:$B$54,0)),"Not found"))</f>
        <v/>
      </c>
      <c r="D212" s="122"/>
      <c r="E212" s="123"/>
      <c r="F212" s="123"/>
      <c r="G212" s="118"/>
      <c r="H212" s="11" t="n">
        <f aca="false">IF(OR(B212="",E212="",F212="",F212&lt;E212),0,IF(G212="Yes",0.5,NETWORKDAYS.INTL(E212,F212,Setup!$C$14,Holidays!$B$5:$B$34)))</f>
        <v>0</v>
      </c>
      <c r="I212" s="119"/>
      <c r="J212" s="122"/>
      <c r="K212" s="118"/>
      <c r="L212" s="54" t="str">
        <f aca="false">IF(B212="","",IF(C212="Not found","Emp ID not found",IF(ISNA(MATCH(D212,Setup!$A$18:$A$23,0)),"Pick leave type",IF(OR(E212="",F212=""),"Enter From &amp; To",IF(F212&lt;E212,"To before From",IF(AND(G212="Yes",F212&gt;E212),"Half day = 1 date",IF(OR(E212&lt;Setup!$C$12,F212&gt;Setup!$C$13),"Outside leave year",IF(H212=0,"No working day",IF(AND(J212&lt;&gt;"Rejected",COUNTIFS($B$6:$B$305,B212,$J$6:$J$305,"&lt;&gt;Rejected",$E$6:$E$305,"&lt;="&amp;F212,$F$6:$F$305,"&gt;="&amp;E212)&gt;1),"Overlaps another leave",IF(AND(J212="Approved",N(INDEX(Balance!$F$6:$W$55,MATCH(B212,Balance!$B$6:$B$55,0),MATCH(D212,Setup!$A$18:$A$23,0)*3))&lt;0),"Exceeds balance",IF(J212="","Set status","OK")))))))))))</f>
        <v/>
      </c>
      <c r="M212" s="55" t="str">
        <f aca="false">IF(AND(B212&lt;&gt;"",B212='Leave Card'!$C$3),COUNTIF($B$6:B212,'Leave Card'!$C$3),"")</f>
        <v/>
      </c>
    </row>
    <row r="213" customFormat="false" ht="15" hidden="false" customHeight="false" outlineLevel="0" collapsed="false">
      <c r="A213" s="51" t="str">
        <f aca="false">IF(B213="","",ROW()-5)</f>
        <v/>
      </c>
      <c r="B213" s="118"/>
      <c r="C213" s="10" t="str">
        <f aca="false">IF(B213="","",IFERROR(INDEX(Employees!$C$5:$C$54,MATCH(B213,Employees!$B$5:$B$54,0)),"Not found"))</f>
        <v/>
      </c>
      <c r="D213" s="122"/>
      <c r="E213" s="123"/>
      <c r="F213" s="123"/>
      <c r="G213" s="118"/>
      <c r="H213" s="11" t="n">
        <f aca="false">IF(OR(B213="",E213="",F213="",F213&lt;E213),0,IF(G213="Yes",0.5,NETWORKDAYS.INTL(E213,F213,Setup!$C$14,Holidays!$B$5:$B$34)))</f>
        <v>0</v>
      </c>
      <c r="I213" s="119"/>
      <c r="J213" s="122"/>
      <c r="K213" s="118"/>
      <c r="L213" s="54" t="str">
        <f aca="false">IF(B213="","",IF(C213="Not found","Emp ID not found",IF(ISNA(MATCH(D213,Setup!$A$18:$A$23,0)),"Pick leave type",IF(OR(E213="",F213=""),"Enter From &amp; To",IF(F213&lt;E213,"To before From",IF(AND(G213="Yes",F213&gt;E213),"Half day = 1 date",IF(OR(E213&lt;Setup!$C$12,F213&gt;Setup!$C$13),"Outside leave year",IF(H213=0,"No working day",IF(AND(J213&lt;&gt;"Rejected",COUNTIFS($B$6:$B$305,B213,$J$6:$J$305,"&lt;&gt;Rejected",$E$6:$E$305,"&lt;="&amp;F213,$F$6:$F$305,"&gt;="&amp;E213)&gt;1),"Overlaps another leave",IF(AND(J213="Approved",N(INDEX(Balance!$F$6:$W$55,MATCH(B213,Balance!$B$6:$B$55,0),MATCH(D213,Setup!$A$18:$A$23,0)*3))&lt;0),"Exceeds balance",IF(J213="","Set status","OK")))))))))))</f>
        <v/>
      </c>
      <c r="M213" s="55" t="str">
        <f aca="false">IF(AND(B213&lt;&gt;"",B213='Leave Card'!$C$3),COUNTIF($B$6:B213,'Leave Card'!$C$3),"")</f>
        <v/>
      </c>
    </row>
    <row r="214" customFormat="false" ht="15" hidden="false" customHeight="false" outlineLevel="0" collapsed="false">
      <c r="A214" s="51" t="str">
        <f aca="false">IF(B214="","",ROW()-5)</f>
        <v/>
      </c>
      <c r="B214" s="118"/>
      <c r="C214" s="10" t="str">
        <f aca="false">IF(B214="","",IFERROR(INDEX(Employees!$C$5:$C$54,MATCH(B214,Employees!$B$5:$B$54,0)),"Not found"))</f>
        <v/>
      </c>
      <c r="D214" s="122"/>
      <c r="E214" s="123"/>
      <c r="F214" s="123"/>
      <c r="G214" s="118"/>
      <c r="H214" s="11" t="n">
        <f aca="false">IF(OR(B214="",E214="",F214="",F214&lt;E214),0,IF(G214="Yes",0.5,NETWORKDAYS.INTL(E214,F214,Setup!$C$14,Holidays!$B$5:$B$34)))</f>
        <v>0</v>
      </c>
      <c r="I214" s="119"/>
      <c r="J214" s="122"/>
      <c r="K214" s="118"/>
      <c r="L214" s="54" t="str">
        <f aca="false">IF(B214="","",IF(C214="Not found","Emp ID not found",IF(ISNA(MATCH(D214,Setup!$A$18:$A$23,0)),"Pick leave type",IF(OR(E214="",F214=""),"Enter From &amp; To",IF(F214&lt;E214,"To before From",IF(AND(G214="Yes",F214&gt;E214),"Half day = 1 date",IF(OR(E214&lt;Setup!$C$12,F214&gt;Setup!$C$13),"Outside leave year",IF(H214=0,"No working day",IF(AND(J214&lt;&gt;"Rejected",COUNTIFS($B$6:$B$305,B214,$J$6:$J$305,"&lt;&gt;Rejected",$E$6:$E$305,"&lt;="&amp;F214,$F$6:$F$305,"&gt;="&amp;E214)&gt;1),"Overlaps another leave",IF(AND(J214="Approved",N(INDEX(Balance!$F$6:$W$55,MATCH(B214,Balance!$B$6:$B$55,0),MATCH(D214,Setup!$A$18:$A$23,0)*3))&lt;0),"Exceeds balance",IF(J214="","Set status","OK")))))))))))</f>
        <v/>
      </c>
      <c r="M214" s="55" t="str">
        <f aca="false">IF(AND(B214&lt;&gt;"",B214='Leave Card'!$C$3),COUNTIF($B$6:B214,'Leave Card'!$C$3),"")</f>
        <v/>
      </c>
    </row>
    <row r="215" customFormat="false" ht="15" hidden="false" customHeight="false" outlineLevel="0" collapsed="false">
      <c r="A215" s="51" t="str">
        <f aca="false">IF(B215="","",ROW()-5)</f>
        <v/>
      </c>
      <c r="B215" s="118"/>
      <c r="C215" s="10" t="str">
        <f aca="false">IF(B215="","",IFERROR(INDEX(Employees!$C$5:$C$54,MATCH(B215,Employees!$B$5:$B$54,0)),"Not found"))</f>
        <v/>
      </c>
      <c r="D215" s="122"/>
      <c r="E215" s="123"/>
      <c r="F215" s="123"/>
      <c r="G215" s="118"/>
      <c r="H215" s="11" t="n">
        <f aca="false">IF(OR(B215="",E215="",F215="",F215&lt;E215),0,IF(G215="Yes",0.5,NETWORKDAYS.INTL(E215,F215,Setup!$C$14,Holidays!$B$5:$B$34)))</f>
        <v>0</v>
      </c>
      <c r="I215" s="119"/>
      <c r="J215" s="122"/>
      <c r="K215" s="118"/>
      <c r="L215" s="54" t="str">
        <f aca="false">IF(B215="","",IF(C215="Not found","Emp ID not found",IF(ISNA(MATCH(D215,Setup!$A$18:$A$23,0)),"Pick leave type",IF(OR(E215="",F215=""),"Enter From &amp; To",IF(F215&lt;E215,"To before From",IF(AND(G215="Yes",F215&gt;E215),"Half day = 1 date",IF(OR(E215&lt;Setup!$C$12,F215&gt;Setup!$C$13),"Outside leave year",IF(H215=0,"No working day",IF(AND(J215&lt;&gt;"Rejected",COUNTIFS($B$6:$B$305,B215,$J$6:$J$305,"&lt;&gt;Rejected",$E$6:$E$305,"&lt;="&amp;F215,$F$6:$F$305,"&gt;="&amp;E215)&gt;1),"Overlaps another leave",IF(AND(J215="Approved",N(INDEX(Balance!$F$6:$W$55,MATCH(B215,Balance!$B$6:$B$55,0),MATCH(D215,Setup!$A$18:$A$23,0)*3))&lt;0),"Exceeds balance",IF(J215="","Set status","OK")))))))))))</f>
        <v/>
      </c>
      <c r="M215" s="55" t="str">
        <f aca="false">IF(AND(B215&lt;&gt;"",B215='Leave Card'!$C$3),COUNTIF($B$6:B215,'Leave Card'!$C$3),"")</f>
        <v/>
      </c>
    </row>
    <row r="216" customFormat="false" ht="15" hidden="false" customHeight="false" outlineLevel="0" collapsed="false">
      <c r="A216" s="51" t="str">
        <f aca="false">IF(B216="","",ROW()-5)</f>
        <v/>
      </c>
      <c r="B216" s="118"/>
      <c r="C216" s="10" t="str">
        <f aca="false">IF(B216="","",IFERROR(INDEX(Employees!$C$5:$C$54,MATCH(B216,Employees!$B$5:$B$54,0)),"Not found"))</f>
        <v/>
      </c>
      <c r="D216" s="122"/>
      <c r="E216" s="123"/>
      <c r="F216" s="123"/>
      <c r="G216" s="118"/>
      <c r="H216" s="11" t="n">
        <f aca="false">IF(OR(B216="",E216="",F216="",F216&lt;E216),0,IF(G216="Yes",0.5,NETWORKDAYS.INTL(E216,F216,Setup!$C$14,Holidays!$B$5:$B$34)))</f>
        <v>0</v>
      </c>
      <c r="I216" s="119"/>
      <c r="J216" s="122"/>
      <c r="K216" s="118"/>
      <c r="L216" s="54" t="str">
        <f aca="false">IF(B216="","",IF(C216="Not found","Emp ID not found",IF(ISNA(MATCH(D216,Setup!$A$18:$A$23,0)),"Pick leave type",IF(OR(E216="",F216=""),"Enter From &amp; To",IF(F216&lt;E216,"To before From",IF(AND(G216="Yes",F216&gt;E216),"Half day = 1 date",IF(OR(E216&lt;Setup!$C$12,F216&gt;Setup!$C$13),"Outside leave year",IF(H216=0,"No working day",IF(AND(J216&lt;&gt;"Rejected",COUNTIFS($B$6:$B$305,B216,$J$6:$J$305,"&lt;&gt;Rejected",$E$6:$E$305,"&lt;="&amp;F216,$F$6:$F$305,"&gt;="&amp;E216)&gt;1),"Overlaps another leave",IF(AND(J216="Approved",N(INDEX(Balance!$F$6:$W$55,MATCH(B216,Balance!$B$6:$B$55,0),MATCH(D216,Setup!$A$18:$A$23,0)*3))&lt;0),"Exceeds balance",IF(J216="","Set status","OK")))))))))))</f>
        <v/>
      </c>
      <c r="M216" s="55" t="str">
        <f aca="false">IF(AND(B216&lt;&gt;"",B216='Leave Card'!$C$3),COUNTIF($B$6:B216,'Leave Card'!$C$3),"")</f>
        <v/>
      </c>
    </row>
    <row r="217" customFormat="false" ht="15" hidden="false" customHeight="false" outlineLevel="0" collapsed="false">
      <c r="A217" s="51" t="str">
        <f aca="false">IF(B217="","",ROW()-5)</f>
        <v/>
      </c>
      <c r="B217" s="118"/>
      <c r="C217" s="10" t="str">
        <f aca="false">IF(B217="","",IFERROR(INDEX(Employees!$C$5:$C$54,MATCH(B217,Employees!$B$5:$B$54,0)),"Not found"))</f>
        <v/>
      </c>
      <c r="D217" s="122"/>
      <c r="E217" s="123"/>
      <c r="F217" s="123"/>
      <c r="G217" s="118"/>
      <c r="H217" s="11" t="n">
        <f aca="false">IF(OR(B217="",E217="",F217="",F217&lt;E217),0,IF(G217="Yes",0.5,NETWORKDAYS.INTL(E217,F217,Setup!$C$14,Holidays!$B$5:$B$34)))</f>
        <v>0</v>
      </c>
      <c r="I217" s="119"/>
      <c r="J217" s="122"/>
      <c r="K217" s="118"/>
      <c r="L217" s="54" t="str">
        <f aca="false">IF(B217="","",IF(C217="Not found","Emp ID not found",IF(ISNA(MATCH(D217,Setup!$A$18:$A$23,0)),"Pick leave type",IF(OR(E217="",F217=""),"Enter From &amp; To",IF(F217&lt;E217,"To before From",IF(AND(G217="Yes",F217&gt;E217),"Half day = 1 date",IF(OR(E217&lt;Setup!$C$12,F217&gt;Setup!$C$13),"Outside leave year",IF(H217=0,"No working day",IF(AND(J217&lt;&gt;"Rejected",COUNTIFS($B$6:$B$305,B217,$J$6:$J$305,"&lt;&gt;Rejected",$E$6:$E$305,"&lt;="&amp;F217,$F$6:$F$305,"&gt;="&amp;E217)&gt;1),"Overlaps another leave",IF(AND(J217="Approved",N(INDEX(Balance!$F$6:$W$55,MATCH(B217,Balance!$B$6:$B$55,0),MATCH(D217,Setup!$A$18:$A$23,0)*3))&lt;0),"Exceeds balance",IF(J217="","Set status","OK")))))))))))</f>
        <v/>
      </c>
      <c r="M217" s="55" t="str">
        <f aca="false">IF(AND(B217&lt;&gt;"",B217='Leave Card'!$C$3),COUNTIF($B$6:B217,'Leave Card'!$C$3),"")</f>
        <v/>
      </c>
    </row>
    <row r="218" customFormat="false" ht="15" hidden="false" customHeight="false" outlineLevel="0" collapsed="false">
      <c r="A218" s="51" t="str">
        <f aca="false">IF(B218="","",ROW()-5)</f>
        <v/>
      </c>
      <c r="B218" s="118"/>
      <c r="C218" s="10" t="str">
        <f aca="false">IF(B218="","",IFERROR(INDEX(Employees!$C$5:$C$54,MATCH(B218,Employees!$B$5:$B$54,0)),"Not found"))</f>
        <v/>
      </c>
      <c r="D218" s="122"/>
      <c r="E218" s="123"/>
      <c r="F218" s="123"/>
      <c r="G218" s="118"/>
      <c r="H218" s="11" t="n">
        <f aca="false">IF(OR(B218="",E218="",F218="",F218&lt;E218),0,IF(G218="Yes",0.5,NETWORKDAYS.INTL(E218,F218,Setup!$C$14,Holidays!$B$5:$B$34)))</f>
        <v>0</v>
      </c>
      <c r="I218" s="119"/>
      <c r="J218" s="122"/>
      <c r="K218" s="118"/>
      <c r="L218" s="54" t="str">
        <f aca="false">IF(B218="","",IF(C218="Not found","Emp ID not found",IF(ISNA(MATCH(D218,Setup!$A$18:$A$23,0)),"Pick leave type",IF(OR(E218="",F218=""),"Enter From &amp; To",IF(F218&lt;E218,"To before From",IF(AND(G218="Yes",F218&gt;E218),"Half day = 1 date",IF(OR(E218&lt;Setup!$C$12,F218&gt;Setup!$C$13),"Outside leave year",IF(H218=0,"No working day",IF(AND(J218&lt;&gt;"Rejected",COUNTIFS($B$6:$B$305,B218,$J$6:$J$305,"&lt;&gt;Rejected",$E$6:$E$305,"&lt;="&amp;F218,$F$6:$F$305,"&gt;="&amp;E218)&gt;1),"Overlaps another leave",IF(AND(J218="Approved",N(INDEX(Balance!$F$6:$W$55,MATCH(B218,Balance!$B$6:$B$55,0),MATCH(D218,Setup!$A$18:$A$23,0)*3))&lt;0),"Exceeds balance",IF(J218="","Set status","OK")))))))))))</f>
        <v/>
      </c>
      <c r="M218" s="55" t="str">
        <f aca="false">IF(AND(B218&lt;&gt;"",B218='Leave Card'!$C$3),COUNTIF($B$6:B218,'Leave Card'!$C$3),"")</f>
        <v/>
      </c>
    </row>
    <row r="219" customFormat="false" ht="15" hidden="false" customHeight="false" outlineLevel="0" collapsed="false">
      <c r="A219" s="51" t="str">
        <f aca="false">IF(B219="","",ROW()-5)</f>
        <v/>
      </c>
      <c r="B219" s="118"/>
      <c r="C219" s="10" t="str">
        <f aca="false">IF(B219="","",IFERROR(INDEX(Employees!$C$5:$C$54,MATCH(B219,Employees!$B$5:$B$54,0)),"Not found"))</f>
        <v/>
      </c>
      <c r="D219" s="122"/>
      <c r="E219" s="123"/>
      <c r="F219" s="123"/>
      <c r="G219" s="118"/>
      <c r="H219" s="11" t="n">
        <f aca="false">IF(OR(B219="",E219="",F219="",F219&lt;E219),0,IF(G219="Yes",0.5,NETWORKDAYS.INTL(E219,F219,Setup!$C$14,Holidays!$B$5:$B$34)))</f>
        <v>0</v>
      </c>
      <c r="I219" s="119"/>
      <c r="J219" s="122"/>
      <c r="K219" s="118"/>
      <c r="L219" s="54" t="str">
        <f aca="false">IF(B219="","",IF(C219="Not found","Emp ID not found",IF(ISNA(MATCH(D219,Setup!$A$18:$A$23,0)),"Pick leave type",IF(OR(E219="",F219=""),"Enter From &amp; To",IF(F219&lt;E219,"To before From",IF(AND(G219="Yes",F219&gt;E219),"Half day = 1 date",IF(OR(E219&lt;Setup!$C$12,F219&gt;Setup!$C$13),"Outside leave year",IF(H219=0,"No working day",IF(AND(J219&lt;&gt;"Rejected",COUNTIFS($B$6:$B$305,B219,$J$6:$J$305,"&lt;&gt;Rejected",$E$6:$E$305,"&lt;="&amp;F219,$F$6:$F$305,"&gt;="&amp;E219)&gt;1),"Overlaps another leave",IF(AND(J219="Approved",N(INDEX(Balance!$F$6:$W$55,MATCH(B219,Balance!$B$6:$B$55,0),MATCH(D219,Setup!$A$18:$A$23,0)*3))&lt;0),"Exceeds balance",IF(J219="","Set status","OK")))))))))))</f>
        <v/>
      </c>
      <c r="M219" s="55" t="str">
        <f aca="false">IF(AND(B219&lt;&gt;"",B219='Leave Card'!$C$3),COUNTIF($B$6:B219,'Leave Card'!$C$3),"")</f>
        <v/>
      </c>
    </row>
    <row r="220" customFormat="false" ht="15" hidden="false" customHeight="false" outlineLevel="0" collapsed="false">
      <c r="A220" s="51" t="str">
        <f aca="false">IF(B220="","",ROW()-5)</f>
        <v/>
      </c>
      <c r="B220" s="118"/>
      <c r="C220" s="10" t="str">
        <f aca="false">IF(B220="","",IFERROR(INDEX(Employees!$C$5:$C$54,MATCH(B220,Employees!$B$5:$B$54,0)),"Not found"))</f>
        <v/>
      </c>
      <c r="D220" s="122"/>
      <c r="E220" s="123"/>
      <c r="F220" s="123"/>
      <c r="G220" s="118"/>
      <c r="H220" s="11" t="n">
        <f aca="false">IF(OR(B220="",E220="",F220="",F220&lt;E220),0,IF(G220="Yes",0.5,NETWORKDAYS.INTL(E220,F220,Setup!$C$14,Holidays!$B$5:$B$34)))</f>
        <v>0</v>
      </c>
      <c r="I220" s="119"/>
      <c r="J220" s="122"/>
      <c r="K220" s="118"/>
      <c r="L220" s="54" t="str">
        <f aca="false">IF(B220="","",IF(C220="Not found","Emp ID not found",IF(ISNA(MATCH(D220,Setup!$A$18:$A$23,0)),"Pick leave type",IF(OR(E220="",F220=""),"Enter From &amp; To",IF(F220&lt;E220,"To before From",IF(AND(G220="Yes",F220&gt;E220),"Half day = 1 date",IF(OR(E220&lt;Setup!$C$12,F220&gt;Setup!$C$13),"Outside leave year",IF(H220=0,"No working day",IF(AND(J220&lt;&gt;"Rejected",COUNTIFS($B$6:$B$305,B220,$J$6:$J$305,"&lt;&gt;Rejected",$E$6:$E$305,"&lt;="&amp;F220,$F$6:$F$305,"&gt;="&amp;E220)&gt;1),"Overlaps another leave",IF(AND(J220="Approved",N(INDEX(Balance!$F$6:$W$55,MATCH(B220,Balance!$B$6:$B$55,0),MATCH(D220,Setup!$A$18:$A$23,0)*3))&lt;0),"Exceeds balance",IF(J220="","Set status","OK")))))))))))</f>
        <v/>
      </c>
      <c r="M220" s="55" t="str">
        <f aca="false">IF(AND(B220&lt;&gt;"",B220='Leave Card'!$C$3),COUNTIF($B$6:B220,'Leave Card'!$C$3),"")</f>
        <v/>
      </c>
    </row>
    <row r="221" customFormat="false" ht="15" hidden="false" customHeight="false" outlineLevel="0" collapsed="false">
      <c r="A221" s="51" t="str">
        <f aca="false">IF(B221="","",ROW()-5)</f>
        <v/>
      </c>
      <c r="B221" s="118"/>
      <c r="C221" s="10" t="str">
        <f aca="false">IF(B221="","",IFERROR(INDEX(Employees!$C$5:$C$54,MATCH(B221,Employees!$B$5:$B$54,0)),"Not found"))</f>
        <v/>
      </c>
      <c r="D221" s="122"/>
      <c r="E221" s="123"/>
      <c r="F221" s="123"/>
      <c r="G221" s="118"/>
      <c r="H221" s="11" t="n">
        <f aca="false">IF(OR(B221="",E221="",F221="",F221&lt;E221),0,IF(G221="Yes",0.5,NETWORKDAYS.INTL(E221,F221,Setup!$C$14,Holidays!$B$5:$B$34)))</f>
        <v>0</v>
      </c>
      <c r="I221" s="119"/>
      <c r="J221" s="122"/>
      <c r="K221" s="118"/>
      <c r="L221" s="54" t="str">
        <f aca="false">IF(B221="","",IF(C221="Not found","Emp ID not found",IF(ISNA(MATCH(D221,Setup!$A$18:$A$23,0)),"Pick leave type",IF(OR(E221="",F221=""),"Enter From &amp; To",IF(F221&lt;E221,"To before From",IF(AND(G221="Yes",F221&gt;E221),"Half day = 1 date",IF(OR(E221&lt;Setup!$C$12,F221&gt;Setup!$C$13),"Outside leave year",IF(H221=0,"No working day",IF(AND(J221&lt;&gt;"Rejected",COUNTIFS($B$6:$B$305,B221,$J$6:$J$305,"&lt;&gt;Rejected",$E$6:$E$305,"&lt;="&amp;F221,$F$6:$F$305,"&gt;="&amp;E221)&gt;1),"Overlaps another leave",IF(AND(J221="Approved",N(INDEX(Balance!$F$6:$W$55,MATCH(B221,Balance!$B$6:$B$55,0),MATCH(D221,Setup!$A$18:$A$23,0)*3))&lt;0),"Exceeds balance",IF(J221="","Set status","OK")))))))))))</f>
        <v/>
      </c>
      <c r="M221" s="55" t="str">
        <f aca="false">IF(AND(B221&lt;&gt;"",B221='Leave Card'!$C$3),COUNTIF($B$6:B221,'Leave Card'!$C$3),"")</f>
        <v/>
      </c>
    </row>
    <row r="222" customFormat="false" ht="15" hidden="false" customHeight="false" outlineLevel="0" collapsed="false">
      <c r="A222" s="51" t="str">
        <f aca="false">IF(B222="","",ROW()-5)</f>
        <v/>
      </c>
      <c r="B222" s="118"/>
      <c r="C222" s="10" t="str">
        <f aca="false">IF(B222="","",IFERROR(INDEX(Employees!$C$5:$C$54,MATCH(B222,Employees!$B$5:$B$54,0)),"Not found"))</f>
        <v/>
      </c>
      <c r="D222" s="122"/>
      <c r="E222" s="123"/>
      <c r="F222" s="123"/>
      <c r="G222" s="118"/>
      <c r="H222" s="11" t="n">
        <f aca="false">IF(OR(B222="",E222="",F222="",F222&lt;E222),0,IF(G222="Yes",0.5,NETWORKDAYS.INTL(E222,F222,Setup!$C$14,Holidays!$B$5:$B$34)))</f>
        <v>0</v>
      </c>
      <c r="I222" s="119"/>
      <c r="J222" s="122"/>
      <c r="K222" s="118"/>
      <c r="L222" s="54" t="str">
        <f aca="false">IF(B222="","",IF(C222="Not found","Emp ID not found",IF(ISNA(MATCH(D222,Setup!$A$18:$A$23,0)),"Pick leave type",IF(OR(E222="",F222=""),"Enter From &amp; To",IF(F222&lt;E222,"To before From",IF(AND(G222="Yes",F222&gt;E222),"Half day = 1 date",IF(OR(E222&lt;Setup!$C$12,F222&gt;Setup!$C$13),"Outside leave year",IF(H222=0,"No working day",IF(AND(J222&lt;&gt;"Rejected",COUNTIFS($B$6:$B$305,B222,$J$6:$J$305,"&lt;&gt;Rejected",$E$6:$E$305,"&lt;="&amp;F222,$F$6:$F$305,"&gt;="&amp;E222)&gt;1),"Overlaps another leave",IF(AND(J222="Approved",N(INDEX(Balance!$F$6:$W$55,MATCH(B222,Balance!$B$6:$B$55,0),MATCH(D222,Setup!$A$18:$A$23,0)*3))&lt;0),"Exceeds balance",IF(J222="","Set status","OK")))))))))))</f>
        <v/>
      </c>
      <c r="M222" s="55" t="str">
        <f aca="false">IF(AND(B222&lt;&gt;"",B222='Leave Card'!$C$3),COUNTIF($B$6:B222,'Leave Card'!$C$3),"")</f>
        <v/>
      </c>
    </row>
    <row r="223" customFormat="false" ht="15" hidden="false" customHeight="false" outlineLevel="0" collapsed="false">
      <c r="A223" s="51" t="str">
        <f aca="false">IF(B223="","",ROW()-5)</f>
        <v/>
      </c>
      <c r="B223" s="118"/>
      <c r="C223" s="10" t="str">
        <f aca="false">IF(B223="","",IFERROR(INDEX(Employees!$C$5:$C$54,MATCH(B223,Employees!$B$5:$B$54,0)),"Not found"))</f>
        <v/>
      </c>
      <c r="D223" s="122"/>
      <c r="E223" s="123"/>
      <c r="F223" s="123"/>
      <c r="G223" s="118"/>
      <c r="H223" s="11" t="n">
        <f aca="false">IF(OR(B223="",E223="",F223="",F223&lt;E223),0,IF(G223="Yes",0.5,NETWORKDAYS.INTL(E223,F223,Setup!$C$14,Holidays!$B$5:$B$34)))</f>
        <v>0</v>
      </c>
      <c r="I223" s="119"/>
      <c r="J223" s="122"/>
      <c r="K223" s="118"/>
      <c r="L223" s="54" t="str">
        <f aca="false">IF(B223="","",IF(C223="Not found","Emp ID not found",IF(ISNA(MATCH(D223,Setup!$A$18:$A$23,0)),"Pick leave type",IF(OR(E223="",F223=""),"Enter From &amp; To",IF(F223&lt;E223,"To before From",IF(AND(G223="Yes",F223&gt;E223),"Half day = 1 date",IF(OR(E223&lt;Setup!$C$12,F223&gt;Setup!$C$13),"Outside leave year",IF(H223=0,"No working day",IF(AND(J223&lt;&gt;"Rejected",COUNTIFS($B$6:$B$305,B223,$J$6:$J$305,"&lt;&gt;Rejected",$E$6:$E$305,"&lt;="&amp;F223,$F$6:$F$305,"&gt;="&amp;E223)&gt;1),"Overlaps another leave",IF(AND(J223="Approved",N(INDEX(Balance!$F$6:$W$55,MATCH(B223,Balance!$B$6:$B$55,0),MATCH(D223,Setup!$A$18:$A$23,0)*3))&lt;0),"Exceeds balance",IF(J223="","Set status","OK")))))))))))</f>
        <v/>
      </c>
      <c r="M223" s="55" t="str">
        <f aca="false">IF(AND(B223&lt;&gt;"",B223='Leave Card'!$C$3),COUNTIF($B$6:B223,'Leave Card'!$C$3),"")</f>
        <v/>
      </c>
    </row>
    <row r="224" customFormat="false" ht="15" hidden="false" customHeight="false" outlineLevel="0" collapsed="false">
      <c r="A224" s="51" t="str">
        <f aca="false">IF(B224="","",ROW()-5)</f>
        <v/>
      </c>
      <c r="B224" s="118"/>
      <c r="C224" s="10" t="str">
        <f aca="false">IF(B224="","",IFERROR(INDEX(Employees!$C$5:$C$54,MATCH(B224,Employees!$B$5:$B$54,0)),"Not found"))</f>
        <v/>
      </c>
      <c r="D224" s="122"/>
      <c r="E224" s="123"/>
      <c r="F224" s="123"/>
      <c r="G224" s="118"/>
      <c r="H224" s="11" t="n">
        <f aca="false">IF(OR(B224="",E224="",F224="",F224&lt;E224),0,IF(G224="Yes",0.5,NETWORKDAYS.INTL(E224,F224,Setup!$C$14,Holidays!$B$5:$B$34)))</f>
        <v>0</v>
      </c>
      <c r="I224" s="119"/>
      <c r="J224" s="122"/>
      <c r="K224" s="118"/>
      <c r="L224" s="54" t="str">
        <f aca="false">IF(B224="","",IF(C224="Not found","Emp ID not found",IF(ISNA(MATCH(D224,Setup!$A$18:$A$23,0)),"Pick leave type",IF(OR(E224="",F224=""),"Enter From &amp; To",IF(F224&lt;E224,"To before From",IF(AND(G224="Yes",F224&gt;E224),"Half day = 1 date",IF(OR(E224&lt;Setup!$C$12,F224&gt;Setup!$C$13),"Outside leave year",IF(H224=0,"No working day",IF(AND(J224&lt;&gt;"Rejected",COUNTIFS($B$6:$B$305,B224,$J$6:$J$305,"&lt;&gt;Rejected",$E$6:$E$305,"&lt;="&amp;F224,$F$6:$F$305,"&gt;="&amp;E224)&gt;1),"Overlaps another leave",IF(AND(J224="Approved",N(INDEX(Balance!$F$6:$W$55,MATCH(B224,Balance!$B$6:$B$55,0),MATCH(D224,Setup!$A$18:$A$23,0)*3))&lt;0),"Exceeds balance",IF(J224="","Set status","OK")))))))))))</f>
        <v/>
      </c>
      <c r="M224" s="55" t="str">
        <f aca="false">IF(AND(B224&lt;&gt;"",B224='Leave Card'!$C$3),COUNTIF($B$6:B224,'Leave Card'!$C$3),"")</f>
        <v/>
      </c>
    </row>
    <row r="225" customFormat="false" ht="15" hidden="false" customHeight="false" outlineLevel="0" collapsed="false">
      <c r="A225" s="51" t="str">
        <f aca="false">IF(B225="","",ROW()-5)</f>
        <v/>
      </c>
      <c r="B225" s="118"/>
      <c r="C225" s="10" t="str">
        <f aca="false">IF(B225="","",IFERROR(INDEX(Employees!$C$5:$C$54,MATCH(B225,Employees!$B$5:$B$54,0)),"Not found"))</f>
        <v/>
      </c>
      <c r="D225" s="122"/>
      <c r="E225" s="123"/>
      <c r="F225" s="123"/>
      <c r="G225" s="118"/>
      <c r="H225" s="11" t="n">
        <f aca="false">IF(OR(B225="",E225="",F225="",F225&lt;E225),0,IF(G225="Yes",0.5,NETWORKDAYS.INTL(E225,F225,Setup!$C$14,Holidays!$B$5:$B$34)))</f>
        <v>0</v>
      </c>
      <c r="I225" s="119"/>
      <c r="J225" s="122"/>
      <c r="K225" s="118"/>
      <c r="L225" s="54" t="str">
        <f aca="false">IF(B225="","",IF(C225="Not found","Emp ID not found",IF(ISNA(MATCH(D225,Setup!$A$18:$A$23,0)),"Pick leave type",IF(OR(E225="",F225=""),"Enter From &amp; To",IF(F225&lt;E225,"To before From",IF(AND(G225="Yes",F225&gt;E225),"Half day = 1 date",IF(OR(E225&lt;Setup!$C$12,F225&gt;Setup!$C$13),"Outside leave year",IF(H225=0,"No working day",IF(AND(J225&lt;&gt;"Rejected",COUNTIFS($B$6:$B$305,B225,$J$6:$J$305,"&lt;&gt;Rejected",$E$6:$E$305,"&lt;="&amp;F225,$F$6:$F$305,"&gt;="&amp;E225)&gt;1),"Overlaps another leave",IF(AND(J225="Approved",N(INDEX(Balance!$F$6:$W$55,MATCH(B225,Balance!$B$6:$B$55,0),MATCH(D225,Setup!$A$18:$A$23,0)*3))&lt;0),"Exceeds balance",IF(J225="","Set status","OK")))))))))))</f>
        <v/>
      </c>
      <c r="M225" s="55" t="str">
        <f aca="false">IF(AND(B225&lt;&gt;"",B225='Leave Card'!$C$3),COUNTIF($B$6:B225,'Leave Card'!$C$3),"")</f>
        <v/>
      </c>
    </row>
    <row r="226" customFormat="false" ht="15" hidden="false" customHeight="false" outlineLevel="0" collapsed="false">
      <c r="A226" s="51" t="str">
        <f aca="false">IF(B226="","",ROW()-5)</f>
        <v/>
      </c>
      <c r="B226" s="118"/>
      <c r="C226" s="10" t="str">
        <f aca="false">IF(B226="","",IFERROR(INDEX(Employees!$C$5:$C$54,MATCH(B226,Employees!$B$5:$B$54,0)),"Not found"))</f>
        <v/>
      </c>
      <c r="D226" s="122"/>
      <c r="E226" s="123"/>
      <c r="F226" s="123"/>
      <c r="G226" s="118"/>
      <c r="H226" s="11" t="n">
        <f aca="false">IF(OR(B226="",E226="",F226="",F226&lt;E226),0,IF(G226="Yes",0.5,NETWORKDAYS.INTL(E226,F226,Setup!$C$14,Holidays!$B$5:$B$34)))</f>
        <v>0</v>
      </c>
      <c r="I226" s="119"/>
      <c r="J226" s="122"/>
      <c r="K226" s="118"/>
      <c r="L226" s="54" t="str">
        <f aca="false">IF(B226="","",IF(C226="Not found","Emp ID not found",IF(ISNA(MATCH(D226,Setup!$A$18:$A$23,0)),"Pick leave type",IF(OR(E226="",F226=""),"Enter From &amp; To",IF(F226&lt;E226,"To before From",IF(AND(G226="Yes",F226&gt;E226),"Half day = 1 date",IF(OR(E226&lt;Setup!$C$12,F226&gt;Setup!$C$13),"Outside leave year",IF(H226=0,"No working day",IF(AND(J226&lt;&gt;"Rejected",COUNTIFS($B$6:$B$305,B226,$J$6:$J$305,"&lt;&gt;Rejected",$E$6:$E$305,"&lt;="&amp;F226,$F$6:$F$305,"&gt;="&amp;E226)&gt;1),"Overlaps another leave",IF(AND(J226="Approved",N(INDEX(Balance!$F$6:$W$55,MATCH(B226,Balance!$B$6:$B$55,0),MATCH(D226,Setup!$A$18:$A$23,0)*3))&lt;0),"Exceeds balance",IF(J226="","Set status","OK")))))))))))</f>
        <v/>
      </c>
      <c r="M226" s="55" t="str">
        <f aca="false">IF(AND(B226&lt;&gt;"",B226='Leave Card'!$C$3),COUNTIF($B$6:B226,'Leave Card'!$C$3),"")</f>
        <v/>
      </c>
    </row>
    <row r="227" customFormat="false" ht="15" hidden="false" customHeight="false" outlineLevel="0" collapsed="false">
      <c r="A227" s="51" t="str">
        <f aca="false">IF(B227="","",ROW()-5)</f>
        <v/>
      </c>
      <c r="B227" s="118"/>
      <c r="C227" s="10" t="str">
        <f aca="false">IF(B227="","",IFERROR(INDEX(Employees!$C$5:$C$54,MATCH(B227,Employees!$B$5:$B$54,0)),"Not found"))</f>
        <v/>
      </c>
      <c r="D227" s="122"/>
      <c r="E227" s="123"/>
      <c r="F227" s="123"/>
      <c r="G227" s="118"/>
      <c r="H227" s="11" t="n">
        <f aca="false">IF(OR(B227="",E227="",F227="",F227&lt;E227),0,IF(G227="Yes",0.5,NETWORKDAYS.INTL(E227,F227,Setup!$C$14,Holidays!$B$5:$B$34)))</f>
        <v>0</v>
      </c>
      <c r="I227" s="119"/>
      <c r="J227" s="122"/>
      <c r="K227" s="118"/>
      <c r="L227" s="54" t="str">
        <f aca="false">IF(B227="","",IF(C227="Not found","Emp ID not found",IF(ISNA(MATCH(D227,Setup!$A$18:$A$23,0)),"Pick leave type",IF(OR(E227="",F227=""),"Enter From &amp; To",IF(F227&lt;E227,"To before From",IF(AND(G227="Yes",F227&gt;E227),"Half day = 1 date",IF(OR(E227&lt;Setup!$C$12,F227&gt;Setup!$C$13),"Outside leave year",IF(H227=0,"No working day",IF(AND(J227&lt;&gt;"Rejected",COUNTIFS($B$6:$B$305,B227,$J$6:$J$305,"&lt;&gt;Rejected",$E$6:$E$305,"&lt;="&amp;F227,$F$6:$F$305,"&gt;="&amp;E227)&gt;1),"Overlaps another leave",IF(AND(J227="Approved",N(INDEX(Balance!$F$6:$W$55,MATCH(B227,Balance!$B$6:$B$55,0),MATCH(D227,Setup!$A$18:$A$23,0)*3))&lt;0),"Exceeds balance",IF(J227="","Set status","OK")))))))))))</f>
        <v/>
      </c>
      <c r="M227" s="55" t="str">
        <f aca="false">IF(AND(B227&lt;&gt;"",B227='Leave Card'!$C$3),COUNTIF($B$6:B227,'Leave Card'!$C$3),"")</f>
        <v/>
      </c>
    </row>
    <row r="228" customFormat="false" ht="15" hidden="false" customHeight="false" outlineLevel="0" collapsed="false">
      <c r="A228" s="51" t="str">
        <f aca="false">IF(B228="","",ROW()-5)</f>
        <v/>
      </c>
      <c r="B228" s="118"/>
      <c r="C228" s="10" t="str">
        <f aca="false">IF(B228="","",IFERROR(INDEX(Employees!$C$5:$C$54,MATCH(B228,Employees!$B$5:$B$54,0)),"Not found"))</f>
        <v/>
      </c>
      <c r="D228" s="122"/>
      <c r="E228" s="123"/>
      <c r="F228" s="123"/>
      <c r="G228" s="118"/>
      <c r="H228" s="11" t="n">
        <f aca="false">IF(OR(B228="",E228="",F228="",F228&lt;E228),0,IF(G228="Yes",0.5,NETWORKDAYS.INTL(E228,F228,Setup!$C$14,Holidays!$B$5:$B$34)))</f>
        <v>0</v>
      </c>
      <c r="I228" s="119"/>
      <c r="J228" s="122"/>
      <c r="K228" s="118"/>
      <c r="L228" s="54" t="str">
        <f aca="false">IF(B228="","",IF(C228="Not found","Emp ID not found",IF(ISNA(MATCH(D228,Setup!$A$18:$A$23,0)),"Pick leave type",IF(OR(E228="",F228=""),"Enter From &amp; To",IF(F228&lt;E228,"To before From",IF(AND(G228="Yes",F228&gt;E228),"Half day = 1 date",IF(OR(E228&lt;Setup!$C$12,F228&gt;Setup!$C$13),"Outside leave year",IF(H228=0,"No working day",IF(AND(J228&lt;&gt;"Rejected",COUNTIFS($B$6:$B$305,B228,$J$6:$J$305,"&lt;&gt;Rejected",$E$6:$E$305,"&lt;="&amp;F228,$F$6:$F$305,"&gt;="&amp;E228)&gt;1),"Overlaps another leave",IF(AND(J228="Approved",N(INDEX(Balance!$F$6:$W$55,MATCH(B228,Balance!$B$6:$B$55,0),MATCH(D228,Setup!$A$18:$A$23,0)*3))&lt;0),"Exceeds balance",IF(J228="","Set status","OK")))))))))))</f>
        <v/>
      </c>
      <c r="M228" s="55" t="str">
        <f aca="false">IF(AND(B228&lt;&gt;"",B228='Leave Card'!$C$3),COUNTIF($B$6:B228,'Leave Card'!$C$3),"")</f>
        <v/>
      </c>
    </row>
    <row r="229" customFormat="false" ht="15" hidden="false" customHeight="false" outlineLevel="0" collapsed="false">
      <c r="A229" s="51" t="str">
        <f aca="false">IF(B229="","",ROW()-5)</f>
        <v/>
      </c>
      <c r="B229" s="118"/>
      <c r="C229" s="10" t="str">
        <f aca="false">IF(B229="","",IFERROR(INDEX(Employees!$C$5:$C$54,MATCH(B229,Employees!$B$5:$B$54,0)),"Not found"))</f>
        <v/>
      </c>
      <c r="D229" s="122"/>
      <c r="E229" s="123"/>
      <c r="F229" s="123"/>
      <c r="G229" s="118"/>
      <c r="H229" s="11" t="n">
        <f aca="false">IF(OR(B229="",E229="",F229="",F229&lt;E229),0,IF(G229="Yes",0.5,NETWORKDAYS.INTL(E229,F229,Setup!$C$14,Holidays!$B$5:$B$34)))</f>
        <v>0</v>
      </c>
      <c r="I229" s="119"/>
      <c r="J229" s="122"/>
      <c r="K229" s="118"/>
      <c r="L229" s="54" t="str">
        <f aca="false">IF(B229="","",IF(C229="Not found","Emp ID not found",IF(ISNA(MATCH(D229,Setup!$A$18:$A$23,0)),"Pick leave type",IF(OR(E229="",F229=""),"Enter From &amp; To",IF(F229&lt;E229,"To before From",IF(AND(G229="Yes",F229&gt;E229),"Half day = 1 date",IF(OR(E229&lt;Setup!$C$12,F229&gt;Setup!$C$13),"Outside leave year",IF(H229=0,"No working day",IF(AND(J229&lt;&gt;"Rejected",COUNTIFS($B$6:$B$305,B229,$J$6:$J$305,"&lt;&gt;Rejected",$E$6:$E$305,"&lt;="&amp;F229,$F$6:$F$305,"&gt;="&amp;E229)&gt;1),"Overlaps another leave",IF(AND(J229="Approved",N(INDEX(Balance!$F$6:$W$55,MATCH(B229,Balance!$B$6:$B$55,0),MATCH(D229,Setup!$A$18:$A$23,0)*3))&lt;0),"Exceeds balance",IF(J229="","Set status","OK")))))))))))</f>
        <v/>
      </c>
      <c r="M229" s="55" t="str">
        <f aca="false">IF(AND(B229&lt;&gt;"",B229='Leave Card'!$C$3),COUNTIF($B$6:B229,'Leave Card'!$C$3),"")</f>
        <v/>
      </c>
    </row>
    <row r="230" customFormat="false" ht="15" hidden="false" customHeight="false" outlineLevel="0" collapsed="false">
      <c r="A230" s="51" t="str">
        <f aca="false">IF(B230="","",ROW()-5)</f>
        <v/>
      </c>
      <c r="B230" s="118"/>
      <c r="C230" s="10" t="str">
        <f aca="false">IF(B230="","",IFERROR(INDEX(Employees!$C$5:$C$54,MATCH(B230,Employees!$B$5:$B$54,0)),"Not found"))</f>
        <v/>
      </c>
      <c r="D230" s="122"/>
      <c r="E230" s="123"/>
      <c r="F230" s="123"/>
      <c r="G230" s="118"/>
      <c r="H230" s="11" t="n">
        <f aca="false">IF(OR(B230="",E230="",F230="",F230&lt;E230),0,IF(G230="Yes",0.5,NETWORKDAYS.INTL(E230,F230,Setup!$C$14,Holidays!$B$5:$B$34)))</f>
        <v>0</v>
      </c>
      <c r="I230" s="119"/>
      <c r="J230" s="122"/>
      <c r="K230" s="118"/>
      <c r="L230" s="54" t="str">
        <f aca="false">IF(B230="","",IF(C230="Not found","Emp ID not found",IF(ISNA(MATCH(D230,Setup!$A$18:$A$23,0)),"Pick leave type",IF(OR(E230="",F230=""),"Enter From &amp; To",IF(F230&lt;E230,"To before From",IF(AND(G230="Yes",F230&gt;E230),"Half day = 1 date",IF(OR(E230&lt;Setup!$C$12,F230&gt;Setup!$C$13),"Outside leave year",IF(H230=0,"No working day",IF(AND(J230&lt;&gt;"Rejected",COUNTIFS($B$6:$B$305,B230,$J$6:$J$305,"&lt;&gt;Rejected",$E$6:$E$305,"&lt;="&amp;F230,$F$6:$F$305,"&gt;="&amp;E230)&gt;1),"Overlaps another leave",IF(AND(J230="Approved",N(INDEX(Balance!$F$6:$W$55,MATCH(B230,Balance!$B$6:$B$55,0),MATCH(D230,Setup!$A$18:$A$23,0)*3))&lt;0),"Exceeds balance",IF(J230="","Set status","OK")))))))))))</f>
        <v/>
      </c>
      <c r="M230" s="55" t="str">
        <f aca="false">IF(AND(B230&lt;&gt;"",B230='Leave Card'!$C$3),COUNTIF($B$6:B230,'Leave Card'!$C$3),"")</f>
        <v/>
      </c>
    </row>
    <row r="231" customFormat="false" ht="15" hidden="false" customHeight="false" outlineLevel="0" collapsed="false">
      <c r="A231" s="51" t="str">
        <f aca="false">IF(B231="","",ROW()-5)</f>
        <v/>
      </c>
      <c r="B231" s="118"/>
      <c r="C231" s="10" t="str">
        <f aca="false">IF(B231="","",IFERROR(INDEX(Employees!$C$5:$C$54,MATCH(B231,Employees!$B$5:$B$54,0)),"Not found"))</f>
        <v/>
      </c>
      <c r="D231" s="122"/>
      <c r="E231" s="123"/>
      <c r="F231" s="123"/>
      <c r="G231" s="118"/>
      <c r="H231" s="11" t="n">
        <f aca="false">IF(OR(B231="",E231="",F231="",F231&lt;E231),0,IF(G231="Yes",0.5,NETWORKDAYS.INTL(E231,F231,Setup!$C$14,Holidays!$B$5:$B$34)))</f>
        <v>0</v>
      </c>
      <c r="I231" s="119"/>
      <c r="J231" s="122"/>
      <c r="K231" s="118"/>
      <c r="L231" s="54" t="str">
        <f aca="false">IF(B231="","",IF(C231="Not found","Emp ID not found",IF(ISNA(MATCH(D231,Setup!$A$18:$A$23,0)),"Pick leave type",IF(OR(E231="",F231=""),"Enter From &amp; To",IF(F231&lt;E231,"To before From",IF(AND(G231="Yes",F231&gt;E231),"Half day = 1 date",IF(OR(E231&lt;Setup!$C$12,F231&gt;Setup!$C$13),"Outside leave year",IF(H231=0,"No working day",IF(AND(J231&lt;&gt;"Rejected",COUNTIFS($B$6:$B$305,B231,$J$6:$J$305,"&lt;&gt;Rejected",$E$6:$E$305,"&lt;="&amp;F231,$F$6:$F$305,"&gt;="&amp;E231)&gt;1),"Overlaps another leave",IF(AND(J231="Approved",N(INDEX(Balance!$F$6:$W$55,MATCH(B231,Balance!$B$6:$B$55,0),MATCH(D231,Setup!$A$18:$A$23,0)*3))&lt;0),"Exceeds balance",IF(J231="","Set status","OK")))))))))))</f>
        <v/>
      </c>
      <c r="M231" s="55" t="str">
        <f aca="false">IF(AND(B231&lt;&gt;"",B231='Leave Card'!$C$3),COUNTIF($B$6:B231,'Leave Card'!$C$3),"")</f>
        <v/>
      </c>
    </row>
    <row r="232" customFormat="false" ht="15" hidden="false" customHeight="false" outlineLevel="0" collapsed="false">
      <c r="A232" s="51" t="str">
        <f aca="false">IF(B232="","",ROW()-5)</f>
        <v/>
      </c>
      <c r="B232" s="118"/>
      <c r="C232" s="10" t="str">
        <f aca="false">IF(B232="","",IFERROR(INDEX(Employees!$C$5:$C$54,MATCH(B232,Employees!$B$5:$B$54,0)),"Not found"))</f>
        <v/>
      </c>
      <c r="D232" s="122"/>
      <c r="E232" s="123"/>
      <c r="F232" s="123"/>
      <c r="G232" s="118"/>
      <c r="H232" s="11" t="n">
        <f aca="false">IF(OR(B232="",E232="",F232="",F232&lt;E232),0,IF(G232="Yes",0.5,NETWORKDAYS.INTL(E232,F232,Setup!$C$14,Holidays!$B$5:$B$34)))</f>
        <v>0</v>
      </c>
      <c r="I232" s="119"/>
      <c r="J232" s="122"/>
      <c r="K232" s="118"/>
      <c r="L232" s="54" t="str">
        <f aca="false">IF(B232="","",IF(C232="Not found","Emp ID not found",IF(ISNA(MATCH(D232,Setup!$A$18:$A$23,0)),"Pick leave type",IF(OR(E232="",F232=""),"Enter From &amp; To",IF(F232&lt;E232,"To before From",IF(AND(G232="Yes",F232&gt;E232),"Half day = 1 date",IF(OR(E232&lt;Setup!$C$12,F232&gt;Setup!$C$13),"Outside leave year",IF(H232=0,"No working day",IF(AND(J232&lt;&gt;"Rejected",COUNTIFS($B$6:$B$305,B232,$J$6:$J$305,"&lt;&gt;Rejected",$E$6:$E$305,"&lt;="&amp;F232,$F$6:$F$305,"&gt;="&amp;E232)&gt;1),"Overlaps another leave",IF(AND(J232="Approved",N(INDEX(Balance!$F$6:$W$55,MATCH(B232,Balance!$B$6:$B$55,0),MATCH(D232,Setup!$A$18:$A$23,0)*3))&lt;0),"Exceeds balance",IF(J232="","Set status","OK")))))))))))</f>
        <v/>
      </c>
      <c r="M232" s="55" t="str">
        <f aca="false">IF(AND(B232&lt;&gt;"",B232='Leave Card'!$C$3),COUNTIF($B$6:B232,'Leave Card'!$C$3),"")</f>
        <v/>
      </c>
    </row>
    <row r="233" customFormat="false" ht="15" hidden="false" customHeight="false" outlineLevel="0" collapsed="false">
      <c r="A233" s="51" t="str">
        <f aca="false">IF(B233="","",ROW()-5)</f>
        <v/>
      </c>
      <c r="B233" s="118"/>
      <c r="C233" s="10" t="str">
        <f aca="false">IF(B233="","",IFERROR(INDEX(Employees!$C$5:$C$54,MATCH(B233,Employees!$B$5:$B$54,0)),"Not found"))</f>
        <v/>
      </c>
      <c r="D233" s="122"/>
      <c r="E233" s="123"/>
      <c r="F233" s="123"/>
      <c r="G233" s="118"/>
      <c r="H233" s="11" t="n">
        <f aca="false">IF(OR(B233="",E233="",F233="",F233&lt;E233),0,IF(G233="Yes",0.5,NETWORKDAYS.INTL(E233,F233,Setup!$C$14,Holidays!$B$5:$B$34)))</f>
        <v>0</v>
      </c>
      <c r="I233" s="119"/>
      <c r="J233" s="122"/>
      <c r="K233" s="118"/>
      <c r="L233" s="54" t="str">
        <f aca="false">IF(B233="","",IF(C233="Not found","Emp ID not found",IF(ISNA(MATCH(D233,Setup!$A$18:$A$23,0)),"Pick leave type",IF(OR(E233="",F233=""),"Enter From &amp; To",IF(F233&lt;E233,"To before From",IF(AND(G233="Yes",F233&gt;E233),"Half day = 1 date",IF(OR(E233&lt;Setup!$C$12,F233&gt;Setup!$C$13),"Outside leave year",IF(H233=0,"No working day",IF(AND(J233&lt;&gt;"Rejected",COUNTIFS($B$6:$B$305,B233,$J$6:$J$305,"&lt;&gt;Rejected",$E$6:$E$305,"&lt;="&amp;F233,$F$6:$F$305,"&gt;="&amp;E233)&gt;1),"Overlaps another leave",IF(AND(J233="Approved",N(INDEX(Balance!$F$6:$W$55,MATCH(B233,Balance!$B$6:$B$55,0),MATCH(D233,Setup!$A$18:$A$23,0)*3))&lt;0),"Exceeds balance",IF(J233="","Set status","OK")))))))))))</f>
        <v/>
      </c>
      <c r="M233" s="55" t="str">
        <f aca="false">IF(AND(B233&lt;&gt;"",B233='Leave Card'!$C$3),COUNTIF($B$6:B233,'Leave Card'!$C$3),"")</f>
        <v/>
      </c>
    </row>
    <row r="234" customFormat="false" ht="15" hidden="false" customHeight="false" outlineLevel="0" collapsed="false">
      <c r="A234" s="51" t="str">
        <f aca="false">IF(B234="","",ROW()-5)</f>
        <v/>
      </c>
      <c r="B234" s="118"/>
      <c r="C234" s="10" t="str">
        <f aca="false">IF(B234="","",IFERROR(INDEX(Employees!$C$5:$C$54,MATCH(B234,Employees!$B$5:$B$54,0)),"Not found"))</f>
        <v/>
      </c>
      <c r="D234" s="122"/>
      <c r="E234" s="123"/>
      <c r="F234" s="123"/>
      <c r="G234" s="118"/>
      <c r="H234" s="11" t="n">
        <f aca="false">IF(OR(B234="",E234="",F234="",F234&lt;E234),0,IF(G234="Yes",0.5,NETWORKDAYS.INTL(E234,F234,Setup!$C$14,Holidays!$B$5:$B$34)))</f>
        <v>0</v>
      </c>
      <c r="I234" s="119"/>
      <c r="J234" s="122"/>
      <c r="K234" s="118"/>
      <c r="L234" s="54" t="str">
        <f aca="false">IF(B234="","",IF(C234="Not found","Emp ID not found",IF(ISNA(MATCH(D234,Setup!$A$18:$A$23,0)),"Pick leave type",IF(OR(E234="",F234=""),"Enter From &amp; To",IF(F234&lt;E234,"To before From",IF(AND(G234="Yes",F234&gt;E234),"Half day = 1 date",IF(OR(E234&lt;Setup!$C$12,F234&gt;Setup!$C$13),"Outside leave year",IF(H234=0,"No working day",IF(AND(J234&lt;&gt;"Rejected",COUNTIFS($B$6:$B$305,B234,$J$6:$J$305,"&lt;&gt;Rejected",$E$6:$E$305,"&lt;="&amp;F234,$F$6:$F$305,"&gt;="&amp;E234)&gt;1),"Overlaps another leave",IF(AND(J234="Approved",N(INDEX(Balance!$F$6:$W$55,MATCH(B234,Balance!$B$6:$B$55,0),MATCH(D234,Setup!$A$18:$A$23,0)*3))&lt;0),"Exceeds balance",IF(J234="","Set status","OK")))))))))))</f>
        <v/>
      </c>
      <c r="M234" s="55" t="str">
        <f aca="false">IF(AND(B234&lt;&gt;"",B234='Leave Card'!$C$3),COUNTIF($B$6:B234,'Leave Card'!$C$3),"")</f>
        <v/>
      </c>
    </row>
    <row r="235" customFormat="false" ht="15" hidden="false" customHeight="false" outlineLevel="0" collapsed="false">
      <c r="A235" s="51" t="str">
        <f aca="false">IF(B235="","",ROW()-5)</f>
        <v/>
      </c>
      <c r="B235" s="118"/>
      <c r="C235" s="10" t="str">
        <f aca="false">IF(B235="","",IFERROR(INDEX(Employees!$C$5:$C$54,MATCH(B235,Employees!$B$5:$B$54,0)),"Not found"))</f>
        <v/>
      </c>
      <c r="D235" s="122"/>
      <c r="E235" s="123"/>
      <c r="F235" s="123"/>
      <c r="G235" s="118"/>
      <c r="H235" s="11" t="n">
        <f aca="false">IF(OR(B235="",E235="",F235="",F235&lt;E235),0,IF(G235="Yes",0.5,NETWORKDAYS.INTL(E235,F235,Setup!$C$14,Holidays!$B$5:$B$34)))</f>
        <v>0</v>
      </c>
      <c r="I235" s="119"/>
      <c r="J235" s="122"/>
      <c r="K235" s="118"/>
      <c r="L235" s="54" t="str">
        <f aca="false">IF(B235="","",IF(C235="Not found","Emp ID not found",IF(ISNA(MATCH(D235,Setup!$A$18:$A$23,0)),"Pick leave type",IF(OR(E235="",F235=""),"Enter From &amp; To",IF(F235&lt;E235,"To before From",IF(AND(G235="Yes",F235&gt;E235),"Half day = 1 date",IF(OR(E235&lt;Setup!$C$12,F235&gt;Setup!$C$13),"Outside leave year",IF(H235=0,"No working day",IF(AND(J235&lt;&gt;"Rejected",COUNTIFS($B$6:$B$305,B235,$J$6:$J$305,"&lt;&gt;Rejected",$E$6:$E$305,"&lt;="&amp;F235,$F$6:$F$305,"&gt;="&amp;E235)&gt;1),"Overlaps another leave",IF(AND(J235="Approved",N(INDEX(Balance!$F$6:$W$55,MATCH(B235,Balance!$B$6:$B$55,0),MATCH(D235,Setup!$A$18:$A$23,0)*3))&lt;0),"Exceeds balance",IF(J235="","Set status","OK")))))))))))</f>
        <v/>
      </c>
      <c r="M235" s="55" t="str">
        <f aca="false">IF(AND(B235&lt;&gt;"",B235='Leave Card'!$C$3),COUNTIF($B$6:B235,'Leave Card'!$C$3),"")</f>
        <v/>
      </c>
    </row>
    <row r="236" customFormat="false" ht="15" hidden="false" customHeight="false" outlineLevel="0" collapsed="false">
      <c r="A236" s="51" t="str">
        <f aca="false">IF(B236="","",ROW()-5)</f>
        <v/>
      </c>
      <c r="B236" s="118"/>
      <c r="C236" s="10" t="str">
        <f aca="false">IF(B236="","",IFERROR(INDEX(Employees!$C$5:$C$54,MATCH(B236,Employees!$B$5:$B$54,0)),"Not found"))</f>
        <v/>
      </c>
      <c r="D236" s="122"/>
      <c r="E236" s="123"/>
      <c r="F236" s="123"/>
      <c r="G236" s="118"/>
      <c r="H236" s="11" t="n">
        <f aca="false">IF(OR(B236="",E236="",F236="",F236&lt;E236),0,IF(G236="Yes",0.5,NETWORKDAYS.INTL(E236,F236,Setup!$C$14,Holidays!$B$5:$B$34)))</f>
        <v>0</v>
      </c>
      <c r="I236" s="119"/>
      <c r="J236" s="122"/>
      <c r="K236" s="118"/>
      <c r="L236" s="54" t="str">
        <f aca="false">IF(B236="","",IF(C236="Not found","Emp ID not found",IF(ISNA(MATCH(D236,Setup!$A$18:$A$23,0)),"Pick leave type",IF(OR(E236="",F236=""),"Enter From &amp; To",IF(F236&lt;E236,"To before From",IF(AND(G236="Yes",F236&gt;E236),"Half day = 1 date",IF(OR(E236&lt;Setup!$C$12,F236&gt;Setup!$C$13),"Outside leave year",IF(H236=0,"No working day",IF(AND(J236&lt;&gt;"Rejected",COUNTIFS($B$6:$B$305,B236,$J$6:$J$305,"&lt;&gt;Rejected",$E$6:$E$305,"&lt;="&amp;F236,$F$6:$F$305,"&gt;="&amp;E236)&gt;1),"Overlaps another leave",IF(AND(J236="Approved",N(INDEX(Balance!$F$6:$W$55,MATCH(B236,Balance!$B$6:$B$55,0),MATCH(D236,Setup!$A$18:$A$23,0)*3))&lt;0),"Exceeds balance",IF(J236="","Set status","OK")))))))))))</f>
        <v/>
      </c>
      <c r="M236" s="55" t="str">
        <f aca="false">IF(AND(B236&lt;&gt;"",B236='Leave Card'!$C$3),COUNTIF($B$6:B236,'Leave Card'!$C$3),"")</f>
        <v/>
      </c>
    </row>
    <row r="237" customFormat="false" ht="15" hidden="false" customHeight="false" outlineLevel="0" collapsed="false">
      <c r="A237" s="51" t="str">
        <f aca="false">IF(B237="","",ROW()-5)</f>
        <v/>
      </c>
      <c r="B237" s="118"/>
      <c r="C237" s="10" t="str">
        <f aca="false">IF(B237="","",IFERROR(INDEX(Employees!$C$5:$C$54,MATCH(B237,Employees!$B$5:$B$54,0)),"Not found"))</f>
        <v/>
      </c>
      <c r="D237" s="122"/>
      <c r="E237" s="123"/>
      <c r="F237" s="123"/>
      <c r="G237" s="118"/>
      <c r="H237" s="11" t="n">
        <f aca="false">IF(OR(B237="",E237="",F237="",F237&lt;E237),0,IF(G237="Yes",0.5,NETWORKDAYS.INTL(E237,F237,Setup!$C$14,Holidays!$B$5:$B$34)))</f>
        <v>0</v>
      </c>
      <c r="I237" s="119"/>
      <c r="J237" s="122"/>
      <c r="K237" s="118"/>
      <c r="L237" s="54" t="str">
        <f aca="false">IF(B237="","",IF(C237="Not found","Emp ID not found",IF(ISNA(MATCH(D237,Setup!$A$18:$A$23,0)),"Pick leave type",IF(OR(E237="",F237=""),"Enter From &amp; To",IF(F237&lt;E237,"To before From",IF(AND(G237="Yes",F237&gt;E237),"Half day = 1 date",IF(OR(E237&lt;Setup!$C$12,F237&gt;Setup!$C$13),"Outside leave year",IF(H237=0,"No working day",IF(AND(J237&lt;&gt;"Rejected",COUNTIFS($B$6:$B$305,B237,$J$6:$J$305,"&lt;&gt;Rejected",$E$6:$E$305,"&lt;="&amp;F237,$F$6:$F$305,"&gt;="&amp;E237)&gt;1),"Overlaps another leave",IF(AND(J237="Approved",N(INDEX(Balance!$F$6:$W$55,MATCH(B237,Balance!$B$6:$B$55,0),MATCH(D237,Setup!$A$18:$A$23,0)*3))&lt;0),"Exceeds balance",IF(J237="","Set status","OK")))))))))))</f>
        <v/>
      </c>
      <c r="M237" s="55" t="str">
        <f aca="false">IF(AND(B237&lt;&gt;"",B237='Leave Card'!$C$3),COUNTIF($B$6:B237,'Leave Card'!$C$3),"")</f>
        <v/>
      </c>
    </row>
    <row r="238" customFormat="false" ht="15" hidden="false" customHeight="false" outlineLevel="0" collapsed="false">
      <c r="A238" s="51" t="str">
        <f aca="false">IF(B238="","",ROW()-5)</f>
        <v/>
      </c>
      <c r="B238" s="118"/>
      <c r="C238" s="10" t="str">
        <f aca="false">IF(B238="","",IFERROR(INDEX(Employees!$C$5:$C$54,MATCH(B238,Employees!$B$5:$B$54,0)),"Not found"))</f>
        <v/>
      </c>
      <c r="D238" s="122"/>
      <c r="E238" s="123"/>
      <c r="F238" s="123"/>
      <c r="G238" s="118"/>
      <c r="H238" s="11" t="n">
        <f aca="false">IF(OR(B238="",E238="",F238="",F238&lt;E238),0,IF(G238="Yes",0.5,NETWORKDAYS.INTL(E238,F238,Setup!$C$14,Holidays!$B$5:$B$34)))</f>
        <v>0</v>
      </c>
      <c r="I238" s="119"/>
      <c r="J238" s="122"/>
      <c r="K238" s="118"/>
      <c r="L238" s="54" t="str">
        <f aca="false">IF(B238="","",IF(C238="Not found","Emp ID not found",IF(ISNA(MATCH(D238,Setup!$A$18:$A$23,0)),"Pick leave type",IF(OR(E238="",F238=""),"Enter From &amp; To",IF(F238&lt;E238,"To before From",IF(AND(G238="Yes",F238&gt;E238),"Half day = 1 date",IF(OR(E238&lt;Setup!$C$12,F238&gt;Setup!$C$13),"Outside leave year",IF(H238=0,"No working day",IF(AND(J238&lt;&gt;"Rejected",COUNTIFS($B$6:$B$305,B238,$J$6:$J$305,"&lt;&gt;Rejected",$E$6:$E$305,"&lt;="&amp;F238,$F$6:$F$305,"&gt;="&amp;E238)&gt;1),"Overlaps another leave",IF(AND(J238="Approved",N(INDEX(Balance!$F$6:$W$55,MATCH(B238,Balance!$B$6:$B$55,0),MATCH(D238,Setup!$A$18:$A$23,0)*3))&lt;0),"Exceeds balance",IF(J238="","Set status","OK")))))))))))</f>
        <v/>
      </c>
      <c r="M238" s="55" t="str">
        <f aca="false">IF(AND(B238&lt;&gt;"",B238='Leave Card'!$C$3),COUNTIF($B$6:B238,'Leave Card'!$C$3),"")</f>
        <v/>
      </c>
    </row>
    <row r="239" customFormat="false" ht="15" hidden="false" customHeight="false" outlineLevel="0" collapsed="false">
      <c r="A239" s="51" t="str">
        <f aca="false">IF(B239="","",ROW()-5)</f>
        <v/>
      </c>
      <c r="B239" s="118"/>
      <c r="C239" s="10" t="str">
        <f aca="false">IF(B239="","",IFERROR(INDEX(Employees!$C$5:$C$54,MATCH(B239,Employees!$B$5:$B$54,0)),"Not found"))</f>
        <v/>
      </c>
      <c r="D239" s="122"/>
      <c r="E239" s="123"/>
      <c r="F239" s="123"/>
      <c r="G239" s="118"/>
      <c r="H239" s="11" t="n">
        <f aca="false">IF(OR(B239="",E239="",F239="",F239&lt;E239),0,IF(G239="Yes",0.5,NETWORKDAYS.INTL(E239,F239,Setup!$C$14,Holidays!$B$5:$B$34)))</f>
        <v>0</v>
      </c>
      <c r="I239" s="119"/>
      <c r="J239" s="122"/>
      <c r="K239" s="118"/>
      <c r="L239" s="54" t="str">
        <f aca="false">IF(B239="","",IF(C239="Not found","Emp ID not found",IF(ISNA(MATCH(D239,Setup!$A$18:$A$23,0)),"Pick leave type",IF(OR(E239="",F239=""),"Enter From &amp; To",IF(F239&lt;E239,"To before From",IF(AND(G239="Yes",F239&gt;E239),"Half day = 1 date",IF(OR(E239&lt;Setup!$C$12,F239&gt;Setup!$C$13),"Outside leave year",IF(H239=0,"No working day",IF(AND(J239&lt;&gt;"Rejected",COUNTIFS($B$6:$B$305,B239,$J$6:$J$305,"&lt;&gt;Rejected",$E$6:$E$305,"&lt;="&amp;F239,$F$6:$F$305,"&gt;="&amp;E239)&gt;1),"Overlaps another leave",IF(AND(J239="Approved",N(INDEX(Balance!$F$6:$W$55,MATCH(B239,Balance!$B$6:$B$55,0),MATCH(D239,Setup!$A$18:$A$23,0)*3))&lt;0),"Exceeds balance",IF(J239="","Set status","OK")))))))))))</f>
        <v/>
      </c>
      <c r="M239" s="55" t="str">
        <f aca="false">IF(AND(B239&lt;&gt;"",B239='Leave Card'!$C$3),COUNTIF($B$6:B239,'Leave Card'!$C$3),"")</f>
        <v/>
      </c>
    </row>
    <row r="240" customFormat="false" ht="15" hidden="false" customHeight="false" outlineLevel="0" collapsed="false">
      <c r="A240" s="51" t="str">
        <f aca="false">IF(B240="","",ROW()-5)</f>
        <v/>
      </c>
      <c r="B240" s="118"/>
      <c r="C240" s="10" t="str">
        <f aca="false">IF(B240="","",IFERROR(INDEX(Employees!$C$5:$C$54,MATCH(B240,Employees!$B$5:$B$54,0)),"Not found"))</f>
        <v/>
      </c>
      <c r="D240" s="122"/>
      <c r="E240" s="123"/>
      <c r="F240" s="123"/>
      <c r="G240" s="118"/>
      <c r="H240" s="11" t="n">
        <f aca="false">IF(OR(B240="",E240="",F240="",F240&lt;E240),0,IF(G240="Yes",0.5,NETWORKDAYS.INTL(E240,F240,Setup!$C$14,Holidays!$B$5:$B$34)))</f>
        <v>0</v>
      </c>
      <c r="I240" s="119"/>
      <c r="J240" s="122"/>
      <c r="K240" s="118"/>
      <c r="L240" s="54" t="str">
        <f aca="false">IF(B240="","",IF(C240="Not found","Emp ID not found",IF(ISNA(MATCH(D240,Setup!$A$18:$A$23,0)),"Pick leave type",IF(OR(E240="",F240=""),"Enter From &amp; To",IF(F240&lt;E240,"To before From",IF(AND(G240="Yes",F240&gt;E240),"Half day = 1 date",IF(OR(E240&lt;Setup!$C$12,F240&gt;Setup!$C$13),"Outside leave year",IF(H240=0,"No working day",IF(AND(J240&lt;&gt;"Rejected",COUNTIFS($B$6:$B$305,B240,$J$6:$J$305,"&lt;&gt;Rejected",$E$6:$E$305,"&lt;="&amp;F240,$F$6:$F$305,"&gt;="&amp;E240)&gt;1),"Overlaps another leave",IF(AND(J240="Approved",N(INDEX(Balance!$F$6:$W$55,MATCH(B240,Balance!$B$6:$B$55,0),MATCH(D240,Setup!$A$18:$A$23,0)*3))&lt;0),"Exceeds balance",IF(J240="","Set status","OK")))))))))))</f>
        <v/>
      </c>
      <c r="M240" s="55" t="str">
        <f aca="false">IF(AND(B240&lt;&gt;"",B240='Leave Card'!$C$3),COUNTIF($B$6:B240,'Leave Card'!$C$3),"")</f>
        <v/>
      </c>
    </row>
    <row r="241" customFormat="false" ht="15" hidden="false" customHeight="false" outlineLevel="0" collapsed="false">
      <c r="A241" s="51" t="str">
        <f aca="false">IF(B241="","",ROW()-5)</f>
        <v/>
      </c>
      <c r="B241" s="118"/>
      <c r="C241" s="10" t="str">
        <f aca="false">IF(B241="","",IFERROR(INDEX(Employees!$C$5:$C$54,MATCH(B241,Employees!$B$5:$B$54,0)),"Not found"))</f>
        <v/>
      </c>
      <c r="D241" s="122"/>
      <c r="E241" s="123"/>
      <c r="F241" s="123"/>
      <c r="G241" s="118"/>
      <c r="H241" s="11" t="n">
        <f aca="false">IF(OR(B241="",E241="",F241="",F241&lt;E241),0,IF(G241="Yes",0.5,NETWORKDAYS.INTL(E241,F241,Setup!$C$14,Holidays!$B$5:$B$34)))</f>
        <v>0</v>
      </c>
      <c r="I241" s="119"/>
      <c r="J241" s="122"/>
      <c r="K241" s="118"/>
      <c r="L241" s="54" t="str">
        <f aca="false">IF(B241="","",IF(C241="Not found","Emp ID not found",IF(ISNA(MATCH(D241,Setup!$A$18:$A$23,0)),"Pick leave type",IF(OR(E241="",F241=""),"Enter From &amp; To",IF(F241&lt;E241,"To before From",IF(AND(G241="Yes",F241&gt;E241),"Half day = 1 date",IF(OR(E241&lt;Setup!$C$12,F241&gt;Setup!$C$13),"Outside leave year",IF(H241=0,"No working day",IF(AND(J241&lt;&gt;"Rejected",COUNTIFS($B$6:$B$305,B241,$J$6:$J$305,"&lt;&gt;Rejected",$E$6:$E$305,"&lt;="&amp;F241,$F$6:$F$305,"&gt;="&amp;E241)&gt;1),"Overlaps another leave",IF(AND(J241="Approved",N(INDEX(Balance!$F$6:$W$55,MATCH(B241,Balance!$B$6:$B$55,0),MATCH(D241,Setup!$A$18:$A$23,0)*3))&lt;0),"Exceeds balance",IF(J241="","Set status","OK")))))))))))</f>
        <v/>
      </c>
      <c r="M241" s="55" t="str">
        <f aca="false">IF(AND(B241&lt;&gt;"",B241='Leave Card'!$C$3),COUNTIF($B$6:B241,'Leave Card'!$C$3),"")</f>
        <v/>
      </c>
    </row>
    <row r="242" customFormat="false" ht="15" hidden="false" customHeight="false" outlineLevel="0" collapsed="false">
      <c r="A242" s="51" t="str">
        <f aca="false">IF(B242="","",ROW()-5)</f>
        <v/>
      </c>
      <c r="B242" s="118"/>
      <c r="C242" s="10" t="str">
        <f aca="false">IF(B242="","",IFERROR(INDEX(Employees!$C$5:$C$54,MATCH(B242,Employees!$B$5:$B$54,0)),"Not found"))</f>
        <v/>
      </c>
      <c r="D242" s="122"/>
      <c r="E242" s="123"/>
      <c r="F242" s="123"/>
      <c r="G242" s="118"/>
      <c r="H242" s="11" t="n">
        <f aca="false">IF(OR(B242="",E242="",F242="",F242&lt;E242),0,IF(G242="Yes",0.5,NETWORKDAYS.INTL(E242,F242,Setup!$C$14,Holidays!$B$5:$B$34)))</f>
        <v>0</v>
      </c>
      <c r="I242" s="119"/>
      <c r="J242" s="122"/>
      <c r="K242" s="118"/>
      <c r="L242" s="54" t="str">
        <f aca="false">IF(B242="","",IF(C242="Not found","Emp ID not found",IF(ISNA(MATCH(D242,Setup!$A$18:$A$23,0)),"Pick leave type",IF(OR(E242="",F242=""),"Enter From &amp; To",IF(F242&lt;E242,"To before From",IF(AND(G242="Yes",F242&gt;E242),"Half day = 1 date",IF(OR(E242&lt;Setup!$C$12,F242&gt;Setup!$C$13),"Outside leave year",IF(H242=0,"No working day",IF(AND(J242&lt;&gt;"Rejected",COUNTIFS($B$6:$B$305,B242,$J$6:$J$305,"&lt;&gt;Rejected",$E$6:$E$305,"&lt;="&amp;F242,$F$6:$F$305,"&gt;="&amp;E242)&gt;1),"Overlaps another leave",IF(AND(J242="Approved",N(INDEX(Balance!$F$6:$W$55,MATCH(B242,Balance!$B$6:$B$55,0),MATCH(D242,Setup!$A$18:$A$23,0)*3))&lt;0),"Exceeds balance",IF(J242="","Set status","OK")))))))))))</f>
        <v/>
      </c>
      <c r="M242" s="55" t="str">
        <f aca="false">IF(AND(B242&lt;&gt;"",B242='Leave Card'!$C$3),COUNTIF($B$6:B242,'Leave Card'!$C$3),"")</f>
        <v/>
      </c>
    </row>
    <row r="243" customFormat="false" ht="15" hidden="false" customHeight="false" outlineLevel="0" collapsed="false">
      <c r="A243" s="51" t="str">
        <f aca="false">IF(B243="","",ROW()-5)</f>
        <v/>
      </c>
      <c r="B243" s="118"/>
      <c r="C243" s="10" t="str">
        <f aca="false">IF(B243="","",IFERROR(INDEX(Employees!$C$5:$C$54,MATCH(B243,Employees!$B$5:$B$54,0)),"Not found"))</f>
        <v/>
      </c>
      <c r="D243" s="122"/>
      <c r="E243" s="123"/>
      <c r="F243" s="123"/>
      <c r="G243" s="118"/>
      <c r="H243" s="11" t="n">
        <f aca="false">IF(OR(B243="",E243="",F243="",F243&lt;E243),0,IF(G243="Yes",0.5,NETWORKDAYS.INTL(E243,F243,Setup!$C$14,Holidays!$B$5:$B$34)))</f>
        <v>0</v>
      </c>
      <c r="I243" s="119"/>
      <c r="J243" s="122"/>
      <c r="K243" s="118"/>
      <c r="L243" s="54" t="str">
        <f aca="false">IF(B243="","",IF(C243="Not found","Emp ID not found",IF(ISNA(MATCH(D243,Setup!$A$18:$A$23,0)),"Pick leave type",IF(OR(E243="",F243=""),"Enter From &amp; To",IF(F243&lt;E243,"To before From",IF(AND(G243="Yes",F243&gt;E243),"Half day = 1 date",IF(OR(E243&lt;Setup!$C$12,F243&gt;Setup!$C$13),"Outside leave year",IF(H243=0,"No working day",IF(AND(J243&lt;&gt;"Rejected",COUNTIFS($B$6:$B$305,B243,$J$6:$J$305,"&lt;&gt;Rejected",$E$6:$E$305,"&lt;="&amp;F243,$F$6:$F$305,"&gt;="&amp;E243)&gt;1),"Overlaps another leave",IF(AND(J243="Approved",N(INDEX(Balance!$F$6:$W$55,MATCH(B243,Balance!$B$6:$B$55,0),MATCH(D243,Setup!$A$18:$A$23,0)*3))&lt;0),"Exceeds balance",IF(J243="","Set status","OK")))))))))))</f>
        <v/>
      </c>
      <c r="M243" s="55" t="str">
        <f aca="false">IF(AND(B243&lt;&gt;"",B243='Leave Card'!$C$3),COUNTIF($B$6:B243,'Leave Card'!$C$3),"")</f>
        <v/>
      </c>
    </row>
    <row r="244" customFormat="false" ht="15" hidden="false" customHeight="false" outlineLevel="0" collapsed="false">
      <c r="A244" s="51" t="str">
        <f aca="false">IF(B244="","",ROW()-5)</f>
        <v/>
      </c>
      <c r="B244" s="118"/>
      <c r="C244" s="10" t="str">
        <f aca="false">IF(B244="","",IFERROR(INDEX(Employees!$C$5:$C$54,MATCH(B244,Employees!$B$5:$B$54,0)),"Not found"))</f>
        <v/>
      </c>
      <c r="D244" s="122"/>
      <c r="E244" s="123"/>
      <c r="F244" s="123"/>
      <c r="G244" s="118"/>
      <c r="H244" s="11" t="n">
        <f aca="false">IF(OR(B244="",E244="",F244="",F244&lt;E244),0,IF(G244="Yes",0.5,NETWORKDAYS.INTL(E244,F244,Setup!$C$14,Holidays!$B$5:$B$34)))</f>
        <v>0</v>
      </c>
      <c r="I244" s="119"/>
      <c r="J244" s="122"/>
      <c r="K244" s="118"/>
      <c r="L244" s="54" t="str">
        <f aca="false">IF(B244="","",IF(C244="Not found","Emp ID not found",IF(ISNA(MATCH(D244,Setup!$A$18:$A$23,0)),"Pick leave type",IF(OR(E244="",F244=""),"Enter From &amp; To",IF(F244&lt;E244,"To before From",IF(AND(G244="Yes",F244&gt;E244),"Half day = 1 date",IF(OR(E244&lt;Setup!$C$12,F244&gt;Setup!$C$13),"Outside leave year",IF(H244=0,"No working day",IF(AND(J244&lt;&gt;"Rejected",COUNTIFS($B$6:$B$305,B244,$J$6:$J$305,"&lt;&gt;Rejected",$E$6:$E$305,"&lt;="&amp;F244,$F$6:$F$305,"&gt;="&amp;E244)&gt;1),"Overlaps another leave",IF(AND(J244="Approved",N(INDEX(Balance!$F$6:$W$55,MATCH(B244,Balance!$B$6:$B$55,0),MATCH(D244,Setup!$A$18:$A$23,0)*3))&lt;0),"Exceeds balance",IF(J244="","Set status","OK")))))))))))</f>
        <v/>
      </c>
      <c r="M244" s="55" t="str">
        <f aca="false">IF(AND(B244&lt;&gt;"",B244='Leave Card'!$C$3),COUNTIF($B$6:B244,'Leave Card'!$C$3),"")</f>
        <v/>
      </c>
    </row>
    <row r="245" customFormat="false" ht="15" hidden="false" customHeight="false" outlineLevel="0" collapsed="false">
      <c r="A245" s="51" t="str">
        <f aca="false">IF(B245="","",ROW()-5)</f>
        <v/>
      </c>
      <c r="B245" s="118"/>
      <c r="C245" s="10" t="str">
        <f aca="false">IF(B245="","",IFERROR(INDEX(Employees!$C$5:$C$54,MATCH(B245,Employees!$B$5:$B$54,0)),"Not found"))</f>
        <v/>
      </c>
      <c r="D245" s="122"/>
      <c r="E245" s="123"/>
      <c r="F245" s="123"/>
      <c r="G245" s="118"/>
      <c r="H245" s="11" t="n">
        <f aca="false">IF(OR(B245="",E245="",F245="",F245&lt;E245),0,IF(G245="Yes",0.5,NETWORKDAYS.INTL(E245,F245,Setup!$C$14,Holidays!$B$5:$B$34)))</f>
        <v>0</v>
      </c>
      <c r="I245" s="119"/>
      <c r="J245" s="122"/>
      <c r="K245" s="118"/>
      <c r="L245" s="54" t="str">
        <f aca="false">IF(B245="","",IF(C245="Not found","Emp ID not found",IF(ISNA(MATCH(D245,Setup!$A$18:$A$23,0)),"Pick leave type",IF(OR(E245="",F245=""),"Enter From &amp; To",IF(F245&lt;E245,"To before From",IF(AND(G245="Yes",F245&gt;E245),"Half day = 1 date",IF(OR(E245&lt;Setup!$C$12,F245&gt;Setup!$C$13),"Outside leave year",IF(H245=0,"No working day",IF(AND(J245&lt;&gt;"Rejected",COUNTIFS($B$6:$B$305,B245,$J$6:$J$305,"&lt;&gt;Rejected",$E$6:$E$305,"&lt;="&amp;F245,$F$6:$F$305,"&gt;="&amp;E245)&gt;1),"Overlaps another leave",IF(AND(J245="Approved",N(INDEX(Balance!$F$6:$W$55,MATCH(B245,Balance!$B$6:$B$55,0),MATCH(D245,Setup!$A$18:$A$23,0)*3))&lt;0),"Exceeds balance",IF(J245="","Set status","OK")))))))))))</f>
        <v/>
      </c>
      <c r="M245" s="55" t="str">
        <f aca="false">IF(AND(B245&lt;&gt;"",B245='Leave Card'!$C$3),COUNTIF($B$6:B245,'Leave Card'!$C$3),"")</f>
        <v/>
      </c>
    </row>
    <row r="246" customFormat="false" ht="15" hidden="false" customHeight="false" outlineLevel="0" collapsed="false">
      <c r="A246" s="51" t="str">
        <f aca="false">IF(B246="","",ROW()-5)</f>
        <v/>
      </c>
      <c r="B246" s="118"/>
      <c r="C246" s="10" t="str">
        <f aca="false">IF(B246="","",IFERROR(INDEX(Employees!$C$5:$C$54,MATCH(B246,Employees!$B$5:$B$54,0)),"Not found"))</f>
        <v/>
      </c>
      <c r="D246" s="122"/>
      <c r="E246" s="123"/>
      <c r="F246" s="123"/>
      <c r="G246" s="118"/>
      <c r="H246" s="11" t="n">
        <f aca="false">IF(OR(B246="",E246="",F246="",F246&lt;E246),0,IF(G246="Yes",0.5,NETWORKDAYS.INTL(E246,F246,Setup!$C$14,Holidays!$B$5:$B$34)))</f>
        <v>0</v>
      </c>
      <c r="I246" s="119"/>
      <c r="J246" s="122"/>
      <c r="K246" s="118"/>
      <c r="L246" s="54" t="str">
        <f aca="false">IF(B246="","",IF(C246="Not found","Emp ID not found",IF(ISNA(MATCH(D246,Setup!$A$18:$A$23,0)),"Pick leave type",IF(OR(E246="",F246=""),"Enter From &amp; To",IF(F246&lt;E246,"To before From",IF(AND(G246="Yes",F246&gt;E246),"Half day = 1 date",IF(OR(E246&lt;Setup!$C$12,F246&gt;Setup!$C$13),"Outside leave year",IF(H246=0,"No working day",IF(AND(J246&lt;&gt;"Rejected",COUNTIFS($B$6:$B$305,B246,$J$6:$J$305,"&lt;&gt;Rejected",$E$6:$E$305,"&lt;="&amp;F246,$F$6:$F$305,"&gt;="&amp;E246)&gt;1),"Overlaps another leave",IF(AND(J246="Approved",N(INDEX(Balance!$F$6:$W$55,MATCH(B246,Balance!$B$6:$B$55,0),MATCH(D246,Setup!$A$18:$A$23,0)*3))&lt;0),"Exceeds balance",IF(J246="","Set status","OK")))))))))))</f>
        <v/>
      </c>
      <c r="M246" s="55" t="str">
        <f aca="false">IF(AND(B246&lt;&gt;"",B246='Leave Card'!$C$3),COUNTIF($B$6:B246,'Leave Card'!$C$3),"")</f>
        <v/>
      </c>
    </row>
    <row r="247" customFormat="false" ht="15" hidden="false" customHeight="false" outlineLevel="0" collapsed="false">
      <c r="A247" s="51" t="str">
        <f aca="false">IF(B247="","",ROW()-5)</f>
        <v/>
      </c>
      <c r="B247" s="118"/>
      <c r="C247" s="10" t="str">
        <f aca="false">IF(B247="","",IFERROR(INDEX(Employees!$C$5:$C$54,MATCH(B247,Employees!$B$5:$B$54,0)),"Not found"))</f>
        <v/>
      </c>
      <c r="D247" s="122"/>
      <c r="E247" s="123"/>
      <c r="F247" s="123"/>
      <c r="G247" s="118"/>
      <c r="H247" s="11" t="n">
        <f aca="false">IF(OR(B247="",E247="",F247="",F247&lt;E247),0,IF(G247="Yes",0.5,NETWORKDAYS.INTL(E247,F247,Setup!$C$14,Holidays!$B$5:$B$34)))</f>
        <v>0</v>
      </c>
      <c r="I247" s="119"/>
      <c r="J247" s="122"/>
      <c r="K247" s="118"/>
      <c r="L247" s="54" t="str">
        <f aca="false">IF(B247="","",IF(C247="Not found","Emp ID not found",IF(ISNA(MATCH(D247,Setup!$A$18:$A$23,0)),"Pick leave type",IF(OR(E247="",F247=""),"Enter From &amp; To",IF(F247&lt;E247,"To before From",IF(AND(G247="Yes",F247&gt;E247),"Half day = 1 date",IF(OR(E247&lt;Setup!$C$12,F247&gt;Setup!$C$13),"Outside leave year",IF(H247=0,"No working day",IF(AND(J247&lt;&gt;"Rejected",COUNTIFS($B$6:$B$305,B247,$J$6:$J$305,"&lt;&gt;Rejected",$E$6:$E$305,"&lt;="&amp;F247,$F$6:$F$305,"&gt;="&amp;E247)&gt;1),"Overlaps another leave",IF(AND(J247="Approved",N(INDEX(Balance!$F$6:$W$55,MATCH(B247,Balance!$B$6:$B$55,0),MATCH(D247,Setup!$A$18:$A$23,0)*3))&lt;0),"Exceeds balance",IF(J247="","Set status","OK")))))))))))</f>
        <v/>
      </c>
      <c r="M247" s="55" t="str">
        <f aca="false">IF(AND(B247&lt;&gt;"",B247='Leave Card'!$C$3),COUNTIF($B$6:B247,'Leave Card'!$C$3),"")</f>
        <v/>
      </c>
    </row>
    <row r="248" customFormat="false" ht="15" hidden="false" customHeight="false" outlineLevel="0" collapsed="false">
      <c r="A248" s="51" t="str">
        <f aca="false">IF(B248="","",ROW()-5)</f>
        <v/>
      </c>
      <c r="B248" s="118"/>
      <c r="C248" s="10" t="str">
        <f aca="false">IF(B248="","",IFERROR(INDEX(Employees!$C$5:$C$54,MATCH(B248,Employees!$B$5:$B$54,0)),"Not found"))</f>
        <v/>
      </c>
      <c r="D248" s="122"/>
      <c r="E248" s="123"/>
      <c r="F248" s="123"/>
      <c r="G248" s="118"/>
      <c r="H248" s="11" t="n">
        <f aca="false">IF(OR(B248="",E248="",F248="",F248&lt;E248),0,IF(G248="Yes",0.5,NETWORKDAYS.INTL(E248,F248,Setup!$C$14,Holidays!$B$5:$B$34)))</f>
        <v>0</v>
      </c>
      <c r="I248" s="119"/>
      <c r="J248" s="122"/>
      <c r="K248" s="118"/>
      <c r="L248" s="54" t="str">
        <f aca="false">IF(B248="","",IF(C248="Not found","Emp ID not found",IF(ISNA(MATCH(D248,Setup!$A$18:$A$23,0)),"Pick leave type",IF(OR(E248="",F248=""),"Enter From &amp; To",IF(F248&lt;E248,"To before From",IF(AND(G248="Yes",F248&gt;E248),"Half day = 1 date",IF(OR(E248&lt;Setup!$C$12,F248&gt;Setup!$C$13),"Outside leave year",IF(H248=0,"No working day",IF(AND(J248&lt;&gt;"Rejected",COUNTIFS($B$6:$B$305,B248,$J$6:$J$305,"&lt;&gt;Rejected",$E$6:$E$305,"&lt;="&amp;F248,$F$6:$F$305,"&gt;="&amp;E248)&gt;1),"Overlaps another leave",IF(AND(J248="Approved",N(INDEX(Balance!$F$6:$W$55,MATCH(B248,Balance!$B$6:$B$55,0),MATCH(D248,Setup!$A$18:$A$23,0)*3))&lt;0),"Exceeds balance",IF(J248="","Set status","OK")))))))))))</f>
        <v/>
      </c>
      <c r="M248" s="55" t="str">
        <f aca="false">IF(AND(B248&lt;&gt;"",B248='Leave Card'!$C$3),COUNTIF($B$6:B248,'Leave Card'!$C$3),"")</f>
        <v/>
      </c>
    </row>
    <row r="249" customFormat="false" ht="15" hidden="false" customHeight="false" outlineLevel="0" collapsed="false">
      <c r="A249" s="51" t="str">
        <f aca="false">IF(B249="","",ROW()-5)</f>
        <v/>
      </c>
      <c r="B249" s="118"/>
      <c r="C249" s="10" t="str">
        <f aca="false">IF(B249="","",IFERROR(INDEX(Employees!$C$5:$C$54,MATCH(B249,Employees!$B$5:$B$54,0)),"Not found"))</f>
        <v/>
      </c>
      <c r="D249" s="122"/>
      <c r="E249" s="123"/>
      <c r="F249" s="123"/>
      <c r="G249" s="118"/>
      <c r="H249" s="11" t="n">
        <f aca="false">IF(OR(B249="",E249="",F249="",F249&lt;E249),0,IF(G249="Yes",0.5,NETWORKDAYS.INTL(E249,F249,Setup!$C$14,Holidays!$B$5:$B$34)))</f>
        <v>0</v>
      </c>
      <c r="I249" s="119"/>
      <c r="J249" s="122"/>
      <c r="K249" s="118"/>
      <c r="L249" s="54" t="str">
        <f aca="false">IF(B249="","",IF(C249="Not found","Emp ID not found",IF(ISNA(MATCH(D249,Setup!$A$18:$A$23,0)),"Pick leave type",IF(OR(E249="",F249=""),"Enter From &amp; To",IF(F249&lt;E249,"To before From",IF(AND(G249="Yes",F249&gt;E249),"Half day = 1 date",IF(OR(E249&lt;Setup!$C$12,F249&gt;Setup!$C$13),"Outside leave year",IF(H249=0,"No working day",IF(AND(J249&lt;&gt;"Rejected",COUNTIFS($B$6:$B$305,B249,$J$6:$J$305,"&lt;&gt;Rejected",$E$6:$E$305,"&lt;="&amp;F249,$F$6:$F$305,"&gt;="&amp;E249)&gt;1),"Overlaps another leave",IF(AND(J249="Approved",N(INDEX(Balance!$F$6:$W$55,MATCH(B249,Balance!$B$6:$B$55,0),MATCH(D249,Setup!$A$18:$A$23,0)*3))&lt;0),"Exceeds balance",IF(J249="","Set status","OK")))))))))))</f>
        <v/>
      </c>
      <c r="M249" s="55" t="str">
        <f aca="false">IF(AND(B249&lt;&gt;"",B249='Leave Card'!$C$3),COUNTIF($B$6:B249,'Leave Card'!$C$3),"")</f>
        <v/>
      </c>
    </row>
    <row r="250" customFormat="false" ht="15" hidden="false" customHeight="false" outlineLevel="0" collapsed="false">
      <c r="A250" s="51" t="str">
        <f aca="false">IF(B250="","",ROW()-5)</f>
        <v/>
      </c>
      <c r="B250" s="118"/>
      <c r="C250" s="10" t="str">
        <f aca="false">IF(B250="","",IFERROR(INDEX(Employees!$C$5:$C$54,MATCH(B250,Employees!$B$5:$B$54,0)),"Not found"))</f>
        <v/>
      </c>
      <c r="D250" s="122"/>
      <c r="E250" s="123"/>
      <c r="F250" s="123"/>
      <c r="G250" s="118"/>
      <c r="H250" s="11" t="n">
        <f aca="false">IF(OR(B250="",E250="",F250="",F250&lt;E250),0,IF(G250="Yes",0.5,NETWORKDAYS.INTL(E250,F250,Setup!$C$14,Holidays!$B$5:$B$34)))</f>
        <v>0</v>
      </c>
      <c r="I250" s="119"/>
      <c r="J250" s="122"/>
      <c r="K250" s="118"/>
      <c r="L250" s="54" t="str">
        <f aca="false">IF(B250="","",IF(C250="Not found","Emp ID not found",IF(ISNA(MATCH(D250,Setup!$A$18:$A$23,0)),"Pick leave type",IF(OR(E250="",F250=""),"Enter From &amp; To",IF(F250&lt;E250,"To before From",IF(AND(G250="Yes",F250&gt;E250),"Half day = 1 date",IF(OR(E250&lt;Setup!$C$12,F250&gt;Setup!$C$13),"Outside leave year",IF(H250=0,"No working day",IF(AND(J250&lt;&gt;"Rejected",COUNTIFS($B$6:$B$305,B250,$J$6:$J$305,"&lt;&gt;Rejected",$E$6:$E$305,"&lt;="&amp;F250,$F$6:$F$305,"&gt;="&amp;E250)&gt;1),"Overlaps another leave",IF(AND(J250="Approved",N(INDEX(Balance!$F$6:$W$55,MATCH(B250,Balance!$B$6:$B$55,0),MATCH(D250,Setup!$A$18:$A$23,0)*3))&lt;0),"Exceeds balance",IF(J250="","Set status","OK")))))))))))</f>
        <v/>
      </c>
      <c r="M250" s="55" t="str">
        <f aca="false">IF(AND(B250&lt;&gt;"",B250='Leave Card'!$C$3),COUNTIF($B$6:B250,'Leave Card'!$C$3),"")</f>
        <v/>
      </c>
    </row>
    <row r="251" customFormat="false" ht="15" hidden="false" customHeight="false" outlineLevel="0" collapsed="false">
      <c r="A251" s="51" t="str">
        <f aca="false">IF(B251="","",ROW()-5)</f>
        <v/>
      </c>
      <c r="B251" s="118"/>
      <c r="C251" s="10" t="str">
        <f aca="false">IF(B251="","",IFERROR(INDEX(Employees!$C$5:$C$54,MATCH(B251,Employees!$B$5:$B$54,0)),"Not found"))</f>
        <v/>
      </c>
      <c r="D251" s="122"/>
      <c r="E251" s="123"/>
      <c r="F251" s="123"/>
      <c r="G251" s="118"/>
      <c r="H251" s="11" t="n">
        <f aca="false">IF(OR(B251="",E251="",F251="",F251&lt;E251),0,IF(G251="Yes",0.5,NETWORKDAYS.INTL(E251,F251,Setup!$C$14,Holidays!$B$5:$B$34)))</f>
        <v>0</v>
      </c>
      <c r="I251" s="119"/>
      <c r="J251" s="122"/>
      <c r="K251" s="118"/>
      <c r="L251" s="54" t="str">
        <f aca="false">IF(B251="","",IF(C251="Not found","Emp ID not found",IF(ISNA(MATCH(D251,Setup!$A$18:$A$23,0)),"Pick leave type",IF(OR(E251="",F251=""),"Enter From &amp; To",IF(F251&lt;E251,"To before From",IF(AND(G251="Yes",F251&gt;E251),"Half day = 1 date",IF(OR(E251&lt;Setup!$C$12,F251&gt;Setup!$C$13),"Outside leave year",IF(H251=0,"No working day",IF(AND(J251&lt;&gt;"Rejected",COUNTIFS($B$6:$B$305,B251,$J$6:$J$305,"&lt;&gt;Rejected",$E$6:$E$305,"&lt;="&amp;F251,$F$6:$F$305,"&gt;="&amp;E251)&gt;1),"Overlaps another leave",IF(AND(J251="Approved",N(INDEX(Balance!$F$6:$W$55,MATCH(B251,Balance!$B$6:$B$55,0),MATCH(D251,Setup!$A$18:$A$23,0)*3))&lt;0),"Exceeds balance",IF(J251="","Set status","OK")))))))))))</f>
        <v/>
      </c>
      <c r="M251" s="55" t="str">
        <f aca="false">IF(AND(B251&lt;&gt;"",B251='Leave Card'!$C$3),COUNTIF($B$6:B251,'Leave Card'!$C$3),"")</f>
        <v/>
      </c>
    </row>
    <row r="252" customFormat="false" ht="15" hidden="false" customHeight="false" outlineLevel="0" collapsed="false">
      <c r="A252" s="51" t="str">
        <f aca="false">IF(B252="","",ROW()-5)</f>
        <v/>
      </c>
      <c r="B252" s="118"/>
      <c r="C252" s="10" t="str">
        <f aca="false">IF(B252="","",IFERROR(INDEX(Employees!$C$5:$C$54,MATCH(B252,Employees!$B$5:$B$54,0)),"Not found"))</f>
        <v/>
      </c>
      <c r="D252" s="122"/>
      <c r="E252" s="123"/>
      <c r="F252" s="123"/>
      <c r="G252" s="118"/>
      <c r="H252" s="11" t="n">
        <f aca="false">IF(OR(B252="",E252="",F252="",F252&lt;E252),0,IF(G252="Yes",0.5,NETWORKDAYS.INTL(E252,F252,Setup!$C$14,Holidays!$B$5:$B$34)))</f>
        <v>0</v>
      </c>
      <c r="I252" s="119"/>
      <c r="J252" s="122"/>
      <c r="K252" s="118"/>
      <c r="L252" s="54" t="str">
        <f aca="false">IF(B252="","",IF(C252="Not found","Emp ID not found",IF(ISNA(MATCH(D252,Setup!$A$18:$A$23,0)),"Pick leave type",IF(OR(E252="",F252=""),"Enter From &amp; To",IF(F252&lt;E252,"To before From",IF(AND(G252="Yes",F252&gt;E252),"Half day = 1 date",IF(OR(E252&lt;Setup!$C$12,F252&gt;Setup!$C$13),"Outside leave year",IF(H252=0,"No working day",IF(AND(J252&lt;&gt;"Rejected",COUNTIFS($B$6:$B$305,B252,$J$6:$J$305,"&lt;&gt;Rejected",$E$6:$E$305,"&lt;="&amp;F252,$F$6:$F$305,"&gt;="&amp;E252)&gt;1),"Overlaps another leave",IF(AND(J252="Approved",N(INDEX(Balance!$F$6:$W$55,MATCH(B252,Balance!$B$6:$B$55,0),MATCH(D252,Setup!$A$18:$A$23,0)*3))&lt;0),"Exceeds balance",IF(J252="","Set status","OK")))))))))))</f>
        <v/>
      </c>
      <c r="M252" s="55" t="str">
        <f aca="false">IF(AND(B252&lt;&gt;"",B252='Leave Card'!$C$3),COUNTIF($B$6:B252,'Leave Card'!$C$3),"")</f>
        <v/>
      </c>
    </row>
    <row r="253" customFormat="false" ht="15" hidden="false" customHeight="false" outlineLevel="0" collapsed="false">
      <c r="A253" s="51" t="str">
        <f aca="false">IF(B253="","",ROW()-5)</f>
        <v/>
      </c>
      <c r="B253" s="118"/>
      <c r="C253" s="10" t="str">
        <f aca="false">IF(B253="","",IFERROR(INDEX(Employees!$C$5:$C$54,MATCH(B253,Employees!$B$5:$B$54,0)),"Not found"))</f>
        <v/>
      </c>
      <c r="D253" s="122"/>
      <c r="E253" s="123"/>
      <c r="F253" s="123"/>
      <c r="G253" s="118"/>
      <c r="H253" s="11" t="n">
        <f aca="false">IF(OR(B253="",E253="",F253="",F253&lt;E253),0,IF(G253="Yes",0.5,NETWORKDAYS.INTL(E253,F253,Setup!$C$14,Holidays!$B$5:$B$34)))</f>
        <v>0</v>
      </c>
      <c r="I253" s="119"/>
      <c r="J253" s="122"/>
      <c r="K253" s="118"/>
      <c r="L253" s="54" t="str">
        <f aca="false">IF(B253="","",IF(C253="Not found","Emp ID not found",IF(ISNA(MATCH(D253,Setup!$A$18:$A$23,0)),"Pick leave type",IF(OR(E253="",F253=""),"Enter From &amp; To",IF(F253&lt;E253,"To before From",IF(AND(G253="Yes",F253&gt;E253),"Half day = 1 date",IF(OR(E253&lt;Setup!$C$12,F253&gt;Setup!$C$13),"Outside leave year",IF(H253=0,"No working day",IF(AND(J253&lt;&gt;"Rejected",COUNTIFS($B$6:$B$305,B253,$J$6:$J$305,"&lt;&gt;Rejected",$E$6:$E$305,"&lt;="&amp;F253,$F$6:$F$305,"&gt;="&amp;E253)&gt;1),"Overlaps another leave",IF(AND(J253="Approved",N(INDEX(Balance!$F$6:$W$55,MATCH(B253,Balance!$B$6:$B$55,0),MATCH(D253,Setup!$A$18:$A$23,0)*3))&lt;0),"Exceeds balance",IF(J253="","Set status","OK")))))))))))</f>
        <v/>
      </c>
      <c r="M253" s="55" t="str">
        <f aca="false">IF(AND(B253&lt;&gt;"",B253='Leave Card'!$C$3),COUNTIF($B$6:B253,'Leave Card'!$C$3),"")</f>
        <v/>
      </c>
    </row>
    <row r="254" customFormat="false" ht="15" hidden="false" customHeight="false" outlineLevel="0" collapsed="false">
      <c r="A254" s="51" t="str">
        <f aca="false">IF(B254="","",ROW()-5)</f>
        <v/>
      </c>
      <c r="B254" s="118"/>
      <c r="C254" s="10" t="str">
        <f aca="false">IF(B254="","",IFERROR(INDEX(Employees!$C$5:$C$54,MATCH(B254,Employees!$B$5:$B$54,0)),"Not found"))</f>
        <v/>
      </c>
      <c r="D254" s="122"/>
      <c r="E254" s="123"/>
      <c r="F254" s="123"/>
      <c r="G254" s="118"/>
      <c r="H254" s="11" t="n">
        <f aca="false">IF(OR(B254="",E254="",F254="",F254&lt;E254),0,IF(G254="Yes",0.5,NETWORKDAYS.INTL(E254,F254,Setup!$C$14,Holidays!$B$5:$B$34)))</f>
        <v>0</v>
      </c>
      <c r="I254" s="119"/>
      <c r="J254" s="122"/>
      <c r="K254" s="118"/>
      <c r="L254" s="54" t="str">
        <f aca="false">IF(B254="","",IF(C254="Not found","Emp ID not found",IF(ISNA(MATCH(D254,Setup!$A$18:$A$23,0)),"Pick leave type",IF(OR(E254="",F254=""),"Enter From &amp; To",IF(F254&lt;E254,"To before From",IF(AND(G254="Yes",F254&gt;E254),"Half day = 1 date",IF(OR(E254&lt;Setup!$C$12,F254&gt;Setup!$C$13),"Outside leave year",IF(H254=0,"No working day",IF(AND(J254&lt;&gt;"Rejected",COUNTIFS($B$6:$B$305,B254,$J$6:$J$305,"&lt;&gt;Rejected",$E$6:$E$305,"&lt;="&amp;F254,$F$6:$F$305,"&gt;="&amp;E254)&gt;1),"Overlaps another leave",IF(AND(J254="Approved",N(INDEX(Balance!$F$6:$W$55,MATCH(B254,Balance!$B$6:$B$55,0),MATCH(D254,Setup!$A$18:$A$23,0)*3))&lt;0),"Exceeds balance",IF(J254="","Set status","OK")))))))))))</f>
        <v/>
      </c>
      <c r="M254" s="55" t="str">
        <f aca="false">IF(AND(B254&lt;&gt;"",B254='Leave Card'!$C$3),COUNTIF($B$6:B254,'Leave Card'!$C$3),"")</f>
        <v/>
      </c>
    </row>
    <row r="255" customFormat="false" ht="15" hidden="false" customHeight="false" outlineLevel="0" collapsed="false">
      <c r="A255" s="51" t="str">
        <f aca="false">IF(B255="","",ROW()-5)</f>
        <v/>
      </c>
      <c r="B255" s="118"/>
      <c r="C255" s="10" t="str">
        <f aca="false">IF(B255="","",IFERROR(INDEX(Employees!$C$5:$C$54,MATCH(B255,Employees!$B$5:$B$54,0)),"Not found"))</f>
        <v/>
      </c>
      <c r="D255" s="122"/>
      <c r="E255" s="123"/>
      <c r="F255" s="123"/>
      <c r="G255" s="118"/>
      <c r="H255" s="11" t="n">
        <f aca="false">IF(OR(B255="",E255="",F255="",F255&lt;E255),0,IF(G255="Yes",0.5,NETWORKDAYS.INTL(E255,F255,Setup!$C$14,Holidays!$B$5:$B$34)))</f>
        <v>0</v>
      </c>
      <c r="I255" s="119"/>
      <c r="J255" s="122"/>
      <c r="K255" s="118"/>
      <c r="L255" s="54" t="str">
        <f aca="false">IF(B255="","",IF(C255="Not found","Emp ID not found",IF(ISNA(MATCH(D255,Setup!$A$18:$A$23,0)),"Pick leave type",IF(OR(E255="",F255=""),"Enter From &amp; To",IF(F255&lt;E255,"To before From",IF(AND(G255="Yes",F255&gt;E255),"Half day = 1 date",IF(OR(E255&lt;Setup!$C$12,F255&gt;Setup!$C$13),"Outside leave year",IF(H255=0,"No working day",IF(AND(J255&lt;&gt;"Rejected",COUNTIFS($B$6:$B$305,B255,$J$6:$J$305,"&lt;&gt;Rejected",$E$6:$E$305,"&lt;="&amp;F255,$F$6:$F$305,"&gt;="&amp;E255)&gt;1),"Overlaps another leave",IF(AND(J255="Approved",N(INDEX(Balance!$F$6:$W$55,MATCH(B255,Balance!$B$6:$B$55,0),MATCH(D255,Setup!$A$18:$A$23,0)*3))&lt;0),"Exceeds balance",IF(J255="","Set status","OK")))))))))))</f>
        <v/>
      </c>
      <c r="M255" s="55" t="str">
        <f aca="false">IF(AND(B255&lt;&gt;"",B255='Leave Card'!$C$3),COUNTIF($B$6:B255,'Leave Card'!$C$3),"")</f>
        <v/>
      </c>
    </row>
    <row r="256" customFormat="false" ht="15" hidden="false" customHeight="false" outlineLevel="0" collapsed="false">
      <c r="A256" s="51" t="str">
        <f aca="false">IF(B256="","",ROW()-5)</f>
        <v/>
      </c>
      <c r="B256" s="118"/>
      <c r="C256" s="10" t="str">
        <f aca="false">IF(B256="","",IFERROR(INDEX(Employees!$C$5:$C$54,MATCH(B256,Employees!$B$5:$B$54,0)),"Not found"))</f>
        <v/>
      </c>
      <c r="D256" s="122"/>
      <c r="E256" s="123"/>
      <c r="F256" s="123"/>
      <c r="G256" s="118"/>
      <c r="H256" s="11" t="n">
        <f aca="false">IF(OR(B256="",E256="",F256="",F256&lt;E256),0,IF(G256="Yes",0.5,NETWORKDAYS.INTL(E256,F256,Setup!$C$14,Holidays!$B$5:$B$34)))</f>
        <v>0</v>
      </c>
      <c r="I256" s="119"/>
      <c r="J256" s="122"/>
      <c r="K256" s="118"/>
      <c r="L256" s="54" t="str">
        <f aca="false">IF(B256="","",IF(C256="Not found","Emp ID not found",IF(ISNA(MATCH(D256,Setup!$A$18:$A$23,0)),"Pick leave type",IF(OR(E256="",F256=""),"Enter From &amp; To",IF(F256&lt;E256,"To before From",IF(AND(G256="Yes",F256&gt;E256),"Half day = 1 date",IF(OR(E256&lt;Setup!$C$12,F256&gt;Setup!$C$13),"Outside leave year",IF(H256=0,"No working day",IF(AND(J256&lt;&gt;"Rejected",COUNTIFS($B$6:$B$305,B256,$J$6:$J$305,"&lt;&gt;Rejected",$E$6:$E$305,"&lt;="&amp;F256,$F$6:$F$305,"&gt;="&amp;E256)&gt;1),"Overlaps another leave",IF(AND(J256="Approved",N(INDEX(Balance!$F$6:$W$55,MATCH(B256,Balance!$B$6:$B$55,0),MATCH(D256,Setup!$A$18:$A$23,0)*3))&lt;0),"Exceeds balance",IF(J256="","Set status","OK")))))))))))</f>
        <v/>
      </c>
      <c r="M256" s="55" t="str">
        <f aca="false">IF(AND(B256&lt;&gt;"",B256='Leave Card'!$C$3),COUNTIF($B$6:B256,'Leave Card'!$C$3),"")</f>
        <v/>
      </c>
    </row>
    <row r="257" customFormat="false" ht="15" hidden="false" customHeight="false" outlineLevel="0" collapsed="false">
      <c r="A257" s="51" t="str">
        <f aca="false">IF(B257="","",ROW()-5)</f>
        <v/>
      </c>
      <c r="B257" s="118"/>
      <c r="C257" s="10" t="str">
        <f aca="false">IF(B257="","",IFERROR(INDEX(Employees!$C$5:$C$54,MATCH(B257,Employees!$B$5:$B$54,0)),"Not found"))</f>
        <v/>
      </c>
      <c r="D257" s="122"/>
      <c r="E257" s="123"/>
      <c r="F257" s="123"/>
      <c r="G257" s="118"/>
      <c r="H257" s="11" t="n">
        <f aca="false">IF(OR(B257="",E257="",F257="",F257&lt;E257),0,IF(G257="Yes",0.5,NETWORKDAYS.INTL(E257,F257,Setup!$C$14,Holidays!$B$5:$B$34)))</f>
        <v>0</v>
      </c>
      <c r="I257" s="119"/>
      <c r="J257" s="122"/>
      <c r="K257" s="118"/>
      <c r="L257" s="54" t="str">
        <f aca="false">IF(B257="","",IF(C257="Not found","Emp ID not found",IF(ISNA(MATCH(D257,Setup!$A$18:$A$23,0)),"Pick leave type",IF(OR(E257="",F257=""),"Enter From &amp; To",IF(F257&lt;E257,"To before From",IF(AND(G257="Yes",F257&gt;E257),"Half day = 1 date",IF(OR(E257&lt;Setup!$C$12,F257&gt;Setup!$C$13),"Outside leave year",IF(H257=0,"No working day",IF(AND(J257&lt;&gt;"Rejected",COUNTIFS($B$6:$B$305,B257,$J$6:$J$305,"&lt;&gt;Rejected",$E$6:$E$305,"&lt;="&amp;F257,$F$6:$F$305,"&gt;="&amp;E257)&gt;1),"Overlaps another leave",IF(AND(J257="Approved",N(INDEX(Balance!$F$6:$W$55,MATCH(B257,Balance!$B$6:$B$55,0),MATCH(D257,Setup!$A$18:$A$23,0)*3))&lt;0),"Exceeds balance",IF(J257="","Set status","OK")))))))))))</f>
        <v/>
      </c>
      <c r="M257" s="55" t="str">
        <f aca="false">IF(AND(B257&lt;&gt;"",B257='Leave Card'!$C$3),COUNTIF($B$6:B257,'Leave Card'!$C$3),"")</f>
        <v/>
      </c>
    </row>
    <row r="258" customFormat="false" ht="15" hidden="false" customHeight="false" outlineLevel="0" collapsed="false">
      <c r="A258" s="51" t="str">
        <f aca="false">IF(B258="","",ROW()-5)</f>
        <v/>
      </c>
      <c r="B258" s="118"/>
      <c r="C258" s="10" t="str">
        <f aca="false">IF(B258="","",IFERROR(INDEX(Employees!$C$5:$C$54,MATCH(B258,Employees!$B$5:$B$54,0)),"Not found"))</f>
        <v/>
      </c>
      <c r="D258" s="122"/>
      <c r="E258" s="123"/>
      <c r="F258" s="123"/>
      <c r="G258" s="118"/>
      <c r="H258" s="11" t="n">
        <f aca="false">IF(OR(B258="",E258="",F258="",F258&lt;E258),0,IF(G258="Yes",0.5,NETWORKDAYS.INTL(E258,F258,Setup!$C$14,Holidays!$B$5:$B$34)))</f>
        <v>0</v>
      </c>
      <c r="I258" s="119"/>
      <c r="J258" s="122"/>
      <c r="K258" s="118"/>
      <c r="L258" s="54" t="str">
        <f aca="false">IF(B258="","",IF(C258="Not found","Emp ID not found",IF(ISNA(MATCH(D258,Setup!$A$18:$A$23,0)),"Pick leave type",IF(OR(E258="",F258=""),"Enter From &amp; To",IF(F258&lt;E258,"To before From",IF(AND(G258="Yes",F258&gt;E258),"Half day = 1 date",IF(OR(E258&lt;Setup!$C$12,F258&gt;Setup!$C$13),"Outside leave year",IF(H258=0,"No working day",IF(AND(J258&lt;&gt;"Rejected",COUNTIFS($B$6:$B$305,B258,$J$6:$J$305,"&lt;&gt;Rejected",$E$6:$E$305,"&lt;="&amp;F258,$F$6:$F$305,"&gt;="&amp;E258)&gt;1),"Overlaps another leave",IF(AND(J258="Approved",N(INDEX(Balance!$F$6:$W$55,MATCH(B258,Balance!$B$6:$B$55,0),MATCH(D258,Setup!$A$18:$A$23,0)*3))&lt;0),"Exceeds balance",IF(J258="","Set status","OK")))))))))))</f>
        <v/>
      </c>
      <c r="M258" s="55" t="str">
        <f aca="false">IF(AND(B258&lt;&gt;"",B258='Leave Card'!$C$3),COUNTIF($B$6:B258,'Leave Card'!$C$3),"")</f>
        <v/>
      </c>
    </row>
    <row r="259" customFormat="false" ht="15" hidden="false" customHeight="false" outlineLevel="0" collapsed="false">
      <c r="A259" s="51" t="str">
        <f aca="false">IF(B259="","",ROW()-5)</f>
        <v/>
      </c>
      <c r="B259" s="118"/>
      <c r="C259" s="10" t="str">
        <f aca="false">IF(B259="","",IFERROR(INDEX(Employees!$C$5:$C$54,MATCH(B259,Employees!$B$5:$B$54,0)),"Not found"))</f>
        <v/>
      </c>
      <c r="D259" s="122"/>
      <c r="E259" s="123"/>
      <c r="F259" s="123"/>
      <c r="G259" s="118"/>
      <c r="H259" s="11" t="n">
        <f aca="false">IF(OR(B259="",E259="",F259="",F259&lt;E259),0,IF(G259="Yes",0.5,NETWORKDAYS.INTL(E259,F259,Setup!$C$14,Holidays!$B$5:$B$34)))</f>
        <v>0</v>
      </c>
      <c r="I259" s="119"/>
      <c r="J259" s="122"/>
      <c r="K259" s="118"/>
      <c r="L259" s="54" t="str">
        <f aca="false">IF(B259="","",IF(C259="Not found","Emp ID not found",IF(ISNA(MATCH(D259,Setup!$A$18:$A$23,0)),"Pick leave type",IF(OR(E259="",F259=""),"Enter From &amp; To",IF(F259&lt;E259,"To before From",IF(AND(G259="Yes",F259&gt;E259),"Half day = 1 date",IF(OR(E259&lt;Setup!$C$12,F259&gt;Setup!$C$13),"Outside leave year",IF(H259=0,"No working day",IF(AND(J259&lt;&gt;"Rejected",COUNTIFS($B$6:$B$305,B259,$J$6:$J$305,"&lt;&gt;Rejected",$E$6:$E$305,"&lt;="&amp;F259,$F$6:$F$305,"&gt;="&amp;E259)&gt;1),"Overlaps another leave",IF(AND(J259="Approved",N(INDEX(Balance!$F$6:$W$55,MATCH(B259,Balance!$B$6:$B$55,0),MATCH(D259,Setup!$A$18:$A$23,0)*3))&lt;0),"Exceeds balance",IF(J259="","Set status","OK")))))))))))</f>
        <v/>
      </c>
      <c r="M259" s="55" t="str">
        <f aca="false">IF(AND(B259&lt;&gt;"",B259='Leave Card'!$C$3),COUNTIF($B$6:B259,'Leave Card'!$C$3),"")</f>
        <v/>
      </c>
    </row>
    <row r="260" customFormat="false" ht="15" hidden="false" customHeight="false" outlineLevel="0" collapsed="false">
      <c r="A260" s="51" t="str">
        <f aca="false">IF(B260="","",ROW()-5)</f>
        <v/>
      </c>
      <c r="B260" s="118"/>
      <c r="C260" s="10" t="str">
        <f aca="false">IF(B260="","",IFERROR(INDEX(Employees!$C$5:$C$54,MATCH(B260,Employees!$B$5:$B$54,0)),"Not found"))</f>
        <v/>
      </c>
      <c r="D260" s="122"/>
      <c r="E260" s="123"/>
      <c r="F260" s="123"/>
      <c r="G260" s="118"/>
      <c r="H260" s="11" t="n">
        <f aca="false">IF(OR(B260="",E260="",F260="",F260&lt;E260),0,IF(G260="Yes",0.5,NETWORKDAYS.INTL(E260,F260,Setup!$C$14,Holidays!$B$5:$B$34)))</f>
        <v>0</v>
      </c>
      <c r="I260" s="119"/>
      <c r="J260" s="122"/>
      <c r="K260" s="118"/>
      <c r="L260" s="54" t="str">
        <f aca="false">IF(B260="","",IF(C260="Not found","Emp ID not found",IF(ISNA(MATCH(D260,Setup!$A$18:$A$23,0)),"Pick leave type",IF(OR(E260="",F260=""),"Enter From &amp; To",IF(F260&lt;E260,"To before From",IF(AND(G260="Yes",F260&gt;E260),"Half day = 1 date",IF(OR(E260&lt;Setup!$C$12,F260&gt;Setup!$C$13),"Outside leave year",IF(H260=0,"No working day",IF(AND(J260&lt;&gt;"Rejected",COUNTIFS($B$6:$B$305,B260,$J$6:$J$305,"&lt;&gt;Rejected",$E$6:$E$305,"&lt;="&amp;F260,$F$6:$F$305,"&gt;="&amp;E260)&gt;1),"Overlaps another leave",IF(AND(J260="Approved",N(INDEX(Balance!$F$6:$W$55,MATCH(B260,Balance!$B$6:$B$55,0),MATCH(D260,Setup!$A$18:$A$23,0)*3))&lt;0),"Exceeds balance",IF(J260="","Set status","OK")))))))))))</f>
        <v/>
      </c>
      <c r="M260" s="55" t="str">
        <f aca="false">IF(AND(B260&lt;&gt;"",B260='Leave Card'!$C$3),COUNTIF($B$6:B260,'Leave Card'!$C$3),"")</f>
        <v/>
      </c>
    </row>
    <row r="261" customFormat="false" ht="15" hidden="false" customHeight="false" outlineLevel="0" collapsed="false">
      <c r="A261" s="51" t="str">
        <f aca="false">IF(B261="","",ROW()-5)</f>
        <v/>
      </c>
      <c r="B261" s="118"/>
      <c r="C261" s="10" t="str">
        <f aca="false">IF(B261="","",IFERROR(INDEX(Employees!$C$5:$C$54,MATCH(B261,Employees!$B$5:$B$54,0)),"Not found"))</f>
        <v/>
      </c>
      <c r="D261" s="122"/>
      <c r="E261" s="123"/>
      <c r="F261" s="123"/>
      <c r="G261" s="118"/>
      <c r="H261" s="11" t="n">
        <f aca="false">IF(OR(B261="",E261="",F261="",F261&lt;E261),0,IF(G261="Yes",0.5,NETWORKDAYS.INTL(E261,F261,Setup!$C$14,Holidays!$B$5:$B$34)))</f>
        <v>0</v>
      </c>
      <c r="I261" s="119"/>
      <c r="J261" s="122"/>
      <c r="K261" s="118"/>
      <c r="L261" s="54" t="str">
        <f aca="false">IF(B261="","",IF(C261="Not found","Emp ID not found",IF(ISNA(MATCH(D261,Setup!$A$18:$A$23,0)),"Pick leave type",IF(OR(E261="",F261=""),"Enter From &amp; To",IF(F261&lt;E261,"To before From",IF(AND(G261="Yes",F261&gt;E261),"Half day = 1 date",IF(OR(E261&lt;Setup!$C$12,F261&gt;Setup!$C$13),"Outside leave year",IF(H261=0,"No working day",IF(AND(J261&lt;&gt;"Rejected",COUNTIFS($B$6:$B$305,B261,$J$6:$J$305,"&lt;&gt;Rejected",$E$6:$E$305,"&lt;="&amp;F261,$F$6:$F$305,"&gt;="&amp;E261)&gt;1),"Overlaps another leave",IF(AND(J261="Approved",N(INDEX(Balance!$F$6:$W$55,MATCH(B261,Balance!$B$6:$B$55,0),MATCH(D261,Setup!$A$18:$A$23,0)*3))&lt;0),"Exceeds balance",IF(J261="","Set status","OK")))))))))))</f>
        <v/>
      </c>
      <c r="M261" s="55" t="str">
        <f aca="false">IF(AND(B261&lt;&gt;"",B261='Leave Card'!$C$3),COUNTIF($B$6:B261,'Leave Card'!$C$3),"")</f>
        <v/>
      </c>
    </row>
    <row r="262" customFormat="false" ht="15" hidden="false" customHeight="false" outlineLevel="0" collapsed="false">
      <c r="A262" s="51" t="str">
        <f aca="false">IF(B262="","",ROW()-5)</f>
        <v/>
      </c>
      <c r="B262" s="118"/>
      <c r="C262" s="10" t="str">
        <f aca="false">IF(B262="","",IFERROR(INDEX(Employees!$C$5:$C$54,MATCH(B262,Employees!$B$5:$B$54,0)),"Not found"))</f>
        <v/>
      </c>
      <c r="D262" s="122"/>
      <c r="E262" s="123"/>
      <c r="F262" s="123"/>
      <c r="G262" s="118"/>
      <c r="H262" s="11" t="n">
        <f aca="false">IF(OR(B262="",E262="",F262="",F262&lt;E262),0,IF(G262="Yes",0.5,NETWORKDAYS.INTL(E262,F262,Setup!$C$14,Holidays!$B$5:$B$34)))</f>
        <v>0</v>
      </c>
      <c r="I262" s="119"/>
      <c r="J262" s="122"/>
      <c r="K262" s="118"/>
      <c r="L262" s="54" t="str">
        <f aca="false">IF(B262="","",IF(C262="Not found","Emp ID not found",IF(ISNA(MATCH(D262,Setup!$A$18:$A$23,0)),"Pick leave type",IF(OR(E262="",F262=""),"Enter From &amp; To",IF(F262&lt;E262,"To before From",IF(AND(G262="Yes",F262&gt;E262),"Half day = 1 date",IF(OR(E262&lt;Setup!$C$12,F262&gt;Setup!$C$13),"Outside leave year",IF(H262=0,"No working day",IF(AND(J262&lt;&gt;"Rejected",COUNTIFS($B$6:$B$305,B262,$J$6:$J$305,"&lt;&gt;Rejected",$E$6:$E$305,"&lt;="&amp;F262,$F$6:$F$305,"&gt;="&amp;E262)&gt;1),"Overlaps another leave",IF(AND(J262="Approved",N(INDEX(Balance!$F$6:$W$55,MATCH(B262,Balance!$B$6:$B$55,0),MATCH(D262,Setup!$A$18:$A$23,0)*3))&lt;0),"Exceeds balance",IF(J262="","Set status","OK")))))))))))</f>
        <v/>
      </c>
      <c r="M262" s="55" t="str">
        <f aca="false">IF(AND(B262&lt;&gt;"",B262='Leave Card'!$C$3),COUNTIF($B$6:B262,'Leave Card'!$C$3),"")</f>
        <v/>
      </c>
    </row>
    <row r="263" customFormat="false" ht="15" hidden="false" customHeight="false" outlineLevel="0" collapsed="false">
      <c r="A263" s="51" t="str">
        <f aca="false">IF(B263="","",ROW()-5)</f>
        <v/>
      </c>
      <c r="B263" s="118"/>
      <c r="C263" s="10" t="str">
        <f aca="false">IF(B263="","",IFERROR(INDEX(Employees!$C$5:$C$54,MATCH(B263,Employees!$B$5:$B$54,0)),"Not found"))</f>
        <v/>
      </c>
      <c r="D263" s="122"/>
      <c r="E263" s="123"/>
      <c r="F263" s="123"/>
      <c r="G263" s="118"/>
      <c r="H263" s="11" t="n">
        <f aca="false">IF(OR(B263="",E263="",F263="",F263&lt;E263),0,IF(G263="Yes",0.5,NETWORKDAYS.INTL(E263,F263,Setup!$C$14,Holidays!$B$5:$B$34)))</f>
        <v>0</v>
      </c>
      <c r="I263" s="119"/>
      <c r="J263" s="122"/>
      <c r="K263" s="118"/>
      <c r="L263" s="54" t="str">
        <f aca="false">IF(B263="","",IF(C263="Not found","Emp ID not found",IF(ISNA(MATCH(D263,Setup!$A$18:$A$23,0)),"Pick leave type",IF(OR(E263="",F263=""),"Enter From &amp; To",IF(F263&lt;E263,"To before From",IF(AND(G263="Yes",F263&gt;E263),"Half day = 1 date",IF(OR(E263&lt;Setup!$C$12,F263&gt;Setup!$C$13),"Outside leave year",IF(H263=0,"No working day",IF(AND(J263&lt;&gt;"Rejected",COUNTIFS($B$6:$B$305,B263,$J$6:$J$305,"&lt;&gt;Rejected",$E$6:$E$305,"&lt;="&amp;F263,$F$6:$F$305,"&gt;="&amp;E263)&gt;1),"Overlaps another leave",IF(AND(J263="Approved",N(INDEX(Balance!$F$6:$W$55,MATCH(B263,Balance!$B$6:$B$55,0),MATCH(D263,Setup!$A$18:$A$23,0)*3))&lt;0),"Exceeds balance",IF(J263="","Set status","OK")))))))))))</f>
        <v/>
      </c>
      <c r="M263" s="55" t="str">
        <f aca="false">IF(AND(B263&lt;&gt;"",B263='Leave Card'!$C$3),COUNTIF($B$6:B263,'Leave Card'!$C$3),"")</f>
        <v/>
      </c>
    </row>
    <row r="264" customFormat="false" ht="15" hidden="false" customHeight="false" outlineLevel="0" collapsed="false">
      <c r="A264" s="51" t="str">
        <f aca="false">IF(B264="","",ROW()-5)</f>
        <v/>
      </c>
      <c r="B264" s="118"/>
      <c r="C264" s="10" t="str">
        <f aca="false">IF(B264="","",IFERROR(INDEX(Employees!$C$5:$C$54,MATCH(B264,Employees!$B$5:$B$54,0)),"Not found"))</f>
        <v/>
      </c>
      <c r="D264" s="122"/>
      <c r="E264" s="123"/>
      <c r="F264" s="123"/>
      <c r="G264" s="118"/>
      <c r="H264" s="11" t="n">
        <f aca="false">IF(OR(B264="",E264="",F264="",F264&lt;E264),0,IF(G264="Yes",0.5,NETWORKDAYS.INTL(E264,F264,Setup!$C$14,Holidays!$B$5:$B$34)))</f>
        <v>0</v>
      </c>
      <c r="I264" s="119"/>
      <c r="J264" s="122"/>
      <c r="K264" s="118"/>
      <c r="L264" s="54" t="str">
        <f aca="false">IF(B264="","",IF(C264="Not found","Emp ID not found",IF(ISNA(MATCH(D264,Setup!$A$18:$A$23,0)),"Pick leave type",IF(OR(E264="",F264=""),"Enter From &amp; To",IF(F264&lt;E264,"To before From",IF(AND(G264="Yes",F264&gt;E264),"Half day = 1 date",IF(OR(E264&lt;Setup!$C$12,F264&gt;Setup!$C$13),"Outside leave year",IF(H264=0,"No working day",IF(AND(J264&lt;&gt;"Rejected",COUNTIFS($B$6:$B$305,B264,$J$6:$J$305,"&lt;&gt;Rejected",$E$6:$E$305,"&lt;="&amp;F264,$F$6:$F$305,"&gt;="&amp;E264)&gt;1),"Overlaps another leave",IF(AND(J264="Approved",N(INDEX(Balance!$F$6:$W$55,MATCH(B264,Balance!$B$6:$B$55,0),MATCH(D264,Setup!$A$18:$A$23,0)*3))&lt;0),"Exceeds balance",IF(J264="","Set status","OK")))))))))))</f>
        <v/>
      </c>
      <c r="M264" s="55" t="str">
        <f aca="false">IF(AND(B264&lt;&gt;"",B264='Leave Card'!$C$3),COUNTIF($B$6:B264,'Leave Card'!$C$3),"")</f>
        <v/>
      </c>
    </row>
    <row r="265" customFormat="false" ht="15" hidden="false" customHeight="false" outlineLevel="0" collapsed="false">
      <c r="A265" s="51" t="str">
        <f aca="false">IF(B265="","",ROW()-5)</f>
        <v/>
      </c>
      <c r="B265" s="118"/>
      <c r="C265" s="10" t="str">
        <f aca="false">IF(B265="","",IFERROR(INDEX(Employees!$C$5:$C$54,MATCH(B265,Employees!$B$5:$B$54,0)),"Not found"))</f>
        <v/>
      </c>
      <c r="D265" s="122"/>
      <c r="E265" s="123"/>
      <c r="F265" s="123"/>
      <c r="G265" s="118"/>
      <c r="H265" s="11" t="n">
        <f aca="false">IF(OR(B265="",E265="",F265="",F265&lt;E265),0,IF(G265="Yes",0.5,NETWORKDAYS.INTL(E265,F265,Setup!$C$14,Holidays!$B$5:$B$34)))</f>
        <v>0</v>
      </c>
      <c r="I265" s="119"/>
      <c r="J265" s="122"/>
      <c r="K265" s="118"/>
      <c r="L265" s="54" t="str">
        <f aca="false">IF(B265="","",IF(C265="Not found","Emp ID not found",IF(ISNA(MATCH(D265,Setup!$A$18:$A$23,0)),"Pick leave type",IF(OR(E265="",F265=""),"Enter From &amp; To",IF(F265&lt;E265,"To before From",IF(AND(G265="Yes",F265&gt;E265),"Half day = 1 date",IF(OR(E265&lt;Setup!$C$12,F265&gt;Setup!$C$13),"Outside leave year",IF(H265=0,"No working day",IF(AND(J265&lt;&gt;"Rejected",COUNTIFS($B$6:$B$305,B265,$J$6:$J$305,"&lt;&gt;Rejected",$E$6:$E$305,"&lt;="&amp;F265,$F$6:$F$305,"&gt;="&amp;E265)&gt;1),"Overlaps another leave",IF(AND(J265="Approved",N(INDEX(Balance!$F$6:$W$55,MATCH(B265,Balance!$B$6:$B$55,0),MATCH(D265,Setup!$A$18:$A$23,0)*3))&lt;0),"Exceeds balance",IF(J265="","Set status","OK")))))))))))</f>
        <v/>
      </c>
      <c r="M265" s="55" t="str">
        <f aca="false">IF(AND(B265&lt;&gt;"",B265='Leave Card'!$C$3),COUNTIF($B$6:B265,'Leave Card'!$C$3),"")</f>
        <v/>
      </c>
    </row>
    <row r="266" customFormat="false" ht="15" hidden="false" customHeight="false" outlineLevel="0" collapsed="false">
      <c r="A266" s="51" t="str">
        <f aca="false">IF(B266="","",ROW()-5)</f>
        <v/>
      </c>
      <c r="B266" s="118"/>
      <c r="C266" s="10" t="str">
        <f aca="false">IF(B266="","",IFERROR(INDEX(Employees!$C$5:$C$54,MATCH(B266,Employees!$B$5:$B$54,0)),"Not found"))</f>
        <v/>
      </c>
      <c r="D266" s="122"/>
      <c r="E266" s="123"/>
      <c r="F266" s="123"/>
      <c r="G266" s="118"/>
      <c r="H266" s="11" t="n">
        <f aca="false">IF(OR(B266="",E266="",F266="",F266&lt;E266),0,IF(G266="Yes",0.5,NETWORKDAYS.INTL(E266,F266,Setup!$C$14,Holidays!$B$5:$B$34)))</f>
        <v>0</v>
      </c>
      <c r="I266" s="119"/>
      <c r="J266" s="122"/>
      <c r="K266" s="118"/>
      <c r="L266" s="54" t="str">
        <f aca="false">IF(B266="","",IF(C266="Not found","Emp ID not found",IF(ISNA(MATCH(D266,Setup!$A$18:$A$23,0)),"Pick leave type",IF(OR(E266="",F266=""),"Enter From &amp; To",IF(F266&lt;E266,"To before From",IF(AND(G266="Yes",F266&gt;E266),"Half day = 1 date",IF(OR(E266&lt;Setup!$C$12,F266&gt;Setup!$C$13),"Outside leave year",IF(H266=0,"No working day",IF(AND(J266&lt;&gt;"Rejected",COUNTIFS($B$6:$B$305,B266,$J$6:$J$305,"&lt;&gt;Rejected",$E$6:$E$305,"&lt;="&amp;F266,$F$6:$F$305,"&gt;="&amp;E266)&gt;1),"Overlaps another leave",IF(AND(J266="Approved",N(INDEX(Balance!$F$6:$W$55,MATCH(B266,Balance!$B$6:$B$55,0),MATCH(D266,Setup!$A$18:$A$23,0)*3))&lt;0),"Exceeds balance",IF(J266="","Set status","OK")))))))))))</f>
        <v/>
      </c>
      <c r="M266" s="55" t="str">
        <f aca="false">IF(AND(B266&lt;&gt;"",B266='Leave Card'!$C$3),COUNTIF($B$6:B266,'Leave Card'!$C$3),"")</f>
        <v/>
      </c>
    </row>
    <row r="267" customFormat="false" ht="15" hidden="false" customHeight="false" outlineLevel="0" collapsed="false">
      <c r="A267" s="51" t="str">
        <f aca="false">IF(B267="","",ROW()-5)</f>
        <v/>
      </c>
      <c r="B267" s="118"/>
      <c r="C267" s="10" t="str">
        <f aca="false">IF(B267="","",IFERROR(INDEX(Employees!$C$5:$C$54,MATCH(B267,Employees!$B$5:$B$54,0)),"Not found"))</f>
        <v/>
      </c>
      <c r="D267" s="122"/>
      <c r="E267" s="123"/>
      <c r="F267" s="123"/>
      <c r="G267" s="118"/>
      <c r="H267" s="11" t="n">
        <f aca="false">IF(OR(B267="",E267="",F267="",F267&lt;E267),0,IF(G267="Yes",0.5,NETWORKDAYS.INTL(E267,F267,Setup!$C$14,Holidays!$B$5:$B$34)))</f>
        <v>0</v>
      </c>
      <c r="I267" s="119"/>
      <c r="J267" s="122"/>
      <c r="K267" s="118"/>
      <c r="L267" s="54" t="str">
        <f aca="false">IF(B267="","",IF(C267="Not found","Emp ID not found",IF(ISNA(MATCH(D267,Setup!$A$18:$A$23,0)),"Pick leave type",IF(OR(E267="",F267=""),"Enter From &amp; To",IF(F267&lt;E267,"To before From",IF(AND(G267="Yes",F267&gt;E267),"Half day = 1 date",IF(OR(E267&lt;Setup!$C$12,F267&gt;Setup!$C$13),"Outside leave year",IF(H267=0,"No working day",IF(AND(J267&lt;&gt;"Rejected",COUNTIFS($B$6:$B$305,B267,$J$6:$J$305,"&lt;&gt;Rejected",$E$6:$E$305,"&lt;="&amp;F267,$F$6:$F$305,"&gt;="&amp;E267)&gt;1),"Overlaps another leave",IF(AND(J267="Approved",N(INDEX(Balance!$F$6:$W$55,MATCH(B267,Balance!$B$6:$B$55,0),MATCH(D267,Setup!$A$18:$A$23,0)*3))&lt;0),"Exceeds balance",IF(J267="","Set status","OK")))))))))))</f>
        <v/>
      </c>
      <c r="M267" s="55" t="str">
        <f aca="false">IF(AND(B267&lt;&gt;"",B267='Leave Card'!$C$3),COUNTIF($B$6:B267,'Leave Card'!$C$3),"")</f>
        <v/>
      </c>
    </row>
    <row r="268" customFormat="false" ht="15" hidden="false" customHeight="false" outlineLevel="0" collapsed="false">
      <c r="A268" s="51" t="str">
        <f aca="false">IF(B268="","",ROW()-5)</f>
        <v/>
      </c>
      <c r="B268" s="118"/>
      <c r="C268" s="10" t="str">
        <f aca="false">IF(B268="","",IFERROR(INDEX(Employees!$C$5:$C$54,MATCH(B268,Employees!$B$5:$B$54,0)),"Not found"))</f>
        <v/>
      </c>
      <c r="D268" s="122"/>
      <c r="E268" s="123"/>
      <c r="F268" s="123"/>
      <c r="G268" s="118"/>
      <c r="H268" s="11" t="n">
        <f aca="false">IF(OR(B268="",E268="",F268="",F268&lt;E268),0,IF(G268="Yes",0.5,NETWORKDAYS.INTL(E268,F268,Setup!$C$14,Holidays!$B$5:$B$34)))</f>
        <v>0</v>
      </c>
      <c r="I268" s="119"/>
      <c r="J268" s="122"/>
      <c r="K268" s="118"/>
      <c r="L268" s="54" t="str">
        <f aca="false">IF(B268="","",IF(C268="Not found","Emp ID not found",IF(ISNA(MATCH(D268,Setup!$A$18:$A$23,0)),"Pick leave type",IF(OR(E268="",F268=""),"Enter From &amp; To",IF(F268&lt;E268,"To before From",IF(AND(G268="Yes",F268&gt;E268),"Half day = 1 date",IF(OR(E268&lt;Setup!$C$12,F268&gt;Setup!$C$13),"Outside leave year",IF(H268=0,"No working day",IF(AND(J268&lt;&gt;"Rejected",COUNTIFS($B$6:$B$305,B268,$J$6:$J$305,"&lt;&gt;Rejected",$E$6:$E$305,"&lt;="&amp;F268,$F$6:$F$305,"&gt;="&amp;E268)&gt;1),"Overlaps another leave",IF(AND(J268="Approved",N(INDEX(Balance!$F$6:$W$55,MATCH(B268,Balance!$B$6:$B$55,0),MATCH(D268,Setup!$A$18:$A$23,0)*3))&lt;0),"Exceeds balance",IF(J268="","Set status","OK")))))))))))</f>
        <v/>
      </c>
      <c r="M268" s="55" t="str">
        <f aca="false">IF(AND(B268&lt;&gt;"",B268='Leave Card'!$C$3),COUNTIF($B$6:B268,'Leave Card'!$C$3),"")</f>
        <v/>
      </c>
    </row>
    <row r="269" customFormat="false" ht="15" hidden="false" customHeight="false" outlineLevel="0" collapsed="false">
      <c r="A269" s="51" t="str">
        <f aca="false">IF(B269="","",ROW()-5)</f>
        <v/>
      </c>
      <c r="B269" s="118"/>
      <c r="C269" s="10" t="str">
        <f aca="false">IF(B269="","",IFERROR(INDEX(Employees!$C$5:$C$54,MATCH(B269,Employees!$B$5:$B$54,0)),"Not found"))</f>
        <v/>
      </c>
      <c r="D269" s="122"/>
      <c r="E269" s="123"/>
      <c r="F269" s="123"/>
      <c r="G269" s="118"/>
      <c r="H269" s="11" t="n">
        <f aca="false">IF(OR(B269="",E269="",F269="",F269&lt;E269),0,IF(G269="Yes",0.5,NETWORKDAYS.INTL(E269,F269,Setup!$C$14,Holidays!$B$5:$B$34)))</f>
        <v>0</v>
      </c>
      <c r="I269" s="119"/>
      <c r="J269" s="122"/>
      <c r="K269" s="118"/>
      <c r="L269" s="54" t="str">
        <f aca="false">IF(B269="","",IF(C269="Not found","Emp ID not found",IF(ISNA(MATCH(D269,Setup!$A$18:$A$23,0)),"Pick leave type",IF(OR(E269="",F269=""),"Enter From &amp; To",IF(F269&lt;E269,"To before From",IF(AND(G269="Yes",F269&gt;E269),"Half day = 1 date",IF(OR(E269&lt;Setup!$C$12,F269&gt;Setup!$C$13),"Outside leave year",IF(H269=0,"No working day",IF(AND(J269&lt;&gt;"Rejected",COUNTIFS($B$6:$B$305,B269,$J$6:$J$305,"&lt;&gt;Rejected",$E$6:$E$305,"&lt;="&amp;F269,$F$6:$F$305,"&gt;="&amp;E269)&gt;1),"Overlaps another leave",IF(AND(J269="Approved",N(INDEX(Balance!$F$6:$W$55,MATCH(B269,Balance!$B$6:$B$55,0),MATCH(D269,Setup!$A$18:$A$23,0)*3))&lt;0),"Exceeds balance",IF(J269="","Set status","OK")))))))))))</f>
        <v/>
      </c>
      <c r="M269" s="55" t="str">
        <f aca="false">IF(AND(B269&lt;&gt;"",B269='Leave Card'!$C$3),COUNTIF($B$6:B269,'Leave Card'!$C$3),"")</f>
        <v/>
      </c>
    </row>
    <row r="270" customFormat="false" ht="15" hidden="false" customHeight="false" outlineLevel="0" collapsed="false">
      <c r="A270" s="51" t="str">
        <f aca="false">IF(B270="","",ROW()-5)</f>
        <v/>
      </c>
      <c r="B270" s="118"/>
      <c r="C270" s="10" t="str">
        <f aca="false">IF(B270="","",IFERROR(INDEX(Employees!$C$5:$C$54,MATCH(B270,Employees!$B$5:$B$54,0)),"Not found"))</f>
        <v/>
      </c>
      <c r="D270" s="122"/>
      <c r="E270" s="123"/>
      <c r="F270" s="123"/>
      <c r="G270" s="118"/>
      <c r="H270" s="11" t="n">
        <f aca="false">IF(OR(B270="",E270="",F270="",F270&lt;E270),0,IF(G270="Yes",0.5,NETWORKDAYS.INTL(E270,F270,Setup!$C$14,Holidays!$B$5:$B$34)))</f>
        <v>0</v>
      </c>
      <c r="I270" s="119"/>
      <c r="J270" s="122"/>
      <c r="K270" s="118"/>
      <c r="L270" s="54" t="str">
        <f aca="false">IF(B270="","",IF(C270="Not found","Emp ID not found",IF(ISNA(MATCH(D270,Setup!$A$18:$A$23,0)),"Pick leave type",IF(OR(E270="",F270=""),"Enter From &amp; To",IF(F270&lt;E270,"To before From",IF(AND(G270="Yes",F270&gt;E270),"Half day = 1 date",IF(OR(E270&lt;Setup!$C$12,F270&gt;Setup!$C$13),"Outside leave year",IF(H270=0,"No working day",IF(AND(J270&lt;&gt;"Rejected",COUNTIFS($B$6:$B$305,B270,$J$6:$J$305,"&lt;&gt;Rejected",$E$6:$E$305,"&lt;="&amp;F270,$F$6:$F$305,"&gt;="&amp;E270)&gt;1),"Overlaps another leave",IF(AND(J270="Approved",N(INDEX(Balance!$F$6:$W$55,MATCH(B270,Balance!$B$6:$B$55,0),MATCH(D270,Setup!$A$18:$A$23,0)*3))&lt;0),"Exceeds balance",IF(J270="","Set status","OK")))))))))))</f>
        <v/>
      </c>
      <c r="M270" s="55" t="str">
        <f aca="false">IF(AND(B270&lt;&gt;"",B270='Leave Card'!$C$3),COUNTIF($B$6:B270,'Leave Card'!$C$3),"")</f>
        <v/>
      </c>
    </row>
    <row r="271" customFormat="false" ht="15" hidden="false" customHeight="false" outlineLevel="0" collapsed="false">
      <c r="A271" s="51" t="str">
        <f aca="false">IF(B271="","",ROW()-5)</f>
        <v/>
      </c>
      <c r="B271" s="118"/>
      <c r="C271" s="10" t="str">
        <f aca="false">IF(B271="","",IFERROR(INDEX(Employees!$C$5:$C$54,MATCH(B271,Employees!$B$5:$B$54,0)),"Not found"))</f>
        <v/>
      </c>
      <c r="D271" s="122"/>
      <c r="E271" s="123"/>
      <c r="F271" s="123"/>
      <c r="G271" s="118"/>
      <c r="H271" s="11" t="n">
        <f aca="false">IF(OR(B271="",E271="",F271="",F271&lt;E271),0,IF(G271="Yes",0.5,NETWORKDAYS.INTL(E271,F271,Setup!$C$14,Holidays!$B$5:$B$34)))</f>
        <v>0</v>
      </c>
      <c r="I271" s="119"/>
      <c r="J271" s="122"/>
      <c r="K271" s="118"/>
      <c r="L271" s="54" t="str">
        <f aca="false">IF(B271="","",IF(C271="Not found","Emp ID not found",IF(ISNA(MATCH(D271,Setup!$A$18:$A$23,0)),"Pick leave type",IF(OR(E271="",F271=""),"Enter From &amp; To",IF(F271&lt;E271,"To before From",IF(AND(G271="Yes",F271&gt;E271),"Half day = 1 date",IF(OR(E271&lt;Setup!$C$12,F271&gt;Setup!$C$13),"Outside leave year",IF(H271=0,"No working day",IF(AND(J271&lt;&gt;"Rejected",COUNTIFS($B$6:$B$305,B271,$J$6:$J$305,"&lt;&gt;Rejected",$E$6:$E$305,"&lt;="&amp;F271,$F$6:$F$305,"&gt;="&amp;E271)&gt;1),"Overlaps another leave",IF(AND(J271="Approved",N(INDEX(Balance!$F$6:$W$55,MATCH(B271,Balance!$B$6:$B$55,0),MATCH(D271,Setup!$A$18:$A$23,0)*3))&lt;0),"Exceeds balance",IF(J271="","Set status","OK")))))))))))</f>
        <v/>
      </c>
      <c r="M271" s="55" t="str">
        <f aca="false">IF(AND(B271&lt;&gt;"",B271='Leave Card'!$C$3),COUNTIF($B$6:B271,'Leave Card'!$C$3),"")</f>
        <v/>
      </c>
    </row>
    <row r="272" customFormat="false" ht="15" hidden="false" customHeight="false" outlineLevel="0" collapsed="false">
      <c r="A272" s="51" t="str">
        <f aca="false">IF(B272="","",ROW()-5)</f>
        <v/>
      </c>
      <c r="B272" s="118"/>
      <c r="C272" s="10" t="str">
        <f aca="false">IF(B272="","",IFERROR(INDEX(Employees!$C$5:$C$54,MATCH(B272,Employees!$B$5:$B$54,0)),"Not found"))</f>
        <v/>
      </c>
      <c r="D272" s="122"/>
      <c r="E272" s="123"/>
      <c r="F272" s="123"/>
      <c r="G272" s="118"/>
      <c r="H272" s="11" t="n">
        <f aca="false">IF(OR(B272="",E272="",F272="",F272&lt;E272),0,IF(G272="Yes",0.5,NETWORKDAYS.INTL(E272,F272,Setup!$C$14,Holidays!$B$5:$B$34)))</f>
        <v>0</v>
      </c>
      <c r="I272" s="119"/>
      <c r="J272" s="122"/>
      <c r="K272" s="118"/>
      <c r="L272" s="54" t="str">
        <f aca="false">IF(B272="","",IF(C272="Not found","Emp ID not found",IF(ISNA(MATCH(D272,Setup!$A$18:$A$23,0)),"Pick leave type",IF(OR(E272="",F272=""),"Enter From &amp; To",IF(F272&lt;E272,"To before From",IF(AND(G272="Yes",F272&gt;E272),"Half day = 1 date",IF(OR(E272&lt;Setup!$C$12,F272&gt;Setup!$C$13),"Outside leave year",IF(H272=0,"No working day",IF(AND(J272&lt;&gt;"Rejected",COUNTIFS($B$6:$B$305,B272,$J$6:$J$305,"&lt;&gt;Rejected",$E$6:$E$305,"&lt;="&amp;F272,$F$6:$F$305,"&gt;="&amp;E272)&gt;1),"Overlaps another leave",IF(AND(J272="Approved",N(INDEX(Balance!$F$6:$W$55,MATCH(B272,Balance!$B$6:$B$55,0),MATCH(D272,Setup!$A$18:$A$23,0)*3))&lt;0),"Exceeds balance",IF(J272="","Set status","OK")))))))))))</f>
        <v/>
      </c>
      <c r="M272" s="55" t="str">
        <f aca="false">IF(AND(B272&lt;&gt;"",B272='Leave Card'!$C$3),COUNTIF($B$6:B272,'Leave Card'!$C$3),"")</f>
        <v/>
      </c>
    </row>
    <row r="273" customFormat="false" ht="15" hidden="false" customHeight="false" outlineLevel="0" collapsed="false">
      <c r="A273" s="51" t="str">
        <f aca="false">IF(B273="","",ROW()-5)</f>
        <v/>
      </c>
      <c r="B273" s="118"/>
      <c r="C273" s="10" t="str">
        <f aca="false">IF(B273="","",IFERROR(INDEX(Employees!$C$5:$C$54,MATCH(B273,Employees!$B$5:$B$54,0)),"Not found"))</f>
        <v/>
      </c>
      <c r="D273" s="122"/>
      <c r="E273" s="123"/>
      <c r="F273" s="123"/>
      <c r="G273" s="118"/>
      <c r="H273" s="11" t="n">
        <f aca="false">IF(OR(B273="",E273="",F273="",F273&lt;E273),0,IF(G273="Yes",0.5,NETWORKDAYS.INTL(E273,F273,Setup!$C$14,Holidays!$B$5:$B$34)))</f>
        <v>0</v>
      </c>
      <c r="I273" s="119"/>
      <c r="J273" s="122"/>
      <c r="K273" s="118"/>
      <c r="L273" s="54" t="str">
        <f aca="false">IF(B273="","",IF(C273="Not found","Emp ID not found",IF(ISNA(MATCH(D273,Setup!$A$18:$A$23,0)),"Pick leave type",IF(OR(E273="",F273=""),"Enter From &amp; To",IF(F273&lt;E273,"To before From",IF(AND(G273="Yes",F273&gt;E273),"Half day = 1 date",IF(OR(E273&lt;Setup!$C$12,F273&gt;Setup!$C$13),"Outside leave year",IF(H273=0,"No working day",IF(AND(J273&lt;&gt;"Rejected",COUNTIFS($B$6:$B$305,B273,$J$6:$J$305,"&lt;&gt;Rejected",$E$6:$E$305,"&lt;="&amp;F273,$F$6:$F$305,"&gt;="&amp;E273)&gt;1),"Overlaps another leave",IF(AND(J273="Approved",N(INDEX(Balance!$F$6:$W$55,MATCH(B273,Balance!$B$6:$B$55,0),MATCH(D273,Setup!$A$18:$A$23,0)*3))&lt;0),"Exceeds balance",IF(J273="","Set status","OK")))))))))))</f>
        <v/>
      </c>
      <c r="M273" s="55" t="str">
        <f aca="false">IF(AND(B273&lt;&gt;"",B273='Leave Card'!$C$3),COUNTIF($B$6:B273,'Leave Card'!$C$3),"")</f>
        <v/>
      </c>
    </row>
    <row r="274" customFormat="false" ht="15" hidden="false" customHeight="false" outlineLevel="0" collapsed="false">
      <c r="A274" s="51" t="str">
        <f aca="false">IF(B274="","",ROW()-5)</f>
        <v/>
      </c>
      <c r="B274" s="118"/>
      <c r="C274" s="10" t="str">
        <f aca="false">IF(B274="","",IFERROR(INDEX(Employees!$C$5:$C$54,MATCH(B274,Employees!$B$5:$B$54,0)),"Not found"))</f>
        <v/>
      </c>
      <c r="D274" s="122"/>
      <c r="E274" s="123"/>
      <c r="F274" s="123"/>
      <c r="G274" s="118"/>
      <c r="H274" s="11" t="n">
        <f aca="false">IF(OR(B274="",E274="",F274="",F274&lt;E274),0,IF(G274="Yes",0.5,NETWORKDAYS.INTL(E274,F274,Setup!$C$14,Holidays!$B$5:$B$34)))</f>
        <v>0</v>
      </c>
      <c r="I274" s="119"/>
      <c r="J274" s="122"/>
      <c r="K274" s="118"/>
      <c r="L274" s="54" t="str">
        <f aca="false">IF(B274="","",IF(C274="Not found","Emp ID not found",IF(ISNA(MATCH(D274,Setup!$A$18:$A$23,0)),"Pick leave type",IF(OR(E274="",F274=""),"Enter From &amp; To",IF(F274&lt;E274,"To before From",IF(AND(G274="Yes",F274&gt;E274),"Half day = 1 date",IF(OR(E274&lt;Setup!$C$12,F274&gt;Setup!$C$13),"Outside leave year",IF(H274=0,"No working day",IF(AND(J274&lt;&gt;"Rejected",COUNTIFS($B$6:$B$305,B274,$J$6:$J$305,"&lt;&gt;Rejected",$E$6:$E$305,"&lt;="&amp;F274,$F$6:$F$305,"&gt;="&amp;E274)&gt;1),"Overlaps another leave",IF(AND(J274="Approved",N(INDEX(Balance!$F$6:$W$55,MATCH(B274,Balance!$B$6:$B$55,0),MATCH(D274,Setup!$A$18:$A$23,0)*3))&lt;0),"Exceeds balance",IF(J274="","Set status","OK")))))))))))</f>
        <v/>
      </c>
      <c r="M274" s="55" t="str">
        <f aca="false">IF(AND(B274&lt;&gt;"",B274='Leave Card'!$C$3),COUNTIF($B$6:B274,'Leave Card'!$C$3),"")</f>
        <v/>
      </c>
    </row>
    <row r="275" customFormat="false" ht="15" hidden="false" customHeight="false" outlineLevel="0" collapsed="false">
      <c r="A275" s="51" t="str">
        <f aca="false">IF(B275="","",ROW()-5)</f>
        <v/>
      </c>
      <c r="B275" s="118"/>
      <c r="C275" s="10" t="str">
        <f aca="false">IF(B275="","",IFERROR(INDEX(Employees!$C$5:$C$54,MATCH(B275,Employees!$B$5:$B$54,0)),"Not found"))</f>
        <v/>
      </c>
      <c r="D275" s="122"/>
      <c r="E275" s="123"/>
      <c r="F275" s="123"/>
      <c r="G275" s="118"/>
      <c r="H275" s="11" t="n">
        <f aca="false">IF(OR(B275="",E275="",F275="",F275&lt;E275),0,IF(G275="Yes",0.5,NETWORKDAYS.INTL(E275,F275,Setup!$C$14,Holidays!$B$5:$B$34)))</f>
        <v>0</v>
      </c>
      <c r="I275" s="119"/>
      <c r="J275" s="122"/>
      <c r="K275" s="118"/>
      <c r="L275" s="54" t="str">
        <f aca="false">IF(B275="","",IF(C275="Not found","Emp ID not found",IF(ISNA(MATCH(D275,Setup!$A$18:$A$23,0)),"Pick leave type",IF(OR(E275="",F275=""),"Enter From &amp; To",IF(F275&lt;E275,"To before From",IF(AND(G275="Yes",F275&gt;E275),"Half day = 1 date",IF(OR(E275&lt;Setup!$C$12,F275&gt;Setup!$C$13),"Outside leave year",IF(H275=0,"No working day",IF(AND(J275&lt;&gt;"Rejected",COUNTIFS($B$6:$B$305,B275,$J$6:$J$305,"&lt;&gt;Rejected",$E$6:$E$305,"&lt;="&amp;F275,$F$6:$F$305,"&gt;="&amp;E275)&gt;1),"Overlaps another leave",IF(AND(J275="Approved",N(INDEX(Balance!$F$6:$W$55,MATCH(B275,Balance!$B$6:$B$55,0),MATCH(D275,Setup!$A$18:$A$23,0)*3))&lt;0),"Exceeds balance",IF(J275="","Set status","OK")))))))))))</f>
        <v/>
      </c>
      <c r="M275" s="55" t="str">
        <f aca="false">IF(AND(B275&lt;&gt;"",B275='Leave Card'!$C$3),COUNTIF($B$6:B275,'Leave Card'!$C$3),"")</f>
        <v/>
      </c>
    </row>
    <row r="276" customFormat="false" ht="15" hidden="false" customHeight="false" outlineLevel="0" collapsed="false">
      <c r="A276" s="51" t="str">
        <f aca="false">IF(B276="","",ROW()-5)</f>
        <v/>
      </c>
      <c r="B276" s="118"/>
      <c r="C276" s="10" t="str">
        <f aca="false">IF(B276="","",IFERROR(INDEX(Employees!$C$5:$C$54,MATCH(B276,Employees!$B$5:$B$54,0)),"Not found"))</f>
        <v/>
      </c>
      <c r="D276" s="122"/>
      <c r="E276" s="123"/>
      <c r="F276" s="123"/>
      <c r="G276" s="118"/>
      <c r="H276" s="11" t="n">
        <f aca="false">IF(OR(B276="",E276="",F276="",F276&lt;E276),0,IF(G276="Yes",0.5,NETWORKDAYS.INTL(E276,F276,Setup!$C$14,Holidays!$B$5:$B$34)))</f>
        <v>0</v>
      </c>
      <c r="I276" s="119"/>
      <c r="J276" s="122"/>
      <c r="K276" s="118"/>
      <c r="L276" s="54" t="str">
        <f aca="false">IF(B276="","",IF(C276="Not found","Emp ID not found",IF(ISNA(MATCH(D276,Setup!$A$18:$A$23,0)),"Pick leave type",IF(OR(E276="",F276=""),"Enter From &amp; To",IF(F276&lt;E276,"To before From",IF(AND(G276="Yes",F276&gt;E276),"Half day = 1 date",IF(OR(E276&lt;Setup!$C$12,F276&gt;Setup!$C$13),"Outside leave year",IF(H276=0,"No working day",IF(AND(J276&lt;&gt;"Rejected",COUNTIFS($B$6:$B$305,B276,$J$6:$J$305,"&lt;&gt;Rejected",$E$6:$E$305,"&lt;="&amp;F276,$F$6:$F$305,"&gt;="&amp;E276)&gt;1),"Overlaps another leave",IF(AND(J276="Approved",N(INDEX(Balance!$F$6:$W$55,MATCH(B276,Balance!$B$6:$B$55,0),MATCH(D276,Setup!$A$18:$A$23,0)*3))&lt;0),"Exceeds balance",IF(J276="","Set status","OK")))))))))))</f>
        <v/>
      </c>
      <c r="M276" s="55" t="str">
        <f aca="false">IF(AND(B276&lt;&gt;"",B276='Leave Card'!$C$3),COUNTIF($B$6:B276,'Leave Card'!$C$3),"")</f>
        <v/>
      </c>
    </row>
    <row r="277" customFormat="false" ht="15" hidden="false" customHeight="false" outlineLevel="0" collapsed="false">
      <c r="A277" s="51" t="str">
        <f aca="false">IF(B277="","",ROW()-5)</f>
        <v/>
      </c>
      <c r="B277" s="118"/>
      <c r="C277" s="10" t="str">
        <f aca="false">IF(B277="","",IFERROR(INDEX(Employees!$C$5:$C$54,MATCH(B277,Employees!$B$5:$B$54,0)),"Not found"))</f>
        <v/>
      </c>
      <c r="D277" s="122"/>
      <c r="E277" s="123"/>
      <c r="F277" s="123"/>
      <c r="G277" s="118"/>
      <c r="H277" s="11" t="n">
        <f aca="false">IF(OR(B277="",E277="",F277="",F277&lt;E277),0,IF(G277="Yes",0.5,NETWORKDAYS.INTL(E277,F277,Setup!$C$14,Holidays!$B$5:$B$34)))</f>
        <v>0</v>
      </c>
      <c r="I277" s="119"/>
      <c r="J277" s="122"/>
      <c r="K277" s="118"/>
      <c r="L277" s="54" t="str">
        <f aca="false">IF(B277="","",IF(C277="Not found","Emp ID not found",IF(ISNA(MATCH(D277,Setup!$A$18:$A$23,0)),"Pick leave type",IF(OR(E277="",F277=""),"Enter From &amp; To",IF(F277&lt;E277,"To before From",IF(AND(G277="Yes",F277&gt;E277),"Half day = 1 date",IF(OR(E277&lt;Setup!$C$12,F277&gt;Setup!$C$13),"Outside leave year",IF(H277=0,"No working day",IF(AND(J277&lt;&gt;"Rejected",COUNTIFS($B$6:$B$305,B277,$J$6:$J$305,"&lt;&gt;Rejected",$E$6:$E$305,"&lt;="&amp;F277,$F$6:$F$305,"&gt;="&amp;E277)&gt;1),"Overlaps another leave",IF(AND(J277="Approved",N(INDEX(Balance!$F$6:$W$55,MATCH(B277,Balance!$B$6:$B$55,0),MATCH(D277,Setup!$A$18:$A$23,0)*3))&lt;0),"Exceeds balance",IF(J277="","Set status","OK")))))))))))</f>
        <v/>
      </c>
      <c r="M277" s="55" t="str">
        <f aca="false">IF(AND(B277&lt;&gt;"",B277='Leave Card'!$C$3),COUNTIF($B$6:B277,'Leave Card'!$C$3),"")</f>
        <v/>
      </c>
    </row>
    <row r="278" customFormat="false" ht="15" hidden="false" customHeight="false" outlineLevel="0" collapsed="false">
      <c r="A278" s="51" t="str">
        <f aca="false">IF(B278="","",ROW()-5)</f>
        <v/>
      </c>
      <c r="B278" s="118"/>
      <c r="C278" s="10" t="str">
        <f aca="false">IF(B278="","",IFERROR(INDEX(Employees!$C$5:$C$54,MATCH(B278,Employees!$B$5:$B$54,0)),"Not found"))</f>
        <v/>
      </c>
      <c r="D278" s="122"/>
      <c r="E278" s="123"/>
      <c r="F278" s="123"/>
      <c r="G278" s="118"/>
      <c r="H278" s="11" t="n">
        <f aca="false">IF(OR(B278="",E278="",F278="",F278&lt;E278),0,IF(G278="Yes",0.5,NETWORKDAYS.INTL(E278,F278,Setup!$C$14,Holidays!$B$5:$B$34)))</f>
        <v>0</v>
      </c>
      <c r="I278" s="119"/>
      <c r="J278" s="122"/>
      <c r="K278" s="118"/>
      <c r="L278" s="54" t="str">
        <f aca="false">IF(B278="","",IF(C278="Not found","Emp ID not found",IF(ISNA(MATCH(D278,Setup!$A$18:$A$23,0)),"Pick leave type",IF(OR(E278="",F278=""),"Enter From &amp; To",IF(F278&lt;E278,"To before From",IF(AND(G278="Yes",F278&gt;E278),"Half day = 1 date",IF(OR(E278&lt;Setup!$C$12,F278&gt;Setup!$C$13),"Outside leave year",IF(H278=0,"No working day",IF(AND(J278&lt;&gt;"Rejected",COUNTIFS($B$6:$B$305,B278,$J$6:$J$305,"&lt;&gt;Rejected",$E$6:$E$305,"&lt;="&amp;F278,$F$6:$F$305,"&gt;="&amp;E278)&gt;1),"Overlaps another leave",IF(AND(J278="Approved",N(INDEX(Balance!$F$6:$W$55,MATCH(B278,Balance!$B$6:$B$55,0),MATCH(D278,Setup!$A$18:$A$23,0)*3))&lt;0),"Exceeds balance",IF(J278="","Set status","OK")))))))))))</f>
        <v/>
      </c>
      <c r="M278" s="55" t="str">
        <f aca="false">IF(AND(B278&lt;&gt;"",B278='Leave Card'!$C$3),COUNTIF($B$6:B278,'Leave Card'!$C$3),"")</f>
        <v/>
      </c>
    </row>
    <row r="279" customFormat="false" ht="15" hidden="false" customHeight="false" outlineLevel="0" collapsed="false">
      <c r="A279" s="51" t="str">
        <f aca="false">IF(B279="","",ROW()-5)</f>
        <v/>
      </c>
      <c r="B279" s="118"/>
      <c r="C279" s="10" t="str">
        <f aca="false">IF(B279="","",IFERROR(INDEX(Employees!$C$5:$C$54,MATCH(B279,Employees!$B$5:$B$54,0)),"Not found"))</f>
        <v/>
      </c>
      <c r="D279" s="122"/>
      <c r="E279" s="123"/>
      <c r="F279" s="123"/>
      <c r="G279" s="118"/>
      <c r="H279" s="11" t="n">
        <f aca="false">IF(OR(B279="",E279="",F279="",F279&lt;E279),0,IF(G279="Yes",0.5,NETWORKDAYS.INTL(E279,F279,Setup!$C$14,Holidays!$B$5:$B$34)))</f>
        <v>0</v>
      </c>
      <c r="I279" s="119"/>
      <c r="J279" s="122"/>
      <c r="K279" s="118"/>
      <c r="L279" s="54" t="str">
        <f aca="false">IF(B279="","",IF(C279="Not found","Emp ID not found",IF(ISNA(MATCH(D279,Setup!$A$18:$A$23,0)),"Pick leave type",IF(OR(E279="",F279=""),"Enter From &amp; To",IF(F279&lt;E279,"To before From",IF(AND(G279="Yes",F279&gt;E279),"Half day = 1 date",IF(OR(E279&lt;Setup!$C$12,F279&gt;Setup!$C$13),"Outside leave year",IF(H279=0,"No working day",IF(AND(J279&lt;&gt;"Rejected",COUNTIFS($B$6:$B$305,B279,$J$6:$J$305,"&lt;&gt;Rejected",$E$6:$E$305,"&lt;="&amp;F279,$F$6:$F$305,"&gt;="&amp;E279)&gt;1),"Overlaps another leave",IF(AND(J279="Approved",N(INDEX(Balance!$F$6:$W$55,MATCH(B279,Balance!$B$6:$B$55,0),MATCH(D279,Setup!$A$18:$A$23,0)*3))&lt;0),"Exceeds balance",IF(J279="","Set status","OK")))))))))))</f>
        <v/>
      </c>
      <c r="M279" s="55" t="str">
        <f aca="false">IF(AND(B279&lt;&gt;"",B279='Leave Card'!$C$3),COUNTIF($B$6:B279,'Leave Card'!$C$3),"")</f>
        <v/>
      </c>
    </row>
    <row r="280" customFormat="false" ht="15" hidden="false" customHeight="false" outlineLevel="0" collapsed="false">
      <c r="A280" s="51" t="str">
        <f aca="false">IF(B280="","",ROW()-5)</f>
        <v/>
      </c>
      <c r="B280" s="118"/>
      <c r="C280" s="10" t="str">
        <f aca="false">IF(B280="","",IFERROR(INDEX(Employees!$C$5:$C$54,MATCH(B280,Employees!$B$5:$B$54,0)),"Not found"))</f>
        <v/>
      </c>
      <c r="D280" s="122"/>
      <c r="E280" s="123"/>
      <c r="F280" s="123"/>
      <c r="G280" s="118"/>
      <c r="H280" s="11" t="n">
        <f aca="false">IF(OR(B280="",E280="",F280="",F280&lt;E280),0,IF(G280="Yes",0.5,NETWORKDAYS.INTL(E280,F280,Setup!$C$14,Holidays!$B$5:$B$34)))</f>
        <v>0</v>
      </c>
      <c r="I280" s="119"/>
      <c r="J280" s="122"/>
      <c r="K280" s="118"/>
      <c r="L280" s="54" t="str">
        <f aca="false">IF(B280="","",IF(C280="Not found","Emp ID not found",IF(ISNA(MATCH(D280,Setup!$A$18:$A$23,0)),"Pick leave type",IF(OR(E280="",F280=""),"Enter From &amp; To",IF(F280&lt;E280,"To before From",IF(AND(G280="Yes",F280&gt;E280),"Half day = 1 date",IF(OR(E280&lt;Setup!$C$12,F280&gt;Setup!$C$13),"Outside leave year",IF(H280=0,"No working day",IF(AND(J280&lt;&gt;"Rejected",COUNTIFS($B$6:$B$305,B280,$J$6:$J$305,"&lt;&gt;Rejected",$E$6:$E$305,"&lt;="&amp;F280,$F$6:$F$305,"&gt;="&amp;E280)&gt;1),"Overlaps another leave",IF(AND(J280="Approved",N(INDEX(Balance!$F$6:$W$55,MATCH(B280,Balance!$B$6:$B$55,0),MATCH(D280,Setup!$A$18:$A$23,0)*3))&lt;0),"Exceeds balance",IF(J280="","Set status","OK")))))))))))</f>
        <v/>
      </c>
      <c r="M280" s="55" t="str">
        <f aca="false">IF(AND(B280&lt;&gt;"",B280='Leave Card'!$C$3),COUNTIF($B$6:B280,'Leave Card'!$C$3),"")</f>
        <v/>
      </c>
    </row>
    <row r="281" customFormat="false" ht="15" hidden="false" customHeight="false" outlineLevel="0" collapsed="false">
      <c r="A281" s="51" t="str">
        <f aca="false">IF(B281="","",ROW()-5)</f>
        <v/>
      </c>
      <c r="B281" s="118"/>
      <c r="C281" s="10" t="str">
        <f aca="false">IF(B281="","",IFERROR(INDEX(Employees!$C$5:$C$54,MATCH(B281,Employees!$B$5:$B$54,0)),"Not found"))</f>
        <v/>
      </c>
      <c r="D281" s="122"/>
      <c r="E281" s="123"/>
      <c r="F281" s="123"/>
      <c r="G281" s="118"/>
      <c r="H281" s="11" t="n">
        <f aca="false">IF(OR(B281="",E281="",F281="",F281&lt;E281),0,IF(G281="Yes",0.5,NETWORKDAYS.INTL(E281,F281,Setup!$C$14,Holidays!$B$5:$B$34)))</f>
        <v>0</v>
      </c>
      <c r="I281" s="119"/>
      <c r="J281" s="122"/>
      <c r="K281" s="118"/>
      <c r="L281" s="54" t="str">
        <f aca="false">IF(B281="","",IF(C281="Not found","Emp ID not found",IF(ISNA(MATCH(D281,Setup!$A$18:$A$23,0)),"Pick leave type",IF(OR(E281="",F281=""),"Enter From &amp; To",IF(F281&lt;E281,"To before From",IF(AND(G281="Yes",F281&gt;E281),"Half day = 1 date",IF(OR(E281&lt;Setup!$C$12,F281&gt;Setup!$C$13),"Outside leave year",IF(H281=0,"No working day",IF(AND(J281&lt;&gt;"Rejected",COUNTIFS($B$6:$B$305,B281,$J$6:$J$305,"&lt;&gt;Rejected",$E$6:$E$305,"&lt;="&amp;F281,$F$6:$F$305,"&gt;="&amp;E281)&gt;1),"Overlaps another leave",IF(AND(J281="Approved",N(INDEX(Balance!$F$6:$W$55,MATCH(B281,Balance!$B$6:$B$55,0),MATCH(D281,Setup!$A$18:$A$23,0)*3))&lt;0),"Exceeds balance",IF(J281="","Set status","OK")))))))))))</f>
        <v/>
      </c>
      <c r="M281" s="55" t="str">
        <f aca="false">IF(AND(B281&lt;&gt;"",B281='Leave Card'!$C$3),COUNTIF($B$6:B281,'Leave Card'!$C$3),"")</f>
        <v/>
      </c>
    </row>
    <row r="282" customFormat="false" ht="15" hidden="false" customHeight="false" outlineLevel="0" collapsed="false">
      <c r="A282" s="51" t="str">
        <f aca="false">IF(B282="","",ROW()-5)</f>
        <v/>
      </c>
      <c r="B282" s="118"/>
      <c r="C282" s="10" t="str">
        <f aca="false">IF(B282="","",IFERROR(INDEX(Employees!$C$5:$C$54,MATCH(B282,Employees!$B$5:$B$54,0)),"Not found"))</f>
        <v/>
      </c>
      <c r="D282" s="122"/>
      <c r="E282" s="123"/>
      <c r="F282" s="123"/>
      <c r="G282" s="118"/>
      <c r="H282" s="11" t="n">
        <f aca="false">IF(OR(B282="",E282="",F282="",F282&lt;E282),0,IF(G282="Yes",0.5,NETWORKDAYS.INTL(E282,F282,Setup!$C$14,Holidays!$B$5:$B$34)))</f>
        <v>0</v>
      </c>
      <c r="I282" s="119"/>
      <c r="J282" s="122"/>
      <c r="K282" s="118"/>
      <c r="L282" s="54" t="str">
        <f aca="false">IF(B282="","",IF(C282="Not found","Emp ID not found",IF(ISNA(MATCH(D282,Setup!$A$18:$A$23,0)),"Pick leave type",IF(OR(E282="",F282=""),"Enter From &amp; To",IF(F282&lt;E282,"To before From",IF(AND(G282="Yes",F282&gt;E282),"Half day = 1 date",IF(OR(E282&lt;Setup!$C$12,F282&gt;Setup!$C$13),"Outside leave year",IF(H282=0,"No working day",IF(AND(J282&lt;&gt;"Rejected",COUNTIFS($B$6:$B$305,B282,$J$6:$J$305,"&lt;&gt;Rejected",$E$6:$E$305,"&lt;="&amp;F282,$F$6:$F$305,"&gt;="&amp;E282)&gt;1),"Overlaps another leave",IF(AND(J282="Approved",N(INDEX(Balance!$F$6:$W$55,MATCH(B282,Balance!$B$6:$B$55,0),MATCH(D282,Setup!$A$18:$A$23,0)*3))&lt;0),"Exceeds balance",IF(J282="","Set status","OK")))))))))))</f>
        <v/>
      </c>
      <c r="M282" s="55" t="str">
        <f aca="false">IF(AND(B282&lt;&gt;"",B282='Leave Card'!$C$3),COUNTIF($B$6:B282,'Leave Card'!$C$3),"")</f>
        <v/>
      </c>
    </row>
    <row r="283" customFormat="false" ht="15" hidden="false" customHeight="false" outlineLevel="0" collapsed="false">
      <c r="A283" s="51" t="str">
        <f aca="false">IF(B283="","",ROW()-5)</f>
        <v/>
      </c>
      <c r="B283" s="118"/>
      <c r="C283" s="10" t="str">
        <f aca="false">IF(B283="","",IFERROR(INDEX(Employees!$C$5:$C$54,MATCH(B283,Employees!$B$5:$B$54,0)),"Not found"))</f>
        <v/>
      </c>
      <c r="D283" s="122"/>
      <c r="E283" s="123"/>
      <c r="F283" s="123"/>
      <c r="G283" s="118"/>
      <c r="H283" s="11" t="n">
        <f aca="false">IF(OR(B283="",E283="",F283="",F283&lt;E283),0,IF(G283="Yes",0.5,NETWORKDAYS.INTL(E283,F283,Setup!$C$14,Holidays!$B$5:$B$34)))</f>
        <v>0</v>
      </c>
      <c r="I283" s="119"/>
      <c r="J283" s="122"/>
      <c r="K283" s="118"/>
      <c r="L283" s="54" t="str">
        <f aca="false">IF(B283="","",IF(C283="Not found","Emp ID not found",IF(ISNA(MATCH(D283,Setup!$A$18:$A$23,0)),"Pick leave type",IF(OR(E283="",F283=""),"Enter From &amp; To",IF(F283&lt;E283,"To before From",IF(AND(G283="Yes",F283&gt;E283),"Half day = 1 date",IF(OR(E283&lt;Setup!$C$12,F283&gt;Setup!$C$13),"Outside leave year",IF(H283=0,"No working day",IF(AND(J283&lt;&gt;"Rejected",COUNTIFS($B$6:$B$305,B283,$J$6:$J$305,"&lt;&gt;Rejected",$E$6:$E$305,"&lt;="&amp;F283,$F$6:$F$305,"&gt;="&amp;E283)&gt;1),"Overlaps another leave",IF(AND(J283="Approved",N(INDEX(Balance!$F$6:$W$55,MATCH(B283,Balance!$B$6:$B$55,0),MATCH(D283,Setup!$A$18:$A$23,0)*3))&lt;0),"Exceeds balance",IF(J283="","Set status","OK")))))))))))</f>
        <v/>
      </c>
      <c r="M283" s="55" t="str">
        <f aca="false">IF(AND(B283&lt;&gt;"",B283='Leave Card'!$C$3),COUNTIF($B$6:B283,'Leave Card'!$C$3),"")</f>
        <v/>
      </c>
    </row>
    <row r="284" customFormat="false" ht="15" hidden="false" customHeight="false" outlineLevel="0" collapsed="false">
      <c r="A284" s="51" t="str">
        <f aca="false">IF(B284="","",ROW()-5)</f>
        <v/>
      </c>
      <c r="B284" s="118"/>
      <c r="C284" s="10" t="str">
        <f aca="false">IF(B284="","",IFERROR(INDEX(Employees!$C$5:$C$54,MATCH(B284,Employees!$B$5:$B$54,0)),"Not found"))</f>
        <v/>
      </c>
      <c r="D284" s="122"/>
      <c r="E284" s="123"/>
      <c r="F284" s="123"/>
      <c r="G284" s="118"/>
      <c r="H284" s="11" t="n">
        <f aca="false">IF(OR(B284="",E284="",F284="",F284&lt;E284),0,IF(G284="Yes",0.5,NETWORKDAYS.INTL(E284,F284,Setup!$C$14,Holidays!$B$5:$B$34)))</f>
        <v>0</v>
      </c>
      <c r="I284" s="119"/>
      <c r="J284" s="122"/>
      <c r="K284" s="118"/>
      <c r="L284" s="54" t="str">
        <f aca="false">IF(B284="","",IF(C284="Not found","Emp ID not found",IF(ISNA(MATCH(D284,Setup!$A$18:$A$23,0)),"Pick leave type",IF(OR(E284="",F284=""),"Enter From &amp; To",IF(F284&lt;E284,"To before From",IF(AND(G284="Yes",F284&gt;E284),"Half day = 1 date",IF(OR(E284&lt;Setup!$C$12,F284&gt;Setup!$C$13),"Outside leave year",IF(H284=0,"No working day",IF(AND(J284&lt;&gt;"Rejected",COUNTIFS($B$6:$B$305,B284,$J$6:$J$305,"&lt;&gt;Rejected",$E$6:$E$305,"&lt;="&amp;F284,$F$6:$F$305,"&gt;="&amp;E284)&gt;1),"Overlaps another leave",IF(AND(J284="Approved",N(INDEX(Balance!$F$6:$W$55,MATCH(B284,Balance!$B$6:$B$55,0),MATCH(D284,Setup!$A$18:$A$23,0)*3))&lt;0),"Exceeds balance",IF(J284="","Set status","OK")))))))))))</f>
        <v/>
      </c>
      <c r="M284" s="55" t="str">
        <f aca="false">IF(AND(B284&lt;&gt;"",B284='Leave Card'!$C$3),COUNTIF($B$6:B284,'Leave Card'!$C$3),"")</f>
        <v/>
      </c>
    </row>
    <row r="285" customFormat="false" ht="15" hidden="false" customHeight="false" outlineLevel="0" collapsed="false">
      <c r="A285" s="51" t="str">
        <f aca="false">IF(B285="","",ROW()-5)</f>
        <v/>
      </c>
      <c r="B285" s="118"/>
      <c r="C285" s="10" t="str">
        <f aca="false">IF(B285="","",IFERROR(INDEX(Employees!$C$5:$C$54,MATCH(B285,Employees!$B$5:$B$54,0)),"Not found"))</f>
        <v/>
      </c>
      <c r="D285" s="122"/>
      <c r="E285" s="123"/>
      <c r="F285" s="123"/>
      <c r="G285" s="118"/>
      <c r="H285" s="11" t="n">
        <f aca="false">IF(OR(B285="",E285="",F285="",F285&lt;E285),0,IF(G285="Yes",0.5,NETWORKDAYS.INTL(E285,F285,Setup!$C$14,Holidays!$B$5:$B$34)))</f>
        <v>0</v>
      </c>
      <c r="I285" s="119"/>
      <c r="J285" s="122"/>
      <c r="K285" s="118"/>
      <c r="L285" s="54" t="str">
        <f aca="false">IF(B285="","",IF(C285="Not found","Emp ID not found",IF(ISNA(MATCH(D285,Setup!$A$18:$A$23,0)),"Pick leave type",IF(OR(E285="",F285=""),"Enter From &amp; To",IF(F285&lt;E285,"To before From",IF(AND(G285="Yes",F285&gt;E285),"Half day = 1 date",IF(OR(E285&lt;Setup!$C$12,F285&gt;Setup!$C$13),"Outside leave year",IF(H285=0,"No working day",IF(AND(J285&lt;&gt;"Rejected",COUNTIFS($B$6:$B$305,B285,$J$6:$J$305,"&lt;&gt;Rejected",$E$6:$E$305,"&lt;="&amp;F285,$F$6:$F$305,"&gt;="&amp;E285)&gt;1),"Overlaps another leave",IF(AND(J285="Approved",N(INDEX(Balance!$F$6:$W$55,MATCH(B285,Balance!$B$6:$B$55,0),MATCH(D285,Setup!$A$18:$A$23,0)*3))&lt;0),"Exceeds balance",IF(J285="","Set status","OK")))))))))))</f>
        <v/>
      </c>
      <c r="M285" s="55" t="str">
        <f aca="false">IF(AND(B285&lt;&gt;"",B285='Leave Card'!$C$3),COUNTIF($B$6:B285,'Leave Card'!$C$3),"")</f>
        <v/>
      </c>
    </row>
    <row r="286" customFormat="false" ht="15" hidden="false" customHeight="false" outlineLevel="0" collapsed="false">
      <c r="A286" s="51" t="str">
        <f aca="false">IF(B286="","",ROW()-5)</f>
        <v/>
      </c>
      <c r="B286" s="118"/>
      <c r="C286" s="10" t="str">
        <f aca="false">IF(B286="","",IFERROR(INDEX(Employees!$C$5:$C$54,MATCH(B286,Employees!$B$5:$B$54,0)),"Not found"))</f>
        <v/>
      </c>
      <c r="D286" s="122"/>
      <c r="E286" s="123"/>
      <c r="F286" s="123"/>
      <c r="G286" s="118"/>
      <c r="H286" s="11" t="n">
        <f aca="false">IF(OR(B286="",E286="",F286="",F286&lt;E286),0,IF(G286="Yes",0.5,NETWORKDAYS.INTL(E286,F286,Setup!$C$14,Holidays!$B$5:$B$34)))</f>
        <v>0</v>
      </c>
      <c r="I286" s="119"/>
      <c r="J286" s="122"/>
      <c r="K286" s="118"/>
      <c r="L286" s="54" t="str">
        <f aca="false">IF(B286="","",IF(C286="Not found","Emp ID not found",IF(ISNA(MATCH(D286,Setup!$A$18:$A$23,0)),"Pick leave type",IF(OR(E286="",F286=""),"Enter From &amp; To",IF(F286&lt;E286,"To before From",IF(AND(G286="Yes",F286&gt;E286),"Half day = 1 date",IF(OR(E286&lt;Setup!$C$12,F286&gt;Setup!$C$13),"Outside leave year",IF(H286=0,"No working day",IF(AND(J286&lt;&gt;"Rejected",COUNTIFS($B$6:$B$305,B286,$J$6:$J$305,"&lt;&gt;Rejected",$E$6:$E$305,"&lt;="&amp;F286,$F$6:$F$305,"&gt;="&amp;E286)&gt;1),"Overlaps another leave",IF(AND(J286="Approved",N(INDEX(Balance!$F$6:$W$55,MATCH(B286,Balance!$B$6:$B$55,0),MATCH(D286,Setup!$A$18:$A$23,0)*3))&lt;0),"Exceeds balance",IF(J286="","Set status","OK")))))))))))</f>
        <v/>
      </c>
      <c r="M286" s="55" t="str">
        <f aca="false">IF(AND(B286&lt;&gt;"",B286='Leave Card'!$C$3),COUNTIF($B$6:B286,'Leave Card'!$C$3),"")</f>
        <v/>
      </c>
    </row>
    <row r="287" customFormat="false" ht="15" hidden="false" customHeight="false" outlineLevel="0" collapsed="false">
      <c r="A287" s="51" t="str">
        <f aca="false">IF(B287="","",ROW()-5)</f>
        <v/>
      </c>
      <c r="B287" s="118"/>
      <c r="C287" s="10" t="str">
        <f aca="false">IF(B287="","",IFERROR(INDEX(Employees!$C$5:$C$54,MATCH(B287,Employees!$B$5:$B$54,0)),"Not found"))</f>
        <v/>
      </c>
      <c r="D287" s="122"/>
      <c r="E287" s="123"/>
      <c r="F287" s="123"/>
      <c r="G287" s="118"/>
      <c r="H287" s="11" t="n">
        <f aca="false">IF(OR(B287="",E287="",F287="",F287&lt;E287),0,IF(G287="Yes",0.5,NETWORKDAYS.INTL(E287,F287,Setup!$C$14,Holidays!$B$5:$B$34)))</f>
        <v>0</v>
      </c>
      <c r="I287" s="119"/>
      <c r="J287" s="122"/>
      <c r="K287" s="118"/>
      <c r="L287" s="54" t="str">
        <f aca="false">IF(B287="","",IF(C287="Not found","Emp ID not found",IF(ISNA(MATCH(D287,Setup!$A$18:$A$23,0)),"Pick leave type",IF(OR(E287="",F287=""),"Enter From &amp; To",IF(F287&lt;E287,"To before From",IF(AND(G287="Yes",F287&gt;E287),"Half day = 1 date",IF(OR(E287&lt;Setup!$C$12,F287&gt;Setup!$C$13),"Outside leave year",IF(H287=0,"No working day",IF(AND(J287&lt;&gt;"Rejected",COUNTIFS($B$6:$B$305,B287,$J$6:$J$305,"&lt;&gt;Rejected",$E$6:$E$305,"&lt;="&amp;F287,$F$6:$F$305,"&gt;="&amp;E287)&gt;1),"Overlaps another leave",IF(AND(J287="Approved",N(INDEX(Balance!$F$6:$W$55,MATCH(B287,Balance!$B$6:$B$55,0),MATCH(D287,Setup!$A$18:$A$23,0)*3))&lt;0),"Exceeds balance",IF(J287="","Set status","OK")))))))))))</f>
        <v/>
      </c>
      <c r="M287" s="55" t="str">
        <f aca="false">IF(AND(B287&lt;&gt;"",B287='Leave Card'!$C$3),COUNTIF($B$6:B287,'Leave Card'!$C$3),"")</f>
        <v/>
      </c>
    </row>
    <row r="288" customFormat="false" ht="15" hidden="false" customHeight="false" outlineLevel="0" collapsed="false">
      <c r="A288" s="51" t="str">
        <f aca="false">IF(B288="","",ROW()-5)</f>
        <v/>
      </c>
      <c r="B288" s="118"/>
      <c r="C288" s="10" t="str">
        <f aca="false">IF(B288="","",IFERROR(INDEX(Employees!$C$5:$C$54,MATCH(B288,Employees!$B$5:$B$54,0)),"Not found"))</f>
        <v/>
      </c>
      <c r="D288" s="122"/>
      <c r="E288" s="123"/>
      <c r="F288" s="123"/>
      <c r="G288" s="118"/>
      <c r="H288" s="11" t="n">
        <f aca="false">IF(OR(B288="",E288="",F288="",F288&lt;E288),0,IF(G288="Yes",0.5,NETWORKDAYS.INTL(E288,F288,Setup!$C$14,Holidays!$B$5:$B$34)))</f>
        <v>0</v>
      </c>
      <c r="I288" s="119"/>
      <c r="J288" s="122"/>
      <c r="K288" s="118"/>
      <c r="L288" s="54" t="str">
        <f aca="false">IF(B288="","",IF(C288="Not found","Emp ID not found",IF(ISNA(MATCH(D288,Setup!$A$18:$A$23,0)),"Pick leave type",IF(OR(E288="",F288=""),"Enter From &amp; To",IF(F288&lt;E288,"To before From",IF(AND(G288="Yes",F288&gt;E288),"Half day = 1 date",IF(OR(E288&lt;Setup!$C$12,F288&gt;Setup!$C$13),"Outside leave year",IF(H288=0,"No working day",IF(AND(J288&lt;&gt;"Rejected",COUNTIFS($B$6:$B$305,B288,$J$6:$J$305,"&lt;&gt;Rejected",$E$6:$E$305,"&lt;="&amp;F288,$F$6:$F$305,"&gt;="&amp;E288)&gt;1),"Overlaps another leave",IF(AND(J288="Approved",N(INDEX(Balance!$F$6:$W$55,MATCH(B288,Balance!$B$6:$B$55,0),MATCH(D288,Setup!$A$18:$A$23,0)*3))&lt;0),"Exceeds balance",IF(J288="","Set status","OK")))))))))))</f>
        <v/>
      </c>
      <c r="M288" s="55" t="str">
        <f aca="false">IF(AND(B288&lt;&gt;"",B288='Leave Card'!$C$3),COUNTIF($B$6:B288,'Leave Card'!$C$3),"")</f>
        <v/>
      </c>
    </row>
    <row r="289" customFormat="false" ht="15" hidden="false" customHeight="false" outlineLevel="0" collapsed="false">
      <c r="A289" s="51" t="str">
        <f aca="false">IF(B289="","",ROW()-5)</f>
        <v/>
      </c>
      <c r="B289" s="118"/>
      <c r="C289" s="10" t="str">
        <f aca="false">IF(B289="","",IFERROR(INDEX(Employees!$C$5:$C$54,MATCH(B289,Employees!$B$5:$B$54,0)),"Not found"))</f>
        <v/>
      </c>
      <c r="D289" s="122"/>
      <c r="E289" s="123"/>
      <c r="F289" s="123"/>
      <c r="G289" s="118"/>
      <c r="H289" s="11" t="n">
        <f aca="false">IF(OR(B289="",E289="",F289="",F289&lt;E289),0,IF(G289="Yes",0.5,NETWORKDAYS.INTL(E289,F289,Setup!$C$14,Holidays!$B$5:$B$34)))</f>
        <v>0</v>
      </c>
      <c r="I289" s="119"/>
      <c r="J289" s="122"/>
      <c r="K289" s="118"/>
      <c r="L289" s="54" t="str">
        <f aca="false">IF(B289="","",IF(C289="Not found","Emp ID not found",IF(ISNA(MATCH(D289,Setup!$A$18:$A$23,0)),"Pick leave type",IF(OR(E289="",F289=""),"Enter From &amp; To",IF(F289&lt;E289,"To before From",IF(AND(G289="Yes",F289&gt;E289),"Half day = 1 date",IF(OR(E289&lt;Setup!$C$12,F289&gt;Setup!$C$13),"Outside leave year",IF(H289=0,"No working day",IF(AND(J289&lt;&gt;"Rejected",COUNTIFS($B$6:$B$305,B289,$J$6:$J$305,"&lt;&gt;Rejected",$E$6:$E$305,"&lt;="&amp;F289,$F$6:$F$305,"&gt;="&amp;E289)&gt;1),"Overlaps another leave",IF(AND(J289="Approved",N(INDEX(Balance!$F$6:$W$55,MATCH(B289,Balance!$B$6:$B$55,0),MATCH(D289,Setup!$A$18:$A$23,0)*3))&lt;0),"Exceeds balance",IF(J289="","Set status","OK")))))))))))</f>
        <v/>
      </c>
      <c r="M289" s="55" t="str">
        <f aca="false">IF(AND(B289&lt;&gt;"",B289='Leave Card'!$C$3),COUNTIF($B$6:B289,'Leave Card'!$C$3),"")</f>
        <v/>
      </c>
    </row>
    <row r="290" customFormat="false" ht="15" hidden="false" customHeight="false" outlineLevel="0" collapsed="false">
      <c r="A290" s="51" t="str">
        <f aca="false">IF(B290="","",ROW()-5)</f>
        <v/>
      </c>
      <c r="B290" s="118"/>
      <c r="C290" s="10" t="str">
        <f aca="false">IF(B290="","",IFERROR(INDEX(Employees!$C$5:$C$54,MATCH(B290,Employees!$B$5:$B$54,0)),"Not found"))</f>
        <v/>
      </c>
      <c r="D290" s="122"/>
      <c r="E290" s="123"/>
      <c r="F290" s="123"/>
      <c r="G290" s="118"/>
      <c r="H290" s="11" t="n">
        <f aca="false">IF(OR(B290="",E290="",F290="",F290&lt;E290),0,IF(G290="Yes",0.5,NETWORKDAYS.INTL(E290,F290,Setup!$C$14,Holidays!$B$5:$B$34)))</f>
        <v>0</v>
      </c>
      <c r="I290" s="119"/>
      <c r="J290" s="122"/>
      <c r="K290" s="118"/>
      <c r="L290" s="54" t="str">
        <f aca="false">IF(B290="","",IF(C290="Not found","Emp ID not found",IF(ISNA(MATCH(D290,Setup!$A$18:$A$23,0)),"Pick leave type",IF(OR(E290="",F290=""),"Enter From &amp; To",IF(F290&lt;E290,"To before From",IF(AND(G290="Yes",F290&gt;E290),"Half day = 1 date",IF(OR(E290&lt;Setup!$C$12,F290&gt;Setup!$C$13),"Outside leave year",IF(H290=0,"No working day",IF(AND(J290&lt;&gt;"Rejected",COUNTIFS($B$6:$B$305,B290,$J$6:$J$305,"&lt;&gt;Rejected",$E$6:$E$305,"&lt;="&amp;F290,$F$6:$F$305,"&gt;="&amp;E290)&gt;1),"Overlaps another leave",IF(AND(J290="Approved",N(INDEX(Balance!$F$6:$W$55,MATCH(B290,Balance!$B$6:$B$55,0),MATCH(D290,Setup!$A$18:$A$23,0)*3))&lt;0),"Exceeds balance",IF(J290="","Set status","OK")))))))))))</f>
        <v/>
      </c>
      <c r="M290" s="55" t="str">
        <f aca="false">IF(AND(B290&lt;&gt;"",B290='Leave Card'!$C$3),COUNTIF($B$6:B290,'Leave Card'!$C$3),"")</f>
        <v/>
      </c>
    </row>
    <row r="291" customFormat="false" ht="15" hidden="false" customHeight="false" outlineLevel="0" collapsed="false">
      <c r="A291" s="51" t="str">
        <f aca="false">IF(B291="","",ROW()-5)</f>
        <v/>
      </c>
      <c r="B291" s="118"/>
      <c r="C291" s="10" t="str">
        <f aca="false">IF(B291="","",IFERROR(INDEX(Employees!$C$5:$C$54,MATCH(B291,Employees!$B$5:$B$54,0)),"Not found"))</f>
        <v/>
      </c>
      <c r="D291" s="122"/>
      <c r="E291" s="123"/>
      <c r="F291" s="123"/>
      <c r="G291" s="118"/>
      <c r="H291" s="11" t="n">
        <f aca="false">IF(OR(B291="",E291="",F291="",F291&lt;E291),0,IF(G291="Yes",0.5,NETWORKDAYS.INTL(E291,F291,Setup!$C$14,Holidays!$B$5:$B$34)))</f>
        <v>0</v>
      </c>
      <c r="I291" s="119"/>
      <c r="J291" s="122"/>
      <c r="K291" s="118"/>
      <c r="L291" s="54" t="str">
        <f aca="false">IF(B291="","",IF(C291="Not found","Emp ID not found",IF(ISNA(MATCH(D291,Setup!$A$18:$A$23,0)),"Pick leave type",IF(OR(E291="",F291=""),"Enter From &amp; To",IF(F291&lt;E291,"To before From",IF(AND(G291="Yes",F291&gt;E291),"Half day = 1 date",IF(OR(E291&lt;Setup!$C$12,F291&gt;Setup!$C$13),"Outside leave year",IF(H291=0,"No working day",IF(AND(J291&lt;&gt;"Rejected",COUNTIFS($B$6:$B$305,B291,$J$6:$J$305,"&lt;&gt;Rejected",$E$6:$E$305,"&lt;="&amp;F291,$F$6:$F$305,"&gt;="&amp;E291)&gt;1),"Overlaps another leave",IF(AND(J291="Approved",N(INDEX(Balance!$F$6:$W$55,MATCH(B291,Balance!$B$6:$B$55,0),MATCH(D291,Setup!$A$18:$A$23,0)*3))&lt;0),"Exceeds balance",IF(J291="","Set status","OK")))))))))))</f>
        <v/>
      </c>
      <c r="M291" s="55" t="str">
        <f aca="false">IF(AND(B291&lt;&gt;"",B291='Leave Card'!$C$3),COUNTIF($B$6:B291,'Leave Card'!$C$3),"")</f>
        <v/>
      </c>
    </row>
    <row r="292" customFormat="false" ht="15" hidden="false" customHeight="false" outlineLevel="0" collapsed="false">
      <c r="A292" s="51" t="str">
        <f aca="false">IF(B292="","",ROW()-5)</f>
        <v/>
      </c>
      <c r="B292" s="118"/>
      <c r="C292" s="10" t="str">
        <f aca="false">IF(B292="","",IFERROR(INDEX(Employees!$C$5:$C$54,MATCH(B292,Employees!$B$5:$B$54,0)),"Not found"))</f>
        <v/>
      </c>
      <c r="D292" s="122"/>
      <c r="E292" s="123"/>
      <c r="F292" s="123"/>
      <c r="G292" s="118"/>
      <c r="H292" s="11" t="n">
        <f aca="false">IF(OR(B292="",E292="",F292="",F292&lt;E292),0,IF(G292="Yes",0.5,NETWORKDAYS.INTL(E292,F292,Setup!$C$14,Holidays!$B$5:$B$34)))</f>
        <v>0</v>
      </c>
      <c r="I292" s="119"/>
      <c r="J292" s="122"/>
      <c r="K292" s="118"/>
      <c r="L292" s="54" t="str">
        <f aca="false">IF(B292="","",IF(C292="Not found","Emp ID not found",IF(ISNA(MATCH(D292,Setup!$A$18:$A$23,0)),"Pick leave type",IF(OR(E292="",F292=""),"Enter From &amp; To",IF(F292&lt;E292,"To before From",IF(AND(G292="Yes",F292&gt;E292),"Half day = 1 date",IF(OR(E292&lt;Setup!$C$12,F292&gt;Setup!$C$13),"Outside leave year",IF(H292=0,"No working day",IF(AND(J292&lt;&gt;"Rejected",COUNTIFS($B$6:$B$305,B292,$J$6:$J$305,"&lt;&gt;Rejected",$E$6:$E$305,"&lt;="&amp;F292,$F$6:$F$305,"&gt;="&amp;E292)&gt;1),"Overlaps another leave",IF(AND(J292="Approved",N(INDEX(Balance!$F$6:$W$55,MATCH(B292,Balance!$B$6:$B$55,0),MATCH(D292,Setup!$A$18:$A$23,0)*3))&lt;0),"Exceeds balance",IF(J292="","Set status","OK")))))))))))</f>
        <v/>
      </c>
      <c r="M292" s="55" t="str">
        <f aca="false">IF(AND(B292&lt;&gt;"",B292='Leave Card'!$C$3),COUNTIF($B$6:B292,'Leave Card'!$C$3),"")</f>
        <v/>
      </c>
    </row>
    <row r="293" customFormat="false" ht="15" hidden="false" customHeight="false" outlineLevel="0" collapsed="false">
      <c r="A293" s="51" t="str">
        <f aca="false">IF(B293="","",ROW()-5)</f>
        <v/>
      </c>
      <c r="B293" s="118"/>
      <c r="C293" s="10" t="str">
        <f aca="false">IF(B293="","",IFERROR(INDEX(Employees!$C$5:$C$54,MATCH(B293,Employees!$B$5:$B$54,0)),"Not found"))</f>
        <v/>
      </c>
      <c r="D293" s="122"/>
      <c r="E293" s="123"/>
      <c r="F293" s="123"/>
      <c r="G293" s="118"/>
      <c r="H293" s="11" t="n">
        <f aca="false">IF(OR(B293="",E293="",F293="",F293&lt;E293),0,IF(G293="Yes",0.5,NETWORKDAYS.INTL(E293,F293,Setup!$C$14,Holidays!$B$5:$B$34)))</f>
        <v>0</v>
      </c>
      <c r="I293" s="119"/>
      <c r="J293" s="122"/>
      <c r="K293" s="118"/>
      <c r="L293" s="54" t="str">
        <f aca="false">IF(B293="","",IF(C293="Not found","Emp ID not found",IF(ISNA(MATCH(D293,Setup!$A$18:$A$23,0)),"Pick leave type",IF(OR(E293="",F293=""),"Enter From &amp; To",IF(F293&lt;E293,"To before From",IF(AND(G293="Yes",F293&gt;E293),"Half day = 1 date",IF(OR(E293&lt;Setup!$C$12,F293&gt;Setup!$C$13),"Outside leave year",IF(H293=0,"No working day",IF(AND(J293&lt;&gt;"Rejected",COUNTIFS($B$6:$B$305,B293,$J$6:$J$305,"&lt;&gt;Rejected",$E$6:$E$305,"&lt;="&amp;F293,$F$6:$F$305,"&gt;="&amp;E293)&gt;1),"Overlaps another leave",IF(AND(J293="Approved",N(INDEX(Balance!$F$6:$W$55,MATCH(B293,Balance!$B$6:$B$55,0),MATCH(D293,Setup!$A$18:$A$23,0)*3))&lt;0),"Exceeds balance",IF(J293="","Set status","OK")))))))))))</f>
        <v/>
      </c>
      <c r="M293" s="55" t="str">
        <f aca="false">IF(AND(B293&lt;&gt;"",B293='Leave Card'!$C$3),COUNTIF($B$6:B293,'Leave Card'!$C$3),"")</f>
        <v/>
      </c>
    </row>
    <row r="294" customFormat="false" ht="15" hidden="false" customHeight="false" outlineLevel="0" collapsed="false">
      <c r="A294" s="51" t="str">
        <f aca="false">IF(B294="","",ROW()-5)</f>
        <v/>
      </c>
      <c r="B294" s="118"/>
      <c r="C294" s="10" t="str">
        <f aca="false">IF(B294="","",IFERROR(INDEX(Employees!$C$5:$C$54,MATCH(B294,Employees!$B$5:$B$54,0)),"Not found"))</f>
        <v/>
      </c>
      <c r="D294" s="122"/>
      <c r="E294" s="123"/>
      <c r="F294" s="123"/>
      <c r="G294" s="118"/>
      <c r="H294" s="11" t="n">
        <f aca="false">IF(OR(B294="",E294="",F294="",F294&lt;E294),0,IF(G294="Yes",0.5,NETWORKDAYS.INTL(E294,F294,Setup!$C$14,Holidays!$B$5:$B$34)))</f>
        <v>0</v>
      </c>
      <c r="I294" s="119"/>
      <c r="J294" s="122"/>
      <c r="K294" s="118"/>
      <c r="L294" s="54" t="str">
        <f aca="false">IF(B294="","",IF(C294="Not found","Emp ID not found",IF(ISNA(MATCH(D294,Setup!$A$18:$A$23,0)),"Pick leave type",IF(OR(E294="",F294=""),"Enter From &amp; To",IF(F294&lt;E294,"To before From",IF(AND(G294="Yes",F294&gt;E294),"Half day = 1 date",IF(OR(E294&lt;Setup!$C$12,F294&gt;Setup!$C$13),"Outside leave year",IF(H294=0,"No working day",IF(AND(J294&lt;&gt;"Rejected",COUNTIFS($B$6:$B$305,B294,$J$6:$J$305,"&lt;&gt;Rejected",$E$6:$E$305,"&lt;="&amp;F294,$F$6:$F$305,"&gt;="&amp;E294)&gt;1),"Overlaps another leave",IF(AND(J294="Approved",N(INDEX(Balance!$F$6:$W$55,MATCH(B294,Balance!$B$6:$B$55,0),MATCH(D294,Setup!$A$18:$A$23,0)*3))&lt;0),"Exceeds balance",IF(J294="","Set status","OK")))))))))))</f>
        <v/>
      </c>
      <c r="M294" s="55" t="str">
        <f aca="false">IF(AND(B294&lt;&gt;"",B294='Leave Card'!$C$3),COUNTIF($B$6:B294,'Leave Card'!$C$3),"")</f>
        <v/>
      </c>
    </row>
    <row r="295" customFormat="false" ht="15" hidden="false" customHeight="false" outlineLevel="0" collapsed="false">
      <c r="A295" s="51" t="str">
        <f aca="false">IF(B295="","",ROW()-5)</f>
        <v/>
      </c>
      <c r="B295" s="118"/>
      <c r="C295" s="10" t="str">
        <f aca="false">IF(B295="","",IFERROR(INDEX(Employees!$C$5:$C$54,MATCH(B295,Employees!$B$5:$B$54,0)),"Not found"))</f>
        <v/>
      </c>
      <c r="D295" s="122"/>
      <c r="E295" s="123"/>
      <c r="F295" s="123"/>
      <c r="G295" s="118"/>
      <c r="H295" s="11" t="n">
        <f aca="false">IF(OR(B295="",E295="",F295="",F295&lt;E295),0,IF(G295="Yes",0.5,NETWORKDAYS.INTL(E295,F295,Setup!$C$14,Holidays!$B$5:$B$34)))</f>
        <v>0</v>
      </c>
      <c r="I295" s="119"/>
      <c r="J295" s="122"/>
      <c r="K295" s="118"/>
      <c r="L295" s="54" t="str">
        <f aca="false">IF(B295="","",IF(C295="Not found","Emp ID not found",IF(ISNA(MATCH(D295,Setup!$A$18:$A$23,0)),"Pick leave type",IF(OR(E295="",F295=""),"Enter From &amp; To",IF(F295&lt;E295,"To before From",IF(AND(G295="Yes",F295&gt;E295),"Half day = 1 date",IF(OR(E295&lt;Setup!$C$12,F295&gt;Setup!$C$13),"Outside leave year",IF(H295=0,"No working day",IF(AND(J295&lt;&gt;"Rejected",COUNTIFS($B$6:$B$305,B295,$J$6:$J$305,"&lt;&gt;Rejected",$E$6:$E$305,"&lt;="&amp;F295,$F$6:$F$305,"&gt;="&amp;E295)&gt;1),"Overlaps another leave",IF(AND(J295="Approved",N(INDEX(Balance!$F$6:$W$55,MATCH(B295,Balance!$B$6:$B$55,0),MATCH(D295,Setup!$A$18:$A$23,0)*3))&lt;0),"Exceeds balance",IF(J295="","Set status","OK")))))))))))</f>
        <v/>
      </c>
      <c r="M295" s="55" t="str">
        <f aca="false">IF(AND(B295&lt;&gt;"",B295='Leave Card'!$C$3),COUNTIF($B$6:B295,'Leave Card'!$C$3),"")</f>
        <v/>
      </c>
    </row>
    <row r="296" customFormat="false" ht="15" hidden="false" customHeight="false" outlineLevel="0" collapsed="false">
      <c r="A296" s="51" t="str">
        <f aca="false">IF(B296="","",ROW()-5)</f>
        <v/>
      </c>
      <c r="B296" s="118"/>
      <c r="C296" s="10" t="str">
        <f aca="false">IF(B296="","",IFERROR(INDEX(Employees!$C$5:$C$54,MATCH(B296,Employees!$B$5:$B$54,0)),"Not found"))</f>
        <v/>
      </c>
      <c r="D296" s="122"/>
      <c r="E296" s="123"/>
      <c r="F296" s="123"/>
      <c r="G296" s="118"/>
      <c r="H296" s="11" t="n">
        <f aca="false">IF(OR(B296="",E296="",F296="",F296&lt;E296),0,IF(G296="Yes",0.5,NETWORKDAYS.INTL(E296,F296,Setup!$C$14,Holidays!$B$5:$B$34)))</f>
        <v>0</v>
      </c>
      <c r="I296" s="119"/>
      <c r="J296" s="122"/>
      <c r="K296" s="118"/>
      <c r="L296" s="54" t="str">
        <f aca="false">IF(B296="","",IF(C296="Not found","Emp ID not found",IF(ISNA(MATCH(D296,Setup!$A$18:$A$23,0)),"Pick leave type",IF(OR(E296="",F296=""),"Enter From &amp; To",IF(F296&lt;E296,"To before From",IF(AND(G296="Yes",F296&gt;E296),"Half day = 1 date",IF(OR(E296&lt;Setup!$C$12,F296&gt;Setup!$C$13),"Outside leave year",IF(H296=0,"No working day",IF(AND(J296&lt;&gt;"Rejected",COUNTIFS($B$6:$B$305,B296,$J$6:$J$305,"&lt;&gt;Rejected",$E$6:$E$305,"&lt;="&amp;F296,$F$6:$F$305,"&gt;="&amp;E296)&gt;1),"Overlaps another leave",IF(AND(J296="Approved",N(INDEX(Balance!$F$6:$W$55,MATCH(B296,Balance!$B$6:$B$55,0),MATCH(D296,Setup!$A$18:$A$23,0)*3))&lt;0),"Exceeds balance",IF(J296="","Set status","OK")))))))))))</f>
        <v/>
      </c>
      <c r="M296" s="55" t="str">
        <f aca="false">IF(AND(B296&lt;&gt;"",B296='Leave Card'!$C$3),COUNTIF($B$6:B296,'Leave Card'!$C$3),"")</f>
        <v/>
      </c>
    </row>
    <row r="297" customFormat="false" ht="15" hidden="false" customHeight="false" outlineLevel="0" collapsed="false">
      <c r="A297" s="51" t="str">
        <f aca="false">IF(B297="","",ROW()-5)</f>
        <v/>
      </c>
      <c r="B297" s="118"/>
      <c r="C297" s="10" t="str">
        <f aca="false">IF(B297="","",IFERROR(INDEX(Employees!$C$5:$C$54,MATCH(B297,Employees!$B$5:$B$54,0)),"Not found"))</f>
        <v/>
      </c>
      <c r="D297" s="122"/>
      <c r="E297" s="123"/>
      <c r="F297" s="123"/>
      <c r="G297" s="118"/>
      <c r="H297" s="11" t="n">
        <f aca="false">IF(OR(B297="",E297="",F297="",F297&lt;E297),0,IF(G297="Yes",0.5,NETWORKDAYS.INTL(E297,F297,Setup!$C$14,Holidays!$B$5:$B$34)))</f>
        <v>0</v>
      </c>
      <c r="I297" s="119"/>
      <c r="J297" s="122"/>
      <c r="K297" s="118"/>
      <c r="L297" s="54" t="str">
        <f aca="false">IF(B297="","",IF(C297="Not found","Emp ID not found",IF(ISNA(MATCH(D297,Setup!$A$18:$A$23,0)),"Pick leave type",IF(OR(E297="",F297=""),"Enter From &amp; To",IF(F297&lt;E297,"To before From",IF(AND(G297="Yes",F297&gt;E297),"Half day = 1 date",IF(OR(E297&lt;Setup!$C$12,F297&gt;Setup!$C$13),"Outside leave year",IF(H297=0,"No working day",IF(AND(J297&lt;&gt;"Rejected",COUNTIFS($B$6:$B$305,B297,$J$6:$J$305,"&lt;&gt;Rejected",$E$6:$E$305,"&lt;="&amp;F297,$F$6:$F$305,"&gt;="&amp;E297)&gt;1),"Overlaps another leave",IF(AND(J297="Approved",N(INDEX(Balance!$F$6:$W$55,MATCH(B297,Balance!$B$6:$B$55,0),MATCH(D297,Setup!$A$18:$A$23,0)*3))&lt;0),"Exceeds balance",IF(J297="","Set status","OK")))))))))))</f>
        <v/>
      </c>
      <c r="M297" s="55" t="str">
        <f aca="false">IF(AND(B297&lt;&gt;"",B297='Leave Card'!$C$3),COUNTIF($B$6:B297,'Leave Card'!$C$3),"")</f>
        <v/>
      </c>
    </row>
    <row r="298" customFormat="false" ht="15" hidden="false" customHeight="false" outlineLevel="0" collapsed="false">
      <c r="A298" s="51" t="str">
        <f aca="false">IF(B298="","",ROW()-5)</f>
        <v/>
      </c>
      <c r="B298" s="118"/>
      <c r="C298" s="10" t="str">
        <f aca="false">IF(B298="","",IFERROR(INDEX(Employees!$C$5:$C$54,MATCH(B298,Employees!$B$5:$B$54,0)),"Not found"))</f>
        <v/>
      </c>
      <c r="D298" s="122"/>
      <c r="E298" s="123"/>
      <c r="F298" s="123"/>
      <c r="G298" s="118"/>
      <c r="H298" s="11" t="n">
        <f aca="false">IF(OR(B298="",E298="",F298="",F298&lt;E298),0,IF(G298="Yes",0.5,NETWORKDAYS.INTL(E298,F298,Setup!$C$14,Holidays!$B$5:$B$34)))</f>
        <v>0</v>
      </c>
      <c r="I298" s="119"/>
      <c r="J298" s="122"/>
      <c r="K298" s="118"/>
      <c r="L298" s="54" t="str">
        <f aca="false">IF(B298="","",IF(C298="Not found","Emp ID not found",IF(ISNA(MATCH(D298,Setup!$A$18:$A$23,0)),"Pick leave type",IF(OR(E298="",F298=""),"Enter From &amp; To",IF(F298&lt;E298,"To before From",IF(AND(G298="Yes",F298&gt;E298),"Half day = 1 date",IF(OR(E298&lt;Setup!$C$12,F298&gt;Setup!$C$13),"Outside leave year",IF(H298=0,"No working day",IF(AND(J298&lt;&gt;"Rejected",COUNTIFS($B$6:$B$305,B298,$J$6:$J$305,"&lt;&gt;Rejected",$E$6:$E$305,"&lt;="&amp;F298,$F$6:$F$305,"&gt;="&amp;E298)&gt;1),"Overlaps another leave",IF(AND(J298="Approved",N(INDEX(Balance!$F$6:$W$55,MATCH(B298,Balance!$B$6:$B$55,0),MATCH(D298,Setup!$A$18:$A$23,0)*3))&lt;0),"Exceeds balance",IF(J298="","Set status","OK")))))))))))</f>
        <v/>
      </c>
      <c r="M298" s="55" t="str">
        <f aca="false">IF(AND(B298&lt;&gt;"",B298='Leave Card'!$C$3),COUNTIF($B$6:B298,'Leave Card'!$C$3),"")</f>
        <v/>
      </c>
    </row>
    <row r="299" customFormat="false" ht="15" hidden="false" customHeight="false" outlineLevel="0" collapsed="false">
      <c r="A299" s="51" t="str">
        <f aca="false">IF(B299="","",ROW()-5)</f>
        <v/>
      </c>
      <c r="B299" s="118"/>
      <c r="C299" s="10" t="str">
        <f aca="false">IF(B299="","",IFERROR(INDEX(Employees!$C$5:$C$54,MATCH(B299,Employees!$B$5:$B$54,0)),"Not found"))</f>
        <v/>
      </c>
      <c r="D299" s="122"/>
      <c r="E299" s="123"/>
      <c r="F299" s="123"/>
      <c r="G299" s="118"/>
      <c r="H299" s="11" t="n">
        <f aca="false">IF(OR(B299="",E299="",F299="",F299&lt;E299),0,IF(G299="Yes",0.5,NETWORKDAYS.INTL(E299,F299,Setup!$C$14,Holidays!$B$5:$B$34)))</f>
        <v>0</v>
      </c>
      <c r="I299" s="119"/>
      <c r="J299" s="122"/>
      <c r="K299" s="118"/>
      <c r="L299" s="54" t="str">
        <f aca="false">IF(B299="","",IF(C299="Not found","Emp ID not found",IF(ISNA(MATCH(D299,Setup!$A$18:$A$23,0)),"Pick leave type",IF(OR(E299="",F299=""),"Enter From &amp; To",IF(F299&lt;E299,"To before From",IF(AND(G299="Yes",F299&gt;E299),"Half day = 1 date",IF(OR(E299&lt;Setup!$C$12,F299&gt;Setup!$C$13),"Outside leave year",IF(H299=0,"No working day",IF(AND(J299&lt;&gt;"Rejected",COUNTIFS($B$6:$B$305,B299,$J$6:$J$305,"&lt;&gt;Rejected",$E$6:$E$305,"&lt;="&amp;F299,$F$6:$F$305,"&gt;="&amp;E299)&gt;1),"Overlaps another leave",IF(AND(J299="Approved",N(INDEX(Balance!$F$6:$W$55,MATCH(B299,Balance!$B$6:$B$55,0),MATCH(D299,Setup!$A$18:$A$23,0)*3))&lt;0),"Exceeds balance",IF(J299="","Set status","OK")))))))))))</f>
        <v/>
      </c>
      <c r="M299" s="55" t="str">
        <f aca="false">IF(AND(B299&lt;&gt;"",B299='Leave Card'!$C$3),COUNTIF($B$6:B299,'Leave Card'!$C$3),"")</f>
        <v/>
      </c>
    </row>
    <row r="300" customFormat="false" ht="15" hidden="false" customHeight="false" outlineLevel="0" collapsed="false">
      <c r="A300" s="51" t="str">
        <f aca="false">IF(B300="","",ROW()-5)</f>
        <v/>
      </c>
      <c r="B300" s="118"/>
      <c r="C300" s="10" t="str">
        <f aca="false">IF(B300="","",IFERROR(INDEX(Employees!$C$5:$C$54,MATCH(B300,Employees!$B$5:$B$54,0)),"Not found"))</f>
        <v/>
      </c>
      <c r="D300" s="122"/>
      <c r="E300" s="123"/>
      <c r="F300" s="123"/>
      <c r="G300" s="118"/>
      <c r="H300" s="11" t="n">
        <f aca="false">IF(OR(B300="",E300="",F300="",F300&lt;E300),0,IF(G300="Yes",0.5,NETWORKDAYS.INTL(E300,F300,Setup!$C$14,Holidays!$B$5:$B$34)))</f>
        <v>0</v>
      </c>
      <c r="I300" s="119"/>
      <c r="J300" s="122"/>
      <c r="K300" s="118"/>
      <c r="L300" s="54" t="str">
        <f aca="false">IF(B300="","",IF(C300="Not found","Emp ID not found",IF(ISNA(MATCH(D300,Setup!$A$18:$A$23,0)),"Pick leave type",IF(OR(E300="",F300=""),"Enter From &amp; To",IF(F300&lt;E300,"To before From",IF(AND(G300="Yes",F300&gt;E300),"Half day = 1 date",IF(OR(E300&lt;Setup!$C$12,F300&gt;Setup!$C$13),"Outside leave year",IF(H300=0,"No working day",IF(AND(J300&lt;&gt;"Rejected",COUNTIFS($B$6:$B$305,B300,$J$6:$J$305,"&lt;&gt;Rejected",$E$6:$E$305,"&lt;="&amp;F300,$F$6:$F$305,"&gt;="&amp;E300)&gt;1),"Overlaps another leave",IF(AND(J300="Approved",N(INDEX(Balance!$F$6:$W$55,MATCH(B300,Balance!$B$6:$B$55,0),MATCH(D300,Setup!$A$18:$A$23,0)*3))&lt;0),"Exceeds balance",IF(J300="","Set status","OK")))))))))))</f>
        <v/>
      </c>
      <c r="M300" s="55" t="str">
        <f aca="false">IF(AND(B300&lt;&gt;"",B300='Leave Card'!$C$3),COUNTIF($B$6:B300,'Leave Card'!$C$3),"")</f>
        <v/>
      </c>
    </row>
    <row r="301" customFormat="false" ht="15" hidden="false" customHeight="false" outlineLevel="0" collapsed="false">
      <c r="A301" s="51" t="str">
        <f aca="false">IF(B301="","",ROW()-5)</f>
        <v/>
      </c>
      <c r="B301" s="118"/>
      <c r="C301" s="10" t="str">
        <f aca="false">IF(B301="","",IFERROR(INDEX(Employees!$C$5:$C$54,MATCH(B301,Employees!$B$5:$B$54,0)),"Not found"))</f>
        <v/>
      </c>
      <c r="D301" s="122"/>
      <c r="E301" s="123"/>
      <c r="F301" s="123"/>
      <c r="G301" s="118"/>
      <c r="H301" s="11" t="n">
        <f aca="false">IF(OR(B301="",E301="",F301="",F301&lt;E301),0,IF(G301="Yes",0.5,NETWORKDAYS.INTL(E301,F301,Setup!$C$14,Holidays!$B$5:$B$34)))</f>
        <v>0</v>
      </c>
      <c r="I301" s="119"/>
      <c r="J301" s="122"/>
      <c r="K301" s="118"/>
      <c r="L301" s="54" t="str">
        <f aca="false">IF(B301="","",IF(C301="Not found","Emp ID not found",IF(ISNA(MATCH(D301,Setup!$A$18:$A$23,0)),"Pick leave type",IF(OR(E301="",F301=""),"Enter From &amp; To",IF(F301&lt;E301,"To before From",IF(AND(G301="Yes",F301&gt;E301),"Half day = 1 date",IF(OR(E301&lt;Setup!$C$12,F301&gt;Setup!$C$13),"Outside leave year",IF(H301=0,"No working day",IF(AND(J301&lt;&gt;"Rejected",COUNTIFS($B$6:$B$305,B301,$J$6:$J$305,"&lt;&gt;Rejected",$E$6:$E$305,"&lt;="&amp;F301,$F$6:$F$305,"&gt;="&amp;E301)&gt;1),"Overlaps another leave",IF(AND(J301="Approved",N(INDEX(Balance!$F$6:$W$55,MATCH(B301,Balance!$B$6:$B$55,0),MATCH(D301,Setup!$A$18:$A$23,0)*3))&lt;0),"Exceeds balance",IF(J301="","Set status","OK")))))))))))</f>
        <v/>
      </c>
      <c r="M301" s="55" t="str">
        <f aca="false">IF(AND(B301&lt;&gt;"",B301='Leave Card'!$C$3),COUNTIF($B$6:B301,'Leave Card'!$C$3),"")</f>
        <v/>
      </c>
    </row>
    <row r="302" customFormat="false" ht="15" hidden="false" customHeight="false" outlineLevel="0" collapsed="false">
      <c r="A302" s="51" t="str">
        <f aca="false">IF(B302="","",ROW()-5)</f>
        <v/>
      </c>
      <c r="B302" s="118"/>
      <c r="C302" s="10" t="str">
        <f aca="false">IF(B302="","",IFERROR(INDEX(Employees!$C$5:$C$54,MATCH(B302,Employees!$B$5:$B$54,0)),"Not found"))</f>
        <v/>
      </c>
      <c r="D302" s="122"/>
      <c r="E302" s="123"/>
      <c r="F302" s="123"/>
      <c r="G302" s="118"/>
      <c r="H302" s="11" t="n">
        <f aca="false">IF(OR(B302="",E302="",F302="",F302&lt;E302),0,IF(G302="Yes",0.5,NETWORKDAYS.INTL(E302,F302,Setup!$C$14,Holidays!$B$5:$B$34)))</f>
        <v>0</v>
      </c>
      <c r="I302" s="119"/>
      <c r="J302" s="122"/>
      <c r="K302" s="118"/>
      <c r="L302" s="54" t="str">
        <f aca="false">IF(B302="","",IF(C302="Not found","Emp ID not found",IF(ISNA(MATCH(D302,Setup!$A$18:$A$23,0)),"Pick leave type",IF(OR(E302="",F302=""),"Enter From &amp; To",IF(F302&lt;E302,"To before From",IF(AND(G302="Yes",F302&gt;E302),"Half day = 1 date",IF(OR(E302&lt;Setup!$C$12,F302&gt;Setup!$C$13),"Outside leave year",IF(H302=0,"No working day",IF(AND(J302&lt;&gt;"Rejected",COUNTIFS($B$6:$B$305,B302,$J$6:$J$305,"&lt;&gt;Rejected",$E$6:$E$305,"&lt;="&amp;F302,$F$6:$F$305,"&gt;="&amp;E302)&gt;1),"Overlaps another leave",IF(AND(J302="Approved",N(INDEX(Balance!$F$6:$W$55,MATCH(B302,Balance!$B$6:$B$55,0),MATCH(D302,Setup!$A$18:$A$23,0)*3))&lt;0),"Exceeds balance",IF(J302="","Set status","OK")))))))))))</f>
        <v/>
      </c>
      <c r="M302" s="55" t="str">
        <f aca="false">IF(AND(B302&lt;&gt;"",B302='Leave Card'!$C$3),COUNTIF($B$6:B302,'Leave Card'!$C$3),"")</f>
        <v/>
      </c>
    </row>
    <row r="303" customFormat="false" ht="15" hidden="false" customHeight="false" outlineLevel="0" collapsed="false">
      <c r="A303" s="51" t="str">
        <f aca="false">IF(B303="","",ROW()-5)</f>
        <v/>
      </c>
      <c r="B303" s="118"/>
      <c r="C303" s="10" t="str">
        <f aca="false">IF(B303="","",IFERROR(INDEX(Employees!$C$5:$C$54,MATCH(B303,Employees!$B$5:$B$54,0)),"Not found"))</f>
        <v/>
      </c>
      <c r="D303" s="122"/>
      <c r="E303" s="123"/>
      <c r="F303" s="123"/>
      <c r="G303" s="118"/>
      <c r="H303" s="11" t="n">
        <f aca="false">IF(OR(B303="",E303="",F303="",F303&lt;E303),0,IF(G303="Yes",0.5,NETWORKDAYS.INTL(E303,F303,Setup!$C$14,Holidays!$B$5:$B$34)))</f>
        <v>0</v>
      </c>
      <c r="I303" s="119"/>
      <c r="J303" s="122"/>
      <c r="K303" s="118"/>
      <c r="L303" s="54" t="str">
        <f aca="false">IF(B303="","",IF(C303="Not found","Emp ID not found",IF(ISNA(MATCH(D303,Setup!$A$18:$A$23,0)),"Pick leave type",IF(OR(E303="",F303=""),"Enter From &amp; To",IF(F303&lt;E303,"To before From",IF(AND(G303="Yes",F303&gt;E303),"Half day = 1 date",IF(OR(E303&lt;Setup!$C$12,F303&gt;Setup!$C$13),"Outside leave year",IF(H303=0,"No working day",IF(AND(J303&lt;&gt;"Rejected",COUNTIFS($B$6:$B$305,B303,$J$6:$J$305,"&lt;&gt;Rejected",$E$6:$E$305,"&lt;="&amp;F303,$F$6:$F$305,"&gt;="&amp;E303)&gt;1),"Overlaps another leave",IF(AND(J303="Approved",N(INDEX(Balance!$F$6:$W$55,MATCH(B303,Balance!$B$6:$B$55,0),MATCH(D303,Setup!$A$18:$A$23,0)*3))&lt;0),"Exceeds balance",IF(J303="","Set status","OK")))))))))))</f>
        <v/>
      </c>
      <c r="M303" s="55" t="str">
        <f aca="false">IF(AND(B303&lt;&gt;"",B303='Leave Card'!$C$3),COUNTIF($B$6:B303,'Leave Card'!$C$3),"")</f>
        <v/>
      </c>
    </row>
    <row r="304" customFormat="false" ht="15" hidden="false" customHeight="false" outlineLevel="0" collapsed="false">
      <c r="A304" s="51" t="str">
        <f aca="false">IF(B304="","",ROW()-5)</f>
        <v/>
      </c>
      <c r="B304" s="118"/>
      <c r="C304" s="10" t="str">
        <f aca="false">IF(B304="","",IFERROR(INDEX(Employees!$C$5:$C$54,MATCH(B304,Employees!$B$5:$B$54,0)),"Not found"))</f>
        <v/>
      </c>
      <c r="D304" s="122"/>
      <c r="E304" s="123"/>
      <c r="F304" s="123"/>
      <c r="G304" s="118"/>
      <c r="H304" s="11" t="n">
        <f aca="false">IF(OR(B304="",E304="",F304="",F304&lt;E304),0,IF(G304="Yes",0.5,NETWORKDAYS.INTL(E304,F304,Setup!$C$14,Holidays!$B$5:$B$34)))</f>
        <v>0</v>
      </c>
      <c r="I304" s="119"/>
      <c r="J304" s="122"/>
      <c r="K304" s="118"/>
      <c r="L304" s="54" t="str">
        <f aca="false">IF(B304="","",IF(C304="Not found","Emp ID not found",IF(ISNA(MATCH(D304,Setup!$A$18:$A$23,0)),"Pick leave type",IF(OR(E304="",F304=""),"Enter From &amp; To",IF(F304&lt;E304,"To before From",IF(AND(G304="Yes",F304&gt;E304),"Half day = 1 date",IF(OR(E304&lt;Setup!$C$12,F304&gt;Setup!$C$13),"Outside leave year",IF(H304=0,"No working day",IF(AND(J304&lt;&gt;"Rejected",COUNTIFS($B$6:$B$305,B304,$J$6:$J$305,"&lt;&gt;Rejected",$E$6:$E$305,"&lt;="&amp;F304,$F$6:$F$305,"&gt;="&amp;E304)&gt;1),"Overlaps another leave",IF(AND(J304="Approved",N(INDEX(Balance!$F$6:$W$55,MATCH(B304,Balance!$B$6:$B$55,0),MATCH(D304,Setup!$A$18:$A$23,0)*3))&lt;0),"Exceeds balance",IF(J304="","Set status","OK")))))))))))</f>
        <v/>
      </c>
      <c r="M304" s="55" t="str">
        <f aca="false">IF(AND(B304&lt;&gt;"",B304='Leave Card'!$C$3),COUNTIF($B$6:B304,'Leave Card'!$C$3),"")</f>
        <v/>
      </c>
    </row>
    <row r="305" customFormat="false" ht="15" hidden="false" customHeight="false" outlineLevel="0" collapsed="false">
      <c r="A305" s="51" t="str">
        <f aca="false">IF(B305="","",ROW()-5)</f>
        <v/>
      </c>
      <c r="B305" s="118"/>
      <c r="C305" s="10" t="str">
        <f aca="false">IF(B305="","",IFERROR(INDEX(Employees!$C$5:$C$54,MATCH(B305,Employees!$B$5:$B$54,0)),"Not found"))</f>
        <v/>
      </c>
      <c r="D305" s="122"/>
      <c r="E305" s="123"/>
      <c r="F305" s="123"/>
      <c r="G305" s="118"/>
      <c r="H305" s="11" t="n">
        <f aca="false">IF(OR(B305="",E305="",F305="",F305&lt;E305),0,IF(G305="Yes",0.5,NETWORKDAYS.INTL(E305,F305,Setup!$C$14,Holidays!$B$5:$B$34)))</f>
        <v>0</v>
      </c>
      <c r="I305" s="119"/>
      <c r="J305" s="122"/>
      <c r="K305" s="118"/>
      <c r="L305" s="54" t="str">
        <f aca="false">IF(B305="","",IF(C305="Not found","Emp ID not found",IF(ISNA(MATCH(D305,Setup!$A$18:$A$23,0)),"Pick leave type",IF(OR(E305="",F305=""),"Enter From &amp; To",IF(F305&lt;E305,"To before From",IF(AND(G305="Yes",F305&gt;E305),"Half day = 1 date",IF(OR(E305&lt;Setup!$C$12,F305&gt;Setup!$C$13),"Outside leave year",IF(H305=0,"No working day",IF(AND(J305&lt;&gt;"Rejected",COUNTIFS($B$6:$B$305,B305,$J$6:$J$305,"&lt;&gt;Rejected",$E$6:$E$305,"&lt;="&amp;F305,$F$6:$F$305,"&gt;="&amp;E305)&gt;1),"Overlaps another leave",IF(AND(J305="Approved",N(INDEX(Balance!$F$6:$W$55,MATCH(B305,Balance!$B$6:$B$55,0),MATCH(D305,Setup!$A$18:$A$23,0)*3))&lt;0),"Exceeds balance",IF(J305="","Set status","OK")))))))))))</f>
        <v/>
      </c>
      <c r="M305" s="55" t="str">
        <f aca="false">IF(AND(B305&lt;&gt;"",B305='Leave Card'!$C$3),COUNTIF($B$6:B305,'Leave Card'!$C$3),"")</f>
        <v/>
      </c>
    </row>
  </sheetData>
  <sheetProtection sheet="1" objects="1" scenarios="1" formatColumns="0" formatRows="0" algorithmName="SHA-512" hashValue="RoXQ2uTtNk0npXrhsHFUvPF483XHGwDd7arGHPslTFf9WsRErMaHVDSIsLUiOF6BVwEQN9nyXbIelmdx+2qiWQ==" saltValue="1clZHHzSdEv3IsXfDx8FXQ==" spinCount="100000"/>
  <autoFilter ref="A5:L305"/>
  <mergeCells count="2">
    <mergeCell ref="A2:L2"/>
    <mergeCell ref="A3:L3"/>
  </mergeCells>
  <conditionalFormatting sqref="L6:L305">
    <cfRule type="expression" priority="2" aboveAverage="0" equalAverage="0" bottom="0" percent="0" rank="0" text="" dxfId="14">
      <formula>AND(L6&lt;&gt;"",L6&lt;&gt;"OK")</formula>
    </cfRule>
    <cfRule type="expression" priority="3" aboveAverage="0" equalAverage="0" bottom="0" percent="0" rank="0" text="" dxfId="15">
      <formula>L6="OK"</formula>
    </cfRule>
  </conditionalFormatting>
  <conditionalFormatting sqref="J6:J305">
    <cfRule type="expression" priority="4" aboveAverage="0" equalAverage="0" bottom="0" percent="0" rank="0" text="" dxfId="16">
      <formula>J6="Pending"</formula>
    </cfRule>
  </conditionalFormatting>
  <conditionalFormatting sqref="A6:K305">
    <cfRule type="expression" priority="5" aboveAverage="0" equalAverage="0" bottom="0" percent="0" rank="0" text="" dxfId="17">
      <formula>$J6="Rejected"</formula>
    </cfRule>
  </conditionalFormatting>
  <dataValidations count="4">
    <dataValidation allowBlank="true" errorStyle="stop" operator="between" showDropDown="false" showErrorMessage="true" showInputMessage="false" sqref="B6:B305" type="list">
      <formula1>Employees!$B$5:$B$54</formula1>
      <formula2>0</formula2>
    </dataValidation>
    <dataValidation allowBlank="true" errorStyle="stop" operator="between" showDropDown="false" showErrorMessage="true" showInputMessage="false" sqref="D6:D305" type="list">
      <formula1>Setup!$A$18:$A$23</formula1>
      <formula2>0</formula2>
    </dataValidation>
    <dataValidation allowBlank="true" errorStyle="stop" operator="between" showDropDown="false" showErrorMessage="true" showInputMessage="false" sqref="G6:G305" type="list">
      <formula1>Lists!$C$2:$C$3</formula1>
      <formula2>0</formula2>
    </dataValidation>
    <dataValidation allowBlank="true" errorStyle="stop" operator="between" showDropDown="false" showErrorMessage="true" showInputMessage="false" sqref="J6:J305" type="list">
      <formula1>Lists!$E$2:$E$4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Y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20"/>
    <col collapsed="false" customWidth="true" hidden="false" outlineLevel="0" max="25" min="4" style="0" width="9"/>
  </cols>
  <sheetData>
    <row r="1" customFormat="false" ht="15" hidden="false" customHeight="false" outlineLevel="0" collapsed="false">
      <c r="A1" s="14" t="s">
        <v>21</v>
      </c>
    </row>
    <row r="2" customFormat="false" ht="27.75" hidden="false" customHeight="true" outlineLevel="0" collapsed="false">
      <c r="A2" s="47" t="str">
        <f aca="false">"Leave Balance – as on "&amp;TEXT(Setup!$C$9,"dd-mmm-yyyy")</f>
        <v>Leave Balance – as on 30-Sep-2026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</row>
    <row r="3" customFormat="false" ht="15" hidden="false" customHeight="false" outlineLevel="0" collapsed="false">
      <c r="A3" s="48" t="s">
        <v>153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customFormat="false" ht="24" hidden="false" customHeight="true" outlineLevel="0" collapsed="false">
      <c r="A4" s="56"/>
      <c r="F4" s="57" t="str">
        <f aca="false">Setup!A18&amp;" – "&amp;Setup!B18</f>
        <v>CL – Casual Leave</v>
      </c>
      <c r="G4" s="57"/>
      <c r="H4" s="57"/>
      <c r="I4" s="57" t="str">
        <f aca="false">Setup!A19&amp;" – "&amp;Setup!B19</f>
        <v>SL – Sick Leave</v>
      </c>
      <c r="J4" s="57"/>
      <c r="K4" s="57"/>
      <c r="L4" s="57" t="str">
        <f aca="false">Setup!A20&amp;" – "&amp;Setup!B20</f>
        <v>EL – Earned / Privilege Leave</v>
      </c>
      <c r="M4" s="57"/>
      <c r="N4" s="57"/>
      <c r="O4" s="57" t="str">
        <f aca="false">Setup!A21&amp;" – "&amp;Setup!B21</f>
        <v>CO – Compensatory Off</v>
      </c>
      <c r="P4" s="57"/>
      <c r="Q4" s="57"/>
      <c r="R4" s="57" t="str">
        <f aca="false">Setup!A22&amp;" – "&amp;Setup!B22</f>
        <v>LWP – Leave Without Pay</v>
      </c>
      <c r="S4" s="57"/>
      <c r="T4" s="57"/>
      <c r="U4" s="57" t="str">
        <f aca="false">Setup!A23&amp;" – "&amp;Setup!B23</f>
        <v>OL – Other Leave</v>
      </c>
      <c r="V4" s="57"/>
      <c r="W4" s="57"/>
    </row>
    <row r="5" customFormat="false" ht="30" hidden="false" customHeight="true" outlineLevel="0" collapsed="false">
      <c r="A5" s="58" t="s">
        <v>96</v>
      </c>
      <c r="B5" s="58" t="s">
        <v>107</v>
      </c>
      <c r="C5" s="58" t="s">
        <v>108</v>
      </c>
      <c r="D5" s="58" t="s">
        <v>154</v>
      </c>
      <c r="E5" s="58" t="s">
        <v>155</v>
      </c>
      <c r="F5" s="59" t="s">
        <v>156</v>
      </c>
      <c r="G5" s="59" t="s">
        <v>157</v>
      </c>
      <c r="H5" s="60" t="s">
        <v>158</v>
      </c>
      <c r="I5" s="59" t="s">
        <v>156</v>
      </c>
      <c r="J5" s="59" t="s">
        <v>157</v>
      </c>
      <c r="K5" s="60" t="s">
        <v>158</v>
      </c>
      <c r="L5" s="59" t="s">
        <v>156</v>
      </c>
      <c r="M5" s="59" t="s">
        <v>157</v>
      </c>
      <c r="N5" s="60" t="s">
        <v>158</v>
      </c>
      <c r="O5" s="59" t="s">
        <v>156</v>
      </c>
      <c r="P5" s="59" t="s">
        <v>157</v>
      </c>
      <c r="Q5" s="60" t="s">
        <v>158</v>
      </c>
      <c r="R5" s="59" t="s">
        <v>156</v>
      </c>
      <c r="S5" s="59" t="s">
        <v>157</v>
      </c>
      <c r="T5" s="60" t="s">
        <v>158</v>
      </c>
      <c r="U5" s="59" t="s">
        <v>156</v>
      </c>
      <c r="V5" s="59" t="s">
        <v>157</v>
      </c>
      <c r="W5" s="60" t="s">
        <v>158</v>
      </c>
      <c r="X5" s="61" t="s">
        <v>159</v>
      </c>
      <c r="Y5" s="62" t="s">
        <v>160</v>
      </c>
    </row>
    <row r="6" customFormat="false" ht="15" hidden="false" customHeight="false" outlineLevel="0" collapsed="false">
      <c r="A6" s="51" t="n">
        <f aca="false">IF(B6="","",ROW()-5)</f>
        <v>1</v>
      </c>
      <c r="B6" s="63" t="str">
        <f aca="false">IF(Employees!$B$5="","",Employees!$B$5)</f>
        <v>XE001</v>
      </c>
      <c r="C6" s="10" t="str">
        <f aca="false">IF(B6="","",Employees!$C$5)</f>
        <v>Harpreet Singh</v>
      </c>
      <c r="D6" s="64" t="n">
        <f aca="false">IF(B6="","",IF(N(Employees!$E$5)&gt;Setup!$C$13,0,MAX(0,MIN(12,(YEAR(Setup!$C$13)-YEAR(IF(AND(Setup!$C$8="Yes",N(Employees!$E$5)&gt;Setup!$C$12),DATE(YEAR(Employees!$E$5),MONTH(Employees!$E$5),1),Setup!$C$12)))*12+MONTH(Setup!$C$13)-MONTH(IF(AND(Setup!$C$8="Yes",N(Employees!$E$5)&gt;Setup!$C$12),DATE(YEAR(Employees!$E$5),MONTH(Employees!$E$5),1),Setup!$C$12))+1))))</f>
        <v>12</v>
      </c>
      <c r="E6" s="64" t="n">
        <f aca="false">IF(B6="","",IF(OR(N(Employees!$E$5)&gt;Setup!$C$13,Setup!$C$9&lt;IF(AND(Setup!$C$8="Yes",N(Employees!$E$5)&gt;Setup!$C$12),DATE(YEAR(Employees!$E$5),MONTH(Employees!$E$5),1),Setup!$C$12)),0,MAX(0,MIN(12,(YEAR(MIN(Setup!$C$9,Setup!$C$13))-YEAR(IF(AND(Setup!$C$8="Yes",N(Employees!$E$5)&gt;Setup!$C$12),DATE(YEAR(Employees!$E$5),MONTH(Employees!$E$5),1),Setup!$C$12)))*12+MONTH(MIN(Setup!$C$9,Setup!$C$13))-MONTH(IF(AND(Setup!$C$8="Yes",N(Employees!$E$5)&gt;Setup!$C$12),DATE(YEAR(Employees!$E$5),MONTH(Employees!$E$5),1),Setup!$C$12))+1))))</f>
        <v>9</v>
      </c>
      <c r="F6" s="65" t="n">
        <f aca="false">IF(OR($B6="",NOT(Setup!$F$18="Yes")),"",MIN(N(Employees!F$5),Setup!$E$18)+ROUND(Setup!$C$18*IF(Setup!$D$18="Monthly",$E6,$D6)/12*2,0)/2)</f>
        <v>12</v>
      </c>
      <c r="G6" s="65" t="n">
        <f aca="false">IF($B6="","",SUMIFS('Leave Register'!$H$6:$H$305,'Leave Register'!$B$6:$B$305,$B6,'Leave Register'!$D$6:$D$305,Setup!$A$18,'Leave Register'!$J$6:$J$305,"Approved",'Leave Register'!$E$6:$E$305,"&gt;="&amp;Setup!$C$12,'Leave Register'!$E$6:$E$305,"&lt;="&amp;Setup!$C$13))</f>
        <v>2</v>
      </c>
      <c r="H6" s="66" t="n">
        <f aca="false">IF(OR($B6="",NOT(Setup!$F$18="Yes")),"",F6-G6)</f>
        <v>10</v>
      </c>
      <c r="I6" s="65" t="n">
        <f aca="false">IF(OR($B6="",NOT(Setup!$F$19="Yes")),"",MIN(N(Employees!G$5),Setup!$E$19)+ROUND(Setup!$C$19*IF(Setup!$D$19="Monthly",$E6,$D6)/12*2,0)/2)</f>
        <v>22</v>
      </c>
      <c r="J6" s="65" t="n">
        <f aca="false">IF($B6="","",SUMIFS('Leave Register'!$H$6:$H$305,'Leave Register'!$B$6:$B$305,$B6,'Leave Register'!$D$6:$D$305,Setup!$A$19,'Leave Register'!$J$6:$J$305,"Approved",'Leave Register'!$E$6:$E$305,"&gt;="&amp;Setup!$C$12,'Leave Register'!$E$6:$E$305,"&lt;="&amp;Setup!$C$13))</f>
        <v>0</v>
      </c>
      <c r="K6" s="66" t="n">
        <f aca="false">IF(OR($B6="",NOT(Setup!$F$19="Yes")),"",I6-J6)</f>
        <v>22</v>
      </c>
      <c r="L6" s="65" t="n">
        <f aca="false">IF(OR($B6="",NOT(Setup!$F$20="Yes")),"",MIN(N(Employees!H$5),Setup!$E$20)+ROUND(Setup!$C$20*IF(Setup!$D$20="Monthly",$E6,$D6)/12*2,0)/2)</f>
        <v>33.5</v>
      </c>
      <c r="M6" s="65" t="n">
        <f aca="false">IF($B6="","",SUMIFS('Leave Register'!$H$6:$H$305,'Leave Register'!$B$6:$B$305,$B6,'Leave Register'!$D$6:$D$305,Setup!$A$20,'Leave Register'!$J$6:$J$305,"Approved",'Leave Register'!$E$6:$E$305,"&gt;="&amp;Setup!$C$12,'Leave Register'!$E$6:$E$305,"&lt;="&amp;Setup!$C$13))</f>
        <v>6</v>
      </c>
      <c r="N6" s="66" t="n">
        <f aca="false">IF(OR($B6="",NOT(Setup!$F$20="Yes")),"",L6-M6)</f>
        <v>27.5</v>
      </c>
      <c r="O6" s="65" t="n">
        <f aca="false">IF(OR($B6="",NOT(Setup!$F$21="Yes")),"",MIN(N(Employees!I$5),Setup!$E$21)+ROUND(Setup!$C$21*IF(Setup!$D$21="Monthly",$E6,$D6)/12*2,0)/2)</f>
        <v>1</v>
      </c>
      <c r="P6" s="65" t="n">
        <f aca="false">IF($B6="","",SUMIFS('Leave Register'!$H$6:$H$305,'Leave Register'!$B$6:$B$305,$B6,'Leave Register'!$D$6:$D$305,Setup!$A$21,'Leave Register'!$J$6:$J$305,"Approved",'Leave Register'!$E$6:$E$305,"&gt;="&amp;Setup!$C$12,'Leave Register'!$E$6:$E$305,"&lt;="&amp;Setup!$C$13))</f>
        <v>0</v>
      </c>
      <c r="Q6" s="66" t="n">
        <f aca="false">IF(OR($B6="",NOT(Setup!$F$21="Yes")),"",O6-P6)</f>
        <v>1</v>
      </c>
      <c r="R6" s="65" t="str">
        <f aca="false">IF(OR($B6="",NOT(Setup!$F$22="Yes")),"",MIN(N(Employees!J$5),Setup!$E$22)+ROUND(Setup!$C$22*IF(Setup!$D$22="Monthly",$E6,$D6)/12*2,0)/2)</f>
        <v/>
      </c>
      <c r="S6" s="65" t="n">
        <f aca="false">IF($B6="","",SUMIFS('Leave Register'!$H$6:$H$305,'Leave Register'!$B$6:$B$305,$B6,'Leave Register'!$D$6:$D$305,Setup!$A$22,'Leave Register'!$J$6:$J$305,"Approved",'Leave Register'!$E$6:$E$305,"&gt;="&amp;Setup!$C$12,'Leave Register'!$E$6:$E$305,"&lt;="&amp;Setup!$C$13))</f>
        <v>0</v>
      </c>
      <c r="T6" s="66" t="str">
        <f aca="false">IF(OR($B6="",NOT(Setup!$F$22="Yes")),"",R6-S6)</f>
        <v/>
      </c>
      <c r="U6" s="65" t="str">
        <f aca="false">IF(OR($B6="",NOT(Setup!$F$23="Yes")),"",MIN(N(Employees!K$5),Setup!$E$23)+ROUND(Setup!$C$23*IF(Setup!$D$23="Monthly",$E6,$D6)/12*2,0)/2)</f>
        <v/>
      </c>
      <c r="V6" s="65" t="n">
        <f aca="false">IF($B6="","",SUMIFS('Leave Register'!$H$6:$H$305,'Leave Register'!$B$6:$B$305,$B6,'Leave Register'!$D$6:$D$305,Setup!$A$23,'Leave Register'!$J$6:$J$305,"Approved",'Leave Register'!$E$6:$E$305,"&gt;="&amp;Setup!$C$12,'Leave Register'!$E$6:$E$305,"&lt;="&amp;Setup!$C$13))</f>
        <v>0</v>
      </c>
      <c r="W6" s="66" t="str">
        <f aca="false">IF(OR($B6="",NOT(Setup!$F$23="Yes")),"",U6-V6)</f>
        <v/>
      </c>
      <c r="X6" s="67" t="n">
        <f aca="false">IF(B6="","",SUMIFS('Leave Register'!$H$6:$H$305,'Leave Register'!$B$6:$B$305,$B6,'Leave Register'!$J$6:$J$305,"Pending"))</f>
        <v>0</v>
      </c>
      <c r="Y6" s="68" t="n">
        <f aca="false">IF(B6="","",IF(Setup!$F$18="No",G6,0)+IF(Setup!$F$19="No",J6,0)+IF(Setup!$F$20="No",M6,0)+IF(Setup!$F$21="No",P6,0)+IF(Setup!$F$22="No",S6,0)+IF(Setup!$F$23="No",V6,0))</f>
        <v>0</v>
      </c>
    </row>
    <row r="7" customFormat="false" ht="15" hidden="false" customHeight="false" outlineLevel="0" collapsed="false">
      <c r="A7" s="51" t="n">
        <f aca="false">IF(B7="","",ROW()-5)</f>
        <v>2</v>
      </c>
      <c r="B7" s="63" t="str">
        <f aca="false">IF(Employees!$B$6="","",Employees!$B$6)</f>
        <v>XE002</v>
      </c>
      <c r="C7" s="10" t="str">
        <f aca="false">IF(B7="","",Employees!$C$6)</f>
        <v>Simran Kaur</v>
      </c>
      <c r="D7" s="64" t="n">
        <f aca="false">IF(B7="","",IF(N(Employees!$E$6)&gt;Setup!$C$13,0,MAX(0,MIN(12,(YEAR(Setup!$C$13)-YEAR(IF(AND(Setup!$C$8="Yes",N(Employees!$E$6)&gt;Setup!$C$12),DATE(YEAR(Employees!$E$6),MONTH(Employees!$E$6),1),Setup!$C$12)))*12+MONTH(Setup!$C$13)-MONTH(IF(AND(Setup!$C$8="Yes",N(Employees!$E$6)&gt;Setup!$C$12),DATE(YEAR(Employees!$E$6),MONTH(Employees!$E$6),1),Setup!$C$12))+1))))</f>
        <v>12</v>
      </c>
      <c r="E7" s="64" t="n">
        <f aca="false">IF(B7="","",IF(OR(N(Employees!$E$6)&gt;Setup!$C$13,Setup!$C$9&lt;IF(AND(Setup!$C$8="Yes",N(Employees!$E$6)&gt;Setup!$C$12),DATE(YEAR(Employees!$E$6),MONTH(Employees!$E$6),1),Setup!$C$12)),0,MAX(0,MIN(12,(YEAR(MIN(Setup!$C$9,Setup!$C$13))-YEAR(IF(AND(Setup!$C$8="Yes",N(Employees!$E$6)&gt;Setup!$C$12),DATE(YEAR(Employees!$E$6),MONTH(Employees!$E$6),1),Setup!$C$12)))*12+MONTH(MIN(Setup!$C$9,Setup!$C$13))-MONTH(IF(AND(Setup!$C$8="Yes",N(Employees!$E$6)&gt;Setup!$C$12),DATE(YEAR(Employees!$E$6),MONTH(Employees!$E$6),1),Setup!$C$12))+1))))</f>
        <v>9</v>
      </c>
      <c r="F7" s="65" t="n">
        <f aca="false">IF(OR($B7="",NOT(Setup!$F$18="Yes")),"",MIN(N(Employees!F$6),Setup!$E$18)+ROUND(Setup!$C$18*IF(Setup!$D$18="Monthly",$E7,$D7)/12*2,0)/2)</f>
        <v>12</v>
      </c>
      <c r="G7" s="65" t="n">
        <f aca="false">IF($B7="","",SUMIFS('Leave Register'!$H$6:$H$305,'Leave Register'!$B$6:$B$305,$B7,'Leave Register'!$D$6:$D$305,Setup!$A$18,'Leave Register'!$J$6:$J$305,"Approved",'Leave Register'!$E$6:$E$305,"&gt;="&amp;Setup!$C$12,'Leave Register'!$E$6:$E$305,"&lt;="&amp;Setup!$C$13))</f>
        <v>0.5</v>
      </c>
      <c r="H7" s="66" t="n">
        <f aca="false">IF(OR($B7="",NOT(Setup!$F$18="Yes")),"",F7-G7)</f>
        <v>11.5</v>
      </c>
      <c r="I7" s="65" t="n">
        <f aca="false">IF(OR($B7="",NOT(Setup!$F$19="Yes")),"",MIN(N(Employees!G$6),Setup!$E$19)+ROUND(Setup!$C$19*IF(Setup!$D$19="Monthly",$E7,$D7)/12*2,0)/2)</f>
        <v>18</v>
      </c>
      <c r="J7" s="65" t="n">
        <f aca="false">IF($B7="","",SUMIFS('Leave Register'!$H$6:$H$305,'Leave Register'!$B$6:$B$305,$B7,'Leave Register'!$D$6:$D$305,Setup!$A$19,'Leave Register'!$J$6:$J$305,"Approved",'Leave Register'!$E$6:$E$305,"&gt;="&amp;Setup!$C$12,'Leave Register'!$E$6:$E$305,"&lt;="&amp;Setup!$C$13))</f>
        <v>3</v>
      </c>
      <c r="K7" s="66" t="n">
        <f aca="false">IF(OR($B7="",NOT(Setup!$F$19="Yes")),"",I7-J7)</f>
        <v>15</v>
      </c>
      <c r="L7" s="65" t="n">
        <f aca="false">IF(OR($B7="",NOT(Setup!$F$20="Yes")),"",MIN(N(Employees!H$6),Setup!$E$20)+ROUND(Setup!$C$20*IF(Setup!$D$20="Monthly",$E7,$D7)/12*2,0)/2)</f>
        <v>25.5</v>
      </c>
      <c r="M7" s="65" t="n">
        <f aca="false">IF($B7="","",SUMIFS('Leave Register'!$H$6:$H$305,'Leave Register'!$B$6:$B$305,$B7,'Leave Register'!$D$6:$D$305,Setup!$A$20,'Leave Register'!$J$6:$J$305,"Approved",'Leave Register'!$E$6:$E$305,"&gt;="&amp;Setup!$C$12,'Leave Register'!$E$6:$E$305,"&lt;="&amp;Setup!$C$13))</f>
        <v>0</v>
      </c>
      <c r="N7" s="66" t="n">
        <f aca="false">IF(OR($B7="",NOT(Setup!$F$20="Yes")),"",L7-M7)</f>
        <v>25.5</v>
      </c>
      <c r="O7" s="65" t="n">
        <f aca="false">IF(OR($B7="",NOT(Setup!$F$21="Yes")),"",MIN(N(Employees!I$6),Setup!$E$21)+ROUND(Setup!$C$21*IF(Setup!$D$21="Monthly",$E7,$D7)/12*2,0)/2)</f>
        <v>0</v>
      </c>
      <c r="P7" s="65" t="n">
        <f aca="false">IF($B7="","",SUMIFS('Leave Register'!$H$6:$H$305,'Leave Register'!$B$6:$B$305,$B7,'Leave Register'!$D$6:$D$305,Setup!$A$21,'Leave Register'!$J$6:$J$305,"Approved",'Leave Register'!$E$6:$E$305,"&gt;="&amp;Setup!$C$12,'Leave Register'!$E$6:$E$305,"&lt;="&amp;Setup!$C$13))</f>
        <v>0</v>
      </c>
      <c r="Q7" s="66" t="n">
        <f aca="false">IF(OR($B7="",NOT(Setup!$F$21="Yes")),"",O7-P7)</f>
        <v>0</v>
      </c>
      <c r="R7" s="65" t="str">
        <f aca="false">IF(OR($B7="",NOT(Setup!$F$22="Yes")),"",MIN(N(Employees!J$6),Setup!$E$22)+ROUND(Setup!$C$22*IF(Setup!$D$22="Monthly",$E7,$D7)/12*2,0)/2)</f>
        <v/>
      </c>
      <c r="S7" s="65" t="n">
        <f aca="false">IF($B7="","",SUMIFS('Leave Register'!$H$6:$H$305,'Leave Register'!$B$6:$B$305,$B7,'Leave Register'!$D$6:$D$305,Setup!$A$22,'Leave Register'!$J$6:$J$305,"Approved",'Leave Register'!$E$6:$E$305,"&gt;="&amp;Setup!$C$12,'Leave Register'!$E$6:$E$305,"&lt;="&amp;Setup!$C$13))</f>
        <v>0</v>
      </c>
      <c r="T7" s="66" t="str">
        <f aca="false">IF(OR($B7="",NOT(Setup!$F$22="Yes")),"",R7-S7)</f>
        <v/>
      </c>
      <c r="U7" s="65" t="str">
        <f aca="false">IF(OR($B7="",NOT(Setup!$F$23="Yes")),"",MIN(N(Employees!K$6),Setup!$E$23)+ROUND(Setup!$C$23*IF(Setup!$D$23="Monthly",$E7,$D7)/12*2,0)/2)</f>
        <v/>
      </c>
      <c r="V7" s="65" t="n">
        <f aca="false">IF($B7="","",SUMIFS('Leave Register'!$H$6:$H$305,'Leave Register'!$B$6:$B$305,$B7,'Leave Register'!$D$6:$D$305,Setup!$A$23,'Leave Register'!$J$6:$J$305,"Approved",'Leave Register'!$E$6:$E$305,"&gt;="&amp;Setup!$C$12,'Leave Register'!$E$6:$E$305,"&lt;="&amp;Setup!$C$13))</f>
        <v>0</v>
      </c>
      <c r="W7" s="66" t="str">
        <f aca="false">IF(OR($B7="",NOT(Setup!$F$23="Yes")),"",U7-V7)</f>
        <v/>
      </c>
      <c r="X7" s="67" t="n">
        <f aca="false">IF(B7="","",SUMIFS('Leave Register'!$H$6:$H$305,'Leave Register'!$B$6:$B$305,$B7,'Leave Register'!$J$6:$J$305,"Pending"))</f>
        <v>0</v>
      </c>
      <c r="Y7" s="68" t="n">
        <f aca="false">IF(B7="","",IF(Setup!$F$18="No",G7,0)+IF(Setup!$F$19="No",J7,0)+IF(Setup!$F$20="No",M7,0)+IF(Setup!$F$21="No",P7,0)+IF(Setup!$F$22="No",S7,0)+IF(Setup!$F$23="No",V7,0))</f>
        <v>0</v>
      </c>
    </row>
    <row r="8" customFormat="false" ht="15" hidden="false" customHeight="false" outlineLevel="0" collapsed="false">
      <c r="A8" s="51" t="n">
        <f aca="false">IF(B8="","",ROW()-5)</f>
        <v>3</v>
      </c>
      <c r="B8" s="63" t="str">
        <f aca="false">IF(Employees!$B$7="","",Employees!$B$7)</f>
        <v>XE003</v>
      </c>
      <c r="C8" s="10" t="str">
        <f aca="false">IF(B8="","",Employees!$C$7)</f>
        <v>Amit Verma</v>
      </c>
      <c r="D8" s="64" t="n">
        <f aca="false">IF(B8="","",IF(N(Employees!$E$7)&gt;Setup!$C$13,0,MAX(0,MIN(12,(YEAR(Setup!$C$13)-YEAR(IF(AND(Setup!$C$8="Yes",N(Employees!$E$7)&gt;Setup!$C$12),DATE(YEAR(Employees!$E$7),MONTH(Employees!$E$7),1),Setup!$C$12)))*12+MONTH(Setup!$C$13)-MONTH(IF(AND(Setup!$C$8="Yes",N(Employees!$E$7)&gt;Setup!$C$12),DATE(YEAR(Employees!$E$7),MONTH(Employees!$E$7),1),Setup!$C$12))+1))))</f>
        <v>12</v>
      </c>
      <c r="E8" s="64" t="n">
        <f aca="false">IF(B8="","",IF(OR(N(Employees!$E$7)&gt;Setup!$C$13,Setup!$C$9&lt;IF(AND(Setup!$C$8="Yes",N(Employees!$E$7)&gt;Setup!$C$12),DATE(YEAR(Employees!$E$7),MONTH(Employees!$E$7),1),Setup!$C$12)),0,MAX(0,MIN(12,(YEAR(MIN(Setup!$C$9,Setup!$C$13))-YEAR(IF(AND(Setup!$C$8="Yes",N(Employees!$E$7)&gt;Setup!$C$12),DATE(YEAR(Employees!$E$7),MONTH(Employees!$E$7),1),Setup!$C$12)))*12+MONTH(MIN(Setup!$C$9,Setup!$C$13))-MONTH(IF(AND(Setup!$C$8="Yes",N(Employees!$E$7)&gt;Setup!$C$12),DATE(YEAR(Employees!$E$7),MONTH(Employees!$E$7),1),Setup!$C$12))+1))))</f>
        <v>9</v>
      </c>
      <c r="F8" s="65" t="n">
        <f aca="false">IF(OR($B8="",NOT(Setup!$F$18="Yes")),"",MIN(N(Employees!F$7),Setup!$E$18)+ROUND(Setup!$C$18*IF(Setup!$D$18="Monthly",$E8,$D8)/12*2,0)/2)</f>
        <v>12</v>
      </c>
      <c r="G8" s="65" t="n">
        <f aca="false">IF($B8="","",SUMIFS('Leave Register'!$H$6:$H$305,'Leave Register'!$B$6:$B$305,$B8,'Leave Register'!$D$6:$D$305,Setup!$A$18,'Leave Register'!$J$6:$J$305,"Approved",'Leave Register'!$E$6:$E$305,"&gt;="&amp;Setup!$C$12,'Leave Register'!$E$6:$E$305,"&lt;="&amp;Setup!$C$13))</f>
        <v>0</v>
      </c>
      <c r="H8" s="66" t="n">
        <f aca="false">IF(OR($B8="",NOT(Setup!$F$18="Yes")),"",F8-G8)</f>
        <v>12</v>
      </c>
      <c r="I8" s="65" t="n">
        <f aca="false">IF(OR($B8="",NOT(Setup!$F$19="Yes")),"",MIN(N(Employees!G$7),Setup!$E$19)+ROUND(Setup!$C$19*IF(Setup!$D$19="Monthly",$E8,$D8)/12*2,0)/2)</f>
        <v>16</v>
      </c>
      <c r="J8" s="65" t="n">
        <f aca="false">IF($B8="","",SUMIFS('Leave Register'!$H$6:$H$305,'Leave Register'!$B$6:$B$305,$B8,'Leave Register'!$D$6:$D$305,Setup!$A$19,'Leave Register'!$J$6:$J$305,"Approved",'Leave Register'!$E$6:$E$305,"&gt;="&amp;Setup!$C$12,'Leave Register'!$E$6:$E$305,"&lt;="&amp;Setup!$C$13))</f>
        <v>0</v>
      </c>
      <c r="K8" s="66" t="n">
        <f aca="false">IF(OR($B8="",NOT(Setup!$F$19="Yes")),"",I8-J8)</f>
        <v>16</v>
      </c>
      <c r="L8" s="65" t="n">
        <f aca="false">IF(OR($B8="",NOT(Setup!$F$20="Yes")),"",MIN(N(Employees!H$7),Setup!$E$20)+ROUND(Setup!$C$20*IF(Setup!$D$20="Monthly",$E8,$D8)/12*2,0)/2)</f>
        <v>19.5</v>
      </c>
      <c r="M8" s="65" t="n">
        <f aca="false">IF($B8="","",SUMIFS('Leave Register'!$H$6:$H$305,'Leave Register'!$B$6:$B$305,$B8,'Leave Register'!$D$6:$D$305,Setup!$A$20,'Leave Register'!$J$6:$J$305,"Approved",'Leave Register'!$E$6:$E$305,"&gt;="&amp;Setup!$C$12,'Leave Register'!$E$6:$E$305,"&lt;="&amp;Setup!$C$13))</f>
        <v>0</v>
      </c>
      <c r="N8" s="66" t="n">
        <f aca="false">IF(OR($B8="",NOT(Setup!$F$20="Yes")),"",L8-M8)</f>
        <v>19.5</v>
      </c>
      <c r="O8" s="65" t="n">
        <f aca="false">IF(OR($B8="",NOT(Setup!$F$21="Yes")),"",MIN(N(Employees!I$7),Setup!$E$21)+ROUND(Setup!$C$21*IF(Setup!$D$21="Monthly",$E8,$D8)/12*2,0)/2)</f>
        <v>2</v>
      </c>
      <c r="P8" s="65" t="n">
        <f aca="false">IF($B8="","",SUMIFS('Leave Register'!$H$6:$H$305,'Leave Register'!$B$6:$B$305,$B8,'Leave Register'!$D$6:$D$305,Setup!$A$21,'Leave Register'!$J$6:$J$305,"Approved",'Leave Register'!$E$6:$E$305,"&gt;="&amp;Setup!$C$12,'Leave Register'!$E$6:$E$305,"&lt;="&amp;Setup!$C$13))</f>
        <v>0</v>
      </c>
      <c r="Q8" s="66" t="n">
        <f aca="false">IF(OR($B8="",NOT(Setup!$F$21="Yes")),"",O8-P8)</f>
        <v>2</v>
      </c>
      <c r="R8" s="65" t="str">
        <f aca="false">IF(OR($B8="",NOT(Setup!$F$22="Yes")),"",MIN(N(Employees!J$7),Setup!$E$22)+ROUND(Setup!$C$22*IF(Setup!$D$22="Monthly",$E8,$D8)/12*2,0)/2)</f>
        <v/>
      </c>
      <c r="S8" s="65" t="n">
        <f aca="false">IF($B8="","",SUMIFS('Leave Register'!$H$6:$H$305,'Leave Register'!$B$6:$B$305,$B8,'Leave Register'!$D$6:$D$305,Setup!$A$22,'Leave Register'!$J$6:$J$305,"Approved",'Leave Register'!$E$6:$E$305,"&gt;="&amp;Setup!$C$12,'Leave Register'!$E$6:$E$305,"&lt;="&amp;Setup!$C$13))</f>
        <v>5</v>
      </c>
      <c r="T8" s="66" t="str">
        <f aca="false">IF(OR($B8="",NOT(Setup!$F$22="Yes")),"",R8-S8)</f>
        <v/>
      </c>
      <c r="U8" s="65" t="str">
        <f aca="false">IF(OR($B8="",NOT(Setup!$F$23="Yes")),"",MIN(N(Employees!K$7),Setup!$E$23)+ROUND(Setup!$C$23*IF(Setup!$D$23="Monthly",$E8,$D8)/12*2,0)/2)</f>
        <v/>
      </c>
      <c r="V8" s="65" t="n">
        <f aca="false">IF($B8="","",SUMIFS('Leave Register'!$H$6:$H$305,'Leave Register'!$B$6:$B$305,$B8,'Leave Register'!$D$6:$D$305,Setup!$A$23,'Leave Register'!$J$6:$J$305,"Approved",'Leave Register'!$E$6:$E$305,"&gt;="&amp;Setup!$C$12,'Leave Register'!$E$6:$E$305,"&lt;="&amp;Setup!$C$13))</f>
        <v>0</v>
      </c>
      <c r="W8" s="66" t="str">
        <f aca="false">IF(OR($B8="",NOT(Setup!$F$23="Yes")),"",U8-V8)</f>
        <v/>
      </c>
      <c r="X8" s="67" t="n">
        <f aca="false">IF(B8="","",SUMIFS('Leave Register'!$H$6:$H$305,'Leave Register'!$B$6:$B$305,$B8,'Leave Register'!$J$6:$J$305,"Pending"))</f>
        <v>0</v>
      </c>
      <c r="Y8" s="68" t="n">
        <f aca="false">IF(B8="","",IF(Setup!$F$18="No",G8,0)+IF(Setup!$F$19="No",J8,0)+IF(Setup!$F$20="No",M8,0)+IF(Setup!$F$21="No",P8,0)+IF(Setup!$F$22="No",S8,0)+IF(Setup!$F$23="No",V8,0))</f>
        <v>5</v>
      </c>
    </row>
    <row r="9" customFormat="false" ht="15" hidden="false" customHeight="false" outlineLevel="0" collapsed="false">
      <c r="A9" s="51" t="n">
        <f aca="false">IF(B9="","",ROW()-5)</f>
        <v>4</v>
      </c>
      <c r="B9" s="63" t="str">
        <f aca="false">IF(Employees!$B$8="","",Employees!$B$8)</f>
        <v>XE004</v>
      </c>
      <c r="C9" s="10" t="str">
        <f aca="false">IF(B9="","",Employees!$C$8)</f>
        <v>Neha Gupta</v>
      </c>
      <c r="D9" s="64" t="n">
        <f aca="false">IF(B9="","",IF(N(Employees!$E$8)&gt;Setup!$C$13,0,MAX(0,MIN(12,(YEAR(Setup!$C$13)-YEAR(IF(AND(Setup!$C$8="Yes",N(Employees!$E$8)&gt;Setup!$C$12),DATE(YEAR(Employees!$E$8),MONTH(Employees!$E$8),1),Setup!$C$12)))*12+MONTH(Setup!$C$13)-MONTH(IF(AND(Setup!$C$8="Yes",N(Employees!$E$8)&gt;Setup!$C$12),DATE(YEAR(Employees!$E$8),MONTH(Employees!$E$8),1),Setup!$C$12))+1))))</f>
        <v>12</v>
      </c>
      <c r="E9" s="64" t="n">
        <f aca="false">IF(B9="","",IF(OR(N(Employees!$E$8)&gt;Setup!$C$13,Setup!$C$9&lt;IF(AND(Setup!$C$8="Yes",N(Employees!$E$8)&gt;Setup!$C$12),DATE(YEAR(Employees!$E$8),MONTH(Employees!$E$8),1),Setup!$C$12)),0,MAX(0,MIN(12,(YEAR(MIN(Setup!$C$9,Setup!$C$13))-YEAR(IF(AND(Setup!$C$8="Yes",N(Employees!$E$8)&gt;Setup!$C$12),DATE(YEAR(Employees!$E$8),MONTH(Employees!$E$8),1),Setup!$C$12)))*12+MONTH(MIN(Setup!$C$9,Setup!$C$13))-MONTH(IF(AND(Setup!$C$8="Yes",N(Employees!$E$8)&gt;Setup!$C$12),DATE(YEAR(Employees!$E$8),MONTH(Employees!$E$8),1),Setup!$C$12))+1))))</f>
        <v>9</v>
      </c>
      <c r="F9" s="65" t="n">
        <f aca="false">IF(OR($B9="",NOT(Setup!$F$18="Yes")),"",MIN(N(Employees!F$8),Setup!$E$18)+ROUND(Setup!$C$18*IF(Setup!$D$18="Monthly",$E9,$D9)/12*2,0)/2)</f>
        <v>12</v>
      </c>
      <c r="G9" s="65" t="n">
        <f aca="false">IF($B9="","",SUMIFS('Leave Register'!$H$6:$H$305,'Leave Register'!$B$6:$B$305,$B9,'Leave Register'!$D$6:$D$305,Setup!$A$18,'Leave Register'!$J$6:$J$305,"Approved",'Leave Register'!$E$6:$E$305,"&gt;="&amp;Setup!$C$12,'Leave Register'!$E$6:$E$305,"&lt;="&amp;Setup!$C$13))</f>
        <v>0</v>
      </c>
      <c r="H9" s="66" t="n">
        <f aca="false">IF(OR($B9="",NOT(Setup!$F$18="Yes")),"",F9-G9)</f>
        <v>12</v>
      </c>
      <c r="I9" s="65" t="n">
        <f aca="false">IF(OR($B9="",NOT(Setup!$F$19="Yes")),"",MIN(N(Employees!G$8),Setup!$E$19)+ROUND(Setup!$C$19*IF(Setup!$D$19="Monthly",$E9,$D9)/12*2,0)/2)</f>
        <v>24</v>
      </c>
      <c r="J9" s="65" t="n">
        <f aca="false">IF($B9="","",SUMIFS('Leave Register'!$H$6:$H$305,'Leave Register'!$B$6:$B$305,$B9,'Leave Register'!$D$6:$D$305,Setup!$A$19,'Leave Register'!$J$6:$J$305,"Approved",'Leave Register'!$E$6:$E$305,"&gt;="&amp;Setup!$C$12,'Leave Register'!$E$6:$E$305,"&lt;="&amp;Setup!$C$13))</f>
        <v>0</v>
      </c>
      <c r="K9" s="66" t="n">
        <f aca="false">IF(OR($B9="",NOT(Setup!$F$19="Yes")),"",I9-J9)</f>
        <v>24</v>
      </c>
      <c r="L9" s="65" t="n">
        <f aca="false">IF(OR($B9="",NOT(Setup!$F$20="Yes")),"",MIN(N(Employees!H$8),Setup!$E$20)+ROUND(Setup!$C$20*IF(Setup!$D$20="Monthly",$E9,$D9)/12*2,0)/2)</f>
        <v>51.5</v>
      </c>
      <c r="M9" s="65" t="n">
        <f aca="false">IF($B9="","",SUMIFS('Leave Register'!$H$6:$H$305,'Leave Register'!$B$6:$B$305,$B9,'Leave Register'!$D$6:$D$305,Setup!$A$20,'Leave Register'!$J$6:$J$305,"Approved",'Leave Register'!$E$6:$E$305,"&gt;="&amp;Setup!$C$12,'Leave Register'!$E$6:$E$305,"&lt;="&amp;Setup!$C$13))</f>
        <v>10</v>
      </c>
      <c r="N9" s="66" t="n">
        <f aca="false">IF(OR($B9="",NOT(Setup!$F$20="Yes")),"",L9-M9)</f>
        <v>41.5</v>
      </c>
      <c r="O9" s="65" t="n">
        <f aca="false">IF(OR($B9="",NOT(Setup!$F$21="Yes")),"",MIN(N(Employees!I$8),Setup!$E$21)+ROUND(Setup!$C$21*IF(Setup!$D$21="Monthly",$E9,$D9)/12*2,0)/2)</f>
        <v>0</v>
      </c>
      <c r="P9" s="65" t="n">
        <f aca="false">IF($B9="","",SUMIFS('Leave Register'!$H$6:$H$305,'Leave Register'!$B$6:$B$305,$B9,'Leave Register'!$D$6:$D$305,Setup!$A$21,'Leave Register'!$J$6:$J$305,"Approved",'Leave Register'!$E$6:$E$305,"&gt;="&amp;Setup!$C$12,'Leave Register'!$E$6:$E$305,"&lt;="&amp;Setup!$C$13))</f>
        <v>0</v>
      </c>
      <c r="Q9" s="66" t="n">
        <f aca="false">IF(OR($B9="",NOT(Setup!$F$21="Yes")),"",O9-P9)</f>
        <v>0</v>
      </c>
      <c r="R9" s="65" t="str">
        <f aca="false">IF(OR($B9="",NOT(Setup!$F$22="Yes")),"",MIN(N(Employees!J$8),Setup!$E$22)+ROUND(Setup!$C$22*IF(Setup!$D$22="Monthly",$E9,$D9)/12*2,0)/2)</f>
        <v/>
      </c>
      <c r="S9" s="65" t="n">
        <f aca="false">IF($B9="","",SUMIFS('Leave Register'!$H$6:$H$305,'Leave Register'!$B$6:$B$305,$B9,'Leave Register'!$D$6:$D$305,Setup!$A$22,'Leave Register'!$J$6:$J$305,"Approved",'Leave Register'!$E$6:$E$305,"&gt;="&amp;Setup!$C$12,'Leave Register'!$E$6:$E$305,"&lt;="&amp;Setup!$C$13))</f>
        <v>0</v>
      </c>
      <c r="T9" s="66" t="str">
        <f aca="false">IF(OR($B9="",NOT(Setup!$F$22="Yes")),"",R9-S9)</f>
        <v/>
      </c>
      <c r="U9" s="65" t="str">
        <f aca="false">IF(OR($B9="",NOT(Setup!$F$23="Yes")),"",MIN(N(Employees!K$8),Setup!$E$23)+ROUND(Setup!$C$23*IF(Setup!$D$23="Monthly",$E9,$D9)/12*2,0)/2)</f>
        <v/>
      </c>
      <c r="V9" s="65" t="n">
        <f aca="false">IF($B9="","",SUMIFS('Leave Register'!$H$6:$H$305,'Leave Register'!$B$6:$B$305,$B9,'Leave Register'!$D$6:$D$305,Setup!$A$23,'Leave Register'!$J$6:$J$305,"Approved",'Leave Register'!$E$6:$E$305,"&gt;="&amp;Setup!$C$12,'Leave Register'!$E$6:$E$305,"&lt;="&amp;Setup!$C$13))</f>
        <v>0</v>
      </c>
      <c r="W9" s="66" t="str">
        <f aca="false">IF(OR($B9="",NOT(Setup!$F$23="Yes")),"",U9-V9)</f>
        <v/>
      </c>
      <c r="X9" s="67" t="n">
        <f aca="false">IF(B9="","",SUMIFS('Leave Register'!$H$6:$H$305,'Leave Register'!$B$6:$B$305,$B9,'Leave Register'!$J$6:$J$305,"Pending"))</f>
        <v>0</v>
      </c>
      <c r="Y9" s="68" t="n">
        <f aca="false">IF(B9="","",IF(Setup!$F$18="No",G9,0)+IF(Setup!$F$19="No",J9,0)+IF(Setup!$F$20="No",M9,0)+IF(Setup!$F$21="No",P9,0)+IF(Setup!$F$22="No",S9,0)+IF(Setup!$F$23="No",V9,0))</f>
        <v>0</v>
      </c>
    </row>
    <row r="10" customFormat="false" ht="15" hidden="false" customHeight="false" outlineLevel="0" collapsed="false">
      <c r="A10" s="51" t="n">
        <f aca="false">IF(B10="","",ROW()-5)</f>
        <v>5</v>
      </c>
      <c r="B10" s="63" t="str">
        <f aca="false">IF(Employees!$B$9="","",Employees!$B$9)</f>
        <v>XE005</v>
      </c>
      <c r="C10" s="10" t="str">
        <f aca="false">IF(B10="","",Employees!$C$9)</f>
        <v>Gurpreet Kaur</v>
      </c>
      <c r="D10" s="64" t="n">
        <f aca="false">IF(B10="","",IF(N(Employees!$E$9)&gt;Setup!$C$13,0,MAX(0,MIN(12,(YEAR(Setup!$C$13)-YEAR(IF(AND(Setup!$C$8="Yes",N(Employees!$E$9)&gt;Setup!$C$12),DATE(YEAR(Employees!$E$9),MONTH(Employees!$E$9),1),Setup!$C$12)))*12+MONTH(Setup!$C$13)-MONTH(IF(AND(Setup!$C$8="Yes",N(Employees!$E$9)&gt;Setup!$C$12),DATE(YEAR(Employees!$E$9),MONTH(Employees!$E$9),1),Setup!$C$12))+1))))</f>
        <v>8</v>
      </c>
      <c r="E10" s="64" t="n">
        <f aca="false">IF(B10="","",IF(OR(N(Employees!$E$9)&gt;Setup!$C$13,Setup!$C$9&lt;IF(AND(Setup!$C$8="Yes",N(Employees!$E$9)&gt;Setup!$C$12),DATE(YEAR(Employees!$E$9),MONTH(Employees!$E$9),1),Setup!$C$12)),0,MAX(0,MIN(12,(YEAR(MIN(Setup!$C$9,Setup!$C$13))-YEAR(IF(AND(Setup!$C$8="Yes",N(Employees!$E$9)&gt;Setup!$C$12),DATE(YEAR(Employees!$E$9),MONTH(Employees!$E$9),1),Setup!$C$12)))*12+MONTH(MIN(Setup!$C$9,Setup!$C$13))-MONTH(IF(AND(Setup!$C$8="Yes",N(Employees!$E$9)&gt;Setup!$C$12),DATE(YEAR(Employees!$E$9),MONTH(Employees!$E$9),1),Setup!$C$12))+1))))</f>
        <v>5</v>
      </c>
      <c r="F10" s="65" t="n">
        <f aca="false">IF(OR($B10="",NOT(Setup!$F$18="Yes")),"",MIN(N(Employees!F$9),Setup!$E$18)+ROUND(Setup!$C$18*IF(Setup!$D$18="Monthly",$E10,$D10)/12*2,0)/2)</f>
        <v>8</v>
      </c>
      <c r="G10" s="65" t="n">
        <f aca="false">IF($B10="","",SUMIFS('Leave Register'!$H$6:$H$305,'Leave Register'!$B$6:$B$305,$B10,'Leave Register'!$D$6:$D$305,Setup!$A$18,'Leave Register'!$J$6:$J$305,"Approved",'Leave Register'!$E$6:$E$305,"&gt;="&amp;Setup!$C$12,'Leave Register'!$E$6:$E$305,"&lt;="&amp;Setup!$C$13))</f>
        <v>2</v>
      </c>
      <c r="H10" s="66" t="n">
        <f aca="false">IF(OR($B10="",NOT(Setup!$F$18="Yes")),"",F10-G10)</f>
        <v>6</v>
      </c>
      <c r="I10" s="65" t="n">
        <f aca="false">IF(OR($B10="",NOT(Setup!$F$19="Yes")),"",MIN(N(Employees!G$9),Setup!$E$19)+ROUND(Setup!$C$19*IF(Setup!$D$19="Monthly",$E10,$D10)/12*2,0)/2)</f>
        <v>8</v>
      </c>
      <c r="J10" s="65" t="n">
        <f aca="false">IF($B10="","",SUMIFS('Leave Register'!$H$6:$H$305,'Leave Register'!$B$6:$B$305,$B10,'Leave Register'!$D$6:$D$305,Setup!$A$19,'Leave Register'!$J$6:$J$305,"Approved",'Leave Register'!$E$6:$E$305,"&gt;="&amp;Setup!$C$12,'Leave Register'!$E$6:$E$305,"&lt;="&amp;Setup!$C$13))</f>
        <v>0</v>
      </c>
      <c r="K10" s="66" t="n">
        <f aca="false">IF(OR($B10="",NOT(Setup!$F$19="Yes")),"",I10-J10)</f>
        <v>8</v>
      </c>
      <c r="L10" s="65" t="n">
        <f aca="false">IF(OR($B10="",NOT(Setup!$F$20="Yes")),"",MIN(N(Employees!H$9),Setup!$E$20)+ROUND(Setup!$C$20*IF(Setup!$D$20="Monthly",$E10,$D10)/12*2,0)/2)</f>
        <v>6.5</v>
      </c>
      <c r="M10" s="65" t="n">
        <f aca="false">IF($B10="","",SUMIFS('Leave Register'!$H$6:$H$305,'Leave Register'!$B$6:$B$305,$B10,'Leave Register'!$D$6:$D$305,Setup!$A$20,'Leave Register'!$J$6:$J$305,"Approved",'Leave Register'!$E$6:$E$305,"&gt;="&amp;Setup!$C$12,'Leave Register'!$E$6:$E$305,"&lt;="&amp;Setup!$C$13))</f>
        <v>0</v>
      </c>
      <c r="N10" s="66" t="n">
        <f aca="false">IF(OR($B10="",NOT(Setup!$F$20="Yes")),"",L10-M10)</f>
        <v>6.5</v>
      </c>
      <c r="O10" s="65" t="n">
        <f aca="false">IF(OR($B10="",NOT(Setup!$F$21="Yes")),"",MIN(N(Employees!I$9),Setup!$E$21)+ROUND(Setup!$C$21*IF(Setup!$D$21="Monthly",$E10,$D10)/12*2,0)/2)</f>
        <v>0</v>
      </c>
      <c r="P10" s="65" t="n">
        <f aca="false">IF($B10="","",SUMIFS('Leave Register'!$H$6:$H$305,'Leave Register'!$B$6:$B$305,$B10,'Leave Register'!$D$6:$D$305,Setup!$A$21,'Leave Register'!$J$6:$J$305,"Approved",'Leave Register'!$E$6:$E$305,"&gt;="&amp;Setup!$C$12,'Leave Register'!$E$6:$E$305,"&lt;="&amp;Setup!$C$13))</f>
        <v>0</v>
      </c>
      <c r="Q10" s="66" t="n">
        <f aca="false">IF(OR($B10="",NOT(Setup!$F$21="Yes")),"",O10-P10)</f>
        <v>0</v>
      </c>
      <c r="R10" s="65" t="str">
        <f aca="false">IF(OR($B10="",NOT(Setup!$F$22="Yes")),"",MIN(N(Employees!J$9),Setup!$E$22)+ROUND(Setup!$C$22*IF(Setup!$D$22="Monthly",$E10,$D10)/12*2,0)/2)</f>
        <v/>
      </c>
      <c r="S10" s="65" t="n">
        <f aca="false">IF($B10="","",SUMIFS('Leave Register'!$H$6:$H$305,'Leave Register'!$B$6:$B$305,$B10,'Leave Register'!$D$6:$D$305,Setup!$A$22,'Leave Register'!$J$6:$J$305,"Approved",'Leave Register'!$E$6:$E$305,"&gt;="&amp;Setup!$C$12,'Leave Register'!$E$6:$E$305,"&lt;="&amp;Setup!$C$13))</f>
        <v>0</v>
      </c>
      <c r="T10" s="66" t="str">
        <f aca="false">IF(OR($B10="",NOT(Setup!$F$22="Yes")),"",R10-S10)</f>
        <v/>
      </c>
      <c r="U10" s="65" t="str">
        <f aca="false">IF(OR($B10="",NOT(Setup!$F$23="Yes")),"",MIN(N(Employees!K$9),Setup!$E$23)+ROUND(Setup!$C$23*IF(Setup!$D$23="Monthly",$E10,$D10)/12*2,0)/2)</f>
        <v/>
      </c>
      <c r="V10" s="65" t="n">
        <f aca="false">IF($B10="","",SUMIFS('Leave Register'!$H$6:$H$305,'Leave Register'!$B$6:$B$305,$B10,'Leave Register'!$D$6:$D$305,Setup!$A$23,'Leave Register'!$J$6:$J$305,"Approved",'Leave Register'!$E$6:$E$305,"&gt;="&amp;Setup!$C$12,'Leave Register'!$E$6:$E$305,"&lt;="&amp;Setup!$C$13))</f>
        <v>0</v>
      </c>
      <c r="W10" s="66" t="str">
        <f aca="false">IF(OR($B10="",NOT(Setup!$F$23="Yes")),"",U10-V10)</f>
        <v/>
      </c>
      <c r="X10" s="67" t="n">
        <f aca="false">IF(B10="","",SUMIFS('Leave Register'!$H$6:$H$305,'Leave Register'!$B$6:$B$305,$B10,'Leave Register'!$J$6:$J$305,"Pending"))</f>
        <v>3</v>
      </c>
      <c r="Y10" s="68" t="n">
        <f aca="false">IF(B10="","",IF(Setup!$F$18="No",G10,0)+IF(Setup!$F$19="No",J10,0)+IF(Setup!$F$20="No",M10,0)+IF(Setup!$F$21="No",P10,0)+IF(Setup!$F$22="No",S10,0)+IF(Setup!$F$23="No",V10,0))</f>
        <v>0</v>
      </c>
    </row>
    <row r="11" customFormat="false" ht="15" hidden="false" customHeight="false" outlineLevel="0" collapsed="false">
      <c r="A11" s="51" t="n">
        <f aca="false">IF(B11="","",ROW()-5)</f>
        <v>6</v>
      </c>
      <c r="B11" s="63" t="str">
        <f aca="false">IF(Employees!$B$10="","",Employees!$B$10)</f>
        <v>XE006</v>
      </c>
      <c r="C11" s="10" t="str">
        <f aca="false">IF(B11="","",Employees!$C$10)</f>
        <v>Rajesh Kumar</v>
      </c>
      <c r="D11" s="64" t="n">
        <f aca="false">IF(B11="","",IF(N(Employees!$E$10)&gt;Setup!$C$13,0,MAX(0,MIN(12,(YEAR(Setup!$C$13)-YEAR(IF(AND(Setup!$C$8="Yes",N(Employees!$E$10)&gt;Setup!$C$12),DATE(YEAR(Employees!$E$10),MONTH(Employees!$E$10),1),Setup!$C$12)))*12+MONTH(Setup!$C$13)-MONTH(IF(AND(Setup!$C$8="Yes",N(Employees!$E$10)&gt;Setup!$C$12),DATE(YEAR(Employees!$E$10),MONTH(Employees!$E$10),1),Setup!$C$12))+1))))</f>
        <v>12</v>
      </c>
      <c r="E11" s="64" t="n">
        <f aca="false">IF(B11="","",IF(OR(N(Employees!$E$10)&gt;Setup!$C$13,Setup!$C$9&lt;IF(AND(Setup!$C$8="Yes",N(Employees!$E$10)&gt;Setup!$C$12),DATE(YEAR(Employees!$E$10),MONTH(Employees!$E$10),1),Setup!$C$12)),0,MAX(0,MIN(12,(YEAR(MIN(Setup!$C$9,Setup!$C$13))-YEAR(IF(AND(Setup!$C$8="Yes",N(Employees!$E$10)&gt;Setup!$C$12),DATE(YEAR(Employees!$E$10),MONTH(Employees!$E$10),1),Setup!$C$12)))*12+MONTH(MIN(Setup!$C$9,Setup!$C$13))-MONTH(IF(AND(Setup!$C$8="Yes",N(Employees!$E$10)&gt;Setup!$C$12),DATE(YEAR(Employees!$E$10),MONTH(Employees!$E$10),1),Setup!$C$12))+1))))</f>
        <v>9</v>
      </c>
      <c r="F11" s="65" t="n">
        <f aca="false">IF(OR($B11="",NOT(Setup!$F$18="Yes")),"",MIN(N(Employees!F$10),Setup!$E$18)+ROUND(Setup!$C$18*IF(Setup!$D$18="Monthly",$E11,$D11)/12*2,0)/2)</f>
        <v>12</v>
      </c>
      <c r="G11" s="65" t="n">
        <f aca="false">IF($B11="","",SUMIFS('Leave Register'!$H$6:$H$305,'Leave Register'!$B$6:$B$305,$B11,'Leave Register'!$D$6:$D$305,Setup!$A$18,'Leave Register'!$J$6:$J$305,"Approved",'Leave Register'!$E$6:$E$305,"&gt;="&amp;Setup!$C$12,'Leave Register'!$E$6:$E$305,"&lt;="&amp;Setup!$C$13))</f>
        <v>0</v>
      </c>
      <c r="H11" s="66" t="n">
        <f aca="false">IF(OR($B11="",NOT(Setup!$F$18="Yes")),"",F11-G11)</f>
        <v>12</v>
      </c>
      <c r="I11" s="65" t="n">
        <f aca="false">IF(OR($B11="",NOT(Setup!$F$19="Yes")),"",MIN(N(Employees!G$10),Setup!$E$19)+ROUND(Setup!$C$19*IF(Setup!$D$19="Monthly",$E11,$D11)/12*2,0)/2)</f>
        <v>20</v>
      </c>
      <c r="J11" s="65" t="n">
        <f aca="false">IF($B11="","",SUMIFS('Leave Register'!$H$6:$H$305,'Leave Register'!$B$6:$B$305,$B11,'Leave Register'!$D$6:$D$305,Setup!$A$19,'Leave Register'!$J$6:$J$305,"Approved",'Leave Register'!$E$6:$E$305,"&gt;="&amp;Setup!$C$12,'Leave Register'!$E$6:$E$305,"&lt;="&amp;Setup!$C$13))</f>
        <v>2</v>
      </c>
      <c r="K11" s="66" t="n">
        <f aca="false">IF(OR($B11="",NOT(Setup!$F$19="Yes")),"",I11-J11)</f>
        <v>18</v>
      </c>
      <c r="L11" s="65" t="n">
        <f aca="false">IF(OR($B11="",NOT(Setup!$F$20="Yes")),"",MIN(N(Employees!H$10),Setup!$E$20)+ROUND(Setup!$C$20*IF(Setup!$D$20="Monthly",$E11,$D11)/12*2,0)/2)</f>
        <v>56.5</v>
      </c>
      <c r="M11" s="65" t="n">
        <f aca="false">IF($B11="","",SUMIFS('Leave Register'!$H$6:$H$305,'Leave Register'!$B$6:$B$305,$B11,'Leave Register'!$D$6:$D$305,Setup!$A$20,'Leave Register'!$J$6:$J$305,"Approved",'Leave Register'!$E$6:$E$305,"&gt;="&amp;Setup!$C$12,'Leave Register'!$E$6:$E$305,"&lt;="&amp;Setup!$C$13))</f>
        <v>0</v>
      </c>
      <c r="N11" s="66" t="n">
        <f aca="false">IF(OR($B11="",NOT(Setup!$F$20="Yes")),"",L11-M11)</f>
        <v>56.5</v>
      </c>
      <c r="O11" s="65" t="n">
        <f aca="false">IF(OR($B11="",NOT(Setup!$F$21="Yes")),"",MIN(N(Employees!I$10),Setup!$E$21)+ROUND(Setup!$C$21*IF(Setup!$D$21="Monthly",$E11,$D11)/12*2,0)/2)</f>
        <v>0</v>
      </c>
      <c r="P11" s="65" t="n">
        <f aca="false">IF($B11="","",SUMIFS('Leave Register'!$H$6:$H$305,'Leave Register'!$B$6:$B$305,$B11,'Leave Register'!$D$6:$D$305,Setup!$A$21,'Leave Register'!$J$6:$J$305,"Approved",'Leave Register'!$E$6:$E$305,"&gt;="&amp;Setup!$C$12,'Leave Register'!$E$6:$E$305,"&lt;="&amp;Setup!$C$13))</f>
        <v>1</v>
      </c>
      <c r="Q11" s="66" t="n">
        <f aca="false">IF(OR($B11="",NOT(Setup!$F$21="Yes")),"",O11-P11)</f>
        <v>-1</v>
      </c>
      <c r="R11" s="65" t="str">
        <f aca="false">IF(OR($B11="",NOT(Setup!$F$22="Yes")),"",MIN(N(Employees!J$10),Setup!$E$22)+ROUND(Setup!$C$22*IF(Setup!$D$22="Monthly",$E11,$D11)/12*2,0)/2)</f>
        <v/>
      </c>
      <c r="S11" s="65" t="n">
        <f aca="false">IF($B11="","",SUMIFS('Leave Register'!$H$6:$H$305,'Leave Register'!$B$6:$B$305,$B11,'Leave Register'!$D$6:$D$305,Setup!$A$22,'Leave Register'!$J$6:$J$305,"Approved",'Leave Register'!$E$6:$E$305,"&gt;="&amp;Setup!$C$12,'Leave Register'!$E$6:$E$305,"&lt;="&amp;Setup!$C$13))</f>
        <v>0</v>
      </c>
      <c r="T11" s="66" t="str">
        <f aca="false">IF(OR($B11="",NOT(Setup!$F$22="Yes")),"",R11-S11)</f>
        <v/>
      </c>
      <c r="U11" s="65" t="str">
        <f aca="false">IF(OR($B11="",NOT(Setup!$F$23="Yes")),"",MIN(N(Employees!K$10),Setup!$E$23)+ROUND(Setup!$C$23*IF(Setup!$D$23="Monthly",$E11,$D11)/12*2,0)/2)</f>
        <v/>
      </c>
      <c r="V11" s="65" t="n">
        <f aca="false">IF($B11="","",SUMIFS('Leave Register'!$H$6:$H$305,'Leave Register'!$B$6:$B$305,$B11,'Leave Register'!$D$6:$D$305,Setup!$A$23,'Leave Register'!$J$6:$J$305,"Approved",'Leave Register'!$E$6:$E$305,"&gt;="&amp;Setup!$C$12,'Leave Register'!$E$6:$E$305,"&lt;="&amp;Setup!$C$13))</f>
        <v>0</v>
      </c>
      <c r="W11" s="66" t="str">
        <f aca="false">IF(OR($B11="",NOT(Setup!$F$23="Yes")),"",U11-V11)</f>
        <v/>
      </c>
      <c r="X11" s="67" t="n">
        <f aca="false">IF(B11="","",SUMIFS('Leave Register'!$H$6:$H$305,'Leave Register'!$B$6:$B$305,$B11,'Leave Register'!$J$6:$J$305,"Pending"))</f>
        <v>0</v>
      </c>
      <c r="Y11" s="68" t="n">
        <f aca="false">IF(B11="","",IF(Setup!$F$18="No",G11,0)+IF(Setup!$F$19="No",J11,0)+IF(Setup!$F$20="No",M11,0)+IF(Setup!$F$21="No",P11,0)+IF(Setup!$F$22="No",S11,0)+IF(Setup!$F$23="No",V11,0))</f>
        <v>0</v>
      </c>
    </row>
    <row r="12" customFormat="false" ht="15" hidden="false" customHeight="false" outlineLevel="0" collapsed="false">
      <c r="A12" s="51" t="str">
        <f aca="false">IF(B12="","",ROW()-5)</f>
        <v/>
      </c>
      <c r="B12" s="63" t="str">
        <f aca="false">IF(Employees!$B$11="","",Employees!$B$11)</f>
        <v/>
      </c>
      <c r="C12" s="10" t="str">
        <f aca="false">IF(B12="","",Employees!$C$11)</f>
        <v/>
      </c>
      <c r="D12" s="64" t="str">
        <f aca="false">IF(B12="","",IF(N(Employees!$E$11)&gt;Setup!$C$13,0,MAX(0,MIN(12,(YEAR(Setup!$C$13)-YEAR(IF(AND(Setup!$C$8="Yes",N(Employees!$E$11)&gt;Setup!$C$12),DATE(YEAR(Employees!$E$11),MONTH(Employees!$E$11),1),Setup!$C$12)))*12+MONTH(Setup!$C$13)-MONTH(IF(AND(Setup!$C$8="Yes",N(Employees!$E$11)&gt;Setup!$C$12),DATE(YEAR(Employees!$E$11),MONTH(Employees!$E$11),1),Setup!$C$12))+1))))</f>
        <v/>
      </c>
      <c r="E12" s="64" t="str">
        <f aca="false">IF(B12="","",IF(OR(N(Employees!$E$11)&gt;Setup!$C$13,Setup!$C$9&lt;IF(AND(Setup!$C$8="Yes",N(Employees!$E$11)&gt;Setup!$C$12),DATE(YEAR(Employees!$E$11),MONTH(Employees!$E$11),1),Setup!$C$12)),0,MAX(0,MIN(12,(YEAR(MIN(Setup!$C$9,Setup!$C$13))-YEAR(IF(AND(Setup!$C$8="Yes",N(Employees!$E$11)&gt;Setup!$C$12),DATE(YEAR(Employees!$E$11),MONTH(Employees!$E$11),1),Setup!$C$12)))*12+MONTH(MIN(Setup!$C$9,Setup!$C$13))-MONTH(IF(AND(Setup!$C$8="Yes",N(Employees!$E$11)&gt;Setup!$C$12),DATE(YEAR(Employees!$E$11),MONTH(Employees!$E$11),1),Setup!$C$12))+1))))</f>
        <v/>
      </c>
      <c r="F12" s="65" t="str">
        <f aca="false">IF(OR($B12="",NOT(Setup!$F$18="Yes")),"",MIN(N(Employees!F$11),Setup!$E$18)+ROUND(Setup!$C$18*IF(Setup!$D$18="Monthly",$E12,$D12)/12*2,0)/2)</f>
        <v/>
      </c>
      <c r="G12" s="65" t="str">
        <f aca="false">IF($B12="","",SUMIFS('Leave Register'!$H$6:$H$305,'Leave Register'!$B$6:$B$305,$B12,'Leave Register'!$D$6:$D$305,Setup!$A$18,'Leave Register'!$J$6:$J$305,"Approved",'Leave Register'!$E$6:$E$305,"&gt;="&amp;Setup!$C$12,'Leave Register'!$E$6:$E$305,"&lt;="&amp;Setup!$C$13))</f>
        <v/>
      </c>
      <c r="H12" s="66" t="str">
        <f aca="false">IF(OR($B12="",NOT(Setup!$F$18="Yes")),"",F12-G12)</f>
        <v/>
      </c>
      <c r="I12" s="65" t="str">
        <f aca="false">IF(OR($B12="",NOT(Setup!$F$19="Yes")),"",MIN(N(Employees!G$11),Setup!$E$19)+ROUND(Setup!$C$19*IF(Setup!$D$19="Monthly",$E12,$D12)/12*2,0)/2)</f>
        <v/>
      </c>
      <c r="J12" s="65" t="str">
        <f aca="false">IF($B12="","",SUMIFS('Leave Register'!$H$6:$H$305,'Leave Register'!$B$6:$B$305,$B12,'Leave Register'!$D$6:$D$305,Setup!$A$19,'Leave Register'!$J$6:$J$305,"Approved",'Leave Register'!$E$6:$E$305,"&gt;="&amp;Setup!$C$12,'Leave Register'!$E$6:$E$305,"&lt;="&amp;Setup!$C$13))</f>
        <v/>
      </c>
      <c r="K12" s="66" t="str">
        <f aca="false">IF(OR($B12="",NOT(Setup!$F$19="Yes")),"",I12-J12)</f>
        <v/>
      </c>
      <c r="L12" s="65" t="str">
        <f aca="false">IF(OR($B12="",NOT(Setup!$F$20="Yes")),"",MIN(N(Employees!H$11),Setup!$E$20)+ROUND(Setup!$C$20*IF(Setup!$D$20="Monthly",$E12,$D12)/12*2,0)/2)</f>
        <v/>
      </c>
      <c r="M12" s="65" t="str">
        <f aca="false">IF($B12="","",SUMIFS('Leave Register'!$H$6:$H$305,'Leave Register'!$B$6:$B$305,$B12,'Leave Register'!$D$6:$D$305,Setup!$A$20,'Leave Register'!$J$6:$J$305,"Approved",'Leave Register'!$E$6:$E$305,"&gt;="&amp;Setup!$C$12,'Leave Register'!$E$6:$E$305,"&lt;="&amp;Setup!$C$13))</f>
        <v/>
      </c>
      <c r="N12" s="66" t="str">
        <f aca="false">IF(OR($B12="",NOT(Setup!$F$20="Yes")),"",L12-M12)</f>
        <v/>
      </c>
      <c r="O12" s="65" t="str">
        <f aca="false">IF(OR($B12="",NOT(Setup!$F$21="Yes")),"",MIN(N(Employees!I$11),Setup!$E$21)+ROUND(Setup!$C$21*IF(Setup!$D$21="Monthly",$E12,$D12)/12*2,0)/2)</f>
        <v/>
      </c>
      <c r="P12" s="65" t="str">
        <f aca="false">IF($B12="","",SUMIFS('Leave Register'!$H$6:$H$305,'Leave Register'!$B$6:$B$305,$B12,'Leave Register'!$D$6:$D$305,Setup!$A$21,'Leave Register'!$J$6:$J$305,"Approved",'Leave Register'!$E$6:$E$305,"&gt;="&amp;Setup!$C$12,'Leave Register'!$E$6:$E$305,"&lt;="&amp;Setup!$C$13))</f>
        <v/>
      </c>
      <c r="Q12" s="66" t="str">
        <f aca="false">IF(OR($B12="",NOT(Setup!$F$21="Yes")),"",O12-P12)</f>
        <v/>
      </c>
      <c r="R12" s="65" t="str">
        <f aca="false">IF(OR($B12="",NOT(Setup!$F$22="Yes")),"",MIN(N(Employees!J$11),Setup!$E$22)+ROUND(Setup!$C$22*IF(Setup!$D$22="Monthly",$E12,$D12)/12*2,0)/2)</f>
        <v/>
      </c>
      <c r="S12" s="65" t="str">
        <f aca="false">IF($B12="","",SUMIFS('Leave Register'!$H$6:$H$305,'Leave Register'!$B$6:$B$305,$B12,'Leave Register'!$D$6:$D$305,Setup!$A$22,'Leave Register'!$J$6:$J$305,"Approved",'Leave Register'!$E$6:$E$305,"&gt;="&amp;Setup!$C$12,'Leave Register'!$E$6:$E$305,"&lt;="&amp;Setup!$C$13))</f>
        <v/>
      </c>
      <c r="T12" s="66" t="str">
        <f aca="false">IF(OR($B12="",NOT(Setup!$F$22="Yes")),"",R12-S12)</f>
        <v/>
      </c>
      <c r="U12" s="65" t="str">
        <f aca="false">IF(OR($B12="",NOT(Setup!$F$23="Yes")),"",MIN(N(Employees!K$11),Setup!$E$23)+ROUND(Setup!$C$23*IF(Setup!$D$23="Monthly",$E12,$D12)/12*2,0)/2)</f>
        <v/>
      </c>
      <c r="V12" s="65" t="str">
        <f aca="false">IF($B12="","",SUMIFS('Leave Register'!$H$6:$H$305,'Leave Register'!$B$6:$B$305,$B12,'Leave Register'!$D$6:$D$305,Setup!$A$23,'Leave Register'!$J$6:$J$305,"Approved",'Leave Register'!$E$6:$E$305,"&gt;="&amp;Setup!$C$12,'Leave Register'!$E$6:$E$305,"&lt;="&amp;Setup!$C$13))</f>
        <v/>
      </c>
      <c r="W12" s="66" t="str">
        <f aca="false">IF(OR($B12="",NOT(Setup!$F$23="Yes")),"",U12-V12)</f>
        <v/>
      </c>
      <c r="X12" s="67" t="str">
        <f aca="false">IF(B12="","",SUMIFS('Leave Register'!$H$6:$H$305,'Leave Register'!$B$6:$B$305,$B12,'Leave Register'!$J$6:$J$305,"Pending"))</f>
        <v/>
      </c>
      <c r="Y12" s="68" t="str">
        <f aca="false">IF(B12="","",IF(Setup!$F$18="No",G12,0)+IF(Setup!$F$19="No",J12,0)+IF(Setup!$F$20="No",M12,0)+IF(Setup!$F$21="No",P12,0)+IF(Setup!$F$22="No",S12,0)+IF(Setup!$F$23="No",V12,0))</f>
        <v/>
      </c>
    </row>
    <row r="13" customFormat="false" ht="15" hidden="false" customHeight="false" outlineLevel="0" collapsed="false">
      <c r="A13" s="51" t="str">
        <f aca="false">IF(B13="","",ROW()-5)</f>
        <v/>
      </c>
      <c r="B13" s="63" t="str">
        <f aca="false">IF(Employees!$B$12="","",Employees!$B$12)</f>
        <v/>
      </c>
      <c r="C13" s="10" t="str">
        <f aca="false">IF(B13="","",Employees!$C$12)</f>
        <v/>
      </c>
      <c r="D13" s="64" t="str">
        <f aca="false">IF(B13="","",IF(N(Employees!$E$12)&gt;Setup!$C$13,0,MAX(0,MIN(12,(YEAR(Setup!$C$13)-YEAR(IF(AND(Setup!$C$8="Yes",N(Employees!$E$12)&gt;Setup!$C$12),DATE(YEAR(Employees!$E$12),MONTH(Employees!$E$12),1),Setup!$C$12)))*12+MONTH(Setup!$C$13)-MONTH(IF(AND(Setup!$C$8="Yes",N(Employees!$E$12)&gt;Setup!$C$12),DATE(YEAR(Employees!$E$12),MONTH(Employees!$E$12),1),Setup!$C$12))+1))))</f>
        <v/>
      </c>
      <c r="E13" s="64" t="str">
        <f aca="false">IF(B13="","",IF(OR(N(Employees!$E$12)&gt;Setup!$C$13,Setup!$C$9&lt;IF(AND(Setup!$C$8="Yes",N(Employees!$E$12)&gt;Setup!$C$12),DATE(YEAR(Employees!$E$12),MONTH(Employees!$E$12),1),Setup!$C$12)),0,MAX(0,MIN(12,(YEAR(MIN(Setup!$C$9,Setup!$C$13))-YEAR(IF(AND(Setup!$C$8="Yes",N(Employees!$E$12)&gt;Setup!$C$12),DATE(YEAR(Employees!$E$12),MONTH(Employees!$E$12),1),Setup!$C$12)))*12+MONTH(MIN(Setup!$C$9,Setup!$C$13))-MONTH(IF(AND(Setup!$C$8="Yes",N(Employees!$E$12)&gt;Setup!$C$12),DATE(YEAR(Employees!$E$12),MONTH(Employees!$E$12),1),Setup!$C$12))+1))))</f>
        <v/>
      </c>
      <c r="F13" s="65" t="str">
        <f aca="false">IF(OR($B13="",NOT(Setup!$F$18="Yes")),"",MIN(N(Employees!F$12),Setup!$E$18)+ROUND(Setup!$C$18*IF(Setup!$D$18="Monthly",$E13,$D13)/12*2,0)/2)</f>
        <v/>
      </c>
      <c r="G13" s="65" t="str">
        <f aca="false">IF($B13="","",SUMIFS('Leave Register'!$H$6:$H$305,'Leave Register'!$B$6:$B$305,$B13,'Leave Register'!$D$6:$D$305,Setup!$A$18,'Leave Register'!$J$6:$J$305,"Approved",'Leave Register'!$E$6:$E$305,"&gt;="&amp;Setup!$C$12,'Leave Register'!$E$6:$E$305,"&lt;="&amp;Setup!$C$13))</f>
        <v/>
      </c>
      <c r="H13" s="66" t="str">
        <f aca="false">IF(OR($B13="",NOT(Setup!$F$18="Yes")),"",F13-G13)</f>
        <v/>
      </c>
      <c r="I13" s="65" t="str">
        <f aca="false">IF(OR($B13="",NOT(Setup!$F$19="Yes")),"",MIN(N(Employees!G$12),Setup!$E$19)+ROUND(Setup!$C$19*IF(Setup!$D$19="Monthly",$E13,$D13)/12*2,0)/2)</f>
        <v/>
      </c>
      <c r="J13" s="65" t="str">
        <f aca="false">IF($B13="","",SUMIFS('Leave Register'!$H$6:$H$305,'Leave Register'!$B$6:$B$305,$B13,'Leave Register'!$D$6:$D$305,Setup!$A$19,'Leave Register'!$J$6:$J$305,"Approved",'Leave Register'!$E$6:$E$305,"&gt;="&amp;Setup!$C$12,'Leave Register'!$E$6:$E$305,"&lt;="&amp;Setup!$C$13))</f>
        <v/>
      </c>
      <c r="K13" s="66" t="str">
        <f aca="false">IF(OR($B13="",NOT(Setup!$F$19="Yes")),"",I13-J13)</f>
        <v/>
      </c>
      <c r="L13" s="65" t="str">
        <f aca="false">IF(OR($B13="",NOT(Setup!$F$20="Yes")),"",MIN(N(Employees!H$12),Setup!$E$20)+ROUND(Setup!$C$20*IF(Setup!$D$20="Monthly",$E13,$D13)/12*2,0)/2)</f>
        <v/>
      </c>
      <c r="M13" s="65" t="str">
        <f aca="false">IF($B13="","",SUMIFS('Leave Register'!$H$6:$H$305,'Leave Register'!$B$6:$B$305,$B13,'Leave Register'!$D$6:$D$305,Setup!$A$20,'Leave Register'!$J$6:$J$305,"Approved",'Leave Register'!$E$6:$E$305,"&gt;="&amp;Setup!$C$12,'Leave Register'!$E$6:$E$305,"&lt;="&amp;Setup!$C$13))</f>
        <v/>
      </c>
      <c r="N13" s="66" t="str">
        <f aca="false">IF(OR($B13="",NOT(Setup!$F$20="Yes")),"",L13-M13)</f>
        <v/>
      </c>
      <c r="O13" s="65" t="str">
        <f aca="false">IF(OR($B13="",NOT(Setup!$F$21="Yes")),"",MIN(N(Employees!I$12),Setup!$E$21)+ROUND(Setup!$C$21*IF(Setup!$D$21="Monthly",$E13,$D13)/12*2,0)/2)</f>
        <v/>
      </c>
      <c r="P13" s="65" t="str">
        <f aca="false">IF($B13="","",SUMIFS('Leave Register'!$H$6:$H$305,'Leave Register'!$B$6:$B$305,$B13,'Leave Register'!$D$6:$D$305,Setup!$A$21,'Leave Register'!$J$6:$J$305,"Approved",'Leave Register'!$E$6:$E$305,"&gt;="&amp;Setup!$C$12,'Leave Register'!$E$6:$E$305,"&lt;="&amp;Setup!$C$13))</f>
        <v/>
      </c>
      <c r="Q13" s="66" t="str">
        <f aca="false">IF(OR($B13="",NOT(Setup!$F$21="Yes")),"",O13-P13)</f>
        <v/>
      </c>
      <c r="R13" s="65" t="str">
        <f aca="false">IF(OR($B13="",NOT(Setup!$F$22="Yes")),"",MIN(N(Employees!J$12),Setup!$E$22)+ROUND(Setup!$C$22*IF(Setup!$D$22="Monthly",$E13,$D13)/12*2,0)/2)</f>
        <v/>
      </c>
      <c r="S13" s="65" t="str">
        <f aca="false">IF($B13="","",SUMIFS('Leave Register'!$H$6:$H$305,'Leave Register'!$B$6:$B$305,$B13,'Leave Register'!$D$6:$D$305,Setup!$A$22,'Leave Register'!$J$6:$J$305,"Approved",'Leave Register'!$E$6:$E$305,"&gt;="&amp;Setup!$C$12,'Leave Register'!$E$6:$E$305,"&lt;="&amp;Setup!$C$13))</f>
        <v/>
      </c>
      <c r="T13" s="66" t="str">
        <f aca="false">IF(OR($B13="",NOT(Setup!$F$22="Yes")),"",R13-S13)</f>
        <v/>
      </c>
      <c r="U13" s="65" t="str">
        <f aca="false">IF(OR($B13="",NOT(Setup!$F$23="Yes")),"",MIN(N(Employees!K$12),Setup!$E$23)+ROUND(Setup!$C$23*IF(Setup!$D$23="Monthly",$E13,$D13)/12*2,0)/2)</f>
        <v/>
      </c>
      <c r="V13" s="65" t="str">
        <f aca="false">IF($B13="","",SUMIFS('Leave Register'!$H$6:$H$305,'Leave Register'!$B$6:$B$305,$B13,'Leave Register'!$D$6:$D$305,Setup!$A$23,'Leave Register'!$J$6:$J$305,"Approved",'Leave Register'!$E$6:$E$305,"&gt;="&amp;Setup!$C$12,'Leave Register'!$E$6:$E$305,"&lt;="&amp;Setup!$C$13))</f>
        <v/>
      </c>
      <c r="W13" s="66" t="str">
        <f aca="false">IF(OR($B13="",NOT(Setup!$F$23="Yes")),"",U13-V13)</f>
        <v/>
      </c>
      <c r="X13" s="67" t="str">
        <f aca="false">IF(B13="","",SUMIFS('Leave Register'!$H$6:$H$305,'Leave Register'!$B$6:$B$305,$B13,'Leave Register'!$J$6:$J$305,"Pending"))</f>
        <v/>
      </c>
      <c r="Y13" s="68" t="str">
        <f aca="false">IF(B13="","",IF(Setup!$F$18="No",G13,0)+IF(Setup!$F$19="No",J13,0)+IF(Setup!$F$20="No",M13,0)+IF(Setup!$F$21="No",P13,0)+IF(Setup!$F$22="No",S13,0)+IF(Setup!$F$23="No",V13,0))</f>
        <v/>
      </c>
    </row>
    <row r="14" customFormat="false" ht="15" hidden="false" customHeight="false" outlineLevel="0" collapsed="false">
      <c r="A14" s="51" t="str">
        <f aca="false">IF(B14="","",ROW()-5)</f>
        <v/>
      </c>
      <c r="B14" s="63" t="str">
        <f aca="false">IF(Employees!$B$13="","",Employees!$B$13)</f>
        <v/>
      </c>
      <c r="C14" s="10" t="str">
        <f aca="false">IF(B14="","",Employees!$C$13)</f>
        <v/>
      </c>
      <c r="D14" s="64" t="str">
        <f aca="false">IF(B14="","",IF(N(Employees!$E$13)&gt;Setup!$C$13,0,MAX(0,MIN(12,(YEAR(Setup!$C$13)-YEAR(IF(AND(Setup!$C$8="Yes",N(Employees!$E$13)&gt;Setup!$C$12),DATE(YEAR(Employees!$E$13),MONTH(Employees!$E$13),1),Setup!$C$12)))*12+MONTH(Setup!$C$13)-MONTH(IF(AND(Setup!$C$8="Yes",N(Employees!$E$13)&gt;Setup!$C$12),DATE(YEAR(Employees!$E$13),MONTH(Employees!$E$13),1),Setup!$C$12))+1))))</f>
        <v/>
      </c>
      <c r="E14" s="64" t="str">
        <f aca="false">IF(B14="","",IF(OR(N(Employees!$E$13)&gt;Setup!$C$13,Setup!$C$9&lt;IF(AND(Setup!$C$8="Yes",N(Employees!$E$13)&gt;Setup!$C$12),DATE(YEAR(Employees!$E$13),MONTH(Employees!$E$13),1),Setup!$C$12)),0,MAX(0,MIN(12,(YEAR(MIN(Setup!$C$9,Setup!$C$13))-YEAR(IF(AND(Setup!$C$8="Yes",N(Employees!$E$13)&gt;Setup!$C$12),DATE(YEAR(Employees!$E$13),MONTH(Employees!$E$13),1),Setup!$C$12)))*12+MONTH(MIN(Setup!$C$9,Setup!$C$13))-MONTH(IF(AND(Setup!$C$8="Yes",N(Employees!$E$13)&gt;Setup!$C$12),DATE(YEAR(Employees!$E$13),MONTH(Employees!$E$13),1),Setup!$C$12))+1))))</f>
        <v/>
      </c>
      <c r="F14" s="65" t="str">
        <f aca="false">IF(OR($B14="",NOT(Setup!$F$18="Yes")),"",MIN(N(Employees!F$13),Setup!$E$18)+ROUND(Setup!$C$18*IF(Setup!$D$18="Monthly",$E14,$D14)/12*2,0)/2)</f>
        <v/>
      </c>
      <c r="G14" s="65" t="str">
        <f aca="false">IF($B14="","",SUMIFS('Leave Register'!$H$6:$H$305,'Leave Register'!$B$6:$B$305,$B14,'Leave Register'!$D$6:$D$305,Setup!$A$18,'Leave Register'!$J$6:$J$305,"Approved",'Leave Register'!$E$6:$E$305,"&gt;="&amp;Setup!$C$12,'Leave Register'!$E$6:$E$305,"&lt;="&amp;Setup!$C$13))</f>
        <v/>
      </c>
      <c r="H14" s="66" t="str">
        <f aca="false">IF(OR($B14="",NOT(Setup!$F$18="Yes")),"",F14-G14)</f>
        <v/>
      </c>
      <c r="I14" s="65" t="str">
        <f aca="false">IF(OR($B14="",NOT(Setup!$F$19="Yes")),"",MIN(N(Employees!G$13),Setup!$E$19)+ROUND(Setup!$C$19*IF(Setup!$D$19="Monthly",$E14,$D14)/12*2,0)/2)</f>
        <v/>
      </c>
      <c r="J14" s="65" t="str">
        <f aca="false">IF($B14="","",SUMIFS('Leave Register'!$H$6:$H$305,'Leave Register'!$B$6:$B$305,$B14,'Leave Register'!$D$6:$D$305,Setup!$A$19,'Leave Register'!$J$6:$J$305,"Approved",'Leave Register'!$E$6:$E$305,"&gt;="&amp;Setup!$C$12,'Leave Register'!$E$6:$E$305,"&lt;="&amp;Setup!$C$13))</f>
        <v/>
      </c>
      <c r="K14" s="66" t="str">
        <f aca="false">IF(OR($B14="",NOT(Setup!$F$19="Yes")),"",I14-J14)</f>
        <v/>
      </c>
      <c r="L14" s="65" t="str">
        <f aca="false">IF(OR($B14="",NOT(Setup!$F$20="Yes")),"",MIN(N(Employees!H$13),Setup!$E$20)+ROUND(Setup!$C$20*IF(Setup!$D$20="Monthly",$E14,$D14)/12*2,0)/2)</f>
        <v/>
      </c>
      <c r="M14" s="65" t="str">
        <f aca="false">IF($B14="","",SUMIFS('Leave Register'!$H$6:$H$305,'Leave Register'!$B$6:$B$305,$B14,'Leave Register'!$D$6:$D$305,Setup!$A$20,'Leave Register'!$J$6:$J$305,"Approved",'Leave Register'!$E$6:$E$305,"&gt;="&amp;Setup!$C$12,'Leave Register'!$E$6:$E$305,"&lt;="&amp;Setup!$C$13))</f>
        <v/>
      </c>
      <c r="N14" s="66" t="str">
        <f aca="false">IF(OR($B14="",NOT(Setup!$F$20="Yes")),"",L14-M14)</f>
        <v/>
      </c>
      <c r="O14" s="65" t="str">
        <f aca="false">IF(OR($B14="",NOT(Setup!$F$21="Yes")),"",MIN(N(Employees!I$13),Setup!$E$21)+ROUND(Setup!$C$21*IF(Setup!$D$21="Monthly",$E14,$D14)/12*2,0)/2)</f>
        <v/>
      </c>
      <c r="P14" s="65" t="str">
        <f aca="false">IF($B14="","",SUMIFS('Leave Register'!$H$6:$H$305,'Leave Register'!$B$6:$B$305,$B14,'Leave Register'!$D$6:$D$305,Setup!$A$21,'Leave Register'!$J$6:$J$305,"Approved",'Leave Register'!$E$6:$E$305,"&gt;="&amp;Setup!$C$12,'Leave Register'!$E$6:$E$305,"&lt;="&amp;Setup!$C$13))</f>
        <v/>
      </c>
      <c r="Q14" s="66" t="str">
        <f aca="false">IF(OR($B14="",NOT(Setup!$F$21="Yes")),"",O14-P14)</f>
        <v/>
      </c>
      <c r="R14" s="65" t="str">
        <f aca="false">IF(OR($B14="",NOT(Setup!$F$22="Yes")),"",MIN(N(Employees!J$13),Setup!$E$22)+ROUND(Setup!$C$22*IF(Setup!$D$22="Monthly",$E14,$D14)/12*2,0)/2)</f>
        <v/>
      </c>
      <c r="S14" s="65" t="str">
        <f aca="false">IF($B14="","",SUMIFS('Leave Register'!$H$6:$H$305,'Leave Register'!$B$6:$B$305,$B14,'Leave Register'!$D$6:$D$305,Setup!$A$22,'Leave Register'!$J$6:$J$305,"Approved",'Leave Register'!$E$6:$E$305,"&gt;="&amp;Setup!$C$12,'Leave Register'!$E$6:$E$305,"&lt;="&amp;Setup!$C$13))</f>
        <v/>
      </c>
      <c r="T14" s="66" t="str">
        <f aca="false">IF(OR($B14="",NOT(Setup!$F$22="Yes")),"",R14-S14)</f>
        <v/>
      </c>
      <c r="U14" s="65" t="str">
        <f aca="false">IF(OR($B14="",NOT(Setup!$F$23="Yes")),"",MIN(N(Employees!K$13),Setup!$E$23)+ROUND(Setup!$C$23*IF(Setup!$D$23="Monthly",$E14,$D14)/12*2,0)/2)</f>
        <v/>
      </c>
      <c r="V14" s="65" t="str">
        <f aca="false">IF($B14="","",SUMIFS('Leave Register'!$H$6:$H$305,'Leave Register'!$B$6:$B$305,$B14,'Leave Register'!$D$6:$D$305,Setup!$A$23,'Leave Register'!$J$6:$J$305,"Approved",'Leave Register'!$E$6:$E$305,"&gt;="&amp;Setup!$C$12,'Leave Register'!$E$6:$E$305,"&lt;="&amp;Setup!$C$13))</f>
        <v/>
      </c>
      <c r="W14" s="66" t="str">
        <f aca="false">IF(OR($B14="",NOT(Setup!$F$23="Yes")),"",U14-V14)</f>
        <v/>
      </c>
      <c r="X14" s="67" t="str">
        <f aca="false">IF(B14="","",SUMIFS('Leave Register'!$H$6:$H$305,'Leave Register'!$B$6:$B$305,$B14,'Leave Register'!$J$6:$J$305,"Pending"))</f>
        <v/>
      </c>
      <c r="Y14" s="68" t="str">
        <f aca="false">IF(B14="","",IF(Setup!$F$18="No",G14,0)+IF(Setup!$F$19="No",J14,0)+IF(Setup!$F$20="No",M14,0)+IF(Setup!$F$21="No",P14,0)+IF(Setup!$F$22="No",S14,0)+IF(Setup!$F$23="No",V14,0))</f>
        <v/>
      </c>
    </row>
    <row r="15" customFormat="false" ht="15" hidden="false" customHeight="false" outlineLevel="0" collapsed="false">
      <c r="A15" s="51" t="str">
        <f aca="false">IF(B15="","",ROW()-5)</f>
        <v/>
      </c>
      <c r="B15" s="63" t="str">
        <f aca="false">IF(Employees!$B$14="","",Employees!$B$14)</f>
        <v/>
      </c>
      <c r="C15" s="10" t="str">
        <f aca="false">IF(B15="","",Employees!$C$14)</f>
        <v/>
      </c>
      <c r="D15" s="64" t="str">
        <f aca="false">IF(B15="","",IF(N(Employees!$E$14)&gt;Setup!$C$13,0,MAX(0,MIN(12,(YEAR(Setup!$C$13)-YEAR(IF(AND(Setup!$C$8="Yes",N(Employees!$E$14)&gt;Setup!$C$12),DATE(YEAR(Employees!$E$14),MONTH(Employees!$E$14),1),Setup!$C$12)))*12+MONTH(Setup!$C$13)-MONTH(IF(AND(Setup!$C$8="Yes",N(Employees!$E$14)&gt;Setup!$C$12),DATE(YEAR(Employees!$E$14),MONTH(Employees!$E$14),1),Setup!$C$12))+1))))</f>
        <v/>
      </c>
      <c r="E15" s="64" t="str">
        <f aca="false">IF(B15="","",IF(OR(N(Employees!$E$14)&gt;Setup!$C$13,Setup!$C$9&lt;IF(AND(Setup!$C$8="Yes",N(Employees!$E$14)&gt;Setup!$C$12),DATE(YEAR(Employees!$E$14),MONTH(Employees!$E$14),1),Setup!$C$12)),0,MAX(0,MIN(12,(YEAR(MIN(Setup!$C$9,Setup!$C$13))-YEAR(IF(AND(Setup!$C$8="Yes",N(Employees!$E$14)&gt;Setup!$C$12),DATE(YEAR(Employees!$E$14),MONTH(Employees!$E$14),1),Setup!$C$12)))*12+MONTH(MIN(Setup!$C$9,Setup!$C$13))-MONTH(IF(AND(Setup!$C$8="Yes",N(Employees!$E$14)&gt;Setup!$C$12),DATE(YEAR(Employees!$E$14),MONTH(Employees!$E$14),1),Setup!$C$12))+1))))</f>
        <v/>
      </c>
      <c r="F15" s="65" t="str">
        <f aca="false">IF(OR($B15="",NOT(Setup!$F$18="Yes")),"",MIN(N(Employees!F$14),Setup!$E$18)+ROUND(Setup!$C$18*IF(Setup!$D$18="Monthly",$E15,$D15)/12*2,0)/2)</f>
        <v/>
      </c>
      <c r="G15" s="65" t="str">
        <f aca="false">IF($B15="","",SUMIFS('Leave Register'!$H$6:$H$305,'Leave Register'!$B$6:$B$305,$B15,'Leave Register'!$D$6:$D$305,Setup!$A$18,'Leave Register'!$J$6:$J$305,"Approved",'Leave Register'!$E$6:$E$305,"&gt;="&amp;Setup!$C$12,'Leave Register'!$E$6:$E$305,"&lt;="&amp;Setup!$C$13))</f>
        <v/>
      </c>
      <c r="H15" s="66" t="str">
        <f aca="false">IF(OR($B15="",NOT(Setup!$F$18="Yes")),"",F15-G15)</f>
        <v/>
      </c>
      <c r="I15" s="65" t="str">
        <f aca="false">IF(OR($B15="",NOT(Setup!$F$19="Yes")),"",MIN(N(Employees!G$14),Setup!$E$19)+ROUND(Setup!$C$19*IF(Setup!$D$19="Monthly",$E15,$D15)/12*2,0)/2)</f>
        <v/>
      </c>
      <c r="J15" s="65" t="str">
        <f aca="false">IF($B15="","",SUMIFS('Leave Register'!$H$6:$H$305,'Leave Register'!$B$6:$B$305,$B15,'Leave Register'!$D$6:$D$305,Setup!$A$19,'Leave Register'!$J$6:$J$305,"Approved",'Leave Register'!$E$6:$E$305,"&gt;="&amp;Setup!$C$12,'Leave Register'!$E$6:$E$305,"&lt;="&amp;Setup!$C$13))</f>
        <v/>
      </c>
      <c r="K15" s="66" t="str">
        <f aca="false">IF(OR($B15="",NOT(Setup!$F$19="Yes")),"",I15-J15)</f>
        <v/>
      </c>
      <c r="L15" s="65" t="str">
        <f aca="false">IF(OR($B15="",NOT(Setup!$F$20="Yes")),"",MIN(N(Employees!H$14),Setup!$E$20)+ROUND(Setup!$C$20*IF(Setup!$D$20="Monthly",$E15,$D15)/12*2,0)/2)</f>
        <v/>
      </c>
      <c r="M15" s="65" t="str">
        <f aca="false">IF($B15="","",SUMIFS('Leave Register'!$H$6:$H$305,'Leave Register'!$B$6:$B$305,$B15,'Leave Register'!$D$6:$D$305,Setup!$A$20,'Leave Register'!$J$6:$J$305,"Approved",'Leave Register'!$E$6:$E$305,"&gt;="&amp;Setup!$C$12,'Leave Register'!$E$6:$E$305,"&lt;="&amp;Setup!$C$13))</f>
        <v/>
      </c>
      <c r="N15" s="66" t="str">
        <f aca="false">IF(OR($B15="",NOT(Setup!$F$20="Yes")),"",L15-M15)</f>
        <v/>
      </c>
      <c r="O15" s="65" t="str">
        <f aca="false">IF(OR($B15="",NOT(Setup!$F$21="Yes")),"",MIN(N(Employees!I$14),Setup!$E$21)+ROUND(Setup!$C$21*IF(Setup!$D$21="Monthly",$E15,$D15)/12*2,0)/2)</f>
        <v/>
      </c>
      <c r="P15" s="65" t="str">
        <f aca="false">IF($B15="","",SUMIFS('Leave Register'!$H$6:$H$305,'Leave Register'!$B$6:$B$305,$B15,'Leave Register'!$D$6:$D$305,Setup!$A$21,'Leave Register'!$J$6:$J$305,"Approved",'Leave Register'!$E$6:$E$305,"&gt;="&amp;Setup!$C$12,'Leave Register'!$E$6:$E$305,"&lt;="&amp;Setup!$C$13))</f>
        <v/>
      </c>
      <c r="Q15" s="66" t="str">
        <f aca="false">IF(OR($B15="",NOT(Setup!$F$21="Yes")),"",O15-P15)</f>
        <v/>
      </c>
      <c r="R15" s="65" t="str">
        <f aca="false">IF(OR($B15="",NOT(Setup!$F$22="Yes")),"",MIN(N(Employees!J$14),Setup!$E$22)+ROUND(Setup!$C$22*IF(Setup!$D$22="Monthly",$E15,$D15)/12*2,0)/2)</f>
        <v/>
      </c>
      <c r="S15" s="65" t="str">
        <f aca="false">IF($B15="","",SUMIFS('Leave Register'!$H$6:$H$305,'Leave Register'!$B$6:$B$305,$B15,'Leave Register'!$D$6:$D$305,Setup!$A$22,'Leave Register'!$J$6:$J$305,"Approved",'Leave Register'!$E$6:$E$305,"&gt;="&amp;Setup!$C$12,'Leave Register'!$E$6:$E$305,"&lt;="&amp;Setup!$C$13))</f>
        <v/>
      </c>
      <c r="T15" s="66" t="str">
        <f aca="false">IF(OR($B15="",NOT(Setup!$F$22="Yes")),"",R15-S15)</f>
        <v/>
      </c>
      <c r="U15" s="65" t="str">
        <f aca="false">IF(OR($B15="",NOT(Setup!$F$23="Yes")),"",MIN(N(Employees!K$14),Setup!$E$23)+ROUND(Setup!$C$23*IF(Setup!$D$23="Monthly",$E15,$D15)/12*2,0)/2)</f>
        <v/>
      </c>
      <c r="V15" s="65" t="str">
        <f aca="false">IF($B15="","",SUMIFS('Leave Register'!$H$6:$H$305,'Leave Register'!$B$6:$B$305,$B15,'Leave Register'!$D$6:$D$305,Setup!$A$23,'Leave Register'!$J$6:$J$305,"Approved",'Leave Register'!$E$6:$E$305,"&gt;="&amp;Setup!$C$12,'Leave Register'!$E$6:$E$305,"&lt;="&amp;Setup!$C$13))</f>
        <v/>
      </c>
      <c r="W15" s="66" t="str">
        <f aca="false">IF(OR($B15="",NOT(Setup!$F$23="Yes")),"",U15-V15)</f>
        <v/>
      </c>
      <c r="X15" s="67" t="str">
        <f aca="false">IF(B15="","",SUMIFS('Leave Register'!$H$6:$H$305,'Leave Register'!$B$6:$B$305,$B15,'Leave Register'!$J$6:$J$305,"Pending"))</f>
        <v/>
      </c>
      <c r="Y15" s="68" t="str">
        <f aca="false">IF(B15="","",IF(Setup!$F$18="No",G15,0)+IF(Setup!$F$19="No",J15,0)+IF(Setup!$F$20="No",M15,0)+IF(Setup!$F$21="No",P15,0)+IF(Setup!$F$22="No",S15,0)+IF(Setup!$F$23="No",V15,0))</f>
        <v/>
      </c>
    </row>
    <row r="16" customFormat="false" ht="15" hidden="false" customHeight="false" outlineLevel="0" collapsed="false">
      <c r="A16" s="51" t="str">
        <f aca="false">IF(B16="","",ROW()-5)</f>
        <v/>
      </c>
      <c r="B16" s="63" t="str">
        <f aca="false">IF(Employees!$B$15="","",Employees!$B$15)</f>
        <v/>
      </c>
      <c r="C16" s="10" t="str">
        <f aca="false">IF(B16="","",Employees!$C$15)</f>
        <v/>
      </c>
      <c r="D16" s="64" t="str">
        <f aca="false">IF(B16="","",IF(N(Employees!$E$15)&gt;Setup!$C$13,0,MAX(0,MIN(12,(YEAR(Setup!$C$13)-YEAR(IF(AND(Setup!$C$8="Yes",N(Employees!$E$15)&gt;Setup!$C$12),DATE(YEAR(Employees!$E$15),MONTH(Employees!$E$15),1),Setup!$C$12)))*12+MONTH(Setup!$C$13)-MONTH(IF(AND(Setup!$C$8="Yes",N(Employees!$E$15)&gt;Setup!$C$12),DATE(YEAR(Employees!$E$15),MONTH(Employees!$E$15),1),Setup!$C$12))+1))))</f>
        <v/>
      </c>
      <c r="E16" s="64" t="str">
        <f aca="false">IF(B16="","",IF(OR(N(Employees!$E$15)&gt;Setup!$C$13,Setup!$C$9&lt;IF(AND(Setup!$C$8="Yes",N(Employees!$E$15)&gt;Setup!$C$12),DATE(YEAR(Employees!$E$15),MONTH(Employees!$E$15),1),Setup!$C$12)),0,MAX(0,MIN(12,(YEAR(MIN(Setup!$C$9,Setup!$C$13))-YEAR(IF(AND(Setup!$C$8="Yes",N(Employees!$E$15)&gt;Setup!$C$12),DATE(YEAR(Employees!$E$15),MONTH(Employees!$E$15),1),Setup!$C$12)))*12+MONTH(MIN(Setup!$C$9,Setup!$C$13))-MONTH(IF(AND(Setup!$C$8="Yes",N(Employees!$E$15)&gt;Setup!$C$12),DATE(YEAR(Employees!$E$15),MONTH(Employees!$E$15),1),Setup!$C$12))+1))))</f>
        <v/>
      </c>
      <c r="F16" s="65" t="str">
        <f aca="false">IF(OR($B16="",NOT(Setup!$F$18="Yes")),"",MIN(N(Employees!F$15),Setup!$E$18)+ROUND(Setup!$C$18*IF(Setup!$D$18="Monthly",$E16,$D16)/12*2,0)/2)</f>
        <v/>
      </c>
      <c r="G16" s="65" t="str">
        <f aca="false">IF($B16="","",SUMIFS('Leave Register'!$H$6:$H$305,'Leave Register'!$B$6:$B$305,$B16,'Leave Register'!$D$6:$D$305,Setup!$A$18,'Leave Register'!$J$6:$J$305,"Approved",'Leave Register'!$E$6:$E$305,"&gt;="&amp;Setup!$C$12,'Leave Register'!$E$6:$E$305,"&lt;="&amp;Setup!$C$13))</f>
        <v/>
      </c>
      <c r="H16" s="66" t="str">
        <f aca="false">IF(OR($B16="",NOT(Setup!$F$18="Yes")),"",F16-G16)</f>
        <v/>
      </c>
      <c r="I16" s="65" t="str">
        <f aca="false">IF(OR($B16="",NOT(Setup!$F$19="Yes")),"",MIN(N(Employees!G$15),Setup!$E$19)+ROUND(Setup!$C$19*IF(Setup!$D$19="Monthly",$E16,$D16)/12*2,0)/2)</f>
        <v/>
      </c>
      <c r="J16" s="65" t="str">
        <f aca="false">IF($B16="","",SUMIFS('Leave Register'!$H$6:$H$305,'Leave Register'!$B$6:$B$305,$B16,'Leave Register'!$D$6:$D$305,Setup!$A$19,'Leave Register'!$J$6:$J$305,"Approved",'Leave Register'!$E$6:$E$305,"&gt;="&amp;Setup!$C$12,'Leave Register'!$E$6:$E$305,"&lt;="&amp;Setup!$C$13))</f>
        <v/>
      </c>
      <c r="K16" s="66" t="str">
        <f aca="false">IF(OR($B16="",NOT(Setup!$F$19="Yes")),"",I16-J16)</f>
        <v/>
      </c>
      <c r="L16" s="65" t="str">
        <f aca="false">IF(OR($B16="",NOT(Setup!$F$20="Yes")),"",MIN(N(Employees!H$15),Setup!$E$20)+ROUND(Setup!$C$20*IF(Setup!$D$20="Monthly",$E16,$D16)/12*2,0)/2)</f>
        <v/>
      </c>
      <c r="M16" s="65" t="str">
        <f aca="false">IF($B16="","",SUMIFS('Leave Register'!$H$6:$H$305,'Leave Register'!$B$6:$B$305,$B16,'Leave Register'!$D$6:$D$305,Setup!$A$20,'Leave Register'!$J$6:$J$305,"Approved",'Leave Register'!$E$6:$E$305,"&gt;="&amp;Setup!$C$12,'Leave Register'!$E$6:$E$305,"&lt;="&amp;Setup!$C$13))</f>
        <v/>
      </c>
      <c r="N16" s="66" t="str">
        <f aca="false">IF(OR($B16="",NOT(Setup!$F$20="Yes")),"",L16-M16)</f>
        <v/>
      </c>
      <c r="O16" s="65" t="str">
        <f aca="false">IF(OR($B16="",NOT(Setup!$F$21="Yes")),"",MIN(N(Employees!I$15),Setup!$E$21)+ROUND(Setup!$C$21*IF(Setup!$D$21="Monthly",$E16,$D16)/12*2,0)/2)</f>
        <v/>
      </c>
      <c r="P16" s="65" t="str">
        <f aca="false">IF($B16="","",SUMIFS('Leave Register'!$H$6:$H$305,'Leave Register'!$B$6:$B$305,$B16,'Leave Register'!$D$6:$D$305,Setup!$A$21,'Leave Register'!$J$6:$J$305,"Approved",'Leave Register'!$E$6:$E$305,"&gt;="&amp;Setup!$C$12,'Leave Register'!$E$6:$E$305,"&lt;="&amp;Setup!$C$13))</f>
        <v/>
      </c>
      <c r="Q16" s="66" t="str">
        <f aca="false">IF(OR($B16="",NOT(Setup!$F$21="Yes")),"",O16-P16)</f>
        <v/>
      </c>
      <c r="R16" s="65" t="str">
        <f aca="false">IF(OR($B16="",NOT(Setup!$F$22="Yes")),"",MIN(N(Employees!J$15),Setup!$E$22)+ROUND(Setup!$C$22*IF(Setup!$D$22="Monthly",$E16,$D16)/12*2,0)/2)</f>
        <v/>
      </c>
      <c r="S16" s="65" t="str">
        <f aca="false">IF($B16="","",SUMIFS('Leave Register'!$H$6:$H$305,'Leave Register'!$B$6:$B$305,$B16,'Leave Register'!$D$6:$D$305,Setup!$A$22,'Leave Register'!$J$6:$J$305,"Approved",'Leave Register'!$E$6:$E$305,"&gt;="&amp;Setup!$C$12,'Leave Register'!$E$6:$E$305,"&lt;="&amp;Setup!$C$13))</f>
        <v/>
      </c>
      <c r="T16" s="66" t="str">
        <f aca="false">IF(OR($B16="",NOT(Setup!$F$22="Yes")),"",R16-S16)</f>
        <v/>
      </c>
      <c r="U16" s="65" t="str">
        <f aca="false">IF(OR($B16="",NOT(Setup!$F$23="Yes")),"",MIN(N(Employees!K$15),Setup!$E$23)+ROUND(Setup!$C$23*IF(Setup!$D$23="Monthly",$E16,$D16)/12*2,0)/2)</f>
        <v/>
      </c>
      <c r="V16" s="65" t="str">
        <f aca="false">IF($B16="","",SUMIFS('Leave Register'!$H$6:$H$305,'Leave Register'!$B$6:$B$305,$B16,'Leave Register'!$D$6:$D$305,Setup!$A$23,'Leave Register'!$J$6:$J$305,"Approved",'Leave Register'!$E$6:$E$305,"&gt;="&amp;Setup!$C$12,'Leave Register'!$E$6:$E$305,"&lt;="&amp;Setup!$C$13))</f>
        <v/>
      </c>
      <c r="W16" s="66" t="str">
        <f aca="false">IF(OR($B16="",NOT(Setup!$F$23="Yes")),"",U16-V16)</f>
        <v/>
      </c>
      <c r="X16" s="67" t="str">
        <f aca="false">IF(B16="","",SUMIFS('Leave Register'!$H$6:$H$305,'Leave Register'!$B$6:$B$305,$B16,'Leave Register'!$J$6:$J$305,"Pending"))</f>
        <v/>
      </c>
      <c r="Y16" s="68" t="str">
        <f aca="false">IF(B16="","",IF(Setup!$F$18="No",G16,0)+IF(Setup!$F$19="No",J16,0)+IF(Setup!$F$20="No",M16,0)+IF(Setup!$F$21="No",P16,0)+IF(Setup!$F$22="No",S16,0)+IF(Setup!$F$23="No",V16,0))</f>
        <v/>
      </c>
    </row>
    <row r="17" customFormat="false" ht="15" hidden="false" customHeight="false" outlineLevel="0" collapsed="false">
      <c r="A17" s="51" t="str">
        <f aca="false">IF(B17="","",ROW()-5)</f>
        <v/>
      </c>
      <c r="B17" s="63" t="str">
        <f aca="false">IF(Employees!$B$16="","",Employees!$B$16)</f>
        <v/>
      </c>
      <c r="C17" s="10" t="str">
        <f aca="false">IF(B17="","",Employees!$C$16)</f>
        <v/>
      </c>
      <c r="D17" s="64" t="str">
        <f aca="false">IF(B17="","",IF(N(Employees!$E$16)&gt;Setup!$C$13,0,MAX(0,MIN(12,(YEAR(Setup!$C$13)-YEAR(IF(AND(Setup!$C$8="Yes",N(Employees!$E$16)&gt;Setup!$C$12),DATE(YEAR(Employees!$E$16),MONTH(Employees!$E$16),1),Setup!$C$12)))*12+MONTH(Setup!$C$13)-MONTH(IF(AND(Setup!$C$8="Yes",N(Employees!$E$16)&gt;Setup!$C$12),DATE(YEAR(Employees!$E$16),MONTH(Employees!$E$16),1),Setup!$C$12))+1))))</f>
        <v/>
      </c>
      <c r="E17" s="64" t="str">
        <f aca="false">IF(B17="","",IF(OR(N(Employees!$E$16)&gt;Setup!$C$13,Setup!$C$9&lt;IF(AND(Setup!$C$8="Yes",N(Employees!$E$16)&gt;Setup!$C$12),DATE(YEAR(Employees!$E$16),MONTH(Employees!$E$16),1),Setup!$C$12)),0,MAX(0,MIN(12,(YEAR(MIN(Setup!$C$9,Setup!$C$13))-YEAR(IF(AND(Setup!$C$8="Yes",N(Employees!$E$16)&gt;Setup!$C$12),DATE(YEAR(Employees!$E$16),MONTH(Employees!$E$16),1),Setup!$C$12)))*12+MONTH(MIN(Setup!$C$9,Setup!$C$13))-MONTH(IF(AND(Setup!$C$8="Yes",N(Employees!$E$16)&gt;Setup!$C$12),DATE(YEAR(Employees!$E$16),MONTH(Employees!$E$16),1),Setup!$C$12))+1))))</f>
        <v/>
      </c>
      <c r="F17" s="65" t="str">
        <f aca="false">IF(OR($B17="",NOT(Setup!$F$18="Yes")),"",MIN(N(Employees!F$16),Setup!$E$18)+ROUND(Setup!$C$18*IF(Setup!$D$18="Monthly",$E17,$D17)/12*2,0)/2)</f>
        <v/>
      </c>
      <c r="G17" s="65" t="str">
        <f aca="false">IF($B17="","",SUMIFS('Leave Register'!$H$6:$H$305,'Leave Register'!$B$6:$B$305,$B17,'Leave Register'!$D$6:$D$305,Setup!$A$18,'Leave Register'!$J$6:$J$305,"Approved",'Leave Register'!$E$6:$E$305,"&gt;="&amp;Setup!$C$12,'Leave Register'!$E$6:$E$305,"&lt;="&amp;Setup!$C$13))</f>
        <v/>
      </c>
      <c r="H17" s="66" t="str">
        <f aca="false">IF(OR($B17="",NOT(Setup!$F$18="Yes")),"",F17-G17)</f>
        <v/>
      </c>
      <c r="I17" s="65" t="str">
        <f aca="false">IF(OR($B17="",NOT(Setup!$F$19="Yes")),"",MIN(N(Employees!G$16),Setup!$E$19)+ROUND(Setup!$C$19*IF(Setup!$D$19="Monthly",$E17,$D17)/12*2,0)/2)</f>
        <v/>
      </c>
      <c r="J17" s="65" t="str">
        <f aca="false">IF($B17="","",SUMIFS('Leave Register'!$H$6:$H$305,'Leave Register'!$B$6:$B$305,$B17,'Leave Register'!$D$6:$D$305,Setup!$A$19,'Leave Register'!$J$6:$J$305,"Approved",'Leave Register'!$E$6:$E$305,"&gt;="&amp;Setup!$C$12,'Leave Register'!$E$6:$E$305,"&lt;="&amp;Setup!$C$13))</f>
        <v/>
      </c>
      <c r="K17" s="66" t="str">
        <f aca="false">IF(OR($B17="",NOT(Setup!$F$19="Yes")),"",I17-J17)</f>
        <v/>
      </c>
      <c r="L17" s="65" t="str">
        <f aca="false">IF(OR($B17="",NOT(Setup!$F$20="Yes")),"",MIN(N(Employees!H$16),Setup!$E$20)+ROUND(Setup!$C$20*IF(Setup!$D$20="Monthly",$E17,$D17)/12*2,0)/2)</f>
        <v/>
      </c>
      <c r="M17" s="65" t="str">
        <f aca="false">IF($B17="","",SUMIFS('Leave Register'!$H$6:$H$305,'Leave Register'!$B$6:$B$305,$B17,'Leave Register'!$D$6:$D$305,Setup!$A$20,'Leave Register'!$J$6:$J$305,"Approved",'Leave Register'!$E$6:$E$305,"&gt;="&amp;Setup!$C$12,'Leave Register'!$E$6:$E$305,"&lt;="&amp;Setup!$C$13))</f>
        <v/>
      </c>
      <c r="N17" s="66" t="str">
        <f aca="false">IF(OR($B17="",NOT(Setup!$F$20="Yes")),"",L17-M17)</f>
        <v/>
      </c>
      <c r="O17" s="65" t="str">
        <f aca="false">IF(OR($B17="",NOT(Setup!$F$21="Yes")),"",MIN(N(Employees!I$16),Setup!$E$21)+ROUND(Setup!$C$21*IF(Setup!$D$21="Monthly",$E17,$D17)/12*2,0)/2)</f>
        <v/>
      </c>
      <c r="P17" s="65" t="str">
        <f aca="false">IF($B17="","",SUMIFS('Leave Register'!$H$6:$H$305,'Leave Register'!$B$6:$B$305,$B17,'Leave Register'!$D$6:$D$305,Setup!$A$21,'Leave Register'!$J$6:$J$305,"Approved",'Leave Register'!$E$6:$E$305,"&gt;="&amp;Setup!$C$12,'Leave Register'!$E$6:$E$305,"&lt;="&amp;Setup!$C$13))</f>
        <v/>
      </c>
      <c r="Q17" s="66" t="str">
        <f aca="false">IF(OR($B17="",NOT(Setup!$F$21="Yes")),"",O17-P17)</f>
        <v/>
      </c>
      <c r="R17" s="65" t="str">
        <f aca="false">IF(OR($B17="",NOT(Setup!$F$22="Yes")),"",MIN(N(Employees!J$16),Setup!$E$22)+ROUND(Setup!$C$22*IF(Setup!$D$22="Monthly",$E17,$D17)/12*2,0)/2)</f>
        <v/>
      </c>
      <c r="S17" s="65" t="str">
        <f aca="false">IF($B17="","",SUMIFS('Leave Register'!$H$6:$H$305,'Leave Register'!$B$6:$B$305,$B17,'Leave Register'!$D$6:$D$305,Setup!$A$22,'Leave Register'!$J$6:$J$305,"Approved",'Leave Register'!$E$6:$E$305,"&gt;="&amp;Setup!$C$12,'Leave Register'!$E$6:$E$305,"&lt;="&amp;Setup!$C$13))</f>
        <v/>
      </c>
      <c r="T17" s="66" t="str">
        <f aca="false">IF(OR($B17="",NOT(Setup!$F$22="Yes")),"",R17-S17)</f>
        <v/>
      </c>
      <c r="U17" s="65" t="str">
        <f aca="false">IF(OR($B17="",NOT(Setup!$F$23="Yes")),"",MIN(N(Employees!K$16),Setup!$E$23)+ROUND(Setup!$C$23*IF(Setup!$D$23="Monthly",$E17,$D17)/12*2,0)/2)</f>
        <v/>
      </c>
      <c r="V17" s="65" t="str">
        <f aca="false">IF($B17="","",SUMIFS('Leave Register'!$H$6:$H$305,'Leave Register'!$B$6:$B$305,$B17,'Leave Register'!$D$6:$D$305,Setup!$A$23,'Leave Register'!$J$6:$J$305,"Approved",'Leave Register'!$E$6:$E$305,"&gt;="&amp;Setup!$C$12,'Leave Register'!$E$6:$E$305,"&lt;="&amp;Setup!$C$13))</f>
        <v/>
      </c>
      <c r="W17" s="66" t="str">
        <f aca="false">IF(OR($B17="",NOT(Setup!$F$23="Yes")),"",U17-V17)</f>
        <v/>
      </c>
      <c r="X17" s="67" t="str">
        <f aca="false">IF(B17="","",SUMIFS('Leave Register'!$H$6:$H$305,'Leave Register'!$B$6:$B$305,$B17,'Leave Register'!$J$6:$J$305,"Pending"))</f>
        <v/>
      </c>
      <c r="Y17" s="68" t="str">
        <f aca="false">IF(B17="","",IF(Setup!$F$18="No",G17,0)+IF(Setup!$F$19="No",J17,0)+IF(Setup!$F$20="No",M17,0)+IF(Setup!$F$21="No",P17,0)+IF(Setup!$F$22="No",S17,0)+IF(Setup!$F$23="No",V17,0))</f>
        <v/>
      </c>
    </row>
    <row r="18" customFormat="false" ht="15" hidden="false" customHeight="false" outlineLevel="0" collapsed="false">
      <c r="A18" s="51" t="str">
        <f aca="false">IF(B18="","",ROW()-5)</f>
        <v/>
      </c>
      <c r="B18" s="63" t="str">
        <f aca="false">IF(Employees!$B$17="","",Employees!$B$17)</f>
        <v/>
      </c>
      <c r="C18" s="10" t="str">
        <f aca="false">IF(B18="","",Employees!$C$17)</f>
        <v/>
      </c>
      <c r="D18" s="64" t="str">
        <f aca="false">IF(B18="","",IF(N(Employees!$E$17)&gt;Setup!$C$13,0,MAX(0,MIN(12,(YEAR(Setup!$C$13)-YEAR(IF(AND(Setup!$C$8="Yes",N(Employees!$E$17)&gt;Setup!$C$12),DATE(YEAR(Employees!$E$17),MONTH(Employees!$E$17),1),Setup!$C$12)))*12+MONTH(Setup!$C$13)-MONTH(IF(AND(Setup!$C$8="Yes",N(Employees!$E$17)&gt;Setup!$C$12),DATE(YEAR(Employees!$E$17),MONTH(Employees!$E$17),1),Setup!$C$12))+1))))</f>
        <v/>
      </c>
      <c r="E18" s="64" t="str">
        <f aca="false">IF(B18="","",IF(OR(N(Employees!$E$17)&gt;Setup!$C$13,Setup!$C$9&lt;IF(AND(Setup!$C$8="Yes",N(Employees!$E$17)&gt;Setup!$C$12),DATE(YEAR(Employees!$E$17),MONTH(Employees!$E$17),1),Setup!$C$12)),0,MAX(0,MIN(12,(YEAR(MIN(Setup!$C$9,Setup!$C$13))-YEAR(IF(AND(Setup!$C$8="Yes",N(Employees!$E$17)&gt;Setup!$C$12),DATE(YEAR(Employees!$E$17),MONTH(Employees!$E$17),1),Setup!$C$12)))*12+MONTH(MIN(Setup!$C$9,Setup!$C$13))-MONTH(IF(AND(Setup!$C$8="Yes",N(Employees!$E$17)&gt;Setup!$C$12),DATE(YEAR(Employees!$E$17),MONTH(Employees!$E$17),1),Setup!$C$12))+1))))</f>
        <v/>
      </c>
      <c r="F18" s="65" t="str">
        <f aca="false">IF(OR($B18="",NOT(Setup!$F$18="Yes")),"",MIN(N(Employees!F$17),Setup!$E$18)+ROUND(Setup!$C$18*IF(Setup!$D$18="Monthly",$E18,$D18)/12*2,0)/2)</f>
        <v/>
      </c>
      <c r="G18" s="65" t="str">
        <f aca="false">IF($B18="","",SUMIFS('Leave Register'!$H$6:$H$305,'Leave Register'!$B$6:$B$305,$B18,'Leave Register'!$D$6:$D$305,Setup!$A$18,'Leave Register'!$J$6:$J$305,"Approved",'Leave Register'!$E$6:$E$305,"&gt;="&amp;Setup!$C$12,'Leave Register'!$E$6:$E$305,"&lt;="&amp;Setup!$C$13))</f>
        <v/>
      </c>
      <c r="H18" s="66" t="str">
        <f aca="false">IF(OR($B18="",NOT(Setup!$F$18="Yes")),"",F18-G18)</f>
        <v/>
      </c>
      <c r="I18" s="65" t="str">
        <f aca="false">IF(OR($B18="",NOT(Setup!$F$19="Yes")),"",MIN(N(Employees!G$17),Setup!$E$19)+ROUND(Setup!$C$19*IF(Setup!$D$19="Monthly",$E18,$D18)/12*2,0)/2)</f>
        <v/>
      </c>
      <c r="J18" s="65" t="str">
        <f aca="false">IF($B18="","",SUMIFS('Leave Register'!$H$6:$H$305,'Leave Register'!$B$6:$B$305,$B18,'Leave Register'!$D$6:$D$305,Setup!$A$19,'Leave Register'!$J$6:$J$305,"Approved",'Leave Register'!$E$6:$E$305,"&gt;="&amp;Setup!$C$12,'Leave Register'!$E$6:$E$305,"&lt;="&amp;Setup!$C$13))</f>
        <v/>
      </c>
      <c r="K18" s="66" t="str">
        <f aca="false">IF(OR($B18="",NOT(Setup!$F$19="Yes")),"",I18-J18)</f>
        <v/>
      </c>
      <c r="L18" s="65" t="str">
        <f aca="false">IF(OR($B18="",NOT(Setup!$F$20="Yes")),"",MIN(N(Employees!H$17),Setup!$E$20)+ROUND(Setup!$C$20*IF(Setup!$D$20="Monthly",$E18,$D18)/12*2,0)/2)</f>
        <v/>
      </c>
      <c r="M18" s="65" t="str">
        <f aca="false">IF($B18="","",SUMIFS('Leave Register'!$H$6:$H$305,'Leave Register'!$B$6:$B$305,$B18,'Leave Register'!$D$6:$D$305,Setup!$A$20,'Leave Register'!$J$6:$J$305,"Approved",'Leave Register'!$E$6:$E$305,"&gt;="&amp;Setup!$C$12,'Leave Register'!$E$6:$E$305,"&lt;="&amp;Setup!$C$13))</f>
        <v/>
      </c>
      <c r="N18" s="66" t="str">
        <f aca="false">IF(OR($B18="",NOT(Setup!$F$20="Yes")),"",L18-M18)</f>
        <v/>
      </c>
      <c r="O18" s="65" t="str">
        <f aca="false">IF(OR($B18="",NOT(Setup!$F$21="Yes")),"",MIN(N(Employees!I$17),Setup!$E$21)+ROUND(Setup!$C$21*IF(Setup!$D$21="Monthly",$E18,$D18)/12*2,0)/2)</f>
        <v/>
      </c>
      <c r="P18" s="65" t="str">
        <f aca="false">IF($B18="","",SUMIFS('Leave Register'!$H$6:$H$305,'Leave Register'!$B$6:$B$305,$B18,'Leave Register'!$D$6:$D$305,Setup!$A$21,'Leave Register'!$J$6:$J$305,"Approved",'Leave Register'!$E$6:$E$305,"&gt;="&amp;Setup!$C$12,'Leave Register'!$E$6:$E$305,"&lt;="&amp;Setup!$C$13))</f>
        <v/>
      </c>
      <c r="Q18" s="66" t="str">
        <f aca="false">IF(OR($B18="",NOT(Setup!$F$21="Yes")),"",O18-P18)</f>
        <v/>
      </c>
      <c r="R18" s="65" t="str">
        <f aca="false">IF(OR($B18="",NOT(Setup!$F$22="Yes")),"",MIN(N(Employees!J$17),Setup!$E$22)+ROUND(Setup!$C$22*IF(Setup!$D$22="Monthly",$E18,$D18)/12*2,0)/2)</f>
        <v/>
      </c>
      <c r="S18" s="65" t="str">
        <f aca="false">IF($B18="","",SUMIFS('Leave Register'!$H$6:$H$305,'Leave Register'!$B$6:$B$305,$B18,'Leave Register'!$D$6:$D$305,Setup!$A$22,'Leave Register'!$J$6:$J$305,"Approved",'Leave Register'!$E$6:$E$305,"&gt;="&amp;Setup!$C$12,'Leave Register'!$E$6:$E$305,"&lt;="&amp;Setup!$C$13))</f>
        <v/>
      </c>
      <c r="T18" s="66" t="str">
        <f aca="false">IF(OR($B18="",NOT(Setup!$F$22="Yes")),"",R18-S18)</f>
        <v/>
      </c>
      <c r="U18" s="65" t="str">
        <f aca="false">IF(OR($B18="",NOT(Setup!$F$23="Yes")),"",MIN(N(Employees!K$17),Setup!$E$23)+ROUND(Setup!$C$23*IF(Setup!$D$23="Monthly",$E18,$D18)/12*2,0)/2)</f>
        <v/>
      </c>
      <c r="V18" s="65" t="str">
        <f aca="false">IF($B18="","",SUMIFS('Leave Register'!$H$6:$H$305,'Leave Register'!$B$6:$B$305,$B18,'Leave Register'!$D$6:$D$305,Setup!$A$23,'Leave Register'!$J$6:$J$305,"Approved",'Leave Register'!$E$6:$E$305,"&gt;="&amp;Setup!$C$12,'Leave Register'!$E$6:$E$305,"&lt;="&amp;Setup!$C$13))</f>
        <v/>
      </c>
      <c r="W18" s="66" t="str">
        <f aca="false">IF(OR($B18="",NOT(Setup!$F$23="Yes")),"",U18-V18)</f>
        <v/>
      </c>
      <c r="X18" s="67" t="str">
        <f aca="false">IF(B18="","",SUMIFS('Leave Register'!$H$6:$H$305,'Leave Register'!$B$6:$B$305,$B18,'Leave Register'!$J$6:$J$305,"Pending"))</f>
        <v/>
      </c>
      <c r="Y18" s="68" t="str">
        <f aca="false">IF(B18="","",IF(Setup!$F$18="No",G18,0)+IF(Setup!$F$19="No",J18,0)+IF(Setup!$F$20="No",M18,0)+IF(Setup!$F$21="No",P18,0)+IF(Setup!$F$22="No",S18,0)+IF(Setup!$F$23="No",V18,0))</f>
        <v/>
      </c>
    </row>
    <row r="19" customFormat="false" ht="15" hidden="false" customHeight="false" outlineLevel="0" collapsed="false">
      <c r="A19" s="51" t="str">
        <f aca="false">IF(B19="","",ROW()-5)</f>
        <v/>
      </c>
      <c r="B19" s="63" t="str">
        <f aca="false">IF(Employees!$B$18="","",Employees!$B$18)</f>
        <v/>
      </c>
      <c r="C19" s="10" t="str">
        <f aca="false">IF(B19="","",Employees!$C$18)</f>
        <v/>
      </c>
      <c r="D19" s="64" t="str">
        <f aca="false">IF(B19="","",IF(N(Employees!$E$18)&gt;Setup!$C$13,0,MAX(0,MIN(12,(YEAR(Setup!$C$13)-YEAR(IF(AND(Setup!$C$8="Yes",N(Employees!$E$18)&gt;Setup!$C$12),DATE(YEAR(Employees!$E$18),MONTH(Employees!$E$18),1),Setup!$C$12)))*12+MONTH(Setup!$C$13)-MONTH(IF(AND(Setup!$C$8="Yes",N(Employees!$E$18)&gt;Setup!$C$12),DATE(YEAR(Employees!$E$18),MONTH(Employees!$E$18),1),Setup!$C$12))+1))))</f>
        <v/>
      </c>
      <c r="E19" s="64" t="str">
        <f aca="false">IF(B19="","",IF(OR(N(Employees!$E$18)&gt;Setup!$C$13,Setup!$C$9&lt;IF(AND(Setup!$C$8="Yes",N(Employees!$E$18)&gt;Setup!$C$12),DATE(YEAR(Employees!$E$18),MONTH(Employees!$E$18),1),Setup!$C$12)),0,MAX(0,MIN(12,(YEAR(MIN(Setup!$C$9,Setup!$C$13))-YEAR(IF(AND(Setup!$C$8="Yes",N(Employees!$E$18)&gt;Setup!$C$12),DATE(YEAR(Employees!$E$18),MONTH(Employees!$E$18),1),Setup!$C$12)))*12+MONTH(MIN(Setup!$C$9,Setup!$C$13))-MONTH(IF(AND(Setup!$C$8="Yes",N(Employees!$E$18)&gt;Setup!$C$12),DATE(YEAR(Employees!$E$18),MONTH(Employees!$E$18),1),Setup!$C$12))+1))))</f>
        <v/>
      </c>
      <c r="F19" s="65" t="str">
        <f aca="false">IF(OR($B19="",NOT(Setup!$F$18="Yes")),"",MIN(N(Employees!F$18),Setup!$E$18)+ROUND(Setup!$C$18*IF(Setup!$D$18="Monthly",$E19,$D19)/12*2,0)/2)</f>
        <v/>
      </c>
      <c r="G19" s="65" t="str">
        <f aca="false">IF($B19="","",SUMIFS('Leave Register'!$H$6:$H$305,'Leave Register'!$B$6:$B$305,$B19,'Leave Register'!$D$6:$D$305,Setup!$A$18,'Leave Register'!$J$6:$J$305,"Approved",'Leave Register'!$E$6:$E$305,"&gt;="&amp;Setup!$C$12,'Leave Register'!$E$6:$E$305,"&lt;="&amp;Setup!$C$13))</f>
        <v/>
      </c>
      <c r="H19" s="66" t="str">
        <f aca="false">IF(OR($B19="",NOT(Setup!$F$18="Yes")),"",F19-G19)</f>
        <v/>
      </c>
      <c r="I19" s="65" t="str">
        <f aca="false">IF(OR($B19="",NOT(Setup!$F$19="Yes")),"",MIN(N(Employees!G$18),Setup!$E$19)+ROUND(Setup!$C$19*IF(Setup!$D$19="Monthly",$E19,$D19)/12*2,0)/2)</f>
        <v/>
      </c>
      <c r="J19" s="65" t="str">
        <f aca="false">IF($B19="","",SUMIFS('Leave Register'!$H$6:$H$305,'Leave Register'!$B$6:$B$305,$B19,'Leave Register'!$D$6:$D$305,Setup!$A$19,'Leave Register'!$J$6:$J$305,"Approved",'Leave Register'!$E$6:$E$305,"&gt;="&amp;Setup!$C$12,'Leave Register'!$E$6:$E$305,"&lt;="&amp;Setup!$C$13))</f>
        <v/>
      </c>
      <c r="K19" s="66" t="str">
        <f aca="false">IF(OR($B19="",NOT(Setup!$F$19="Yes")),"",I19-J19)</f>
        <v/>
      </c>
      <c r="L19" s="65" t="str">
        <f aca="false">IF(OR($B19="",NOT(Setup!$F$20="Yes")),"",MIN(N(Employees!H$18),Setup!$E$20)+ROUND(Setup!$C$20*IF(Setup!$D$20="Monthly",$E19,$D19)/12*2,0)/2)</f>
        <v/>
      </c>
      <c r="M19" s="65" t="str">
        <f aca="false">IF($B19="","",SUMIFS('Leave Register'!$H$6:$H$305,'Leave Register'!$B$6:$B$305,$B19,'Leave Register'!$D$6:$D$305,Setup!$A$20,'Leave Register'!$J$6:$J$305,"Approved",'Leave Register'!$E$6:$E$305,"&gt;="&amp;Setup!$C$12,'Leave Register'!$E$6:$E$305,"&lt;="&amp;Setup!$C$13))</f>
        <v/>
      </c>
      <c r="N19" s="66" t="str">
        <f aca="false">IF(OR($B19="",NOT(Setup!$F$20="Yes")),"",L19-M19)</f>
        <v/>
      </c>
      <c r="O19" s="65" t="str">
        <f aca="false">IF(OR($B19="",NOT(Setup!$F$21="Yes")),"",MIN(N(Employees!I$18),Setup!$E$21)+ROUND(Setup!$C$21*IF(Setup!$D$21="Monthly",$E19,$D19)/12*2,0)/2)</f>
        <v/>
      </c>
      <c r="P19" s="65" t="str">
        <f aca="false">IF($B19="","",SUMIFS('Leave Register'!$H$6:$H$305,'Leave Register'!$B$6:$B$305,$B19,'Leave Register'!$D$6:$D$305,Setup!$A$21,'Leave Register'!$J$6:$J$305,"Approved",'Leave Register'!$E$6:$E$305,"&gt;="&amp;Setup!$C$12,'Leave Register'!$E$6:$E$305,"&lt;="&amp;Setup!$C$13))</f>
        <v/>
      </c>
      <c r="Q19" s="66" t="str">
        <f aca="false">IF(OR($B19="",NOT(Setup!$F$21="Yes")),"",O19-P19)</f>
        <v/>
      </c>
      <c r="R19" s="65" t="str">
        <f aca="false">IF(OR($B19="",NOT(Setup!$F$22="Yes")),"",MIN(N(Employees!J$18),Setup!$E$22)+ROUND(Setup!$C$22*IF(Setup!$D$22="Monthly",$E19,$D19)/12*2,0)/2)</f>
        <v/>
      </c>
      <c r="S19" s="65" t="str">
        <f aca="false">IF($B19="","",SUMIFS('Leave Register'!$H$6:$H$305,'Leave Register'!$B$6:$B$305,$B19,'Leave Register'!$D$6:$D$305,Setup!$A$22,'Leave Register'!$J$6:$J$305,"Approved",'Leave Register'!$E$6:$E$305,"&gt;="&amp;Setup!$C$12,'Leave Register'!$E$6:$E$305,"&lt;="&amp;Setup!$C$13))</f>
        <v/>
      </c>
      <c r="T19" s="66" t="str">
        <f aca="false">IF(OR($B19="",NOT(Setup!$F$22="Yes")),"",R19-S19)</f>
        <v/>
      </c>
      <c r="U19" s="65" t="str">
        <f aca="false">IF(OR($B19="",NOT(Setup!$F$23="Yes")),"",MIN(N(Employees!K$18),Setup!$E$23)+ROUND(Setup!$C$23*IF(Setup!$D$23="Monthly",$E19,$D19)/12*2,0)/2)</f>
        <v/>
      </c>
      <c r="V19" s="65" t="str">
        <f aca="false">IF($B19="","",SUMIFS('Leave Register'!$H$6:$H$305,'Leave Register'!$B$6:$B$305,$B19,'Leave Register'!$D$6:$D$305,Setup!$A$23,'Leave Register'!$J$6:$J$305,"Approved",'Leave Register'!$E$6:$E$305,"&gt;="&amp;Setup!$C$12,'Leave Register'!$E$6:$E$305,"&lt;="&amp;Setup!$C$13))</f>
        <v/>
      </c>
      <c r="W19" s="66" t="str">
        <f aca="false">IF(OR($B19="",NOT(Setup!$F$23="Yes")),"",U19-V19)</f>
        <v/>
      </c>
      <c r="X19" s="67" t="str">
        <f aca="false">IF(B19="","",SUMIFS('Leave Register'!$H$6:$H$305,'Leave Register'!$B$6:$B$305,$B19,'Leave Register'!$J$6:$J$305,"Pending"))</f>
        <v/>
      </c>
      <c r="Y19" s="68" t="str">
        <f aca="false">IF(B19="","",IF(Setup!$F$18="No",G19,0)+IF(Setup!$F$19="No",J19,0)+IF(Setup!$F$20="No",M19,0)+IF(Setup!$F$21="No",P19,0)+IF(Setup!$F$22="No",S19,0)+IF(Setup!$F$23="No",V19,0))</f>
        <v/>
      </c>
    </row>
    <row r="20" customFormat="false" ht="15" hidden="false" customHeight="false" outlineLevel="0" collapsed="false">
      <c r="A20" s="51" t="str">
        <f aca="false">IF(B20="","",ROW()-5)</f>
        <v/>
      </c>
      <c r="B20" s="63" t="str">
        <f aca="false">IF(Employees!$B$19="","",Employees!$B$19)</f>
        <v/>
      </c>
      <c r="C20" s="10" t="str">
        <f aca="false">IF(B20="","",Employees!$C$19)</f>
        <v/>
      </c>
      <c r="D20" s="64" t="str">
        <f aca="false">IF(B20="","",IF(N(Employees!$E$19)&gt;Setup!$C$13,0,MAX(0,MIN(12,(YEAR(Setup!$C$13)-YEAR(IF(AND(Setup!$C$8="Yes",N(Employees!$E$19)&gt;Setup!$C$12),DATE(YEAR(Employees!$E$19),MONTH(Employees!$E$19),1),Setup!$C$12)))*12+MONTH(Setup!$C$13)-MONTH(IF(AND(Setup!$C$8="Yes",N(Employees!$E$19)&gt;Setup!$C$12),DATE(YEAR(Employees!$E$19),MONTH(Employees!$E$19),1),Setup!$C$12))+1))))</f>
        <v/>
      </c>
      <c r="E20" s="64" t="str">
        <f aca="false">IF(B20="","",IF(OR(N(Employees!$E$19)&gt;Setup!$C$13,Setup!$C$9&lt;IF(AND(Setup!$C$8="Yes",N(Employees!$E$19)&gt;Setup!$C$12),DATE(YEAR(Employees!$E$19),MONTH(Employees!$E$19),1),Setup!$C$12)),0,MAX(0,MIN(12,(YEAR(MIN(Setup!$C$9,Setup!$C$13))-YEAR(IF(AND(Setup!$C$8="Yes",N(Employees!$E$19)&gt;Setup!$C$12),DATE(YEAR(Employees!$E$19),MONTH(Employees!$E$19),1),Setup!$C$12)))*12+MONTH(MIN(Setup!$C$9,Setup!$C$13))-MONTH(IF(AND(Setup!$C$8="Yes",N(Employees!$E$19)&gt;Setup!$C$12),DATE(YEAR(Employees!$E$19),MONTH(Employees!$E$19),1),Setup!$C$12))+1))))</f>
        <v/>
      </c>
      <c r="F20" s="65" t="str">
        <f aca="false">IF(OR($B20="",NOT(Setup!$F$18="Yes")),"",MIN(N(Employees!F$19),Setup!$E$18)+ROUND(Setup!$C$18*IF(Setup!$D$18="Monthly",$E20,$D20)/12*2,0)/2)</f>
        <v/>
      </c>
      <c r="G20" s="65" t="str">
        <f aca="false">IF($B20="","",SUMIFS('Leave Register'!$H$6:$H$305,'Leave Register'!$B$6:$B$305,$B20,'Leave Register'!$D$6:$D$305,Setup!$A$18,'Leave Register'!$J$6:$J$305,"Approved",'Leave Register'!$E$6:$E$305,"&gt;="&amp;Setup!$C$12,'Leave Register'!$E$6:$E$305,"&lt;="&amp;Setup!$C$13))</f>
        <v/>
      </c>
      <c r="H20" s="66" t="str">
        <f aca="false">IF(OR($B20="",NOT(Setup!$F$18="Yes")),"",F20-G20)</f>
        <v/>
      </c>
      <c r="I20" s="65" t="str">
        <f aca="false">IF(OR($B20="",NOT(Setup!$F$19="Yes")),"",MIN(N(Employees!G$19),Setup!$E$19)+ROUND(Setup!$C$19*IF(Setup!$D$19="Monthly",$E20,$D20)/12*2,0)/2)</f>
        <v/>
      </c>
      <c r="J20" s="65" t="str">
        <f aca="false">IF($B20="","",SUMIFS('Leave Register'!$H$6:$H$305,'Leave Register'!$B$6:$B$305,$B20,'Leave Register'!$D$6:$D$305,Setup!$A$19,'Leave Register'!$J$6:$J$305,"Approved",'Leave Register'!$E$6:$E$305,"&gt;="&amp;Setup!$C$12,'Leave Register'!$E$6:$E$305,"&lt;="&amp;Setup!$C$13))</f>
        <v/>
      </c>
      <c r="K20" s="66" t="str">
        <f aca="false">IF(OR($B20="",NOT(Setup!$F$19="Yes")),"",I20-J20)</f>
        <v/>
      </c>
      <c r="L20" s="65" t="str">
        <f aca="false">IF(OR($B20="",NOT(Setup!$F$20="Yes")),"",MIN(N(Employees!H$19),Setup!$E$20)+ROUND(Setup!$C$20*IF(Setup!$D$20="Monthly",$E20,$D20)/12*2,0)/2)</f>
        <v/>
      </c>
      <c r="M20" s="65" t="str">
        <f aca="false">IF($B20="","",SUMIFS('Leave Register'!$H$6:$H$305,'Leave Register'!$B$6:$B$305,$B20,'Leave Register'!$D$6:$D$305,Setup!$A$20,'Leave Register'!$J$6:$J$305,"Approved",'Leave Register'!$E$6:$E$305,"&gt;="&amp;Setup!$C$12,'Leave Register'!$E$6:$E$305,"&lt;="&amp;Setup!$C$13))</f>
        <v/>
      </c>
      <c r="N20" s="66" t="str">
        <f aca="false">IF(OR($B20="",NOT(Setup!$F$20="Yes")),"",L20-M20)</f>
        <v/>
      </c>
      <c r="O20" s="65" t="str">
        <f aca="false">IF(OR($B20="",NOT(Setup!$F$21="Yes")),"",MIN(N(Employees!I$19),Setup!$E$21)+ROUND(Setup!$C$21*IF(Setup!$D$21="Monthly",$E20,$D20)/12*2,0)/2)</f>
        <v/>
      </c>
      <c r="P20" s="65" t="str">
        <f aca="false">IF($B20="","",SUMIFS('Leave Register'!$H$6:$H$305,'Leave Register'!$B$6:$B$305,$B20,'Leave Register'!$D$6:$D$305,Setup!$A$21,'Leave Register'!$J$6:$J$305,"Approved",'Leave Register'!$E$6:$E$305,"&gt;="&amp;Setup!$C$12,'Leave Register'!$E$6:$E$305,"&lt;="&amp;Setup!$C$13))</f>
        <v/>
      </c>
      <c r="Q20" s="66" t="str">
        <f aca="false">IF(OR($B20="",NOT(Setup!$F$21="Yes")),"",O20-P20)</f>
        <v/>
      </c>
      <c r="R20" s="65" t="str">
        <f aca="false">IF(OR($B20="",NOT(Setup!$F$22="Yes")),"",MIN(N(Employees!J$19),Setup!$E$22)+ROUND(Setup!$C$22*IF(Setup!$D$22="Monthly",$E20,$D20)/12*2,0)/2)</f>
        <v/>
      </c>
      <c r="S20" s="65" t="str">
        <f aca="false">IF($B20="","",SUMIFS('Leave Register'!$H$6:$H$305,'Leave Register'!$B$6:$B$305,$B20,'Leave Register'!$D$6:$D$305,Setup!$A$22,'Leave Register'!$J$6:$J$305,"Approved",'Leave Register'!$E$6:$E$305,"&gt;="&amp;Setup!$C$12,'Leave Register'!$E$6:$E$305,"&lt;="&amp;Setup!$C$13))</f>
        <v/>
      </c>
      <c r="T20" s="66" t="str">
        <f aca="false">IF(OR($B20="",NOT(Setup!$F$22="Yes")),"",R20-S20)</f>
        <v/>
      </c>
      <c r="U20" s="65" t="str">
        <f aca="false">IF(OR($B20="",NOT(Setup!$F$23="Yes")),"",MIN(N(Employees!K$19),Setup!$E$23)+ROUND(Setup!$C$23*IF(Setup!$D$23="Monthly",$E20,$D20)/12*2,0)/2)</f>
        <v/>
      </c>
      <c r="V20" s="65" t="str">
        <f aca="false">IF($B20="","",SUMIFS('Leave Register'!$H$6:$H$305,'Leave Register'!$B$6:$B$305,$B20,'Leave Register'!$D$6:$D$305,Setup!$A$23,'Leave Register'!$J$6:$J$305,"Approved",'Leave Register'!$E$6:$E$305,"&gt;="&amp;Setup!$C$12,'Leave Register'!$E$6:$E$305,"&lt;="&amp;Setup!$C$13))</f>
        <v/>
      </c>
      <c r="W20" s="66" t="str">
        <f aca="false">IF(OR($B20="",NOT(Setup!$F$23="Yes")),"",U20-V20)</f>
        <v/>
      </c>
      <c r="X20" s="67" t="str">
        <f aca="false">IF(B20="","",SUMIFS('Leave Register'!$H$6:$H$305,'Leave Register'!$B$6:$B$305,$B20,'Leave Register'!$J$6:$J$305,"Pending"))</f>
        <v/>
      </c>
      <c r="Y20" s="68" t="str">
        <f aca="false">IF(B20="","",IF(Setup!$F$18="No",G20,0)+IF(Setup!$F$19="No",J20,0)+IF(Setup!$F$20="No",M20,0)+IF(Setup!$F$21="No",P20,0)+IF(Setup!$F$22="No",S20,0)+IF(Setup!$F$23="No",V20,0))</f>
        <v/>
      </c>
    </row>
    <row r="21" customFormat="false" ht="15" hidden="false" customHeight="false" outlineLevel="0" collapsed="false">
      <c r="A21" s="51" t="str">
        <f aca="false">IF(B21="","",ROW()-5)</f>
        <v/>
      </c>
      <c r="B21" s="63" t="str">
        <f aca="false">IF(Employees!$B$20="","",Employees!$B$20)</f>
        <v/>
      </c>
      <c r="C21" s="10" t="str">
        <f aca="false">IF(B21="","",Employees!$C$20)</f>
        <v/>
      </c>
      <c r="D21" s="64" t="str">
        <f aca="false">IF(B21="","",IF(N(Employees!$E$20)&gt;Setup!$C$13,0,MAX(0,MIN(12,(YEAR(Setup!$C$13)-YEAR(IF(AND(Setup!$C$8="Yes",N(Employees!$E$20)&gt;Setup!$C$12),DATE(YEAR(Employees!$E$20),MONTH(Employees!$E$20),1),Setup!$C$12)))*12+MONTH(Setup!$C$13)-MONTH(IF(AND(Setup!$C$8="Yes",N(Employees!$E$20)&gt;Setup!$C$12),DATE(YEAR(Employees!$E$20),MONTH(Employees!$E$20),1),Setup!$C$12))+1))))</f>
        <v/>
      </c>
      <c r="E21" s="64" t="str">
        <f aca="false">IF(B21="","",IF(OR(N(Employees!$E$20)&gt;Setup!$C$13,Setup!$C$9&lt;IF(AND(Setup!$C$8="Yes",N(Employees!$E$20)&gt;Setup!$C$12),DATE(YEAR(Employees!$E$20),MONTH(Employees!$E$20),1),Setup!$C$12)),0,MAX(0,MIN(12,(YEAR(MIN(Setup!$C$9,Setup!$C$13))-YEAR(IF(AND(Setup!$C$8="Yes",N(Employees!$E$20)&gt;Setup!$C$12),DATE(YEAR(Employees!$E$20),MONTH(Employees!$E$20),1),Setup!$C$12)))*12+MONTH(MIN(Setup!$C$9,Setup!$C$13))-MONTH(IF(AND(Setup!$C$8="Yes",N(Employees!$E$20)&gt;Setup!$C$12),DATE(YEAR(Employees!$E$20),MONTH(Employees!$E$20),1),Setup!$C$12))+1))))</f>
        <v/>
      </c>
      <c r="F21" s="65" t="str">
        <f aca="false">IF(OR($B21="",NOT(Setup!$F$18="Yes")),"",MIN(N(Employees!F$20),Setup!$E$18)+ROUND(Setup!$C$18*IF(Setup!$D$18="Monthly",$E21,$D21)/12*2,0)/2)</f>
        <v/>
      </c>
      <c r="G21" s="65" t="str">
        <f aca="false">IF($B21="","",SUMIFS('Leave Register'!$H$6:$H$305,'Leave Register'!$B$6:$B$305,$B21,'Leave Register'!$D$6:$D$305,Setup!$A$18,'Leave Register'!$J$6:$J$305,"Approved",'Leave Register'!$E$6:$E$305,"&gt;="&amp;Setup!$C$12,'Leave Register'!$E$6:$E$305,"&lt;="&amp;Setup!$C$13))</f>
        <v/>
      </c>
      <c r="H21" s="66" t="str">
        <f aca="false">IF(OR($B21="",NOT(Setup!$F$18="Yes")),"",F21-G21)</f>
        <v/>
      </c>
      <c r="I21" s="65" t="str">
        <f aca="false">IF(OR($B21="",NOT(Setup!$F$19="Yes")),"",MIN(N(Employees!G$20),Setup!$E$19)+ROUND(Setup!$C$19*IF(Setup!$D$19="Monthly",$E21,$D21)/12*2,0)/2)</f>
        <v/>
      </c>
      <c r="J21" s="65" t="str">
        <f aca="false">IF($B21="","",SUMIFS('Leave Register'!$H$6:$H$305,'Leave Register'!$B$6:$B$305,$B21,'Leave Register'!$D$6:$D$305,Setup!$A$19,'Leave Register'!$J$6:$J$305,"Approved",'Leave Register'!$E$6:$E$305,"&gt;="&amp;Setup!$C$12,'Leave Register'!$E$6:$E$305,"&lt;="&amp;Setup!$C$13))</f>
        <v/>
      </c>
      <c r="K21" s="66" t="str">
        <f aca="false">IF(OR($B21="",NOT(Setup!$F$19="Yes")),"",I21-J21)</f>
        <v/>
      </c>
      <c r="L21" s="65" t="str">
        <f aca="false">IF(OR($B21="",NOT(Setup!$F$20="Yes")),"",MIN(N(Employees!H$20),Setup!$E$20)+ROUND(Setup!$C$20*IF(Setup!$D$20="Monthly",$E21,$D21)/12*2,0)/2)</f>
        <v/>
      </c>
      <c r="M21" s="65" t="str">
        <f aca="false">IF($B21="","",SUMIFS('Leave Register'!$H$6:$H$305,'Leave Register'!$B$6:$B$305,$B21,'Leave Register'!$D$6:$D$305,Setup!$A$20,'Leave Register'!$J$6:$J$305,"Approved",'Leave Register'!$E$6:$E$305,"&gt;="&amp;Setup!$C$12,'Leave Register'!$E$6:$E$305,"&lt;="&amp;Setup!$C$13))</f>
        <v/>
      </c>
      <c r="N21" s="66" t="str">
        <f aca="false">IF(OR($B21="",NOT(Setup!$F$20="Yes")),"",L21-M21)</f>
        <v/>
      </c>
      <c r="O21" s="65" t="str">
        <f aca="false">IF(OR($B21="",NOT(Setup!$F$21="Yes")),"",MIN(N(Employees!I$20),Setup!$E$21)+ROUND(Setup!$C$21*IF(Setup!$D$21="Monthly",$E21,$D21)/12*2,0)/2)</f>
        <v/>
      </c>
      <c r="P21" s="65" t="str">
        <f aca="false">IF($B21="","",SUMIFS('Leave Register'!$H$6:$H$305,'Leave Register'!$B$6:$B$305,$B21,'Leave Register'!$D$6:$D$305,Setup!$A$21,'Leave Register'!$J$6:$J$305,"Approved",'Leave Register'!$E$6:$E$305,"&gt;="&amp;Setup!$C$12,'Leave Register'!$E$6:$E$305,"&lt;="&amp;Setup!$C$13))</f>
        <v/>
      </c>
      <c r="Q21" s="66" t="str">
        <f aca="false">IF(OR($B21="",NOT(Setup!$F$21="Yes")),"",O21-P21)</f>
        <v/>
      </c>
      <c r="R21" s="65" t="str">
        <f aca="false">IF(OR($B21="",NOT(Setup!$F$22="Yes")),"",MIN(N(Employees!J$20),Setup!$E$22)+ROUND(Setup!$C$22*IF(Setup!$D$22="Monthly",$E21,$D21)/12*2,0)/2)</f>
        <v/>
      </c>
      <c r="S21" s="65" t="str">
        <f aca="false">IF($B21="","",SUMIFS('Leave Register'!$H$6:$H$305,'Leave Register'!$B$6:$B$305,$B21,'Leave Register'!$D$6:$D$305,Setup!$A$22,'Leave Register'!$J$6:$J$305,"Approved",'Leave Register'!$E$6:$E$305,"&gt;="&amp;Setup!$C$12,'Leave Register'!$E$6:$E$305,"&lt;="&amp;Setup!$C$13))</f>
        <v/>
      </c>
      <c r="T21" s="66" t="str">
        <f aca="false">IF(OR($B21="",NOT(Setup!$F$22="Yes")),"",R21-S21)</f>
        <v/>
      </c>
      <c r="U21" s="65" t="str">
        <f aca="false">IF(OR($B21="",NOT(Setup!$F$23="Yes")),"",MIN(N(Employees!K$20),Setup!$E$23)+ROUND(Setup!$C$23*IF(Setup!$D$23="Monthly",$E21,$D21)/12*2,0)/2)</f>
        <v/>
      </c>
      <c r="V21" s="65" t="str">
        <f aca="false">IF($B21="","",SUMIFS('Leave Register'!$H$6:$H$305,'Leave Register'!$B$6:$B$305,$B21,'Leave Register'!$D$6:$D$305,Setup!$A$23,'Leave Register'!$J$6:$J$305,"Approved",'Leave Register'!$E$6:$E$305,"&gt;="&amp;Setup!$C$12,'Leave Register'!$E$6:$E$305,"&lt;="&amp;Setup!$C$13))</f>
        <v/>
      </c>
      <c r="W21" s="66" t="str">
        <f aca="false">IF(OR($B21="",NOT(Setup!$F$23="Yes")),"",U21-V21)</f>
        <v/>
      </c>
      <c r="X21" s="67" t="str">
        <f aca="false">IF(B21="","",SUMIFS('Leave Register'!$H$6:$H$305,'Leave Register'!$B$6:$B$305,$B21,'Leave Register'!$J$6:$J$305,"Pending"))</f>
        <v/>
      </c>
      <c r="Y21" s="68" t="str">
        <f aca="false">IF(B21="","",IF(Setup!$F$18="No",G21,0)+IF(Setup!$F$19="No",J21,0)+IF(Setup!$F$20="No",M21,0)+IF(Setup!$F$21="No",P21,0)+IF(Setup!$F$22="No",S21,0)+IF(Setup!$F$23="No",V21,0))</f>
        <v/>
      </c>
    </row>
    <row r="22" customFormat="false" ht="15" hidden="false" customHeight="false" outlineLevel="0" collapsed="false">
      <c r="A22" s="51" t="str">
        <f aca="false">IF(B22="","",ROW()-5)</f>
        <v/>
      </c>
      <c r="B22" s="63" t="str">
        <f aca="false">IF(Employees!$B$21="","",Employees!$B$21)</f>
        <v/>
      </c>
      <c r="C22" s="10" t="str">
        <f aca="false">IF(B22="","",Employees!$C$21)</f>
        <v/>
      </c>
      <c r="D22" s="64" t="str">
        <f aca="false">IF(B22="","",IF(N(Employees!$E$21)&gt;Setup!$C$13,0,MAX(0,MIN(12,(YEAR(Setup!$C$13)-YEAR(IF(AND(Setup!$C$8="Yes",N(Employees!$E$21)&gt;Setup!$C$12),DATE(YEAR(Employees!$E$21),MONTH(Employees!$E$21),1),Setup!$C$12)))*12+MONTH(Setup!$C$13)-MONTH(IF(AND(Setup!$C$8="Yes",N(Employees!$E$21)&gt;Setup!$C$12),DATE(YEAR(Employees!$E$21),MONTH(Employees!$E$21),1),Setup!$C$12))+1))))</f>
        <v/>
      </c>
      <c r="E22" s="64" t="str">
        <f aca="false">IF(B22="","",IF(OR(N(Employees!$E$21)&gt;Setup!$C$13,Setup!$C$9&lt;IF(AND(Setup!$C$8="Yes",N(Employees!$E$21)&gt;Setup!$C$12),DATE(YEAR(Employees!$E$21),MONTH(Employees!$E$21),1),Setup!$C$12)),0,MAX(0,MIN(12,(YEAR(MIN(Setup!$C$9,Setup!$C$13))-YEAR(IF(AND(Setup!$C$8="Yes",N(Employees!$E$21)&gt;Setup!$C$12),DATE(YEAR(Employees!$E$21),MONTH(Employees!$E$21),1),Setup!$C$12)))*12+MONTH(MIN(Setup!$C$9,Setup!$C$13))-MONTH(IF(AND(Setup!$C$8="Yes",N(Employees!$E$21)&gt;Setup!$C$12),DATE(YEAR(Employees!$E$21),MONTH(Employees!$E$21),1),Setup!$C$12))+1))))</f>
        <v/>
      </c>
      <c r="F22" s="65" t="str">
        <f aca="false">IF(OR($B22="",NOT(Setup!$F$18="Yes")),"",MIN(N(Employees!F$21),Setup!$E$18)+ROUND(Setup!$C$18*IF(Setup!$D$18="Monthly",$E22,$D22)/12*2,0)/2)</f>
        <v/>
      </c>
      <c r="G22" s="65" t="str">
        <f aca="false">IF($B22="","",SUMIFS('Leave Register'!$H$6:$H$305,'Leave Register'!$B$6:$B$305,$B22,'Leave Register'!$D$6:$D$305,Setup!$A$18,'Leave Register'!$J$6:$J$305,"Approved",'Leave Register'!$E$6:$E$305,"&gt;="&amp;Setup!$C$12,'Leave Register'!$E$6:$E$305,"&lt;="&amp;Setup!$C$13))</f>
        <v/>
      </c>
      <c r="H22" s="66" t="str">
        <f aca="false">IF(OR($B22="",NOT(Setup!$F$18="Yes")),"",F22-G22)</f>
        <v/>
      </c>
      <c r="I22" s="65" t="str">
        <f aca="false">IF(OR($B22="",NOT(Setup!$F$19="Yes")),"",MIN(N(Employees!G$21),Setup!$E$19)+ROUND(Setup!$C$19*IF(Setup!$D$19="Monthly",$E22,$D22)/12*2,0)/2)</f>
        <v/>
      </c>
      <c r="J22" s="65" t="str">
        <f aca="false">IF($B22="","",SUMIFS('Leave Register'!$H$6:$H$305,'Leave Register'!$B$6:$B$305,$B22,'Leave Register'!$D$6:$D$305,Setup!$A$19,'Leave Register'!$J$6:$J$305,"Approved",'Leave Register'!$E$6:$E$305,"&gt;="&amp;Setup!$C$12,'Leave Register'!$E$6:$E$305,"&lt;="&amp;Setup!$C$13))</f>
        <v/>
      </c>
      <c r="K22" s="66" t="str">
        <f aca="false">IF(OR($B22="",NOT(Setup!$F$19="Yes")),"",I22-J22)</f>
        <v/>
      </c>
      <c r="L22" s="65" t="str">
        <f aca="false">IF(OR($B22="",NOT(Setup!$F$20="Yes")),"",MIN(N(Employees!H$21),Setup!$E$20)+ROUND(Setup!$C$20*IF(Setup!$D$20="Monthly",$E22,$D22)/12*2,0)/2)</f>
        <v/>
      </c>
      <c r="M22" s="65" t="str">
        <f aca="false">IF($B22="","",SUMIFS('Leave Register'!$H$6:$H$305,'Leave Register'!$B$6:$B$305,$B22,'Leave Register'!$D$6:$D$305,Setup!$A$20,'Leave Register'!$J$6:$J$305,"Approved",'Leave Register'!$E$6:$E$305,"&gt;="&amp;Setup!$C$12,'Leave Register'!$E$6:$E$305,"&lt;="&amp;Setup!$C$13))</f>
        <v/>
      </c>
      <c r="N22" s="66" t="str">
        <f aca="false">IF(OR($B22="",NOT(Setup!$F$20="Yes")),"",L22-M22)</f>
        <v/>
      </c>
      <c r="O22" s="65" t="str">
        <f aca="false">IF(OR($B22="",NOT(Setup!$F$21="Yes")),"",MIN(N(Employees!I$21),Setup!$E$21)+ROUND(Setup!$C$21*IF(Setup!$D$21="Monthly",$E22,$D22)/12*2,0)/2)</f>
        <v/>
      </c>
      <c r="P22" s="65" t="str">
        <f aca="false">IF($B22="","",SUMIFS('Leave Register'!$H$6:$H$305,'Leave Register'!$B$6:$B$305,$B22,'Leave Register'!$D$6:$D$305,Setup!$A$21,'Leave Register'!$J$6:$J$305,"Approved",'Leave Register'!$E$6:$E$305,"&gt;="&amp;Setup!$C$12,'Leave Register'!$E$6:$E$305,"&lt;="&amp;Setup!$C$13))</f>
        <v/>
      </c>
      <c r="Q22" s="66" t="str">
        <f aca="false">IF(OR($B22="",NOT(Setup!$F$21="Yes")),"",O22-P22)</f>
        <v/>
      </c>
      <c r="R22" s="65" t="str">
        <f aca="false">IF(OR($B22="",NOT(Setup!$F$22="Yes")),"",MIN(N(Employees!J$21),Setup!$E$22)+ROUND(Setup!$C$22*IF(Setup!$D$22="Monthly",$E22,$D22)/12*2,0)/2)</f>
        <v/>
      </c>
      <c r="S22" s="65" t="str">
        <f aca="false">IF($B22="","",SUMIFS('Leave Register'!$H$6:$H$305,'Leave Register'!$B$6:$B$305,$B22,'Leave Register'!$D$6:$D$305,Setup!$A$22,'Leave Register'!$J$6:$J$305,"Approved",'Leave Register'!$E$6:$E$305,"&gt;="&amp;Setup!$C$12,'Leave Register'!$E$6:$E$305,"&lt;="&amp;Setup!$C$13))</f>
        <v/>
      </c>
      <c r="T22" s="66" t="str">
        <f aca="false">IF(OR($B22="",NOT(Setup!$F$22="Yes")),"",R22-S22)</f>
        <v/>
      </c>
      <c r="U22" s="65" t="str">
        <f aca="false">IF(OR($B22="",NOT(Setup!$F$23="Yes")),"",MIN(N(Employees!K$21),Setup!$E$23)+ROUND(Setup!$C$23*IF(Setup!$D$23="Monthly",$E22,$D22)/12*2,0)/2)</f>
        <v/>
      </c>
      <c r="V22" s="65" t="str">
        <f aca="false">IF($B22="","",SUMIFS('Leave Register'!$H$6:$H$305,'Leave Register'!$B$6:$B$305,$B22,'Leave Register'!$D$6:$D$305,Setup!$A$23,'Leave Register'!$J$6:$J$305,"Approved",'Leave Register'!$E$6:$E$305,"&gt;="&amp;Setup!$C$12,'Leave Register'!$E$6:$E$305,"&lt;="&amp;Setup!$C$13))</f>
        <v/>
      </c>
      <c r="W22" s="66" t="str">
        <f aca="false">IF(OR($B22="",NOT(Setup!$F$23="Yes")),"",U22-V22)</f>
        <v/>
      </c>
      <c r="X22" s="67" t="str">
        <f aca="false">IF(B22="","",SUMIFS('Leave Register'!$H$6:$H$305,'Leave Register'!$B$6:$B$305,$B22,'Leave Register'!$J$6:$J$305,"Pending"))</f>
        <v/>
      </c>
      <c r="Y22" s="68" t="str">
        <f aca="false">IF(B22="","",IF(Setup!$F$18="No",G22,0)+IF(Setup!$F$19="No",J22,0)+IF(Setup!$F$20="No",M22,0)+IF(Setup!$F$21="No",P22,0)+IF(Setup!$F$22="No",S22,0)+IF(Setup!$F$23="No",V22,0))</f>
        <v/>
      </c>
    </row>
    <row r="23" customFormat="false" ht="15" hidden="false" customHeight="false" outlineLevel="0" collapsed="false">
      <c r="A23" s="51" t="str">
        <f aca="false">IF(B23="","",ROW()-5)</f>
        <v/>
      </c>
      <c r="B23" s="63" t="str">
        <f aca="false">IF(Employees!$B$22="","",Employees!$B$22)</f>
        <v/>
      </c>
      <c r="C23" s="10" t="str">
        <f aca="false">IF(B23="","",Employees!$C$22)</f>
        <v/>
      </c>
      <c r="D23" s="64" t="str">
        <f aca="false">IF(B23="","",IF(N(Employees!$E$22)&gt;Setup!$C$13,0,MAX(0,MIN(12,(YEAR(Setup!$C$13)-YEAR(IF(AND(Setup!$C$8="Yes",N(Employees!$E$22)&gt;Setup!$C$12),DATE(YEAR(Employees!$E$22),MONTH(Employees!$E$22),1),Setup!$C$12)))*12+MONTH(Setup!$C$13)-MONTH(IF(AND(Setup!$C$8="Yes",N(Employees!$E$22)&gt;Setup!$C$12),DATE(YEAR(Employees!$E$22),MONTH(Employees!$E$22),1),Setup!$C$12))+1))))</f>
        <v/>
      </c>
      <c r="E23" s="64" t="str">
        <f aca="false">IF(B23="","",IF(OR(N(Employees!$E$22)&gt;Setup!$C$13,Setup!$C$9&lt;IF(AND(Setup!$C$8="Yes",N(Employees!$E$22)&gt;Setup!$C$12),DATE(YEAR(Employees!$E$22),MONTH(Employees!$E$22),1),Setup!$C$12)),0,MAX(0,MIN(12,(YEAR(MIN(Setup!$C$9,Setup!$C$13))-YEAR(IF(AND(Setup!$C$8="Yes",N(Employees!$E$22)&gt;Setup!$C$12),DATE(YEAR(Employees!$E$22),MONTH(Employees!$E$22),1),Setup!$C$12)))*12+MONTH(MIN(Setup!$C$9,Setup!$C$13))-MONTH(IF(AND(Setup!$C$8="Yes",N(Employees!$E$22)&gt;Setup!$C$12),DATE(YEAR(Employees!$E$22),MONTH(Employees!$E$22),1),Setup!$C$12))+1))))</f>
        <v/>
      </c>
      <c r="F23" s="65" t="str">
        <f aca="false">IF(OR($B23="",NOT(Setup!$F$18="Yes")),"",MIN(N(Employees!F$22),Setup!$E$18)+ROUND(Setup!$C$18*IF(Setup!$D$18="Monthly",$E23,$D23)/12*2,0)/2)</f>
        <v/>
      </c>
      <c r="G23" s="65" t="str">
        <f aca="false">IF($B23="","",SUMIFS('Leave Register'!$H$6:$H$305,'Leave Register'!$B$6:$B$305,$B23,'Leave Register'!$D$6:$D$305,Setup!$A$18,'Leave Register'!$J$6:$J$305,"Approved",'Leave Register'!$E$6:$E$305,"&gt;="&amp;Setup!$C$12,'Leave Register'!$E$6:$E$305,"&lt;="&amp;Setup!$C$13))</f>
        <v/>
      </c>
      <c r="H23" s="66" t="str">
        <f aca="false">IF(OR($B23="",NOT(Setup!$F$18="Yes")),"",F23-G23)</f>
        <v/>
      </c>
      <c r="I23" s="65" t="str">
        <f aca="false">IF(OR($B23="",NOT(Setup!$F$19="Yes")),"",MIN(N(Employees!G$22),Setup!$E$19)+ROUND(Setup!$C$19*IF(Setup!$D$19="Monthly",$E23,$D23)/12*2,0)/2)</f>
        <v/>
      </c>
      <c r="J23" s="65" t="str">
        <f aca="false">IF($B23="","",SUMIFS('Leave Register'!$H$6:$H$305,'Leave Register'!$B$6:$B$305,$B23,'Leave Register'!$D$6:$D$305,Setup!$A$19,'Leave Register'!$J$6:$J$305,"Approved",'Leave Register'!$E$6:$E$305,"&gt;="&amp;Setup!$C$12,'Leave Register'!$E$6:$E$305,"&lt;="&amp;Setup!$C$13))</f>
        <v/>
      </c>
      <c r="K23" s="66" t="str">
        <f aca="false">IF(OR($B23="",NOT(Setup!$F$19="Yes")),"",I23-J23)</f>
        <v/>
      </c>
      <c r="L23" s="65" t="str">
        <f aca="false">IF(OR($B23="",NOT(Setup!$F$20="Yes")),"",MIN(N(Employees!H$22),Setup!$E$20)+ROUND(Setup!$C$20*IF(Setup!$D$20="Monthly",$E23,$D23)/12*2,0)/2)</f>
        <v/>
      </c>
      <c r="M23" s="65" t="str">
        <f aca="false">IF($B23="","",SUMIFS('Leave Register'!$H$6:$H$305,'Leave Register'!$B$6:$B$305,$B23,'Leave Register'!$D$6:$D$305,Setup!$A$20,'Leave Register'!$J$6:$J$305,"Approved",'Leave Register'!$E$6:$E$305,"&gt;="&amp;Setup!$C$12,'Leave Register'!$E$6:$E$305,"&lt;="&amp;Setup!$C$13))</f>
        <v/>
      </c>
      <c r="N23" s="66" t="str">
        <f aca="false">IF(OR($B23="",NOT(Setup!$F$20="Yes")),"",L23-M23)</f>
        <v/>
      </c>
      <c r="O23" s="65" t="str">
        <f aca="false">IF(OR($B23="",NOT(Setup!$F$21="Yes")),"",MIN(N(Employees!I$22),Setup!$E$21)+ROUND(Setup!$C$21*IF(Setup!$D$21="Monthly",$E23,$D23)/12*2,0)/2)</f>
        <v/>
      </c>
      <c r="P23" s="65" t="str">
        <f aca="false">IF($B23="","",SUMIFS('Leave Register'!$H$6:$H$305,'Leave Register'!$B$6:$B$305,$B23,'Leave Register'!$D$6:$D$305,Setup!$A$21,'Leave Register'!$J$6:$J$305,"Approved",'Leave Register'!$E$6:$E$305,"&gt;="&amp;Setup!$C$12,'Leave Register'!$E$6:$E$305,"&lt;="&amp;Setup!$C$13))</f>
        <v/>
      </c>
      <c r="Q23" s="66" t="str">
        <f aca="false">IF(OR($B23="",NOT(Setup!$F$21="Yes")),"",O23-P23)</f>
        <v/>
      </c>
      <c r="R23" s="65" t="str">
        <f aca="false">IF(OR($B23="",NOT(Setup!$F$22="Yes")),"",MIN(N(Employees!J$22),Setup!$E$22)+ROUND(Setup!$C$22*IF(Setup!$D$22="Monthly",$E23,$D23)/12*2,0)/2)</f>
        <v/>
      </c>
      <c r="S23" s="65" t="str">
        <f aca="false">IF($B23="","",SUMIFS('Leave Register'!$H$6:$H$305,'Leave Register'!$B$6:$B$305,$B23,'Leave Register'!$D$6:$D$305,Setup!$A$22,'Leave Register'!$J$6:$J$305,"Approved",'Leave Register'!$E$6:$E$305,"&gt;="&amp;Setup!$C$12,'Leave Register'!$E$6:$E$305,"&lt;="&amp;Setup!$C$13))</f>
        <v/>
      </c>
      <c r="T23" s="66" t="str">
        <f aca="false">IF(OR($B23="",NOT(Setup!$F$22="Yes")),"",R23-S23)</f>
        <v/>
      </c>
      <c r="U23" s="65" t="str">
        <f aca="false">IF(OR($B23="",NOT(Setup!$F$23="Yes")),"",MIN(N(Employees!K$22),Setup!$E$23)+ROUND(Setup!$C$23*IF(Setup!$D$23="Monthly",$E23,$D23)/12*2,0)/2)</f>
        <v/>
      </c>
      <c r="V23" s="65" t="str">
        <f aca="false">IF($B23="","",SUMIFS('Leave Register'!$H$6:$H$305,'Leave Register'!$B$6:$B$305,$B23,'Leave Register'!$D$6:$D$305,Setup!$A$23,'Leave Register'!$J$6:$J$305,"Approved",'Leave Register'!$E$6:$E$305,"&gt;="&amp;Setup!$C$12,'Leave Register'!$E$6:$E$305,"&lt;="&amp;Setup!$C$13))</f>
        <v/>
      </c>
      <c r="W23" s="66" t="str">
        <f aca="false">IF(OR($B23="",NOT(Setup!$F$23="Yes")),"",U23-V23)</f>
        <v/>
      </c>
      <c r="X23" s="67" t="str">
        <f aca="false">IF(B23="","",SUMIFS('Leave Register'!$H$6:$H$305,'Leave Register'!$B$6:$B$305,$B23,'Leave Register'!$J$6:$J$305,"Pending"))</f>
        <v/>
      </c>
      <c r="Y23" s="68" t="str">
        <f aca="false">IF(B23="","",IF(Setup!$F$18="No",G23,0)+IF(Setup!$F$19="No",J23,0)+IF(Setup!$F$20="No",M23,0)+IF(Setup!$F$21="No",P23,0)+IF(Setup!$F$22="No",S23,0)+IF(Setup!$F$23="No",V23,0))</f>
        <v/>
      </c>
    </row>
    <row r="24" customFormat="false" ht="15" hidden="false" customHeight="false" outlineLevel="0" collapsed="false">
      <c r="A24" s="51" t="str">
        <f aca="false">IF(B24="","",ROW()-5)</f>
        <v/>
      </c>
      <c r="B24" s="63" t="str">
        <f aca="false">IF(Employees!$B$23="","",Employees!$B$23)</f>
        <v/>
      </c>
      <c r="C24" s="10" t="str">
        <f aca="false">IF(B24="","",Employees!$C$23)</f>
        <v/>
      </c>
      <c r="D24" s="64" t="str">
        <f aca="false">IF(B24="","",IF(N(Employees!$E$23)&gt;Setup!$C$13,0,MAX(0,MIN(12,(YEAR(Setup!$C$13)-YEAR(IF(AND(Setup!$C$8="Yes",N(Employees!$E$23)&gt;Setup!$C$12),DATE(YEAR(Employees!$E$23),MONTH(Employees!$E$23),1),Setup!$C$12)))*12+MONTH(Setup!$C$13)-MONTH(IF(AND(Setup!$C$8="Yes",N(Employees!$E$23)&gt;Setup!$C$12),DATE(YEAR(Employees!$E$23),MONTH(Employees!$E$23),1),Setup!$C$12))+1))))</f>
        <v/>
      </c>
      <c r="E24" s="64" t="str">
        <f aca="false">IF(B24="","",IF(OR(N(Employees!$E$23)&gt;Setup!$C$13,Setup!$C$9&lt;IF(AND(Setup!$C$8="Yes",N(Employees!$E$23)&gt;Setup!$C$12),DATE(YEAR(Employees!$E$23),MONTH(Employees!$E$23),1),Setup!$C$12)),0,MAX(0,MIN(12,(YEAR(MIN(Setup!$C$9,Setup!$C$13))-YEAR(IF(AND(Setup!$C$8="Yes",N(Employees!$E$23)&gt;Setup!$C$12),DATE(YEAR(Employees!$E$23),MONTH(Employees!$E$23),1),Setup!$C$12)))*12+MONTH(MIN(Setup!$C$9,Setup!$C$13))-MONTH(IF(AND(Setup!$C$8="Yes",N(Employees!$E$23)&gt;Setup!$C$12),DATE(YEAR(Employees!$E$23),MONTH(Employees!$E$23),1),Setup!$C$12))+1))))</f>
        <v/>
      </c>
      <c r="F24" s="65" t="str">
        <f aca="false">IF(OR($B24="",NOT(Setup!$F$18="Yes")),"",MIN(N(Employees!F$23),Setup!$E$18)+ROUND(Setup!$C$18*IF(Setup!$D$18="Monthly",$E24,$D24)/12*2,0)/2)</f>
        <v/>
      </c>
      <c r="G24" s="65" t="str">
        <f aca="false">IF($B24="","",SUMIFS('Leave Register'!$H$6:$H$305,'Leave Register'!$B$6:$B$305,$B24,'Leave Register'!$D$6:$D$305,Setup!$A$18,'Leave Register'!$J$6:$J$305,"Approved",'Leave Register'!$E$6:$E$305,"&gt;="&amp;Setup!$C$12,'Leave Register'!$E$6:$E$305,"&lt;="&amp;Setup!$C$13))</f>
        <v/>
      </c>
      <c r="H24" s="66" t="str">
        <f aca="false">IF(OR($B24="",NOT(Setup!$F$18="Yes")),"",F24-G24)</f>
        <v/>
      </c>
      <c r="I24" s="65" t="str">
        <f aca="false">IF(OR($B24="",NOT(Setup!$F$19="Yes")),"",MIN(N(Employees!G$23),Setup!$E$19)+ROUND(Setup!$C$19*IF(Setup!$D$19="Monthly",$E24,$D24)/12*2,0)/2)</f>
        <v/>
      </c>
      <c r="J24" s="65" t="str">
        <f aca="false">IF($B24="","",SUMIFS('Leave Register'!$H$6:$H$305,'Leave Register'!$B$6:$B$305,$B24,'Leave Register'!$D$6:$D$305,Setup!$A$19,'Leave Register'!$J$6:$J$305,"Approved",'Leave Register'!$E$6:$E$305,"&gt;="&amp;Setup!$C$12,'Leave Register'!$E$6:$E$305,"&lt;="&amp;Setup!$C$13))</f>
        <v/>
      </c>
      <c r="K24" s="66" t="str">
        <f aca="false">IF(OR($B24="",NOT(Setup!$F$19="Yes")),"",I24-J24)</f>
        <v/>
      </c>
      <c r="L24" s="65" t="str">
        <f aca="false">IF(OR($B24="",NOT(Setup!$F$20="Yes")),"",MIN(N(Employees!H$23),Setup!$E$20)+ROUND(Setup!$C$20*IF(Setup!$D$20="Monthly",$E24,$D24)/12*2,0)/2)</f>
        <v/>
      </c>
      <c r="M24" s="65" t="str">
        <f aca="false">IF($B24="","",SUMIFS('Leave Register'!$H$6:$H$305,'Leave Register'!$B$6:$B$305,$B24,'Leave Register'!$D$6:$D$305,Setup!$A$20,'Leave Register'!$J$6:$J$305,"Approved",'Leave Register'!$E$6:$E$305,"&gt;="&amp;Setup!$C$12,'Leave Register'!$E$6:$E$305,"&lt;="&amp;Setup!$C$13))</f>
        <v/>
      </c>
      <c r="N24" s="66" t="str">
        <f aca="false">IF(OR($B24="",NOT(Setup!$F$20="Yes")),"",L24-M24)</f>
        <v/>
      </c>
      <c r="O24" s="65" t="str">
        <f aca="false">IF(OR($B24="",NOT(Setup!$F$21="Yes")),"",MIN(N(Employees!I$23),Setup!$E$21)+ROUND(Setup!$C$21*IF(Setup!$D$21="Monthly",$E24,$D24)/12*2,0)/2)</f>
        <v/>
      </c>
      <c r="P24" s="65" t="str">
        <f aca="false">IF($B24="","",SUMIFS('Leave Register'!$H$6:$H$305,'Leave Register'!$B$6:$B$305,$B24,'Leave Register'!$D$6:$D$305,Setup!$A$21,'Leave Register'!$J$6:$J$305,"Approved",'Leave Register'!$E$6:$E$305,"&gt;="&amp;Setup!$C$12,'Leave Register'!$E$6:$E$305,"&lt;="&amp;Setup!$C$13))</f>
        <v/>
      </c>
      <c r="Q24" s="66" t="str">
        <f aca="false">IF(OR($B24="",NOT(Setup!$F$21="Yes")),"",O24-P24)</f>
        <v/>
      </c>
      <c r="R24" s="65" t="str">
        <f aca="false">IF(OR($B24="",NOT(Setup!$F$22="Yes")),"",MIN(N(Employees!J$23),Setup!$E$22)+ROUND(Setup!$C$22*IF(Setup!$D$22="Monthly",$E24,$D24)/12*2,0)/2)</f>
        <v/>
      </c>
      <c r="S24" s="65" t="str">
        <f aca="false">IF($B24="","",SUMIFS('Leave Register'!$H$6:$H$305,'Leave Register'!$B$6:$B$305,$B24,'Leave Register'!$D$6:$D$305,Setup!$A$22,'Leave Register'!$J$6:$J$305,"Approved",'Leave Register'!$E$6:$E$305,"&gt;="&amp;Setup!$C$12,'Leave Register'!$E$6:$E$305,"&lt;="&amp;Setup!$C$13))</f>
        <v/>
      </c>
      <c r="T24" s="66" t="str">
        <f aca="false">IF(OR($B24="",NOT(Setup!$F$22="Yes")),"",R24-S24)</f>
        <v/>
      </c>
      <c r="U24" s="65" t="str">
        <f aca="false">IF(OR($B24="",NOT(Setup!$F$23="Yes")),"",MIN(N(Employees!K$23),Setup!$E$23)+ROUND(Setup!$C$23*IF(Setup!$D$23="Monthly",$E24,$D24)/12*2,0)/2)</f>
        <v/>
      </c>
      <c r="V24" s="65" t="str">
        <f aca="false">IF($B24="","",SUMIFS('Leave Register'!$H$6:$H$305,'Leave Register'!$B$6:$B$305,$B24,'Leave Register'!$D$6:$D$305,Setup!$A$23,'Leave Register'!$J$6:$J$305,"Approved",'Leave Register'!$E$6:$E$305,"&gt;="&amp;Setup!$C$12,'Leave Register'!$E$6:$E$305,"&lt;="&amp;Setup!$C$13))</f>
        <v/>
      </c>
      <c r="W24" s="66" t="str">
        <f aca="false">IF(OR($B24="",NOT(Setup!$F$23="Yes")),"",U24-V24)</f>
        <v/>
      </c>
      <c r="X24" s="67" t="str">
        <f aca="false">IF(B24="","",SUMIFS('Leave Register'!$H$6:$H$305,'Leave Register'!$B$6:$B$305,$B24,'Leave Register'!$J$6:$J$305,"Pending"))</f>
        <v/>
      </c>
      <c r="Y24" s="68" t="str">
        <f aca="false">IF(B24="","",IF(Setup!$F$18="No",G24,0)+IF(Setup!$F$19="No",J24,0)+IF(Setup!$F$20="No",M24,0)+IF(Setup!$F$21="No",P24,0)+IF(Setup!$F$22="No",S24,0)+IF(Setup!$F$23="No",V24,0))</f>
        <v/>
      </c>
    </row>
    <row r="25" customFormat="false" ht="15" hidden="false" customHeight="false" outlineLevel="0" collapsed="false">
      <c r="A25" s="51" t="str">
        <f aca="false">IF(B25="","",ROW()-5)</f>
        <v/>
      </c>
      <c r="B25" s="63" t="str">
        <f aca="false">IF(Employees!$B$24="","",Employees!$B$24)</f>
        <v/>
      </c>
      <c r="C25" s="10" t="str">
        <f aca="false">IF(B25="","",Employees!$C$24)</f>
        <v/>
      </c>
      <c r="D25" s="64" t="str">
        <f aca="false">IF(B25="","",IF(N(Employees!$E$24)&gt;Setup!$C$13,0,MAX(0,MIN(12,(YEAR(Setup!$C$13)-YEAR(IF(AND(Setup!$C$8="Yes",N(Employees!$E$24)&gt;Setup!$C$12),DATE(YEAR(Employees!$E$24),MONTH(Employees!$E$24),1),Setup!$C$12)))*12+MONTH(Setup!$C$13)-MONTH(IF(AND(Setup!$C$8="Yes",N(Employees!$E$24)&gt;Setup!$C$12),DATE(YEAR(Employees!$E$24),MONTH(Employees!$E$24),1),Setup!$C$12))+1))))</f>
        <v/>
      </c>
      <c r="E25" s="64" t="str">
        <f aca="false">IF(B25="","",IF(OR(N(Employees!$E$24)&gt;Setup!$C$13,Setup!$C$9&lt;IF(AND(Setup!$C$8="Yes",N(Employees!$E$24)&gt;Setup!$C$12),DATE(YEAR(Employees!$E$24),MONTH(Employees!$E$24),1),Setup!$C$12)),0,MAX(0,MIN(12,(YEAR(MIN(Setup!$C$9,Setup!$C$13))-YEAR(IF(AND(Setup!$C$8="Yes",N(Employees!$E$24)&gt;Setup!$C$12),DATE(YEAR(Employees!$E$24),MONTH(Employees!$E$24),1),Setup!$C$12)))*12+MONTH(MIN(Setup!$C$9,Setup!$C$13))-MONTH(IF(AND(Setup!$C$8="Yes",N(Employees!$E$24)&gt;Setup!$C$12),DATE(YEAR(Employees!$E$24),MONTH(Employees!$E$24),1),Setup!$C$12))+1))))</f>
        <v/>
      </c>
      <c r="F25" s="65" t="str">
        <f aca="false">IF(OR($B25="",NOT(Setup!$F$18="Yes")),"",MIN(N(Employees!F$24),Setup!$E$18)+ROUND(Setup!$C$18*IF(Setup!$D$18="Monthly",$E25,$D25)/12*2,0)/2)</f>
        <v/>
      </c>
      <c r="G25" s="65" t="str">
        <f aca="false">IF($B25="","",SUMIFS('Leave Register'!$H$6:$H$305,'Leave Register'!$B$6:$B$305,$B25,'Leave Register'!$D$6:$D$305,Setup!$A$18,'Leave Register'!$J$6:$J$305,"Approved",'Leave Register'!$E$6:$E$305,"&gt;="&amp;Setup!$C$12,'Leave Register'!$E$6:$E$305,"&lt;="&amp;Setup!$C$13))</f>
        <v/>
      </c>
      <c r="H25" s="66" t="str">
        <f aca="false">IF(OR($B25="",NOT(Setup!$F$18="Yes")),"",F25-G25)</f>
        <v/>
      </c>
      <c r="I25" s="65" t="str">
        <f aca="false">IF(OR($B25="",NOT(Setup!$F$19="Yes")),"",MIN(N(Employees!G$24),Setup!$E$19)+ROUND(Setup!$C$19*IF(Setup!$D$19="Monthly",$E25,$D25)/12*2,0)/2)</f>
        <v/>
      </c>
      <c r="J25" s="65" t="str">
        <f aca="false">IF($B25="","",SUMIFS('Leave Register'!$H$6:$H$305,'Leave Register'!$B$6:$B$305,$B25,'Leave Register'!$D$6:$D$305,Setup!$A$19,'Leave Register'!$J$6:$J$305,"Approved",'Leave Register'!$E$6:$E$305,"&gt;="&amp;Setup!$C$12,'Leave Register'!$E$6:$E$305,"&lt;="&amp;Setup!$C$13))</f>
        <v/>
      </c>
      <c r="K25" s="66" t="str">
        <f aca="false">IF(OR($B25="",NOT(Setup!$F$19="Yes")),"",I25-J25)</f>
        <v/>
      </c>
      <c r="L25" s="65" t="str">
        <f aca="false">IF(OR($B25="",NOT(Setup!$F$20="Yes")),"",MIN(N(Employees!H$24),Setup!$E$20)+ROUND(Setup!$C$20*IF(Setup!$D$20="Monthly",$E25,$D25)/12*2,0)/2)</f>
        <v/>
      </c>
      <c r="M25" s="65" t="str">
        <f aca="false">IF($B25="","",SUMIFS('Leave Register'!$H$6:$H$305,'Leave Register'!$B$6:$B$305,$B25,'Leave Register'!$D$6:$D$305,Setup!$A$20,'Leave Register'!$J$6:$J$305,"Approved",'Leave Register'!$E$6:$E$305,"&gt;="&amp;Setup!$C$12,'Leave Register'!$E$6:$E$305,"&lt;="&amp;Setup!$C$13))</f>
        <v/>
      </c>
      <c r="N25" s="66" t="str">
        <f aca="false">IF(OR($B25="",NOT(Setup!$F$20="Yes")),"",L25-M25)</f>
        <v/>
      </c>
      <c r="O25" s="65" t="str">
        <f aca="false">IF(OR($B25="",NOT(Setup!$F$21="Yes")),"",MIN(N(Employees!I$24),Setup!$E$21)+ROUND(Setup!$C$21*IF(Setup!$D$21="Monthly",$E25,$D25)/12*2,0)/2)</f>
        <v/>
      </c>
      <c r="P25" s="65" t="str">
        <f aca="false">IF($B25="","",SUMIFS('Leave Register'!$H$6:$H$305,'Leave Register'!$B$6:$B$305,$B25,'Leave Register'!$D$6:$D$305,Setup!$A$21,'Leave Register'!$J$6:$J$305,"Approved",'Leave Register'!$E$6:$E$305,"&gt;="&amp;Setup!$C$12,'Leave Register'!$E$6:$E$305,"&lt;="&amp;Setup!$C$13))</f>
        <v/>
      </c>
      <c r="Q25" s="66" t="str">
        <f aca="false">IF(OR($B25="",NOT(Setup!$F$21="Yes")),"",O25-P25)</f>
        <v/>
      </c>
      <c r="R25" s="65" t="str">
        <f aca="false">IF(OR($B25="",NOT(Setup!$F$22="Yes")),"",MIN(N(Employees!J$24),Setup!$E$22)+ROUND(Setup!$C$22*IF(Setup!$D$22="Monthly",$E25,$D25)/12*2,0)/2)</f>
        <v/>
      </c>
      <c r="S25" s="65" t="str">
        <f aca="false">IF($B25="","",SUMIFS('Leave Register'!$H$6:$H$305,'Leave Register'!$B$6:$B$305,$B25,'Leave Register'!$D$6:$D$305,Setup!$A$22,'Leave Register'!$J$6:$J$305,"Approved",'Leave Register'!$E$6:$E$305,"&gt;="&amp;Setup!$C$12,'Leave Register'!$E$6:$E$305,"&lt;="&amp;Setup!$C$13))</f>
        <v/>
      </c>
      <c r="T25" s="66" t="str">
        <f aca="false">IF(OR($B25="",NOT(Setup!$F$22="Yes")),"",R25-S25)</f>
        <v/>
      </c>
      <c r="U25" s="65" t="str">
        <f aca="false">IF(OR($B25="",NOT(Setup!$F$23="Yes")),"",MIN(N(Employees!K$24),Setup!$E$23)+ROUND(Setup!$C$23*IF(Setup!$D$23="Monthly",$E25,$D25)/12*2,0)/2)</f>
        <v/>
      </c>
      <c r="V25" s="65" t="str">
        <f aca="false">IF($B25="","",SUMIFS('Leave Register'!$H$6:$H$305,'Leave Register'!$B$6:$B$305,$B25,'Leave Register'!$D$6:$D$305,Setup!$A$23,'Leave Register'!$J$6:$J$305,"Approved",'Leave Register'!$E$6:$E$305,"&gt;="&amp;Setup!$C$12,'Leave Register'!$E$6:$E$305,"&lt;="&amp;Setup!$C$13))</f>
        <v/>
      </c>
      <c r="W25" s="66" t="str">
        <f aca="false">IF(OR($B25="",NOT(Setup!$F$23="Yes")),"",U25-V25)</f>
        <v/>
      </c>
      <c r="X25" s="67" t="str">
        <f aca="false">IF(B25="","",SUMIFS('Leave Register'!$H$6:$H$305,'Leave Register'!$B$6:$B$305,$B25,'Leave Register'!$J$6:$J$305,"Pending"))</f>
        <v/>
      </c>
      <c r="Y25" s="68" t="str">
        <f aca="false">IF(B25="","",IF(Setup!$F$18="No",G25,0)+IF(Setup!$F$19="No",J25,0)+IF(Setup!$F$20="No",M25,0)+IF(Setup!$F$21="No",P25,0)+IF(Setup!$F$22="No",S25,0)+IF(Setup!$F$23="No",V25,0))</f>
        <v/>
      </c>
    </row>
    <row r="26" customFormat="false" ht="15" hidden="false" customHeight="false" outlineLevel="0" collapsed="false">
      <c r="A26" s="51" t="str">
        <f aca="false">IF(B26="","",ROW()-5)</f>
        <v/>
      </c>
      <c r="B26" s="63" t="str">
        <f aca="false">IF(Employees!$B$25="","",Employees!$B$25)</f>
        <v/>
      </c>
      <c r="C26" s="10" t="str">
        <f aca="false">IF(B26="","",Employees!$C$25)</f>
        <v/>
      </c>
      <c r="D26" s="64" t="str">
        <f aca="false">IF(B26="","",IF(N(Employees!$E$25)&gt;Setup!$C$13,0,MAX(0,MIN(12,(YEAR(Setup!$C$13)-YEAR(IF(AND(Setup!$C$8="Yes",N(Employees!$E$25)&gt;Setup!$C$12),DATE(YEAR(Employees!$E$25),MONTH(Employees!$E$25),1),Setup!$C$12)))*12+MONTH(Setup!$C$13)-MONTH(IF(AND(Setup!$C$8="Yes",N(Employees!$E$25)&gt;Setup!$C$12),DATE(YEAR(Employees!$E$25),MONTH(Employees!$E$25),1),Setup!$C$12))+1))))</f>
        <v/>
      </c>
      <c r="E26" s="64" t="str">
        <f aca="false">IF(B26="","",IF(OR(N(Employees!$E$25)&gt;Setup!$C$13,Setup!$C$9&lt;IF(AND(Setup!$C$8="Yes",N(Employees!$E$25)&gt;Setup!$C$12),DATE(YEAR(Employees!$E$25),MONTH(Employees!$E$25),1),Setup!$C$12)),0,MAX(0,MIN(12,(YEAR(MIN(Setup!$C$9,Setup!$C$13))-YEAR(IF(AND(Setup!$C$8="Yes",N(Employees!$E$25)&gt;Setup!$C$12),DATE(YEAR(Employees!$E$25),MONTH(Employees!$E$25),1),Setup!$C$12)))*12+MONTH(MIN(Setup!$C$9,Setup!$C$13))-MONTH(IF(AND(Setup!$C$8="Yes",N(Employees!$E$25)&gt;Setup!$C$12),DATE(YEAR(Employees!$E$25),MONTH(Employees!$E$25),1),Setup!$C$12))+1))))</f>
        <v/>
      </c>
      <c r="F26" s="65" t="str">
        <f aca="false">IF(OR($B26="",NOT(Setup!$F$18="Yes")),"",MIN(N(Employees!F$25),Setup!$E$18)+ROUND(Setup!$C$18*IF(Setup!$D$18="Monthly",$E26,$D26)/12*2,0)/2)</f>
        <v/>
      </c>
      <c r="G26" s="65" t="str">
        <f aca="false">IF($B26="","",SUMIFS('Leave Register'!$H$6:$H$305,'Leave Register'!$B$6:$B$305,$B26,'Leave Register'!$D$6:$D$305,Setup!$A$18,'Leave Register'!$J$6:$J$305,"Approved",'Leave Register'!$E$6:$E$305,"&gt;="&amp;Setup!$C$12,'Leave Register'!$E$6:$E$305,"&lt;="&amp;Setup!$C$13))</f>
        <v/>
      </c>
      <c r="H26" s="66" t="str">
        <f aca="false">IF(OR($B26="",NOT(Setup!$F$18="Yes")),"",F26-G26)</f>
        <v/>
      </c>
      <c r="I26" s="65" t="str">
        <f aca="false">IF(OR($B26="",NOT(Setup!$F$19="Yes")),"",MIN(N(Employees!G$25),Setup!$E$19)+ROUND(Setup!$C$19*IF(Setup!$D$19="Monthly",$E26,$D26)/12*2,0)/2)</f>
        <v/>
      </c>
      <c r="J26" s="65" t="str">
        <f aca="false">IF($B26="","",SUMIFS('Leave Register'!$H$6:$H$305,'Leave Register'!$B$6:$B$305,$B26,'Leave Register'!$D$6:$D$305,Setup!$A$19,'Leave Register'!$J$6:$J$305,"Approved",'Leave Register'!$E$6:$E$305,"&gt;="&amp;Setup!$C$12,'Leave Register'!$E$6:$E$305,"&lt;="&amp;Setup!$C$13))</f>
        <v/>
      </c>
      <c r="K26" s="66" t="str">
        <f aca="false">IF(OR($B26="",NOT(Setup!$F$19="Yes")),"",I26-J26)</f>
        <v/>
      </c>
      <c r="L26" s="65" t="str">
        <f aca="false">IF(OR($B26="",NOT(Setup!$F$20="Yes")),"",MIN(N(Employees!H$25),Setup!$E$20)+ROUND(Setup!$C$20*IF(Setup!$D$20="Monthly",$E26,$D26)/12*2,0)/2)</f>
        <v/>
      </c>
      <c r="M26" s="65" t="str">
        <f aca="false">IF($B26="","",SUMIFS('Leave Register'!$H$6:$H$305,'Leave Register'!$B$6:$B$305,$B26,'Leave Register'!$D$6:$D$305,Setup!$A$20,'Leave Register'!$J$6:$J$305,"Approved",'Leave Register'!$E$6:$E$305,"&gt;="&amp;Setup!$C$12,'Leave Register'!$E$6:$E$305,"&lt;="&amp;Setup!$C$13))</f>
        <v/>
      </c>
      <c r="N26" s="66" t="str">
        <f aca="false">IF(OR($B26="",NOT(Setup!$F$20="Yes")),"",L26-M26)</f>
        <v/>
      </c>
      <c r="O26" s="65" t="str">
        <f aca="false">IF(OR($B26="",NOT(Setup!$F$21="Yes")),"",MIN(N(Employees!I$25),Setup!$E$21)+ROUND(Setup!$C$21*IF(Setup!$D$21="Monthly",$E26,$D26)/12*2,0)/2)</f>
        <v/>
      </c>
      <c r="P26" s="65" t="str">
        <f aca="false">IF($B26="","",SUMIFS('Leave Register'!$H$6:$H$305,'Leave Register'!$B$6:$B$305,$B26,'Leave Register'!$D$6:$D$305,Setup!$A$21,'Leave Register'!$J$6:$J$305,"Approved",'Leave Register'!$E$6:$E$305,"&gt;="&amp;Setup!$C$12,'Leave Register'!$E$6:$E$305,"&lt;="&amp;Setup!$C$13))</f>
        <v/>
      </c>
      <c r="Q26" s="66" t="str">
        <f aca="false">IF(OR($B26="",NOT(Setup!$F$21="Yes")),"",O26-P26)</f>
        <v/>
      </c>
      <c r="R26" s="65" t="str">
        <f aca="false">IF(OR($B26="",NOT(Setup!$F$22="Yes")),"",MIN(N(Employees!J$25),Setup!$E$22)+ROUND(Setup!$C$22*IF(Setup!$D$22="Monthly",$E26,$D26)/12*2,0)/2)</f>
        <v/>
      </c>
      <c r="S26" s="65" t="str">
        <f aca="false">IF($B26="","",SUMIFS('Leave Register'!$H$6:$H$305,'Leave Register'!$B$6:$B$305,$B26,'Leave Register'!$D$6:$D$305,Setup!$A$22,'Leave Register'!$J$6:$J$305,"Approved",'Leave Register'!$E$6:$E$305,"&gt;="&amp;Setup!$C$12,'Leave Register'!$E$6:$E$305,"&lt;="&amp;Setup!$C$13))</f>
        <v/>
      </c>
      <c r="T26" s="66" t="str">
        <f aca="false">IF(OR($B26="",NOT(Setup!$F$22="Yes")),"",R26-S26)</f>
        <v/>
      </c>
      <c r="U26" s="65" t="str">
        <f aca="false">IF(OR($B26="",NOT(Setup!$F$23="Yes")),"",MIN(N(Employees!K$25),Setup!$E$23)+ROUND(Setup!$C$23*IF(Setup!$D$23="Monthly",$E26,$D26)/12*2,0)/2)</f>
        <v/>
      </c>
      <c r="V26" s="65" t="str">
        <f aca="false">IF($B26="","",SUMIFS('Leave Register'!$H$6:$H$305,'Leave Register'!$B$6:$B$305,$B26,'Leave Register'!$D$6:$D$305,Setup!$A$23,'Leave Register'!$J$6:$J$305,"Approved",'Leave Register'!$E$6:$E$305,"&gt;="&amp;Setup!$C$12,'Leave Register'!$E$6:$E$305,"&lt;="&amp;Setup!$C$13))</f>
        <v/>
      </c>
      <c r="W26" s="66" t="str">
        <f aca="false">IF(OR($B26="",NOT(Setup!$F$23="Yes")),"",U26-V26)</f>
        <v/>
      </c>
      <c r="X26" s="67" t="str">
        <f aca="false">IF(B26="","",SUMIFS('Leave Register'!$H$6:$H$305,'Leave Register'!$B$6:$B$305,$B26,'Leave Register'!$J$6:$J$305,"Pending"))</f>
        <v/>
      </c>
      <c r="Y26" s="68" t="str">
        <f aca="false">IF(B26="","",IF(Setup!$F$18="No",G26,0)+IF(Setup!$F$19="No",J26,0)+IF(Setup!$F$20="No",M26,0)+IF(Setup!$F$21="No",P26,0)+IF(Setup!$F$22="No",S26,0)+IF(Setup!$F$23="No",V26,0))</f>
        <v/>
      </c>
    </row>
    <row r="27" customFormat="false" ht="15" hidden="false" customHeight="false" outlineLevel="0" collapsed="false">
      <c r="A27" s="51" t="str">
        <f aca="false">IF(B27="","",ROW()-5)</f>
        <v/>
      </c>
      <c r="B27" s="63" t="str">
        <f aca="false">IF(Employees!$B$26="","",Employees!$B$26)</f>
        <v/>
      </c>
      <c r="C27" s="10" t="str">
        <f aca="false">IF(B27="","",Employees!$C$26)</f>
        <v/>
      </c>
      <c r="D27" s="64" t="str">
        <f aca="false">IF(B27="","",IF(N(Employees!$E$26)&gt;Setup!$C$13,0,MAX(0,MIN(12,(YEAR(Setup!$C$13)-YEAR(IF(AND(Setup!$C$8="Yes",N(Employees!$E$26)&gt;Setup!$C$12),DATE(YEAR(Employees!$E$26),MONTH(Employees!$E$26),1),Setup!$C$12)))*12+MONTH(Setup!$C$13)-MONTH(IF(AND(Setup!$C$8="Yes",N(Employees!$E$26)&gt;Setup!$C$12),DATE(YEAR(Employees!$E$26),MONTH(Employees!$E$26),1),Setup!$C$12))+1))))</f>
        <v/>
      </c>
      <c r="E27" s="64" t="str">
        <f aca="false">IF(B27="","",IF(OR(N(Employees!$E$26)&gt;Setup!$C$13,Setup!$C$9&lt;IF(AND(Setup!$C$8="Yes",N(Employees!$E$26)&gt;Setup!$C$12),DATE(YEAR(Employees!$E$26),MONTH(Employees!$E$26),1),Setup!$C$12)),0,MAX(0,MIN(12,(YEAR(MIN(Setup!$C$9,Setup!$C$13))-YEAR(IF(AND(Setup!$C$8="Yes",N(Employees!$E$26)&gt;Setup!$C$12),DATE(YEAR(Employees!$E$26),MONTH(Employees!$E$26),1),Setup!$C$12)))*12+MONTH(MIN(Setup!$C$9,Setup!$C$13))-MONTH(IF(AND(Setup!$C$8="Yes",N(Employees!$E$26)&gt;Setup!$C$12),DATE(YEAR(Employees!$E$26),MONTH(Employees!$E$26),1),Setup!$C$12))+1))))</f>
        <v/>
      </c>
      <c r="F27" s="65" t="str">
        <f aca="false">IF(OR($B27="",NOT(Setup!$F$18="Yes")),"",MIN(N(Employees!F$26),Setup!$E$18)+ROUND(Setup!$C$18*IF(Setup!$D$18="Monthly",$E27,$D27)/12*2,0)/2)</f>
        <v/>
      </c>
      <c r="G27" s="65" t="str">
        <f aca="false">IF($B27="","",SUMIFS('Leave Register'!$H$6:$H$305,'Leave Register'!$B$6:$B$305,$B27,'Leave Register'!$D$6:$D$305,Setup!$A$18,'Leave Register'!$J$6:$J$305,"Approved",'Leave Register'!$E$6:$E$305,"&gt;="&amp;Setup!$C$12,'Leave Register'!$E$6:$E$305,"&lt;="&amp;Setup!$C$13))</f>
        <v/>
      </c>
      <c r="H27" s="66" t="str">
        <f aca="false">IF(OR($B27="",NOT(Setup!$F$18="Yes")),"",F27-G27)</f>
        <v/>
      </c>
      <c r="I27" s="65" t="str">
        <f aca="false">IF(OR($B27="",NOT(Setup!$F$19="Yes")),"",MIN(N(Employees!G$26),Setup!$E$19)+ROUND(Setup!$C$19*IF(Setup!$D$19="Monthly",$E27,$D27)/12*2,0)/2)</f>
        <v/>
      </c>
      <c r="J27" s="65" t="str">
        <f aca="false">IF($B27="","",SUMIFS('Leave Register'!$H$6:$H$305,'Leave Register'!$B$6:$B$305,$B27,'Leave Register'!$D$6:$D$305,Setup!$A$19,'Leave Register'!$J$6:$J$305,"Approved",'Leave Register'!$E$6:$E$305,"&gt;="&amp;Setup!$C$12,'Leave Register'!$E$6:$E$305,"&lt;="&amp;Setup!$C$13))</f>
        <v/>
      </c>
      <c r="K27" s="66" t="str">
        <f aca="false">IF(OR($B27="",NOT(Setup!$F$19="Yes")),"",I27-J27)</f>
        <v/>
      </c>
      <c r="L27" s="65" t="str">
        <f aca="false">IF(OR($B27="",NOT(Setup!$F$20="Yes")),"",MIN(N(Employees!H$26),Setup!$E$20)+ROUND(Setup!$C$20*IF(Setup!$D$20="Monthly",$E27,$D27)/12*2,0)/2)</f>
        <v/>
      </c>
      <c r="M27" s="65" t="str">
        <f aca="false">IF($B27="","",SUMIFS('Leave Register'!$H$6:$H$305,'Leave Register'!$B$6:$B$305,$B27,'Leave Register'!$D$6:$D$305,Setup!$A$20,'Leave Register'!$J$6:$J$305,"Approved",'Leave Register'!$E$6:$E$305,"&gt;="&amp;Setup!$C$12,'Leave Register'!$E$6:$E$305,"&lt;="&amp;Setup!$C$13))</f>
        <v/>
      </c>
      <c r="N27" s="66" t="str">
        <f aca="false">IF(OR($B27="",NOT(Setup!$F$20="Yes")),"",L27-M27)</f>
        <v/>
      </c>
      <c r="O27" s="65" t="str">
        <f aca="false">IF(OR($B27="",NOT(Setup!$F$21="Yes")),"",MIN(N(Employees!I$26),Setup!$E$21)+ROUND(Setup!$C$21*IF(Setup!$D$21="Monthly",$E27,$D27)/12*2,0)/2)</f>
        <v/>
      </c>
      <c r="P27" s="65" t="str">
        <f aca="false">IF($B27="","",SUMIFS('Leave Register'!$H$6:$H$305,'Leave Register'!$B$6:$B$305,$B27,'Leave Register'!$D$6:$D$305,Setup!$A$21,'Leave Register'!$J$6:$J$305,"Approved",'Leave Register'!$E$6:$E$305,"&gt;="&amp;Setup!$C$12,'Leave Register'!$E$6:$E$305,"&lt;="&amp;Setup!$C$13))</f>
        <v/>
      </c>
      <c r="Q27" s="66" t="str">
        <f aca="false">IF(OR($B27="",NOT(Setup!$F$21="Yes")),"",O27-P27)</f>
        <v/>
      </c>
      <c r="R27" s="65" t="str">
        <f aca="false">IF(OR($B27="",NOT(Setup!$F$22="Yes")),"",MIN(N(Employees!J$26),Setup!$E$22)+ROUND(Setup!$C$22*IF(Setup!$D$22="Monthly",$E27,$D27)/12*2,0)/2)</f>
        <v/>
      </c>
      <c r="S27" s="65" t="str">
        <f aca="false">IF($B27="","",SUMIFS('Leave Register'!$H$6:$H$305,'Leave Register'!$B$6:$B$305,$B27,'Leave Register'!$D$6:$D$305,Setup!$A$22,'Leave Register'!$J$6:$J$305,"Approved",'Leave Register'!$E$6:$E$305,"&gt;="&amp;Setup!$C$12,'Leave Register'!$E$6:$E$305,"&lt;="&amp;Setup!$C$13))</f>
        <v/>
      </c>
      <c r="T27" s="66" t="str">
        <f aca="false">IF(OR($B27="",NOT(Setup!$F$22="Yes")),"",R27-S27)</f>
        <v/>
      </c>
      <c r="U27" s="65" t="str">
        <f aca="false">IF(OR($B27="",NOT(Setup!$F$23="Yes")),"",MIN(N(Employees!K$26),Setup!$E$23)+ROUND(Setup!$C$23*IF(Setup!$D$23="Monthly",$E27,$D27)/12*2,0)/2)</f>
        <v/>
      </c>
      <c r="V27" s="65" t="str">
        <f aca="false">IF($B27="","",SUMIFS('Leave Register'!$H$6:$H$305,'Leave Register'!$B$6:$B$305,$B27,'Leave Register'!$D$6:$D$305,Setup!$A$23,'Leave Register'!$J$6:$J$305,"Approved",'Leave Register'!$E$6:$E$305,"&gt;="&amp;Setup!$C$12,'Leave Register'!$E$6:$E$305,"&lt;="&amp;Setup!$C$13))</f>
        <v/>
      </c>
      <c r="W27" s="66" t="str">
        <f aca="false">IF(OR($B27="",NOT(Setup!$F$23="Yes")),"",U27-V27)</f>
        <v/>
      </c>
      <c r="X27" s="67" t="str">
        <f aca="false">IF(B27="","",SUMIFS('Leave Register'!$H$6:$H$305,'Leave Register'!$B$6:$B$305,$B27,'Leave Register'!$J$6:$J$305,"Pending"))</f>
        <v/>
      </c>
      <c r="Y27" s="68" t="str">
        <f aca="false">IF(B27="","",IF(Setup!$F$18="No",G27,0)+IF(Setup!$F$19="No",J27,0)+IF(Setup!$F$20="No",M27,0)+IF(Setup!$F$21="No",P27,0)+IF(Setup!$F$22="No",S27,0)+IF(Setup!$F$23="No",V27,0))</f>
        <v/>
      </c>
    </row>
    <row r="28" customFormat="false" ht="15" hidden="false" customHeight="false" outlineLevel="0" collapsed="false">
      <c r="A28" s="51" t="str">
        <f aca="false">IF(B28="","",ROW()-5)</f>
        <v/>
      </c>
      <c r="B28" s="63" t="str">
        <f aca="false">IF(Employees!$B$27="","",Employees!$B$27)</f>
        <v/>
      </c>
      <c r="C28" s="10" t="str">
        <f aca="false">IF(B28="","",Employees!$C$27)</f>
        <v/>
      </c>
      <c r="D28" s="64" t="str">
        <f aca="false">IF(B28="","",IF(N(Employees!$E$27)&gt;Setup!$C$13,0,MAX(0,MIN(12,(YEAR(Setup!$C$13)-YEAR(IF(AND(Setup!$C$8="Yes",N(Employees!$E$27)&gt;Setup!$C$12),DATE(YEAR(Employees!$E$27),MONTH(Employees!$E$27),1),Setup!$C$12)))*12+MONTH(Setup!$C$13)-MONTH(IF(AND(Setup!$C$8="Yes",N(Employees!$E$27)&gt;Setup!$C$12),DATE(YEAR(Employees!$E$27),MONTH(Employees!$E$27),1),Setup!$C$12))+1))))</f>
        <v/>
      </c>
      <c r="E28" s="64" t="str">
        <f aca="false">IF(B28="","",IF(OR(N(Employees!$E$27)&gt;Setup!$C$13,Setup!$C$9&lt;IF(AND(Setup!$C$8="Yes",N(Employees!$E$27)&gt;Setup!$C$12),DATE(YEAR(Employees!$E$27),MONTH(Employees!$E$27),1),Setup!$C$12)),0,MAX(0,MIN(12,(YEAR(MIN(Setup!$C$9,Setup!$C$13))-YEAR(IF(AND(Setup!$C$8="Yes",N(Employees!$E$27)&gt;Setup!$C$12),DATE(YEAR(Employees!$E$27),MONTH(Employees!$E$27),1),Setup!$C$12)))*12+MONTH(MIN(Setup!$C$9,Setup!$C$13))-MONTH(IF(AND(Setup!$C$8="Yes",N(Employees!$E$27)&gt;Setup!$C$12),DATE(YEAR(Employees!$E$27),MONTH(Employees!$E$27),1),Setup!$C$12))+1))))</f>
        <v/>
      </c>
      <c r="F28" s="65" t="str">
        <f aca="false">IF(OR($B28="",NOT(Setup!$F$18="Yes")),"",MIN(N(Employees!F$27),Setup!$E$18)+ROUND(Setup!$C$18*IF(Setup!$D$18="Monthly",$E28,$D28)/12*2,0)/2)</f>
        <v/>
      </c>
      <c r="G28" s="65" t="str">
        <f aca="false">IF($B28="","",SUMIFS('Leave Register'!$H$6:$H$305,'Leave Register'!$B$6:$B$305,$B28,'Leave Register'!$D$6:$D$305,Setup!$A$18,'Leave Register'!$J$6:$J$305,"Approved",'Leave Register'!$E$6:$E$305,"&gt;="&amp;Setup!$C$12,'Leave Register'!$E$6:$E$305,"&lt;="&amp;Setup!$C$13))</f>
        <v/>
      </c>
      <c r="H28" s="66" t="str">
        <f aca="false">IF(OR($B28="",NOT(Setup!$F$18="Yes")),"",F28-G28)</f>
        <v/>
      </c>
      <c r="I28" s="65" t="str">
        <f aca="false">IF(OR($B28="",NOT(Setup!$F$19="Yes")),"",MIN(N(Employees!G$27),Setup!$E$19)+ROUND(Setup!$C$19*IF(Setup!$D$19="Monthly",$E28,$D28)/12*2,0)/2)</f>
        <v/>
      </c>
      <c r="J28" s="65" t="str">
        <f aca="false">IF($B28="","",SUMIFS('Leave Register'!$H$6:$H$305,'Leave Register'!$B$6:$B$305,$B28,'Leave Register'!$D$6:$D$305,Setup!$A$19,'Leave Register'!$J$6:$J$305,"Approved",'Leave Register'!$E$6:$E$305,"&gt;="&amp;Setup!$C$12,'Leave Register'!$E$6:$E$305,"&lt;="&amp;Setup!$C$13))</f>
        <v/>
      </c>
      <c r="K28" s="66" t="str">
        <f aca="false">IF(OR($B28="",NOT(Setup!$F$19="Yes")),"",I28-J28)</f>
        <v/>
      </c>
      <c r="L28" s="65" t="str">
        <f aca="false">IF(OR($B28="",NOT(Setup!$F$20="Yes")),"",MIN(N(Employees!H$27),Setup!$E$20)+ROUND(Setup!$C$20*IF(Setup!$D$20="Monthly",$E28,$D28)/12*2,0)/2)</f>
        <v/>
      </c>
      <c r="M28" s="65" t="str">
        <f aca="false">IF($B28="","",SUMIFS('Leave Register'!$H$6:$H$305,'Leave Register'!$B$6:$B$305,$B28,'Leave Register'!$D$6:$D$305,Setup!$A$20,'Leave Register'!$J$6:$J$305,"Approved",'Leave Register'!$E$6:$E$305,"&gt;="&amp;Setup!$C$12,'Leave Register'!$E$6:$E$305,"&lt;="&amp;Setup!$C$13))</f>
        <v/>
      </c>
      <c r="N28" s="66" t="str">
        <f aca="false">IF(OR($B28="",NOT(Setup!$F$20="Yes")),"",L28-M28)</f>
        <v/>
      </c>
      <c r="O28" s="65" t="str">
        <f aca="false">IF(OR($B28="",NOT(Setup!$F$21="Yes")),"",MIN(N(Employees!I$27),Setup!$E$21)+ROUND(Setup!$C$21*IF(Setup!$D$21="Monthly",$E28,$D28)/12*2,0)/2)</f>
        <v/>
      </c>
      <c r="P28" s="65" t="str">
        <f aca="false">IF($B28="","",SUMIFS('Leave Register'!$H$6:$H$305,'Leave Register'!$B$6:$B$305,$B28,'Leave Register'!$D$6:$D$305,Setup!$A$21,'Leave Register'!$J$6:$J$305,"Approved",'Leave Register'!$E$6:$E$305,"&gt;="&amp;Setup!$C$12,'Leave Register'!$E$6:$E$305,"&lt;="&amp;Setup!$C$13))</f>
        <v/>
      </c>
      <c r="Q28" s="66" t="str">
        <f aca="false">IF(OR($B28="",NOT(Setup!$F$21="Yes")),"",O28-P28)</f>
        <v/>
      </c>
      <c r="R28" s="65" t="str">
        <f aca="false">IF(OR($B28="",NOT(Setup!$F$22="Yes")),"",MIN(N(Employees!J$27),Setup!$E$22)+ROUND(Setup!$C$22*IF(Setup!$D$22="Monthly",$E28,$D28)/12*2,0)/2)</f>
        <v/>
      </c>
      <c r="S28" s="65" t="str">
        <f aca="false">IF($B28="","",SUMIFS('Leave Register'!$H$6:$H$305,'Leave Register'!$B$6:$B$305,$B28,'Leave Register'!$D$6:$D$305,Setup!$A$22,'Leave Register'!$J$6:$J$305,"Approved",'Leave Register'!$E$6:$E$305,"&gt;="&amp;Setup!$C$12,'Leave Register'!$E$6:$E$305,"&lt;="&amp;Setup!$C$13))</f>
        <v/>
      </c>
      <c r="T28" s="66" t="str">
        <f aca="false">IF(OR($B28="",NOT(Setup!$F$22="Yes")),"",R28-S28)</f>
        <v/>
      </c>
      <c r="U28" s="65" t="str">
        <f aca="false">IF(OR($B28="",NOT(Setup!$F$23="Yes")),"",MIN(N(Employees!K$27),Setup!$E$23)+ROUND(Setup!$C$23*IF(Setup!$D$23="Monthly",$E28,$D28)/12*2,0)/2)</f>
        <v/>
      </c>
      <c r="V28" s="65" t="str">
        <f aca="false">IF($B28="","",SUMIFS('Leave Register'!$H$6:$H$305,'Leave Register'!$B$6:$B$305,$B28,'Leave Register'!$D$6:$D$305,Setup!$A$23,'Leave Register'!$J$6:$J$305,"Approved",'Leave Register'!$E$6:$E$305,"&gt;="&amp;Setup!$C$12,'Leave Register'!$E$6:$E$305,"&lt;="&amp;Setup!$C$13))</f>
        <v/>
      </c>
      <c r="W28" s="66" t="str">
        <f aca="false">IF(OR($B28="",NOT(Setup!$F$23="Yes")),"",U28-V28)</f>
        <v/>
      </c>
      <c r="X28" s="67" t="str">
        <f aca="false">IF(B28="","",SUMIFS('Leave Register'!$H$6:$H$305,'Leave Register'!$B$6:$B$305,$B28,'Leave Register'!$J$6:$J$305,"Pending"))</f>
        <v/>
      </c>
      <c r="Y28" s="68" t="str">
        <f aca="false">IF(B28="","",IF(Setup!$F$18="No",G28,0)+IF(Setup!$F$19="No",J28,0)+IF(Setup!$F$20="No",M28,0)+IF(Setup!$F$21="No",P28,0)+IF(Setup!$F$22="No",S28,0)+IF(Setup!$F$23="No",V28,0))</f>
        <v/>
      </c>
    </row>
    <row r="29" customFormat="false" ht="15" hidden="false" customHeight="false" outlineLevel="0" collapsed="false">
      <c r="A29" s="51" t="str">
        <f aca="false">IF(B29="","",ROW()-5)</f>
        <v/>
      </c>
      <c r="B29" s="63" t="str">
        <f aca="false">IF(Employees!$B$28="","",Employees!$B$28)</f>
        <v/>
      </c>
      <c r="C29" s="10" t="str">
        <f aca="false">IF(B29="","",Employees!$C$28)</f>
        <v/>
      </c>
      <c r="D29" s="64" t="str">
        <f aca="false">IF(B29="","",IF(N(Employees!$E$28)&gt;Setup!$C$13,0,MAX(0,MIN(12,(YEAR(Setup!$C$13)-YEAR(IF(AND(Setup!$C$8="Yes",N(Employees!$E$28)&gt;Setup!$C$12),DATE(YEAR(Employees!$E$28),MONTH(Employees!$E$28),1),Setup!$C$12)))*12+MONTH(Setup!$C$13)-MONTH(IF(AND(Setup!$C$8="Yes",N(Employees!$E$28)&gt;Setup!$C$12),DATE(YEAR(Employees!$E$28),MONTH(Employees!$E$28),1),Setup!$C$12))+1))))</f>
        <v/>
      </c>
      <c r="E29" s="64" t="str">
        <f aca="false">IF(B29="","",IF(OR(N(Employees!$E$28)&gt;Setup!$C$13,Setup!$C$9&lt;IF(AND(Setup!$C$8="Yes",N(Employees!$E$28)&gt;Setup!$C$12),DATE(YEAR(Employees!$E$28),MONTH(Employees!$E$28),1),Setup!$C$12)),0,MAX(0,MIN(12,(YEAR(MIN(Setup!$C$9,Setup!$C$13))-YEAR(IF(AND(Setup!$C$8="Yes",N(Employees!$E$28)&gt;Setup!$C$12),DATE(YEAR(Employees!$E$28),MONTH(Employees!$E$28),1),Setup!$C$12)))*12+MONTH(MIN(Setup!$C$9,Setup!$C$13))-MONTH(IF(AND(Setup!$C$8="Yes",N(Employees!$E$28)&gt;Setup!$C$12),DATE(YEAR(Employees!$E$28),MONTH(Employees!$E$28),1),Setup!$C$12))+1))))</f>
        <v/>
      </c>
      <c r="F29" s="65" t="str">
        <f aca="false">IF(OR($B29="",NOT(Setup!$F$18="Yes")),"",MIN(N(Employees!F$28),Setup!$E$18)+ROUND(Setup!$C$18*IF(Setup!$D$18="Monthly",$E29,$D29)/12*2,0)/2)</f>
        <v/>
      </c>
      <c r="G29" s="65" t="str">
        <f aca="false">IF($B29="","",SUMIFS('Leave Register'!$H$6:$H$305,'Leave Register'!$B$6:$B$305,$B29,'Leave Register'!$D$6:$D$305,Setup!$A$18,'Leave Register'!$J$6:$J$305,"Approved",'Leave Register'!$E$6:$E$305,"&gt;="&amp;Setup!$C$12,'Leave Register'!$E$6:$E$305,"&lt;="&amp;Setup!$C$13))</f>
        <v/>
      </c>
      <c r="H29" s="66" t="str">
        <f aca="false">IF(OR($B29="",NOT(Setup!$F$18="Yes")),"",F29-G29)</f>
        <v/>
      </c>
      <c r="I29" s="65" t="str">
        <f aca="false">IF(OR($B29="",NOT(Setup!$F$19="Yes")),"",MIN(N(Employees!G$28),Setup!$E$19)+ROUND(Setup!$C$19*IF(Setup!$D$19="Monthly",$E29,$D29)/12*2,0)/2)</f>
        <v/>
      </c>
      <c r="J29" s="65" t="str">
        <f aca="false">IF($B29="","",SUMIFS('Leave Register'!$H$6:$H$305,'Leave Register'!$B$6:$B$305,$B29,'Leave Register'!$D$6:$D$305,Setup!$A$19,'Leave Register'!$J$6:$J$305,"Approved",'Leave Register'!$E$6:$E$305,"&gt;="&amp;Setup!$C$12,'Leave Register'!$E$6:$E$305,"&lt;="&amp;Setup!$C$13))</f>
        <v/>
      </c>
      <c r="K29" s="66" t="str">
        <f aca="false">IF(OR($B29="",NOT(Setup!$F$19="Yes")),"",I29-J29)</f>
        <v/>
      </c>
      <c r="L29" s="65" t="str">
        <f aca="false">IF(OR($B29="",NOT(Setup!$F$20="Yes")),"",MIN(N(Employees!H$28),Setup!$E$20)+ROUND(Setup!$C$20*IF(Setup!$D$20="Monthly",$E29,$D29)/12*2,0)/2)</f>
        <v/>
      </c>
      <c r="M29" s="65" t="str">
        <f aca="false">IF($B29="","",SUMIFS('Leave Register'!$H$6:$H$305,'Leave Register'!$B$6:$B$305,$B29,'Leave Register'!$D$6:$D$305,Setup!$A$20,'Leave Register'!$J$6:$J$305,"Approved",'Leave Register'!$E$6:$E$305,"&gt;="&amp;Setup!$C$12,'Leave Register'!$E$6:$E$305,"&lt;="&amp;Setup!$C$13))</f>
        <v/>
      </c>
      <c r="N29" s="66" t="str">
        <f aca="false">IF(OR($B29="",NOT(Setup!$F$20="Yes")),"",L29-M29)</f>
        <v/>
      </c>
      <c r="O29" s="65" t="str">
        <f aca="false">IF(OR($B29="",NOT(Setup!$F$21="Yes")),"",MIN(N(Employees!I$28),Setup!$E$21)+ROUND(Setup!$C$21*IF(Setup!$D$21="Monthly",$E29,$D29)/12*2,0)/2)</f>
        <v/>
      </c>
      <c r="P29" s="65" t="str">
        <f aca="false">IF($B29="","",SUMIFS('Leave Register'!$H$6:$H$305,'Leave Register'!$B$6:$B$305,$B29,'Leave Register'!$D$6:$D$305,Setup!$A$21,'Leave Register'!$J$6:$J$305,"Approved",'Leave Register'!$E$6:$E$305,"&gt;="&amp;Setup!$C$12,'Leave Register'!$E$6:$E$305,"&lt;="&amp;Setup!$C$13))</f>
        <v/>
      </c>
      <c r="Q29" s="66" t="str">
        <f aca="false">IF(OR($B29="",NOT(Setup!$F$21="Yes")),"",O29-P29)</f>
        <v/>
      </c>
      <c r="R29" s="65" t="str">
        <f aca="false">IF(OR($B29="",NOT(Setup!$F$22="Yes")),"",MIN(N(Employees!J$28),Setup!$E$22)+ROUND(Setup!$C$22*IF(Setup!$D$22="Monthly",$E29,$D29)/12*2,0)/2)</f>
        <v/>
      </c>
      <c r="S29" s="65" t="str">
        <f aca="false">IF($B29="","",SUMIFS('Leave Register'!$H$6:$H$305,'Leave Register'!$B$6:$B$305,$B29,'Leave Register'!$D$6:$D$305,Setup!$A$22,'Leave Register'!$J$6:$J$305,"Approved",'Leave Register'!$E$6:$E$305,"&gt;="&amp;Setup!$C$12,'Leave Register'!$E$6:$E$305,"&lt;="&amp;Setup!$C$13))</f>
        <v/>
      </c>
      <c r="T29" s="66" t="str">
        <f aca="false">IF(OR($B29="",NOT(Setup!$F$22="Yes")),"",R29-S29)</f>
        <v/>
      </c>
      <c r="U29" s="65" t="str">
        <f aca="false">IF(OR($B29="",NOT(Setup!$F$23="Yes")),"",MIN(N(Employees!K$28),Setup!$E$23)+ROUND(Setup!$C$23*IF(Setup!$D$23="Monthly",$E29,$D29)/12*2,0)/2)</f>
        <v/>
      </c>
      <c r="V29" s="65" t="str">
        <f aca="false">IF($B29="","",SUMIFS('Leave Register'!$H$6:$H$305,'Leave Register'!$B$6:$B$305,$B29,'Leave Register'!$D$6:$D$305,Setup!$A$23,'Leave Register'!$J$6:$J$305,"Approved",'Leave Register'!$E$6:$E$305,"&gt;="&amp;Setup!$C$12,'Leave Register'!$E$6:$E$305,"&lt;="&amp;Setup!$C$13))</f>
        <v/>
      </c>
      <c r="W29" s="66" t="str">
        <f aca="false">IF(OR($B29="",NOT(Setup!$F$23="Yes")),"",U29-V29)</f>
        <v/>
      </c>
      <c r="X29" s="67" t="str">
        <f aca="false">IF(B29="","",SUMIFS('Leave Register'!$H$6:$H$305,'Leave Register'!$B$6:$B$305,$B29,'Leave Register'!$J$6:$J$305,"Pending"))</f>
        <v/>
      </c>
      <c r="Y29" s="68" t="str">
        <f aca="false">IF(B29="","",IF(Setup!$F$18="No",G29,0)+IF(Setup!$F$19="No",J29,0)+IF(Setup!$F$20="No",M29,0)+IF(Setup!$F$21="No",P29,0)+IF(Setup!$F$22="No",S29,0)+IF(Setup!$F$23="No",V29,0))</f>
        <v/>
      </c>
    </row>
    <row r="30" customFormat="false" ht="15" hidden="false" customHeight="false" outlineLevel="0" collapsed="false">
      <c r="A30" s="51" t="str">
        <f aca="false">IF(B30="","",ROW()-5)</f>
        <v/>
      </c>
      <c r="B30" s="63" t="str">
        <f aca="false">IF(Employees!$B$29="","",Employees!$B$29)</f>
        <v/>
      </c>
      <c r="C30" s="10" t="str">
        <f aca="false">IF(B30="","",Employees!$C$29)</f>
        <v/>
      </c>
      <c r="D30" s="64" t="str">
        <f aca="false">IF(B30="","",IF(N(Employees!$E$29)&gt;Setup!$C$13,0,MAX(0,MIN(12,(YEAR(Setup!$C$13)-YEAR(IF(AND(Setup!$C$8="Yes",N(Employees!$E$29)&gt;Setup!$C$12),DATE(YEAR(Employees!$E$29),MONTH(Employees!$E$29),1),Setup!$C$12)))*12+MONTH(Setup!$C$13)-MONTH(IF(AND(Setup!$C$8="Yes",N(Employees!$E$29)&gt;Setup!$C$12),DATE(YEAR(Employees!$E$29),MONTH(Employees!$E$29),1),Setup!$C$12))+1))))</f>
        <v/>
      </c>
      <c r="E30" s="64" t="str">
        <f aca="false">IF(B30="","",IF(OR(N(Employees!$E$29)&gt;Setup!$C$13,Setup!$C$9&lt;IF(AND(Setup!$C$8="Yes",N(Employees!$E$29)&gt;Setup!$C$12),DATE(YEAR(Employees!$E$29),MONTH(Employees!$E$29),1),Setup!$C$12)),0,MAX(0,MIN(12,(YEAR(MIN(Setup!$C$9,Setup!$C$13))-YEAR(IF(AND(Setup!$C$8="Yes",N(Employees!$E$29)&gt;Setup!$C$12),DATE(YEAR(Employees!$E$29),MONTH(Employees!$E$29),1),Setup!$C$12)))*12+MONTH(MIN(Setup!$C$9,Setup!$C$13))-MONTH(IF(AND(Setup!$C$8="Yes",N(Employees!$E$29)&gt;Setup!$C$12),DATE(YEAR(Employees!$E$29),MONTH(Employees!$E$29),1),Setup!$C$12))+1))))</f>
        <v/>
      </c>
      <c r="F30" s="65" t="str">
        <f aca="false">IF(OR($B30="",NOT(Setup!$F$18="Yes")),"",MIN(N(Employees!F$29),Setup!$E$18)+ROUND(Setup!$C$18*IF(Setup!$D$18="Monthly",$E30,$D30)/12*2,0)/2)</f>
        <v/>
      </c>
      <c r="G30" s="65" t="str">
        <f aca="false">IF($B30="","",SUMIFS('Leave Register'!$H$6:$H$305,'Leave Register'!$B$6:$B$305,$B30,'Leave Register'!$D$6:$D$305,Setup!$A$18,'Leave Register'!$J$6:$J$305,"Approved",'Leave Register'!$E$6:$E$305,"&gt;="&amp;Setup!$C$12,'Leave Register'!$E$6:$E$305,"&lt;="&amp;Setup!$C$13))</f>
        <v/>
      </c>
      <c r="H30" s="66" t="str">
        <f aca="false">IF(OR($B30="",NOT(Setup!$F$18="Yes")),"",F30-G30)</f>
        <v/>
      </c>
      <c r="I30" s="65" t="str">
        <f aca="false">IF(OR($B30="",NOT(Setup!$F$19="Yes")),"",MIN(N(Employees!G$29),Setup!$E$19)+ROUND(Setup!$C$19*IF(Setup!$D$19="Monthly",$E30,$D30)/12*2,0)/2)</f>
        <v/>
      </c>
      <c r="J30" s="65" t="str">
        <f aca="false">IF($B30="","",SUMIFS('Leave Register'!$H$6:$H$305,'Leave Register'!$B$6:$B$305,$B30,'Leave Register'!$D$6:$D$305,Setup!$A$19,'Leave Register'!$J$6:$J$305,"Approved",'Leave Register'!$E$6:$E$305,"&gt;="&amp;Setup!$C$12,'Leave Register'!$E$6:$E$305,"&lt;="&amp;Setup!$C$13))</f>
        <v/>
      </c>
      <c r="K30" s="66" t="str">
        <f aca="false">IF(OR($B30="",NOT(Setup!$F$19="Yes")),"",I30-J30)</f>
        <v/>
      </c>
      <c r="L30" s="65" t="str">
        <f aca="false">IF(OR($B30="",NOT(Setup!$F$20="Yes")),"",MIN(N(Employees!H$29),Setup!$E$20)+ROUND(Setup!$C$20*IF(Setup!$D$20="Monthly",$E30,$D30)/12*2,0)/2)</f>
        <v/>
      </c>
      <c r="M30" s="65" t="str">
        <f aca="false">IF($B30="","",SUMIFS('Leave Register'!$H$6:$H$305,'Leave Register'!$B$6:$B$305,$B30,'Leave Register'!$D$6:$D$305,Setup!$A$20,'Leave Register'!$J$6:$J$305,"Approved",'Leave Register'!$E$6:$E$305,"&gt;="&amp;Setup!$C$12,'Leave Register'!$E$6:$E$305,"&lt;="&amp;Setup!$C$13))</f>
        <v/>
      </c>
      <c r="N30" s="66" t="str">
        <f aca="false">IF(OR($B30="",NOT(Setup!$F$20="Yes")),"",L30-M30)</f>
        <v/>
      </c>
      <c r="O30" s="65" t="str">
        <f aca="false">IF(OR($B30="",NOT(Setup!$F$21="Yes")),"",MIN(N(Employees!I$29),Setup!$E$21)+ROUND(Setup!$C$21*IF(Setup!$D$21="Monthly",$E30,$D30)/12*2,0)/2)</f>
        <v/>
      </c>
      <c r="P30" s="65" t="str">
        <f aca="false">IF($B30="","",SUMIFS('Leave Register'!$H$6:$H$305,'Leave Register'!$B$6:$B$305,$B30,'Leave Register'!$D$6:$D$305,Setup!$A$21,'Leave Register'!$J$6:$J$305,"Approved",'Leave Register'!$E$6:$E$305,"&gt;="&amp;Setup!$C$12,'Leave Register'!$E$6:$E$305,"&lt;="&amp;Setup!$C$13))</f>
        <v/>
      </c>
      <c r="Q30" s="66" t="str">
        <f aca="false">IF(OR($B30="",NOT(Setup!$F$21="Yes")),"",O30-P30)</f>
        <v/>
      </c>
      <c r="R30" s="65" t="str">
        <f aca="false">IF(OR($B30="",NOT(Setup!$F$22="Yes")),"",MIN(N(Employees!J$29),Setup!$E$22)+ROUND(Setup!$C$22*IF(Setup!$D$22="Monthly",$E30,$D30)/12*2,0)/2)</f>
        <v/>
      </c>
      <c r="S30" s="65" t="str">
        <f aca="false">IF($B30="","",SUMIFS('Leave Register'!$H$6:$H$305,'Leave Register'!$B$6:$B$305,$B30,'Leave Register'!$D$6:$D$305,Setup!$A$22,'Leave Register'!$J$6:$J$305,"Approved",'Leave Register'!$E$6:$E$305,"&gt;="&amp;Setup!$C$12,'Leave Register'!$E$6:$E$305,"&lt;="&amp;Setup!$C$13))</f>
        <v/>
      </c>
      <c r="T30" s="66" t="str">
        <f aca="false">IF(OR($B30="",NOT(Setup!$F$22="Yes")),"",R30-S30)</f>
        <v/>
      </c>
      <c r="U30" s="65" t="str">
        <f aca="false">IF(OR($B30="",NOT(Setup!$F$23="Yes")),"",MIN(N(Employees!K$29),Setup!$E$23)+ROUND(Setup!$C$23*IF(Setup!$D$23="Monthly",$E30,$D30)/12*2,0)/2)</f>
        <v/>
      </c>
      <c r="V30" s="65" t="str">
        <f aca="false">IF($B30="","",SUMIFS('Leave Register'!$H$6:$H$305,'Leave Register'!$B$6:$B$305,$B30,'Leave Register'!$D$6:$D$305,Setup!$A$23,'Leave Register'!$J$6:$J$305,"Approved",'Leave Register'!$E$6:$E$305,"&gt;="&amp;Setup!$C$12,'Leave Register'!$E$6:$E$305,"&lt;="&amp;Setup!$C$13))</f>
        <v/>
      </c>
      <c r="W30" s="66" t="str">
        <f aca="false">IF(OR($B30="",NOT(Setup!$F$23="Yes")),"",U30-V30)</f>
        <v/>
      </c>
      <c r="X30" s="67" t="str">
        <f aca="false">IF(B30="","",SUMIFS('Leave Register'!$H$6:$H$305,'Leave Register'!$B$6:$B$305,$B30,'Leave Register'!$J$6:$J$305,"Pending"))</f>
        <v/>
      </c>
      <c r="Y30" s="68" t="str">
        <f aca="false">IF(B30="","",IF(Setup!$F$18="No",G30,0)+IF(Setup!$F$19="No",J30,0)+IF(Setup!$F$20="No",M30,0)+IF(Setup!$F$21="No",P30,0)+IF(Setup!$F$22="No",S30,0)+IF(Setup!$F$23="No",V30,0))</f>
        <v/>
      </c>
    </row>
    <row r="31" customFormat="false" ht="15" hidden="false" customHeight="false" outlineLevel="0" collapsed="false">
      <c r="A31" s="51" t="str">
        <f aca="false">IF(B31="","",ROW()-5)</f>
        <v/>
      </c>
      <c r="B31" s="63" t="str">
        <f aca="false">IF(Employees!$B$30="","",Employees!$B$30)</f>
        <v/>
      </c>
      <c r="C31" s="10" t="str">
        <f aca="false">IF(B31="","",Employees!$C$30)</f>
        <v/>
      </c>
      <c r="D31" s="64" t="str">
        <f aca="false">IF(B31="","",IF(N(Employees!$E$30)&gt;Setup!$C$13,0,MAX(0,MIN(12,(YEAR(Setup!$C$13)-YEAR(IF(AND(Setup!$C$8="Yes",N(Employees!$E$30)&gt;Setup!$C$12),DATE(YEAR(Employees!$E$30),MONTH(Employees!$E$30),1),Setup!$C$12)))*12+MONTH(Setup!$C$13)-MONTH(IF(AND(Setup!$C$8="Yes",N(Employees!$E$30)&gt;Setup!$C$12),DATE(YEAR(Employees!$E$30),MONTH(Employees!$E$30),1),Setup!$C$12))+1))))</f>
        <v/>
      </c>
      <c r="E31" s="64" t="str">
        <f aca="false">IF(B31="","",IF(OR(N(Employees!$E$30)&gt;Setup!$C$13,Setup!$C$9&lt;IF(AND(Setup!$C$8="Yes",N(Employees!$E$30)&gt;Setup!$C$12),DATE(YEAR(Employees!$E$30),MONTH(Employees!$E$30),1),Setup!$C$12)),0,MAX(0,MIN(12,(YEAR(MIN(Setup!$C$9,Setup!$C$13))-YEAR(IF(AND(Setup!$C$8="Yes",N(Employees!$E$30)&gt;Setup!$C$12),DATE(YEAR(Employees!$E$30),MONTH(Employees!$E$30),1),Setup!$C$12)))*12+MONTH(MIN(Setup!$C$9,Setup!$C$13))-MONTH(IF(AND(Setup!$C$8="Yes",N(Employees!$E$30)&gt;Setup!$C$12),DATE(YEAR(Employees!$E$30),MONTH(Employees!$E$30),1),Setup!$C$12))+1))))</f>
        <v/>
      </c>
      <c r="F31" s="65" t="str">
        <f aca="false">IF(OR($B31="",NOT(Setup!$F$18="Yes")),"",MIN(N(Employees!F$30),Setup!$E$18)+ROUND(Setup!$C$18*IF(Setup!$D$18="Monthly",$E31,$D31)/12*2,0)/2)</f>
        <v/>
      </c>
      <c r="G31" s="65" t="str">
        <f aca="false">IF($B31="","",SUMIFS('Leave Register'!$H$6:$H$305,'Leave Register'!$B$6:$B$305,$B31,'Leave Register'!$D$6:$D$305,Setup!$A$18,'Leave Register'!$J$6:$J$305,"Approved",'Leave Register'!$E$6:$E$305,"&gt;="&amp;Setup!$C$12,'Leave Register'!$E$6:$E$305,"&lt;="&amp;Setup!$C$13))</f>
        <v/>
      </c>
      <c r="H31" s="66" t="str">
        <f aca="false">IF(OR($B31="",NOT(Setup!$F$18="Yes")),"",F31-G31)</f>
        <v/>
      </c>
      <c r="I31" s="65" t="str">
        <f aca="false">IF(OR($B31="",NOT(Setup!$F$19="Yes")),"",MIN(N(Employees!G$30),Setup!$E$19)+ROUND(Setup!$C$19*IF(Setup!$D$19="Monthly",$E31,$D31)/12*2,0)/2)</f>
        <v/>
      </c>
      <c r="J31" s="65" t="str">
        <f aca="false">IF($B31="","",SUMIFS('Leave Register'!$H$6:$H$305,'Leave Register'!$B$6:$B$305,$B31,'Leave Register'!$D$6:$D$305,Setup!$A$19,'Leave Register'!$J$6:$J$305,"Approved",'Leave Register'!$E$6:$E$305,"&gt;="&amp;Setup!$C$12,'Leave Register'!$E$6:$E$305,"&lt;="&amp;Setup!$C$13))</f>
        <v/>
      </c>
      <c r="K31" s="66" t="str">
        <f aca="false">IF(OR($B31="",NOT(Setup!$F$19="Yes")),"",I31-J31)</f>
        <v/>
      </c>
      <c r="L31" s="65" t="str">
        <f aca="false">IF(OR($B31="",NOT(Setup!$F$20="Yes")),"",MIN(N(Employees!H$30),Setup!$E$20)+ROUND(Setup!$C$20*IF(Setup!$D$20="Monthly",$E31,$D31)/12*2,0)/2)</f>
        <v/>
      </c>
      <c r="M31" s="65" t="str">
        <f aca="false">IF($B31="","",SUMIFS('Leave Register'!$H$6:$H$305,'Leave Register'!$B$6:$B$305,$B31,'Leave Register'!$D$6:$D$305,Setup!$A$20,'Leave Register'!$J$6:$J$305,"Approved",'Leave Register'!$E$6:$E$305,"&gt;="&amp;Setup!$C$12,'Leave Register'!$E$6:$E$305,"&lt;="&amp;Setup!$C$13))</f>
        <v/>
      </c>
      <c r="N31" s="66" t="str">
        <f aca="false">IF(OR($B31="",NOT(Setup!$F$20="Yes")),"",L31-M31)</f>
        <v/>
      </c>
      <c r="O31" s="65" t="str">
        <f aca="false">IF(OR($B31="",NOT(Setup!$F$21="Yes")),"",MIN(N(Employees!I$30),Setup!$E$21)+ROUND(Setup!$C$21*IF(Setup!$D$21="Monthly",$E31,$D31)/12*2,0)/2)</f>
        <v/>
      </c>
      <c r="P31" s="65" t="str">
        <f aca="false">IF($B31="","",SUMIFS('Leave Register'!$H$6:$H$305,'Leave Register'!$B$6:$B$305,$B31,'Leave Register'!$D$6:$D$305,Setup!$A$21,'Leave Register'!$J$6:$J$305,"Approved",'Leave Register'!$E$6:$E$305,"&gt;="&amp;Setup!$C$12,'Leave Register'!$E$6:$E$305,"&lt;="&amp;Setup!$C$13))</f>
        <v/>
      </c>
      <c r="Q31" s="66" t="str">
        <f aca="false">IF(OR($B31="",NOT(Setup!$F$21="Yes")),"",O31-P31)</f>
        <v/>
      </c>
      <c r="R31" s="65" t="str">
        <f aca="false">IF(OR($B31="",NOT(Setup!$F$22="Yes")),"",MIN(N(Employees!J$30),Setup!$E$22)+ROUND(Setup!$C$22*IF(Setup!$D$22="Monthly",$E31,$D31)/12*2,0)/2)</f>
        <v/>
      </c>
      <c r="S31" s="65" t="str">
        <f aca="false">IF($B31="","",SUMIFS('Leave Register'!$H$6:$H$305,'Leave Register'!$B$6:$B$305,$B31,'Leave Register'!$D$6:$D$305,Setup!$A$22,'Leave Register'!$J$6:$J$305,"Approved",'Leave Register'!$E$6:$E$305,"&gt;="&amp;Setup!$C$12,'Leave Register'!$E$6:$E$305,"&lt;="&amp;Setup!$C$13))</f>
        <v/>
      </c>
      <c r="T31" s="66" t="str">
        <f aca="false">IF(OR($B31="",NOT(Setup!$F$22="Yes")),"",R31-S31)</f>
        <v/>
      </c>
      <c r="U31" s="65" t="str">
        <f aca="false">IF(OR($B31="",NOT(Setup!$F$23="Yes")),"",MIN(N(Employees!K$30),Setup!$E$23)+ROUND(Setup!$C$23*IF(Setup!$D$23="Monthly",$E31,$D31)/12*2,0)/2)</f>
        <v/>
      </c>
      <c r="V31" s="65" t="str">
        <f aca="false">IF($B31="","",SUMIFS('Leave Register'!$H$6:$H$305,'Leave Register'!$B$6:$B$305,$B31,'Leave Register'!$D$6:$D$305,Setup!$A$23,'Leave Register'!$J$6:$J$305,"Approved",'Leave Register'!$E$6:$E$305,"&gt;="&amp;Setup!$C$12,'Leave Register'!$E$6:$E$305,"&lt;="&amp;Setup!$C$13))</f>
        <v/>
      </c>
      <c r="W31" s="66" t="str">
        <f aca="false">IF(OR($B31="",NOT(Setup!$F$23="Yes")),"",U31-V31)</f>
        <v/>
      </c>
      <c r="X31" s="67" t="str">
        <f aca="false">IF(B31="","",SUMIFS('Leave Register'!$H$6:$H$305,'Leave Register'!$B$6:$B$305,$B31,'Leave Register'!$J$6:$J$305,"Pending"))</f>
        <v/>
      </c>
      <c r="Y31" s="68" t="str">
        <f aca="false">IF(B31="","",IF(Setup!$F$18="No",G31,0)+IF(Setup!$F$19="No",J31,0)+IF(Setup!$F$20="No",M31,0)+IF(Setup!$F$21="No",P31,0)+IF(Setup!$F$22="No",S31,0)+IF(Setup!$F$23="No",V31,0))</f>
        <v/>
      </c>
    </row>
    <row r="32" customFormat="false" ht="15" hidden="false" customHeight="false" outlineLevel="0" collapsed="false">
      <c r="A32" s="51" t="str">
        <f aca="false">IF(B32="","",ROW()-5)</f>
        <v/>
      </c>
      <c r="B32" s="63" t="str">
        <f aca="false">IF(Employees!$B$31="","",Employees!$B$31)</f>
        <v/>
      </c>
      <c r="C32" s="10" t="str">
        <f aca="false">IF(B32="","",Employees!$C$31)</f>
        <v/>
      </c>
      <c r="D32" s="64" t="str">
        <f aca="false">IF(B32="","",IF(N(Employees!$E$31)&gt;Setup!$C$13,0,MAX(0,MIN(12,(YEAR(Setup!$C$13)-YEAR(IF(AND(Setup!$C$8="Yes",N(Employees!$E$31)&gt;Setup!$C$12),DATE(YEAR(Employees!$E$31),MONTH(Employees!$E$31),1),Setup!$C$12)))*12+MONTH(Setup!$C$13)-MONTH(IF(AND(Setup!$C$8="Yes",N(Employees!$E$31)&gt;Setup!$C$12),DATE(YEAR(Employees!$E$31),MONTH(Employees!$E$31),1),Setup!$C$12))+1))))</f>
        <v/>
      </c>
      <c r="E32" s="64" t="str">
        <f aca="false">IF(B32="","",IF(OR(N(Employees!$E$31)&gt;Setup!$C$13,Setup!$C$9&lt;IF(AND(Setup!$C$8="Yes",N(Employees!$E$31)&gt;Setup!$C$12),DATE(YEAR(Employees!$E$31),MONTH(Employees!$E$31),1),Setup!$C$12)),0,MAX(0,MIN(12,(YEAR(MIN(Setup!$C$9,Setup!$C$13))-YEAR(IF(AND(Setup!$C$8="Yes",N(Employees!$E$31)&gt;Setup!$C$12),DATE(YEAR(Employees!$E$31),MONTH(Employees!$E$31),1),Setup!$C$12)))*12+MONTH(MIN(Setup!$C$9,Setup!$C$13))-MONTH(IF(AND(Setup!$C$8="Yes",N(Employees!$E$31)&gt;Setup!$C$12),DATE(YEAR(Employees!$E$31),MONTH(Employees!$E$31),1),Setup!$C$12))+1))))</f>
        <v/>
      </c>
      <c r="F32" s="65" t="str">
        <f aca="false">IF(OR($B32="",NOT(Setup!$F$18="Yes")),"",MIN(N(Employees!F$31),Setup!$E$18)+ROUND(Setup!$C$18*IF(Setup!$D$18="Monthly",$E32,$D32)/12*2,0)/2)</f>
        <v/>
      </c>
      <c r="G32" s="65" t="str">
        <f aca="false">IF($B32="","",SUMIFS('Leave Register'!$H$6:$H$305,'Leave Register'!$B$6:$B$305,$B32,'Leave Register'!$D$6:$D$305,Setup!$A$18,'Leave Register'!$J$6:$J$305,"Approved",'Leave Register'!$E$6:$E$305,"&gt;="&amp;Setup!$C$12,'Leave Register'!$E$6:$E$305,"&lt;="&amp;Setup!$C$13))</f>
        <v/>
      </c>
      <c r="H32" s="66" t="str">
        <f aca="false">IF(OR($B32="",NOT(Setup!$F$18="Yes")),"",F32-G32)</f>
        <v/>
      </c>
      <c r="I32" s="65" t="str">
        <f aca="false">IF(OR($B32="",NOT(Setup!$F$19="Yes")),"",MIN(N(Employees!G$31),Setup!$E$19)+ROUND(Setup!$C$19*IF(Setup!$D$19="Monthly",$E32,$D32)/12*2,0)/2)</f>
        <v/>
      </c>
      <c r="J32" s="65" t="str">
        <f aca="false">IF($B32="","",SUMIFS('Leave Register'!$H$6:$H$305,'Leave Register'!$B$6:$B$305,$B32,'Leave Register'!$D$6:$D$305,Setup!$A$19,'Leave Register'!$J$6:$J$305,"Approved",'Leave Register'!$E$6:$E$305,"&gt;="&amp;Setup!$C$12,'Leave Register'!$E$6:$E$305,"&lt;="&amp;Setup!$C$13))</f>
        <v/>
      </c>
      <c r="K32" s="66" t="str">
        <f aca="false">IF(OR($B32="",NOT(Setup!$F$19="Yes")),"",I32-J32)</f>
        <v/>
      </c>
      <c r="L32" s="65" t="str">
        <f aca="false">IF(OR($B32="",NOT(Setup!$F$20="Yes")),"",MIN(N(Employees!H$31),Setup!$E$20)+ROUND(Setup!$C$20*IF(Setup!$D$20="Monthly",$E32,$D32)/12*2,0)/2)</f>
        <v/>
      </c>
      <c r="M32" s="65" t="str">
        <f aca="false">IF($B32="","",SUMIFS('Leave Register'!$H$6:$H$305,'Leave Register'!$B$6:$B$305,$B32,'Leave Register'!$D$6:$D$305,Setup!$A$20,'Leave Register'!$J$6:$J$305,"Approved",'Leave Register'!$E$6:$E$305,"&gt;="&amp;Setup!$C$12,'Leave Register'!$E$6:$E$305,"&lt;="&amp;Setup!$C$13))</f>
        <v/>
      </c>
      <c r="N32" s="66" t="str">
        <f aca="false">IF(OR($B32="",NOT(Setup!$F$20="Yes")),"",L32-M32)</f>
        <v/>
      </c>
      <c r="O32" s="65" t="str">
        <f aca="false">IF(OR($B32="",NOT(Setup!$F$21="Yes")),"",MIN(N(Employees!I$31),Setup!$E$21)+ROUND(Setup!$C$21*IF(Setup!$D$21="Monthly",$E32,$D32)/12*2,0)/2)</f>
        <v/>
      </c>
      <c r="P32" s="65" t="str">
        <f aca="false">IF($B32="","",SUMIFS('Leave Register'!$H$6:$H$305,'Leave Register'!$B$6:$B$305,$B32,'Leave Register'!$D$6:$D$305,Setup!$A$21,'Leave Register'!$J$6:$J$305,"Approved",'Leave Register'!$E$6:$E$305,"&gt;="&amp;Setup!$C$12,'Leave Register'!$E$6:$E$305,"&lt;="&amp;Setup!$C$13))</f>
        <v/>
      </c>
      <c r="Q32" s="66" t="str">
        <f aca="false">IF(OR($B32="",NOT(Setup!$F$21="Yes")),"",O32-P32)</f>
        <v/>
      </c>
      <c r="R32" s="65" t="str">
        <f aca="false">IF(OR($B32="",NOT(Setup!$F$22="Yes")),"",MIN(N(Employees!J$31),Setup!$E$22)+ROUND(Setup!$C$22*IF(Setup!$D$22="Monthly",$E32,$D32)/12*2,0)/2)</f>
        <v/>
      </c>
      <c r="S32" s="65" t="str">
        <f aca="false">IF($B32="","",SUMIFS('Leave Register'!$H$6:$H$305,'Leave Register'!$B$6:$B$305,$B32,'Leave Register'!$D$6:$D$305,Setup!$A$22,'Leave Register'!$J$6:$J$305,"Approved",'Leave Register'!$E$6:$E$305,"&gt;="&amp;Setup!$C$12,'Leave Register'!$E$6:$E$305,"&lt;="&amp;Setup!$C$13))</f>
        <v/>
      </c>
      <c r="T32" s="66" t="str">
        <f aca="false">IF(OR($B32="",NOT(Setup!$F$22="Yes")),"",R32-S32)</f>
        <v/>
      </c>
      <c r="U32" s="65" t="str">
        <f aca="false">IF(OR($B32="",NOT(Setup!$F$23="Yes")),"",MIN(N(Employees!K$31),Setup!$E$23)+ROUND(Setup!$C$23*IF(Setup!$D$23="Monthly",$E32,$D32)/12*2,0)/2)</f>
        <v/>
      </c>
      <c r="V32" s="65" t="str">
        <f aca="false">IF($B32="","",SUMIFS('Leave Register'!$H$6:$H$305,'Leave Register'!$B$6:$B$305,$B32,'Leave Register'!$D$6:$D$305,Setup!$A$23,'Leave Register'!$J$6:$J$305,"Approved",'Leave Register'!$E$6:$E$305,"&gt;="&amp;Setup!$C$12,'Leave Register'!$E$6:$E$305,"&lt;="&amp;Setup!$C$13))</f>
        <v/>
      </c>
      <c r="W32" s="66" t="str">
        <f aca="false">IF(OR($B32="",NOT(Setup!$F$23="Yes")),"",U32-V32)</f>
        <v/>
      </c>
      <c r="X32" s="67" t="str">
        <f aca="false">IF(B32="","",SUMIFS('Leave Register'!$H$6:$H$305,'Leave Register'!$B$6:$B$305,$B32,'Leave Register'!$J$6:$J$305,"Pending"))</f>
        <v/>
      </c>
      <c r="Y32" s="68" t="str">
        <f aca="false">IF(B32="","",IF(Setup!$F$18="No",G32,0)+IF(Setup!$F$19="No",J32,0)+IF(Setup!$F$20="No",M32,0)+IF(Setup!$F$21="No",P32,0)+IF(Setup!$F$22="No",S32,0)+IF(Setup!$F$23="No",V32,0))</f>
        <v/>
      </c>
    </row>
    <row r="33" customFormat="false" ht="15" hidden="false" customHeight="false" outlineLevel="0" collapsed="false">
      <c r="A33" s="51" t="str">
        <f aca="false">IF(B33="","",ROW()-5)</f>
        <v/>
      </c>
      <c r="B33" s="63" t="str">
        <f aca="false">IF(Employees!$B$32="","",Employees!$B$32)</f>
        <v/>
      </c>
      <c r="C33" s="10" t="str">
        <f aca="false">IF(B33="","",Employees!$C$32)</f>
        <v/>
      </c>
      <c r="D33" s="64" t="str">
        <f aca="false">IF(B33="","",IF(N(Employees!$E$32)&gt;Setup!$C$13,0,MAX(0,MIN(12,(YEAR(Setup!$C$13)-YEAR(IF(AND(Setup!$C$8="Yes",N(Employees!$E$32)&gt;Setup!$C$12),DATE(YEAR(Employees!$E$32),MONTH(Employees!$E$32),1),Setup!$C$12)))*12+MONTH(Setup!$C$13)-MONTH(IF(AND(Setup!$C$8="Yes",N(Employees!$E$32)&gt;Setup!$C$12),DATE(YEAR(Employees!$E$32),MONTH(Employees!$E$32),1),Setup!$C$12))+1))))</f>
        <v/>
      </c>
      <c r="E33" s="64" t="str">
        <f aca="false">IF(B33="","",IF(OR(N(Employees!$E$32)&gt;Setup!$C$13,Setup!$C$9&lt;IF(AND(Setup!$C$8="Yes",N(Employees!$E$32)&gt;Setup!$C$12),DATE(YEAR(Employees!$E$32),MONTH(Employees!$E$32),1),Setup!$C$12)),0,MAX(0,MIN(12,(YEAR(MIN(Setup!$C$9,Setup!$C$13))-YEAR(IF(AND(Setup!$C$8="Yes",N(Employees!$E$32)&gt;Setup!$C$12),DATE(YEAR(Employees!$E$32),MONTH(Employees!$E$32),1),Setup!$C$12)))*12+MONTH(MIN(Setup!$C$9,Setup!$C$13))-MONTH(IF(AND(Setup!$C$8="Yes",N(Employees!$E$32)&gt;Setup!$C$12),DATE(YEAR(Employees!$E$32),MONTH(Employees!$E$32),1),Setup!$C$12))+1))))</f>
        <v/>
      </c>
      <c r="F33" s="65" t="str">
        <f aca="false">IF(OR($B33="",NOT(Setup!$F$18="Yes")),"",MIN(N(Employees!F$32),Setup!$E$18)+ROUND(Setup!$C$18*IF(Setup!$D$18="Monthly",$E33,$D33)/12*2,0)/2)</f>
        <v/>
      </c>
      <c r="G33" s="65" t="str">
        <f aca="false">IF($B33="","",SUMIFS('Leave Register'!$H$6:$H$305,'Leave Register'!$B$6:$B$305,$B33,'Leave Register'!$D$6:$D$305,Setup!$A$18,'Leave Register'!$J$6:$J$305,"Approved",'Leave Register'!$E$6:$E$305,"&gt;="&amp;Setup!$C$12,'Leave Register'!$E$6:$E$305,"&lt;="&amp;Setup!$C$13))</f>
        <v/>
      </c>
      <c r="H33" s="66" t="str">
        <f aca="false">IF(OR($B33="",NOT(Setup!$F$18="Yes")),"",F33-G33)</f>
        <v/>
      </c>
      <c r="I33" s="65" t="str">
        <f aca="false">IF(OR($B33="",NOT(Setup!$F$19="Yes")),"",MIN(N(Employees!G$32),Setup!$E$19)+ROUND(Setup!$C$19*IF(Setup!$D$19="Monthly",$E33,$D33)/12*2,0)/2)</f>
        <v/>
      </c>
      <c r="J33" s="65" t="str">
        <f aca="false">IF($B33="","",SUMIFS('Leave Register'!$H$6:$H$305,'Leave Register'!$B$6:$B$305,$B33,'Leave Register'!$D$6:$D$305,Setup!$A$19,'Leave Register'!$J$6:$J$305,"Approved",'Leave Register'!$E$6:$E$305,"&gt;="&amp;Setup!$C$12,'Leave Register'!$E$6:$E$305,"&lt;="&amp;Setup!$C$13))</f>
        <v/>
      </c>
      <c r="K33" s="66" t="str">
        <f aca="false">IF(OR($B33="",NOT(Setup!$F$19="Yes")),"",I33-J33)</f>
        <v/>
      </c>
      <c r="L33" s="65" t="str">
        <f aca="false">IF(OR($B33="",NOT(Setup!$F$20="Yes")),"",MIN(N(Employees!H$32),Setup!$E$20)+ROUND(Setup!$C$20*IF(Setup!$D$20="Monthly",$E33,$D33)/12*2,0)/2)</f>
        <v/>
      </c>
      <c r="M33" s="65" t="str">
        <f aca="false">IF($B33="","",SUMIFS('Leave Register'!$H$6:$H$305,'Leave Register'!$B$6:$B$305,$B33,'Leave Register'!$D$6:$D$305,Setup!$A$20,'Leave Register'!$J$6:$J$305,"Approved",'Leave Register'!$E$6:$E$305,"&gt;="&amp;Setup!$C$12,'Leave Register'!$E$6:$E$305,"&lt;="&amp;Setup!$C$13))</f>
        <v/>
      </c>
      <c r="N33" s="66" t="str">
        <f aca="false">IF(OR($B33="",NOT(Setup!$F$20="Yes")),"",L33-M33)</f>
        <v/>
      </c>
      <c r="O33" s="65" t="str">
        <f aca="false">IF(OR($B33="",NOT(Setup!$F$21="Yes")),"",MIN(N(Employees!I$32),Setup!$E$21)+ROUND(Setup!$C$21*IF(Setup!$D$21="Monthly",$E33,$D33)/12*2,0)/2)</f>
        <v/>
      </c>
      <c r="P33" s="65" t="str">
        <f aca="false">IF($B33="","",SUMIFS('Leave Register'!$H$6:$H$305,'Leave Register'!$B$6:$B$305,$B33,'Leave Register'!$D$6:$D$305,Setup!$A$21,'Leave Register'!$J$6:$J$305,"Approved",'Leave Register'!$E$6:$E$305,"&gt;="&amp;Setup!$C$12,'Leave Register'!$E$6:$E$305,"&lt;="&amp;Setup!$C$13))</f>
        <v/>
      </c>
      <c r="Q33" s="66" t="str">
        <f aca="false">IF(OR($B33="",NOT(Setup!$F$21="Yes")),"",O33-P33)</f>
        <v/>
      </c>
      <c r="R33" s="65" t="str">
        <f aca="false">IF(OR($B33="",NOT(Setup!$F$22="Yes")),"",MIN(N(Employees!J$32),Setup!$E$22)+ROUND(Setup!$C$22*IF(Setup!$D$22="Monthly",$E33,$D33)/12*2,0)/2)</f>
        <v/>
      </c>
      <c r="S33" s="65" t="str">
        <f aca="false">IF($B33="","",SUMIFS('Leave Register'!$H$6:$H$305,'Leave Register'!$B$6:$B$305,$B33,'Leave Register'!$D$6:$D$305,Setup!$A$22,'Leave Register'!$J$6:$J$305,"Approved",'Leave Register'!$E$6:$E$305,"&gt;="&amp;Setup!$C$12,'Leave Register'!$E$6:$E$305,"&lt;="&amp;Setup!$C$13))</f>
        <v/>
      </c>
      <c r="T33" s="66" t="str">
        <f aca="false">IF(OR($B33="",NOT(Setup!$F$22="Yes")),"",R33-S33)</f>
        <v/>
      </c>
      <c r="U33" s="65" t="str">
        <f aca="false">IF(OR($B33="",NOT(Setup!$F$23="Yes")),"",MIN(N(Employees!K$32),Setup!$E$23)+ROUND(Setup!$C$23*IF(Setup!$D$23="Monthly",$E33,$D33)/12*2,0)/2)</f>
        <v/>
      </c>
      <c r="V33" s="65" t="str">
        <f aca="false">IF($B33="","",SUMIFS('Leave Register'!$H$6:$H$305,'Leave Register'!$B$6:$B$305,$B33,'Leave Register'!$D$6:$D$305,Setup!$A$23,'Leave Register'!$J$6:$J$305,"Approved",'Leave Register'!$E$6:$E$305,"&gt;="&amp;Setup!$C$12,'Leave Register'!$E$6:$E$305,"&lt;="&amp;Setup!$C$13))</f>
        <v/>
      </c>
      <c r="W33" s="66" t="str">
        <f aca="false">IF(OR($B33="",NOT(Setup!$F$23="Yes")),"",U33-V33)</f>
        <v/>
      </c>
      <c r="X33" s="67" t="str">
        <f aca="false">IF(B33="","",SUMIFS('Leave Register'!$H$6:$H$305,'Leave Register'!$B$6:$B$305,$B33,'Leave Register'!$J$6:$J$305,"Pending"))</f>
        <v/>
      </c>
      <c r="Y33" s="68" t="str">
        <f aca="false">IF(B33="","",IF(Setup!$F$18="No",G33,0)+IF(Setup!$F$19="No",J33,0)+IF(Setup!$F$20="No",M33,0)+IF(Setup!$F$21="No",P33,0)+IF(Setup!$F$22="No",S33,0)+IF(Setup!$F$23="No",V33,0))</f>
        <v/>
      </c>
    </row>
    <row r="34" customFormat="false" ht="15" hidden="false" customHeight="false" outlineLevel="0" collapsed="false">
      <c r="A34" s="51" t="str">
        <f aca="false">IF(B34="","",ROW()-5)</f>
        <v/>
      </c>
      <c r="B34" s="63" t="str">
        <f aca="false">IF(Employees!$B$33="","",Employees!$B$33)</f>
        <v/>
      </c>
      <c r="C34" s="10" t="str">
        <f aca="false">IF(B34="","",Employees!$C$33)</f>
        <v/>
      </c>
      <c r="D34" s="64" t="str">
        <f aca="false">IF(B34="","",IF(N(Employees!$E$33)&gt;Setup!$C$13,0,MAX(0,MIN(12,(YEAR(Setup!$C$13)-YEAR(IF(AND(Setup!$C$8="Yes",N(Employees!$E$33)&gt;Setup!$C$12),DATE(YEAR(Employees!$E$33),MONTH(Employees!$E$33),1),Setup!$C$12)))*12+MONTH(Setup!$C$13)-MONTH(IF(AND(Setup!$C$8="Yes",N(Employees!$E$33)&gt;Setup!$C$12),DATE(YEAR(Employees!$E$33),MONTH(Employees!$E$33),1),Setup!$C$12))+1))))</f>
        <v/>
      </c>
      <c r="E34" s="64" t="str">
        <f aca="false">IF(B34="","",IF(OR(N(Employees!$E$33)&gt;Setup!$C$13,Setup!$C$9&lt;IF(AND(Setup!$C$8="Yes",N(Employees!$E$33)&gt;Setup!$C$12),DATE(YEAR(Employees!$E$33),MONTH(Employees!$E$33),1),Setup!$C$12)),0,MAX(0,MIN(12,(YEAR(MIN(Setup!$C$9,Setup!$C$13))-YEAR(IF(AND(Setup!$C$8="Yes",N(Employees!$E$33)&gt;Setup!$C$12),DATE(YEAR(Employees!$E$33),MONTH(Employees!$E$33),1),Setup!$C$12)))*12+MONTH(MIN(Setup!$C$9,Setup!$C$13))-MONTH(IF(AND(Setup!$C$8="Yes",N(Employees!$E$33)&gt;Setup!$C$12),DATE(YEAR(Employees!$E$33),MONTH(Employees!$E$33),1),Setup!$C$12))+1))))</f>
        <v/>
      </c>
      <c r="F34" s="65" t="str">
        <f aca="false">IF(OR($B34="",NOT(Setup!$F$18="Yes")),"",MIN(N(Employees!F$33),Setup!$E$18)+ROUND(Setup!$C$18*IF(Setup!$D$18="Monthly",$E34,$D34)/12*2,0)/2)</f>
        <v/>
      </c>
      <c r="G34" s="65" t="str">
        <f aca="false">IF($B34="","",SUMIFS('Leave Register'!$H$6:$H$305,'Leave Register'!$B$6:$B$305,$B34,'Leave Register'!$D$6:$D$305,Setup!$A$18,'Leave Register'!$J$6:$J$305,"Approved",'Leave Register'!$E$6:$E$305,"&gt;="&amp;Setup!$C$12,'Leave Register'!$E$6:$E$305,"&lt;="&amp;Setup!$C$13))</f>
        <v/>
      </c>
      <c r="H34" s="66" t="str">
        <f aca="false">IF(OR($B34="",NOT(Setup!$F$18="Yes")),"",F34-G34)</f>
        <v/>
      </c>
      <c r="I34" s="65" t="str">
        <f aca="false">IF(OR($B34="",NOT(Setup!$F$19="Yes")),"",MIN(N(Employees!G$33),Setup!$E$19)+ROUND(Setup!$C$19*IF(Setup!$D$19="Monthly",$E34,$D34)/12*2,0)/2)</f>
        <v/>
      </c>
      <c r="J34" s="65" t="str">
        <f aca="false">IF($B34="","",SUMIFS('Leave Register'!$H$6:$H$305,'Leave Register'!$B$6:$B$305,$B34,'Leave Register'!$D$6:$D$305,Setup!$A$19,'Leave Register'!$J$6:$J$305,"Approved",'Leave Register'!$E$6:$E$305,"&gt;="&amp;Setup!$C$12,'Leave Register'!$E$6:$E$305,"&lt;="&amp;Setup!$C$13))</f>
        <v/>
      </c>
      <c r="K34" s="66" t="str">
        <f aca="false">IF(OR($B34="",NOT(Setup!$F$19="Yes")),"",I34-J34)</f>
        <v/>
      </c>
      <c r="L34" s="65" t="str">
        <f aca="false">IF(OR($B34="",NOT(Setup!$F$20="Yes")),"",MIN(N(Employees!H$33),Setup!$E$20)+ROUND(Setup!$C$20*IF(Setup!$D$20="Monthly",$E34,$D34)/12*2,0)/2)</f>
        <v/>
      </c>
      <c r="M34" s="65" t="str">
        <f aca="false">IF($B34="","",SUMIFS('Leave Register'!$H$6:$H$305,'Leave Register'!$B$6:$B$305,$B34,'Leave Register'!$D$6:$D$305,Setup!$A$20,'Leave Register'!$J$6:$J$305,"Approved",'Leave Register'!$E$6:$E$305,"&gt;="&amp;Setup!$C$12,'Leave Register'!$E$6:$E$305,"&lt;="&amp;Setup!$C$13))</f>
        <v/>
      </c>
      <c r="N34" s="66" t="str">
        <f aca="false">IF(OR($B34="",NOT(Setup!$F$20="Yes")),"",L34-M34)</f>
        <v/>
      </c>
      <c r="O34" s="65" t="str">
        <f aca="false">IF(OR($B34="",NOT(Setup!$F$21="Yes")),"",MIN(N(Employees!I$33),Setup!$E$21)+ROUND(Setup!$C$21*IF(Setup!$D$21="Monthly",$E34,$D34)/12*2,0)/2)</f>
        <v/>
      </c>
      <c r="P34" s="65" t="str">
        <f aca="false">IF($B34="","",SUMIFS('Leave Register'!$H$6:$H$305,'Leave Register'!$B$6:$B$305,$B34,'Leave Register'!$D$6:$D$305,Setup!$A$21,'Leave Register'!$J$6:$J$305,"Approved",'Leave Register'!$E$6:$E$305,"&gt;="&amp;Setup!$C$12,'Leave Register'!$E$6:$E$305,"&lt;="&amp;Setup!$C$13))</f>
        <v/>
      </c>
      <c r="Q34" s="66" t="str">
        <f aca="false">IF(OR($B34="",NOT(Setup!$F$21="Yes")),"",O34-P34)</f>
        <v/>
      </c>
      <c r="R34" s="65" t="str">
        <f aca="false">IF(OR($B34="",NOT(Setup!$F$22="Yes")),"",MIN(N(Employees!J$33),Setup!$E$22)+ROUND(Setup!$C$22*IF(Setup!$D$22="Monthly",$E34,$D34)/12*2,0)/2)</f>
        <v/>
      </c>
      <c r="S34" s="65" t="str">
        <f aca="false">IF($B34="","",SUMIFS('Leave Register'!$H$6:$H$305,'Leave Register'!$B$6:$B$305,$B34,'Leave Register'!$D$6:$D$305,Setup!$A$22,'Leave Register'!$J$6:$J$305,"Approved",'Leave Register'!$E$6:$E$305,"&gt;="&amp;Setup!$C$12,'Leave Register'!$E$6:$E$305,"&lt;="&amp;Setup!$C$13))</f>
        <v/>
      </c>
      <c r="T34" s="66" t="str">
        <f aca="false">IF(OR($B34="",NOT(Setup!$F$22="Yes")),"",R34-S34)</f>
        <v/>
      </c>
      <c r="U34" s="65" t="str">
        <f aca="false">IF(OR($B34="",NOT(Setup!$F$23="Yes")),"",MIN(N(Employees!K$33),Setup!$E$23)+ROUND(Setup!$C$23*IF(Setup!$D$23="Monthly",$E34,$D34)/12*2,0)/2)</f>
        <v/>
      </c>
      <c r="V34" s="65" t="str">
        <f aca="false">IF($B34="","",SUMIFS('Leave Register'!$H$6:$H$305,'Leave Register'!$B$6:$B$305,$B34,'Leave Register'!$D$6:$D$305,Setup!$A$23,'Leave Register'!$J$6:$J$305,"Approved",'Leave Register'!$E$6:$E$305,"&gt;="&amp;Setup!$C$12,'Leave Register'!$E$6:$E$305,"&lt;="&amp;Setup!$C$13))</f>
        <v/>
      </c>
      <c r="W34" s="66" t="str">
        <f aca="false">IF(OR($B34="",NOT(Setup!$F$23="Yes")),"",U34-V34)</f>
        <v/>
      </c>
      <c r="X34" s="67" t="str">
        <f aca="false">IF(B34="","",SUMIFS('Leave Register'!$H$6:$H$305,'Leave Register'!$B$6:$B$305,$B34,'Leave Register'!$J$6:$J$305,"Pending"))</f>
        <v/>
      </c>
      <c r="Y34" s="68" t="str">
        <f aca="false">IF(B34="","",IF(Setup!$F$18="No",G34,0)+IF(Setup!$F$19="No",J34,0)+IF(Setup!$F$20="No",M34,0)+IF(Setup!$F$21="No",P34,0)+IF(Setup!$F$22="No",S34,0)+IF(Setup!$F$23="No",V34,0))</f>
        <v/>
      </c>
    </row>
    <row r="35" customFormat="false" ht="15" hidden="false" customHeight="false" outlineLevel="0" collapsed="false">
      <c r="A35" s="51" t="str">
        <f aca="false">IF(B35="","",ROW()-5)</f>
        <v/>
      </c>
      <c r="B35" s="63" t="str">
        <f aca="false">IF(Employees!$B$34="","",Employees!$B$34)</f>
        <v/>
      </c>
      <c r="C35" s="10" t="str">
        <f aca="false">IF(B35="","",Employees!$C$34)</f>
        <v/>
      </c>
      <c r="D35" s="64" t="str">
        <f aca="false">IF(B35="","",IF(N(Employees!$E$34)&gt;Setup!$C$13,0,MAX(0,MIN(12,(YEAR(Setup!$C$13)-YEAR(IF(AND(Setup!$C$8="Yes",N(Employees!$E$34)&gt;Setup!$C$12),DATE(YEAR(Employees!$E$34),MONTH(Employees!$E$34),1),Setup!$C$12)))*12+MONTH(Setup!$C$13)-MONTH(IF(AND(Setup!$C$8="Yes",N(Employees!$E$34)&gt;Setup!$C$12),DATE(YEAR(Employees!$E$34),MONTH(Employees!$E$34),1),Setup!$C$12))+1))))</f>
        <v/>
      </c>
      <c r="E35" s="64" t="str">
        <f aca="false">IF(B35="","",IF(OR(N(Employees!$E$34)&gt;Setup!$C$13,Setup!$C$9&lt;IF(AND(Setup!$C$8="Yes",N(Employees!$E$34)&gt;Setup!$C$12),DATE(YEAR(Employees!$E$34),MONTH(Employees!$E$34),1),Setup!$C$12)),0,MAX(0,MIN(12,(YEAR(MIN(Setup!$C$9,Setup!$C$13))-YEAR(IF(AND(Setup!$C$8="Yes",N(Employees!$E$34)&gt;Setup!$C$12),DATE(YEAR(Employees!$E$34),MONTH(Employees!$E$34),1),Setup!$C$12)))*12+MONTH(MIN(Setup!$C$9,Setup!$C$13))-MONTH(IF(AND(Setup!$C$8="Yes",N(Employees!$E$34)&gt;Setup!$C$12),DATE(YEAR(Employees!$E$34),MONTH(Employees!$E$34),1),Setup!$C$12))+1))))</f>
        <v/>
      </c>
      <c r="F35" s="65" t="str">
        <f aca="false">IF(OR($B35="",NOT(Setup!$F$18="Yes")),"",MIN(N(Employees!F$34),Setup!$E$18)+ROUND(Setup!$C$18*IF(Setup!$D$18="Monthly",$E35,$D35)/12*2,0)/2)</f>
        <v/>
      </c>
      <c r="G35" s="65" t="str">
        <f aca="false">IF($B35="","",SUMIFS('Leave Register'!$H$6:$H$305,'Leave Register'!$B$6:$B$305,$B35,'Leave Register'!$D$6:$D$305,Setup!$A$18,'Leave Register'!$J$6:$J$305,"Approved",'Leave Register'!$E$6:$E$305,"&gt;="&amp;Setup!$C$12,'Leave Register'!$E$6:$E$305,"&lt;="&amp;Setup!$C$13))</f>
        <v/>
      </c>
      <c r="H35" s="66" t="str">
        <f aca="false">IF(OR($B35="",NOT(Setup!$F$18="Yes")),"",F35-G35)</f>
        <v/>
      </c>
      <c r="I35" s="65" t="str">
        <f aca="false">IF(OR($B35="",NOT(Setup!$F$19="Yes")),"",MIN(N(Employees!G$34),Setup!$E$19)+ROUND(Setup!$C$19*IF(Setup!$D$19="Monthly",$E35,$D35)/12*2,0)/2)</f>
        <v/>
      </c>
      <c r="J35" s="65" t="str">
        <f aca="false">IF($B35="","",SUMIFS('Leave Register'!$H$6:$H$305,'Leave Register'!$B$6:$B$305,$B35,'Leave Register'!$D$6:$D$305,Setup!$A$19,'Leave Register'!$J$6:$J$305,"Approved",'Leave Register'!$E$6:$E$305,"&gt;="&amp;Setup!$C$12,'Leave Register'!$E$6:$E$305,"&lt;="&amp;Setup!$C$13))</f>
        <v/>
      </c>
      <c r="K35" s="66" t="str">
        <f aca="false">IF(OR($B35="",NOT(Setup!$F$19="Yes")),"",I35-J35)</f>
        <v/>
      </c>
      <c r="L35" s="65" t="str">
        <f aca="false">IF(OR($B35="",NOT(Setup!$F$20="Yes")),"",MIN(N(Employees!H$34),Setup!$E$20)+ROUND(Setup!$C$20*IF(Setup!$D$20="Monthly",$E35,$D35)/12*2,0)/2)</f>
        <v/>
      </c>
      <c r="M35" s="65" t="str">
        <f aca="false">IF($B35="","",SUMIFS('Leave Register'!$H$6:$H$305,'Leave Register'!$B$6:$B$305,$B35,'Leave Register'!$D$6:$D$305,Setup!$A$20,'Leave Register'!$J$6:$J$305,"Approved",'Leave Register'!$E$6:$E$305,"&gt;="&amp;Setup!$C$12,'Leave Register'!$E$6:$E$305,"&lt;="&amp;Setup!$C$13))</f>
        <v/>
      </c>
      <c r="N35" s="66" t="str">
        <f aca="false">IF(OR($B35="",NOT(Setup!$F$20="Yes")),"",L35-M35)</f>
        <v/>
      </c>
      <c r="O35" s="65" t="str">
        <f aca="false">IF(OR($B35="",NOT(Setup!$F$21="Yes")),"",MIN(N(Employees!I$34),Setup!$E$21)+ROUND(Setup!$C$21*IF(Setup!$D$21="Monthly",$E35,$D35)/12*2,0)/2)</f>
        <v/>
      </c>
      <c r="P35" s="65" t="str">
        <f aca="false">IF($B35="","",SUMIFS('Leave Register'!$H$6:$H$305,'Leave Register'!$B$6:$B$305,$B35,'Leave Register'!$D$6:$D$305,Setup!$A$21,'Leave Register'!$J$6:$J$305,"Approved",'Leave Register'!$E$6:$E$305,"&gt;="&amp;Setup!$C$12,'Leave Register'!$E$6:$E$305,"&lt;="&amp;Setup!$C$13))</f>
        <v/>
      </c>
      <c r="Q35" s="66" t="str">
        <f aca="false">IF(OR($B35="",NOT(Setup!$F$21="Yes")),"",O35-P35)</f>
        <v/>
      </c>
      <c r="R35" s="65" t="str">
        <f aca="false">IF(OR($B35="",NOT(Setup!$F$22="Yes")),"",MIN(N(Employees!J$34),Setup!$E$22)+ROUND(Setup!$C$22*IF(Setup!$D$22="Monthly",$E35,$D35)/12*2,0)/2)</f>
        <v/>
      </c>
      <c r="S35" s="65" t="str">
        <f aca="false">IF($B35="","",SUMIFS('Leave Register'!$H$6:$H$305,'Leave Register'!$B$6:$B$305,$B35,'Leave Register'!$D$6:$D$305,Setup!$A$22,'Leave Register'!$J$6:$J$305,"Approved",'Leave Register'!$E$6:$E$305,"&gt;="&amp;Setup!$C$12,'Leave Register'!$E$6:$E$305,"&lt;="&amp;Setup!$C$13))</f>
        <v/>
      </c>
      <c r="T35" s="66" t="str">
        <f aca="false">IF(OR($B35="",NOT(Setup!$F$22="Yes")),"",R35-S35)</f>
        <v/>
      </c>
      <c r="U35" s="65" t="str">
        <f aca="false">IF(OR($B35="",NOT(Setup!$F$23="Yes")),"",MIN(N(Employees!K$34),Setup!$E$23)+ROUND(Setup!$C$23*IF(Setup!$D$23="Monthly",$E35,$D35)/12*2,0)/2)</f>
        <v/>
      </c>
      <c r="V35" s="65" t="str">
        <f aca="false">IF($B35="","",SUMIFS('Leave Register'!$H$6:$H$305,'Leave Register'!$B$6:$B$305,$B35,'Leave Register'!$D$6:$D$305,Setup!$A$23,'Leave Register'!$J$6:$J$305,"Approved",'Leave Register'!$E$6:$E$305,"&gt;="&amp;Setup!$C$12,'Leave Register'!$E$6:$E$305,"&lt;="&amp;Setup!$C$13))</f>
        <v/>
      </c>
      <c r="W35" s="66" t="str">
        <f aca="false">IF(OR($B35="",NOT(Setup!$F$23="Yes")),"",U35-V35)</f>
        <v/>
      </c>
      <c r="X35" s="67" t="str">
        <f aca="false">IF(B35="","",SUMIFS('Leave Register'!$H$6:$H$305,'Leave Register'!$B$6:$B$305,$B35,'Leave Register'!$J$6:$J$305,"Pending"))</f>
        <v/>
      </c>
      <c r="Y35" s="68" t="str">
        <f aca="false">IF(B35="","",IF(Setup!$F$18="No",G35,0)+IF(Setup!$F$19="No",J35,0)+IF(Setup!$F$20="No",M35,0)+IF(Setup!$F$21="No",P35,0)+IF(Setup!$F$22="No",S35,0)+IF(Setup!$F$23="No",V35,0))</f>
        <v/>
      </c>
    </row>
    <row r="36" customFormat="false" ht="15" hidden="false" customHeight="false" outlineLevel="0" collapsed="false">
      <c r="A36" s="51" t="str">
        <f aca="false">IF(B36="","",ROW()-5)</f>
        <v/>
      </c>
      <c r="B36" s="63" t="str">
        <f aca="false">IF(Employees!$B$35="","",Employees!$B$35)</f>
        <v/>
      </c>
      <c r="C36" s="10" t="str">
        <f aca="false">IF(B36="","",Employees!$C$35)</f>
        <v/>
      </c>
      <c r="D36" s="64" t="str">
        <f aca="false">IF(B36="","",IF(N(Employees!$E$35)&gt;Setup!$C$13,0,MAX(0,MIN(12,(YEAR(Setup!$C$13)-YEAR(IF(AND(Setup!$C$8="Yes",N(Employees!$E$35)&gt;Setup!$C$12),DATE(YEAR(Employees!$E$35),MONTH(Employees!$E$35),1),Setup!$C$12)))*12+MONTH(Setup!$C$13)-MONTH(IF(AND(Setup!$C$8="Yes",N(Employees!$E$35)&gt;Setup!$C$12),DATE(YEAR(Employees!$E$35),MONTH(Employees!$E$35),1),Setup!$C$12))+1))))</f>
        <v/>
      </c>
      <c r="E36" s="64" t="str">
        <f aca="false">IF(B36="","",IF(OR(N(Employees!$E$35)&gt;Setup!$C$13,Setup!$C$9&lt;IF(AND(Setup!$C$8="Yes",N(Employees!$E$35)&gt;Setup!$C$12),DATE(YEAR(Employees!$E$35),MONTH(Employees!$E$35),1),Setup!$C$12)),0,MAX(0,MIN(12,(YEAR(MIN(Setup!$C$9,Setup!$C$13))-YEAR(IF(AND(Setup!$C$8="Yes",N(Employees!$E$35)&gt;Setup!$C$12),DATE(YEAR(Employees!$E$35),MONTH(Employees!$E$35),1),Setup!$C$12)))*12+MONTH(MIN(Setup!$C$9,Setup!$C$13))-MONTH(IF(AND(Setup!$C$8="Yes",N(Employees!$E$35)&gt;Setup!$C$12),DATE(YEAR(Employees!$E$35),MONTH(Employees!$E$35),1),Setup!$C$12))+1))))</f>
        <v/>
      </c>
      <c r="F36" s="65" t="str">
        <f aca="false">IF(OR($B36="",NOT(Setup!$F$18="Yes")),"",MIN(N(Employees!F$35),Setup!$E$18)+ROUND(Setup!$C$18*IF(Setup!$D$18="Monthly",$E36,$D36)/12*2,0)/2)</f>
        <v/>
      </c>
      <c r="G36" s="65" t="str">
        <f aca="false">IF($B36="","",SUMIFS('Leave Register'!$H$6:$H$305,'Leave Register'!$B$6:$B$305,$B36,'Leave Register'!$D$6:$D$305,Setup!$A$18,'Leave Register'!$J$6:$J$305,"Approved",'Leave Register'!$E$6:$E$305,"&gt;="&amp;Setup!$C$12,'Leave Register'!$E$6:$E$305,"&lt;="&amp;Setup!$C$13))</f>
        <v/>
      </c>
      <c r="H36" s="66" t="str">
        <f aca="false">IF(OR($B36="",NOT(Setup!$F$18="Yes")),"",F36-G36)</f>
        <v/>
      </c>
      <c r="I36" s="65" t="str">
        <f aca="false">IF(OR($B36="",NOT(Setup!$F$19="Yes")),"",MIN(N(Employees!G$35),Setup!$E$19)+ROUND(Setup!$C$19*IF(Setup!$D$19="Monthly",$E36,$D36)/12*2,0)/2)</f>
        <v/>
      </c>
      <c r="J36" s="65" t="str">
        <f aca="false">IF($B36="","",SUMIFS('Leave Register'!$H$6:$H$305,'Leave Register'!$B$6:$B$305,$B36,'Leave Register'!$D$6:$D$305,Setup!$A$19,'Leave Register'!$J$6:$J$305,"Approved",'Leave Register'!$E$6:$E$305,"&gt;="&amp;Setup!$C$12,'Leave Register'!$E$6:$E$305,"&lt;="&amp;Setup!$C$13))</f>
        <v/>
      </c>
      <c r="K36" s="66" t="str">
        <f aca="false">IF(OR($B36="",NOT(Setup!$F$19="Yes")),"",I36-J36)</f>
        <v/>
      </c>
      <c r="L36" s="65" t="str">
        <f aca="false">IF(OR($B36="",NOT(Setup!$F$20="Yes")),"",MIN(N(Employees!H$35),Setup!$E$20)+ROUND(Setup!$C$20*IF(Setup!$D$20="Monthly",$E36,$D36)/12*2,0)/2)</f>
        <v/>
      </c>
      <c r="M36" s="65" t="str">
        <f aca="false">IF($B36="","",SUMIFS('Leave Register'!$H$6:$H$305,'Leave Register'!$B$6:$B$305,$B36,'Leave Register'!$D$6:$D$305,Setup!$A$20,'Leave Register'!$J$6:$J$305,"Approved",'Leave Register'!$E$6:$E$305,"&gt;="&amp;Setup!$C$12,'Leave Register'!$E$6:$E$305,"&lt;="&amp;Setup!$C$13))</f>
        <v/>
      </c>
      <c r="N36" s="66" t="str">
        <f aca="false">IF(OR($B36="",NOT(Setup!$F$20="Yes")),"",L36-M36)</f>
        <v/>
      </c>
      <c r="O36" s="65" t="str">
        <f aca="false">IF(OR($B36="",NOT(Setup!$F$21="Yes")),"",MIN(N(Employees!I$35),Setup!$E$21)+ROUND(Setup!$C$21*IF(Setup!$D$21="Monthly",$E36,$D36)/12*2,0)/2)</f>
        <v/>
      </c>
      <c r="P36" s="65" t="str">
        <f aca="false">IF($B36="","",SUMIFS('Leave Register'!$H$6:$H$305,'Leave Register'!$B$6:$B$305,$B36,'Leave Register'!$D$6:$D$305,Setup!$A$21,'Leave Register'!$J$6:$J$305,"Approved",'Leave Register'!$E$6:$E$305,"&gt;="&amp;Setup!$C$12,'Leave Register'!$E$6:$E$305,"&lt;="&amp;Setup!$C$13))</f>
        <v/>
      </c>
      <c r="Q36" s="66" t="str">
        <f aca="false">IF(OR($B36="",NOT(Setup!$F$21="Yes")),"",O36-P36)</f>
        <v/>
      </c>
      <c r="R36" s="65" t="str">
        <f aca="false">IF(OR($B36="",NOT(Setup!$F$22="Yes")),"",MIN(N(Employees!J$35),Setup!$E$22)+ROUND(Setup!$C$22*IF(Setup!$D$22="Monthly",$E36,$D36)/12*2,0)/2)</f>
        <v/>
      </c>
      <c r="S36" s="65" t="str">
        <f aca="false">IF($B36="","",SUMIFS('Leave Register'!$H$6:$H$305,'Leave Register'!$B$6:$B$305,$B36,'Leave Register'!$D$6:$D$305,Setup!$A$22,'Leave Register'!$J$6:$J$305,"Approved",'Leave Register'!$E$6:$E$305,"&gt;="&amp;Setup!$C$12,'Leave Register'!$E$6:$E$305,"&lt;="&amp;Setup!$C$13))</f>
        <v/>
      </c>
      <c r="T36" s="66" t="str">
        <f aca="false">IF(OR($B36="",NOT(Setup!$F$22="Yes")),"",R36-S36)</f>
        <v/>
      </c>
      <c r="U36" s="65" t="str">
        <f aca="false">IF(OR($B36="",NOT(Setup!$F$23="Yes")),"",MIN(N(Employees!K$35),Setup!$E$23)+ROUND(Setup!$C$23*IF(Setup!$D$23="Monthly",$E36,$D36)/12*2,0)/2)</f>
        <v/>
      </c>
      <c r="V36" s="65" t="str">
        <f aca="false">IF($B36="","",SUMIFS('Leave Register'!$H$6:$H$305,'Leave Register'!$B$6:$B$305,$B36,'Leave Register'!$D$6:$D$305,Setup!$A$23,'Leave Register'!$J$6:$J$305,"Approved",'Leave Register'!$E$6:$E$305,"&gt;="&amp;Setup!$C$12,'Leave Register'!$E$6:$E$305,"&lt;="&amp;Setup!$C$13))</f>
        <v/>
      </c>
      <c r="W36" s="66" t="str">
        <f aca="false">IF(OR($B36="",NOT(Setup!$F$23="Yes")),"",U36-V36)</f>
        <v/>
      </c>
      <c r="X36" s="67" t="str">
        <f aca="false">IF(B36="","",SUMIFS('Leave Register'!$H$6:$H$305,'Leave Register'!$B$6:$B$305,$B36,'Leave Register'!$J$6:$J$305,"Pending"))</f>
        <v/>
      </c>
      <c r="Y36" s="68" t="str">
        <f aca="false">IF(B36="","",IF(Setup!$F$18="No",G36,0)+IF(Setup!$F$19="No",J36,0)+IF(Setup!$F$20="No",M36,0)+IF(Setup!$F$21="No",P36,0)+IF(Setup!$F$22="No",S36,0)+IF(Setup!$F$23="No",V36,0))</f>
        <v/>
      </c>
    </row>
    <row r="37" customFormat="false" ht="15" hidden="false" customHeight="false" outlineLevel="0" collapsed="false">
      <c r="A37" s="51" t="str">
        <f aca="false">IF(B37="","",ROW()-5)</f>
        <v/>
      </c>
      <c r="B37" s="63" t="str">
        <f aca="false">IF(Employees!$B$36="","",Employees!$B$36)</f>
        <v/>
      </c>
      <c r="C37" s="10" t="str">
        <f aca="false">IF(B37="","",Employees!$C$36)</f>
        <v/>
      </c>
      <c r="D37" s="64" t="str">
        <f aca="false">IF(B37="","",IF(N(Employees!$E$36)&gt;Setup!$C$13,0,MAX(0,MIN(12,(YEAR(Setup!$C$13)-YEAR(IF(AND(Setup!$C$8="Yes",N(Employees!$E$36)&gt;Setup!$C$12),DATE(YEAR(Employees!$E$36),MONTH(Employees!$E$36),1),Setup!$C$12)))*12+MONTH(Setup!$C$13)-MONTH(IF(AND(Setup!$C$8="Yes",N(Employees!$E$36)&gt;Setup!$C$12),DATE(YEAR(Employees!$E$36),MONTH(Employees!$E$36),1),Setup!$C$12))+1))))</f>
        <v/>
      </c>
      <c r="E37" s="64" t="str">
        <f aca="false">IF(B37="","",IF(OR(N(Employees!$E$36)&gt;Setup!$C$13,Setup!$C$9&lt;IF(AND(Setup!$C$8="Yes",N(Employees!$E$36)&gt;Setup!$C$12),DATE(YEAR(Employees!$E$36),MONTH(Employees!$E$36),1),Setup!$C$12)),0,MAX(0,MIN(12,(YEAR(MIN(Setup!$C$9,Setup!$C$13))-YEAR(IF(AND(Setup!$C$8="Yes",N(Employees!$E$36)&gt;Setup!$C$12),DATE(YEAR(Employees!$E$36),MONTH(Employees!$E$36),1),Setup!$C$12)))*12+MONTH(MIN(Setup!$C$9,Setup!$C$13))-MONTH(IF(AND(Setup!$C$8="Yes",N(Employees!$E$36)&gt;Setup!$C$12),DATE(YEAR(Employees!$E$36),MONTH(Employees!$E$36),1),Setup!$C$12))+1))))</f>
        <v/>
      </c>
      <c r="F37" s="65" t="str">
        <f aca="false">IF(OR($B37="",NOT(Setup!$F$18="Yes")),"",MIN(N(Employees!F$36),Setup!$E$18)+ROUND(Setup!$C$18*IF(Setup!$D$18="Monthly",$E37,$D37)/12*2,0)/2)</f>
        <v/>
      </c>
      <c r="G37" s="65" t="str">
        <f aca="false">IF($B37="","",SUMIFS('Leave Register'!$H$6:$H$305,'Leave Register'!$B$6:$B$305,$B37,'Leave Register'!$D$6:$D$305,Setup!$A$18,'Leave Register'!$J$6:$J$305,"Approved",'Leave Register'!$E$6:$E$305,"&gt;="&amp;Setup!$C$12,'Leave Register'!$E$6:$E$305,"&lt;="&amp;Setup!$C$13))</f>
        <v/>
      </c>
      <c r="H37" s="66" t="str">
        <f aca="false">IF(OR($B37="",NOT(Setup!$F$18="Yes")),"",F37-G37)</f>
        <v/>
      </c>
      <c r="I37" s="65" t="str">
        <f aca="false">IF(OR($B37="",NOT(Setup!$F$19="Yes")),"",MIN(N(Employees!G$36),Setup!$E$19)+ROUND(Setup!$C$19*IF(Setup!$D$19="Monthly",$E37,$D37)/12*2,0)/2)</f>
        <v/>
      </c>
      <c r="J37" s="65" t="str">
        <f aca="false">IF($B37="","",SUMIFS('Leave Register'!$H$6:$H$305,'Leave Register'!$B$6:$B$305,$B37,'Leave Register'!$D$6:$D$305,Setup!$A$19,'Leave Register'!$J$6:$J$305,"Approved",'Leave Register'!$E$6:$E$305,"&gt;="&amp;Setup!$C$12,'Leave Register'!$E$6:$E$305,"&lt;="&amp;Setup!$C$13))</f>
        <v/>
      </c>
      <c r="K37" s="66" t="str">
        <f aca="false">IF(OR($B37="",NOT(Setup!$F$19="Yes")),"",I37-J37)</f>
        <v/>
      </c>
      <c r="L37" s="65" t="str">
        <f aca="false">IF(OR($B37="",NOT(Setup!$F$20="Yes")),"",MIN(N(Employees!H$36),Setup!$E$20)+ROUND(Setup!$C$20*IF(Setup!$D$20="Monthly",$E37,$D37)/12*2,0)/2)</f>
        <v/>
      </c>
      <c r="M37" s="65" t="str">
        <f aca="false">IF($B37="","",SUMIFS('Leave Register'!$H$6:$H$305,'Leave Register'!$B$6:$B$305,$B37,'Leave Register'!$D$6:$D$305,Setup!$A$20,'Leave Register'!$J$6:$J$305,"Approved",'Leave Register'!$E$6:$E$305,"&gt;="&amp;Setup!$C$12,'Leave Register'!$E$6:$E$305,"&lt;="&amp;Setup!$C$13))</f>
        <v/>
      </c>
      <c r="N37" s="66" t="str">
        <f aca="false">IF(OR($B37="",NOT(Setup!$F$20="Yes")),"",L37-M37)</f>
        <v/>
      </c>
      <c r="O37" s="65" t="str">
        <f aca="false">IF(OR($B37="",NOT(Setup!$F$21="Yes")),"",MIN(N(Employees!I$36),Setup!$E$21)+ROUND(Setup!$C$21*IF(Setup!$D$21="Monthly",$E37,$D37)/12*2,0)/2)</f>
        <v/>
      </c>
      <c r="P37" s="65" t="str">
        <f aca="false">IF($B37="","",SUMIFS('Leave Register'!$H$6:$H$305,'Leave Register'!$B$6:$B$305,$B37,'Leave Register'!$D$6:$D$305,Setup!$A$21,'Leave Register'!$J$6:$J$305,"Approved",'Leave Register'!$E$6:$E$305,"&gt;="&amp;Setup!$C$12,'Leave Register'!$E$6:$E$305,"&lt;="&amp;Setup!$C$13))</f>
        <v/>
      </c>
      <c r="Q37" s="66" t="str">
        <f aca="false">IF(OR($B37="",NOT(Setup!$F$21="Yes")),"",O37-P37)</f>
        <v/>
      </c>
      <c r="R37" s="65" t="str">
        <f aca="false">IF(OR($B37="",NOT(Setup!$F$22="Yes")),"",MIN(N(Employees!J$36),Setup!$E$22)+ROUND(Setup!$C$22*IF(Setup!$D$22="Monthly",$E37,$D37)/12*2,0)/2)</f>
        <v/>
      </c>
      <c r="S37" s="65" t="str">
        <f aca="false">IF($B37="","",SUMIFS('Leave Register'!$H$6:$H$305,'Leave Register'!$B$6:$B$305,$B37,'Leave Register'!$D$6:$D$305,Setup!$A$22,'Leave Register'!$J$6:$J$305,"Approved",'Leave Register'!$E$6:$E$305,"&gt;="&amp;Setup!$C$12,'Leave Register'!$E$6:$E$305,"&lt;="&amp;Setup!$C$13))</f>
        <v/>
      </c>
      <c r="T37" s="66" t="str">
        <f aca="false">IF(OR($B37="",NOT(Setup!$F$22="Yes")),"",R37-S37)</f>
        <v/>
      </c>
      <c r="U37" s="65" t="str">
        <f aca="false">IF(OR($B37="",NOT(Setup!$F$23="Yes")),"",MIN(N(Employees!K$36),Setup!$E$23)+ROUND(Setup!$C$23*IF(Setup!$D$23="Monthly",$E37,$D37)/12*2,0)/2)</f>
        <v/>
      </c>
      <c r="V37" s="65" t="str">
        <f aca="false">IF($B37="","",SUMIFS('Leave Register'!$H$6:$H$305,'Leave Register'!$B$6:$B$305,$B37,'Leave Register'!$D$6:$D$305,Setup!$A$23,'Leave Register'!$J$6:$J$305,"Approved",'Leave Register'!$E$6:$E$305,"&gt;="&amp;Setup!$C$12,'Leave Register'!$E$6:$E$305,"&lt;="&amp;Setup!$C$13))</f>
        <v/>
      </c>
      <c r="W37" s="66" t="str">
        <f aca="false">IF(OR($B37="",NOT(Setup!$F$23="Yes")),"",U37-V37)</f>
        <v/>
      </c>
      <c r="X37" s="67" t="str">
        <f aca="false">IF(B37="","",SUMIFS('Leave Register'!$H$6:$H$305,'Leave Register'!$B$6:$B$305,$B37,'Leave Register'!$J$6:$J$305,"Pending"))</f>
        <v/>
      </c>
      <c r="Y37" s="68" t="str">
        <f aca="false">IF(B37="","",IF(Setup!$F$18="No",G37,0)+IF(Setup!$F$19="No",J37,0)+IF(Setup!$F$20="No",M37,0)+IF(Setup!$F$21="No",P37,0)+IF(Setup!$F$22="No",S37,0)+IF(Setup!$F$23="No",V37,0))</f>
        <v/>
      </c>
    </row>
    <row r="38" customFormat="false" ht="15" hidden="false" customHeight="false" outlineLevel="0" collapsed="false">
      <c r="A38" s="51" t="str">
        <f aca="false">IF(B38="","",ROW()-5)</f>
        <v/>
      </c>
      <c r="B38" s="63" t="str">
        <f aca="false">IF(Employees!$B$37="","",Employees!$B$37)</f>
        <v/>
      </c>
      <c r="C38" s="10" t="str">
        <f aca="false">IF(B38="","",Employees!$C$37)</f>
        <v/>
      </c>
      <c r="D38" s="64" t="str">
        <f aca="false">IF(B38="","",IF(N(Employees!$E$37)&gt;Setup!$C$13,0,MAX(0,MIN(12,(YEAR(Setup!$C$13)-YEAR(IF(AND(Setup!$C$8="Yes",N(Employees!$E$37)&gt;Setup!$C$12),DATE(YEAR(Employees!$E$37),MONTH(Employees!$E$37),1),Setup!$C$12)))*12+MONTH(Setup!$C$13)-MONTH(IF(AND(Setup!$C$8="Yes",N(Employees!$E$37)&gt;Setup!$C$12),DATE(YEAR(Employees!$E$37),MONTH(Employees!$E$37),1),Setup!$C$12))+1))))</f>
        <v/>
      </c>
      <c r="E38" s="64" t="str">
        <f aca="false">IF(B38="","",IF(OR(N(Employees!$E$37)&gt;Setup!$C$13,Setup!$C$9&lt;IF(AND(Setup!$C$8="Yes",N(Employees!$E$37)&gt;Setup!$C$12),DATE(YEAR(Employees!$E$37),MONTH(Employees!$E$37),1),Setup!$C$12)),0,MAX(0,MIN(12,(YEAR(MIN(Setup!$C$9,Setup!$C$13))-YEAR(IF(AND(Setup!$C$8="Yes",N(Employees!$E$37)&gt;Setup!$C$12),DATE(YEAR(Employees!$E$37),MONTH(Employees!$E$37),1),Setup!$C$12)))*12+MONTH(MIN(Setup!$C$9,Setup!$C$13))-MONTH(IF(AND(Setup!$C$8="Yes",N(Employees!$E$37)&gt;Setup!$C$12),DATE(YEAR(Employees!$E$37),MONTH(Employees!$E$37),1),Setup!$C$12))+1))))</f>
        <v/>
      </c>
      <c r="F38" s="65" t="str">
        <f aca="false">IF(OR($B38="",NOT(Setup!$F$18="Yes")),"",MIN(N(Employees!F$37),Setup!$E$18)+ROUND(Setup!$C$18*IF(Setup!$D$18="Monthly",$E38,$D38)/12*2,0)/2)</f>
        <v/>
      </c>
      <c r="G38" s="65" t="str">
        <f aca="false">IF($B38="","",SUMIFS('Leave Register'!$H$6:$H$305,'Leave Register'!$B$6:$B$305,$B38,'Leave Register'!$D$6:$D$305,Setup!$A$18,'Leave Register'!$J$6:$J$305,"Approved",'Leave Register'!$E$6:$E$305,"&gt;="&amp;Setup!$C$12,'Leave Register'!$E$6:$E$305,"&lt;="&amp;Setup!$C$13))</f>
        <v/>
      </c>
      <c r="H38" s="66" t="str">
        <f aca="false">IF(OR($B38="",NOT(Setup!$F$18="Yes")),"",F38-G38)</f>
        <v/>
      </c>
      <c r="I38" s="65" t="str">
        <f aca="false">IF(OR($B38="",NOT(Setup!$F$19="Yes")),"",MIN(N(Employees!G$37),Setup!$E$19)+ROUND(Setup!$C$19*IF(Setup!$D$19="Monthly",$E38,$D38)/12*2,0)/2)</f>
        <v/>
      </c>
      <c r="J38" s="65" t="str">
        <f aca="false">IF($B38="","",SUMIFS('Leave Register'!$H$6:$H$305,'Leave Register'!$B$6:$B$305,$B38,'Leave Register'!$D$6:$D$305,Setup!$A$19,'Leave Register'!$J$6:$J$305,"Approved",'Leave Register'!$E$6:$E$305,"&gt;="&amp;Setup!$C$12,'Leave Register'!$E$6:$E$305,"&lt;="&amp;Setup!$C$13))</f>
        <v/>
      </c>
      <c r="K38" s="66" t="str">
        <f aca="false">IF(OR($B38="",NOT(Setup!$F$19="Yes")),"",I38-J38)</f>
        <v/>
      </c>
      <c r="L38" s="65" t="str">
        <f aca="false">IF(OR($B38="",NOT(Setup!$F$20="Yes")),"",MIN(N(Employees!H$37),Setup!$E$20)+ROUND(Setup!$C$20*IF(Setup!$D$20="Monthly",$E38,$D38)/12*2,0)/2)</f>
        <v/>
      </c>
      <c r="M38" s="65" t="str">
        <f aca="false">IF($B38="","",SUMIFS('Leave Register'!$H$6:$H$305,'Leave Register'!$B$6:$B$305,$B38,'Leave Register'!$D$6:$D$305,Setup!$A$20,'Leave Register'!$J$6:$J$305,"Approved",'Leave Register'!$E$6:$E$305,"&gt;="&amp;Setup!$C$12,'Leave Register'!$E$6:$E$305,"&lt;="&amp;Setup!$C$13))</f>
        <v/>
      </c>
      <c r="N38" s="66" t="str">
        <f aca="false">IF(OR($B38="",NOT(Setup!$F$20="Yes")),"",L38-M38)</f>
        <v/>
      </c>
      <c r="O38" s="65" t="str">
        <f aca="false">IF(OR($B38="",NOT(Setup!$F$21="Yes")),"",MIN(N(Employees!I$37),Setup!$E$21)+ROUND(Setup!$C$21*IF(Setup!$D$21="Monthly",$E38,$D38)/12*2,0)/2)</f>
        <v/>
      </c>
      <c r="P38" s="65" t="str">
        <f aca="false">IF($B38="","",SUMIFS('Leave Register'!$H$6:$H$305,'Leave Register'!$B$6:$B$305,$B38,'Leave Register'!$D$6:$D$305,Setup!$A$21,'Leave Register'!$J$6:$J$305,"Approved",'Leave Register'!$E$6:$E$305,"&gt;="&amp;Setup!$C$12,'Leave Register'!$E$6:$E$305,"&lt;="&amp;Setup!$C$13))</f>
        <v/>
      </c>
      <c r="Q38" s="66" t="str">
        <f aca="false">IF(OR($B38="",NOT(Setup!$F$21="Yes")),"",O38-P38)</f>
        <v/>
      </c>
      <c r="R38" s="65" t="str">
        <f aca="false">IF(OR($B38="",NOT(Setup!$F$22="Yes")),"",MIN(N(Employees!J$37),Setup!$E$22)+ROUND(Setup!$C$22*IF(Setup!$D$22="Monthly",$E38,$D38)/12*2,0)/2)</f>
        <v/>
      </c>
      <c r="S38" s="65" t="str">
        <f aca="false">IF($B38="","",SUMIFS('Leave Register'!$H$6:$H$305,'Leave Register'!$B$6:$B$305,$B38,'Leave Register'!$D$6:$D$305,Setup!$A$22,'Leave Register'!$J$6:$J$305,"Approved",'Leave Register'!$E$6:$E$305,"&gt;="&amp;Setup!$C$12,'Leave Register'!$E$6:$E$305,"&lt;="&amp;Setup!$C$13))</f>
        <v/>
      </c>
      <c r="T38" s="66" t="str">
        <f aca="false">IF(OR($B38="",NOT(Setup!$F$22="Yes")),"",R38-S38)</f>
        <v/>
      </c>
      <c r="U38" s="65" t="str">
        <f aca="false">IF(OR($B38="",NOT(Setup!$F$23="Yes")),"",MIN(N(Employees!K$37),Setup!$E$23)+ROUND(Setup!$C$23*IF(Setup!$D$23="Monthly",$E38,$D38)/12*2,0)/2)</f>
        <v/>
      </c>
      <c r="V38" s="65" t="str">
        <f aca="false">IF($B38="","",SUMIFS('Leave Register'!$H$6:$H$305,'Leave Register'!$B$6:$B$305,$B38,'Leave Register'!$D$6:$D$305,Setup!$A$23,'Leave Register'!$J$6:$J$305,"Approved",'Leave Register'!$E$6:$E$305,"&gt;="&amp;Setup!$C$12,'Leave Register'!$E$6:$E$305,"&lt;="&amp;Setup!$C$13))</f>
        <v/>
      </c>
      <c r="W38" s="66" t="str">
        <f aca="false">IF(OR($B38="",NOT(Setup!$F$23="Yes")),"",U38-V38)</f>
        <v/>
      </c>
      <c r="X38" s="67" t="str">
        <f aca="false">IF(B38="","",SUMIFS('Leave Register'!$H$6:$H$305,'Leave Register'!$B$6:$B$305,$B38,'Leave Register'!$J$6:$J$305,"Pending"))</f>
        <v/>
      </c>
      <c r="Y38" s="68" t="str">
        <f aca="false">IF(B38="","",IF(Setup!$F$18="No",G38,0)+IF(Setup!$F$19="No",J38,0)+IF(Setup!$F$20="No",M38,0)+IF(Setup!$F$21="No",P38,0)+IF(Setup!$F$22="No",S38,0)+IF(Setup!$F$23="No",V38,0))</f>
        <v/>
      </c>
    </row>
    <row r="39" customFormat="false" ht="15" hidden="false" customHeight="false" outlineLevel="0" collapsed="false">
      <c r="A39" s="51" t="str">
        <f aca="false">IF(B39="","",ROW()-5)</f>
        <v/>
      </c>
      <c r="B39" s="63" t="str">
        <f aca="false">IF(Employees!$B$38="","",Employees!$B$38)</f>
        <v/>
      </c>
      <c r="C39" s="10" t="str">
        <f aca="false">IF(B39="","",Employees!$C$38)</f>
        <v/>
      </c>
      <c r="D39" s="64" t="str">
        <f aca="false">IF(B39="","",IF(N(Employees!$E$38)&gt;Setup!$C$13,0,MAX(0,MIN(12,(YEAR(Setup!$C$13)-YEAR(IF(AND(Setup!$C$8="Yes",N(Employees!$E$38)&gt;Setup!$C$12),DATE(YEAR(Employees!$E$38),MONTH(Employees!$E$38),1),Setup!$C$12)))*12+MONTH(Setup!$C$13)-MONTH(IF(AND(Setup!$C$8="Yes",N(Employees!$E$38)&gt;Setup!$C$12),DATE(YEAR(Employees!$E$38),MONTH(Employees!$E$38),1),Setup!$C$12))+1))))</f>
        <v/>
      </c>
      <c r="E39" s="64" t="str">
        <f aca="false">IF(B39="","",IF(OR(N(Employees!$E$38)&gt;Setup!$C$13,Setup!$C$9&lt;IF(AND(Setup!$C$8="Yes",N(Employees!$E$38)&gt;Setup!$C$12),DATE(YEAR(Employees!$E$38),MONTH(Employees!$E$38),1),Setup!$C$12)),0,MAX(0,MIN(12,(YEAR(MIN(Setup!$C$9,Setup!$C$13))-YEAR(IF(AND(Setup!$C$8="Yes",N(Employees!$E$38)&gt;Setup!$C$12),DATE(YEAR(Employees!$E$38),MONTH(Employees!$E$38),1),Setup!$C$12)))*12+MONTH(MIN(Setup!$C$9,Setup!$C$13))-MONTH(IF(AND(Setup!$C$8="Yes",N(Employees!$E$38)&gt;Setup!$C$12),DATE(YEAR(Employees!$E$38),MONTH(Employees!$E$38),1),Setup!$C$12))+1))))</f>
        <v/>
      </c>
      <c r="F39" s="65" t="str">
        <f aca="false">IF(OR($B39="",NOT(Setup!$F$18="Yes")),"",MIN(N(Employees!F$38),Setup!$E$18)+ROUND(Setup!$C$18*IF(Setup!$D$18="Monthly",$E39,$D39)/12*2,0)/2)</f>
        <v/>
      </c>
      <c r="G39" s="65" t="str">
        <f aca="false">IF($B39="","",SUMIFS('Leave Register'!$H$6:$H$305,'Leave Register'!$B$6:$B$305,$B39,'Leave Register'!$D$6:$D$305,Setup!$A$18,'Leave Register'!$J$6:$J$305,"Approved",'Leave Register'!$E$6:$E$305,"&gt;="&amp;Setup!$C$12,'Leave Register'!$E$6:$E$305,"&lt;="&amp;Setup!$C$13))</f>
        <v/>
      </c>
      <c r="H39" s="66" t="str">
        <f aca="false">IF(OR($B39="",NOT(Setup!$F$18="Yes")),"",F39-G39)</f>
        <v/>
      </c>
      <c r="I39" s="65" t="str">
        <f aca="false">IF(OR($B39="",NOT(Setup!$F$19="Yes")),"",MIN(N(Employees!G$38),Setup!$E$19)+ROUND(Setup!$C$19*IF(Setup!$D$19="Monthly",$E39,$D39)/12*2,0)/2)</f>
        <v/>
      </c>
      <c r="J39" s="65" t="str">
        <f aca="false">IF($B39="","",SUMIFS('Leave Register'!$H$6:$H$305,'Leave Register'!$B$6:$B$305,$B39,'Leave Register'!$D$6:$D$305,Setup!$A$19,'Leave Register'!$J$6:$J$305,"Approved",'Leave Register'!$E$6:$E$305,"&gt;="&amp;Setup!$C$12,'Leave Register'!$E$6:$E$305,"&lt;="&amp;Setup!$C$13))</f>
        <v/>
      </c>
      <c r="K39" s="66" t="str">
        <f aca="false">IF(OR($B39="",NOT(Setup!$F$19="Yes")),"",I39-J39)</f>
        <v/>
      </c>
      <c r="L39" s="65" t="str">
        <f aca="false">IF(OR($B39="",NOT(Setup!$F$20="Yes")),"",MIN(N(Employees!H$38),Setup!$E$20)+ROUND(Setup!$C$20*IF(Setup!$D$20="Monthly",$E39,$D39)/12*2,0)/2)</f>
        <v/>
      </c>
      <c r="M39" s="65" t="str">
        <f aca="false">IF($B39="","",SUMIFS('Leave Register'!$H$6:$H$305,'Leave Register'!$B$6:$B$305,$B39,'Leave Register'!$D$6:$D$305,Setup!$A$20,'Leave Register'!$J$6:$J$305,"Approved",'Leave Register'!$E$6:$E$305,"&gt;="&amp;Setup!$C$12,'Leave Register'!$E$6:$E$305,"&lt;="&amp;Setup!$C$13))</f>
        <v/>
      </c>
      <c r="N39" s="66" t="str">
        <f aca="false">IF(OR($B39="",NOT(Setup!$F$20="Yes")),"",L39-M39)</f>
        <v/>
      </c>
      <c r="O39" s="65" t="str">
        <f aca="false">IF(OR($B39="",NOT(Setup!$F$21="Yes")),"",MIN(N(Employees!I$38),Setup!$E$21)+ROUND(Setup!$C$21*IF(Setup!$D$21="Monthly",$E39,$D39)/12*2,0)/2)</f>
        <v/>
      </c>
      <c r="P39" s="65" t="str">
        <f aca="false">IF($B39="","",SUMIFS('Leave Register'!$H$6:$H$305,'Leave Register'!$B$6:$B$305,$B39,'Leave Register'!$D$6:$D$305,Setup!$A$21,'Leave Register'!$J$6:$J$305,"Approved",'Leave Register'!$E$6:$E$305,"&gt;="&amp;Setup!$C$12,'Leave Register'!$E$6:$E$305,"&lt;="&amp;Setup!$C$13))</f>
        <v/>
      </c>
      <c r="Q39" s="66" t="str">
        <f aca="false">IF(OR($B39="",NOT(Setup!$F$21="Yes")),"",O39-P39)</f>
        <v/>
      </c>
      <c r="R39" s="65" t="str">
        <f aca="false">IF(OR($B39="",NOT(Setup!$F$22="Yes")),"",MIN(N(Employees!J$38),Setup!$E$22)+ROUND(Setup!$C$22*IF(Setup!$D$22="Monthly",$E39,$D39)/12*2,0)/2)</f>
        <v/>
      </c>
      <c r="S39" s="65" t="str">
        <f aca="false">IF($B39="","",SUMIFS('Leave Register'!$H$6:$H$305,'Leave Register'!$B$6:$B$305,$B39,'Leave Register'!$D$6:$D$305,Setup!$A$22,'Leave Register'!$J$6:$J$305,"Approved",'Leave Register'!$E$6:$E$305,"&gt;="&amp;Setup!$C$12,'Leave Register'!$E$6:$E$305,"&lt;="&amp;Setup!$C$13))</f>
        <v/>
      </c>
      <c r="T39" s="66" t="str">
        <f aca="false">IF(OR($B39="",NOT(Setup!$F$22="Yes")),"",R39-S39)</f>
        <v/>
      </c>
      <c r="U39" s="65" t="str">
        <f aca="false">IF(OR($B39="",NOT(Setup!$F$23="Yes")),"",MIN(N(Employees!K$38),Setup!$E$23)+ROUND(Setup!$C$23*IF(Setup!$D$23="Monthly",$E39,$D39)/12*2,0)/2)</f>
        <v/>
      </c>
      <c r="V39" s="65" t="str">
        <f aca="false">IF($B39="","",SUMIFS('Leave Register'!$H$6:$H$305,'Leave Register'!$B$6:$B$305,$B39,'Leave Register'!$D$6:$D$305,Setup!$A$23,'Leave Register'!$J$6:$J$305,"Approved",'Leave Register'!$E$6:$E$305,"&gt;="&amp;Setup!$C$12,'Leave Register'!$E$6:$E$305,"&lt;="&amp;Setup!$C$13))</f>
        <v/>
      </c>
      <c r="W39" s="66" t="str">
        <f aca="false">IF(OR($B39="",NOT(Setup!$F$23="Yes")),"",U39-V39)</f>
        <v/>
      </c>
      <c r="X39" s="67" t="str">
        <f aca="false">IF(B39="","",SUMIFS('Leave Register'!$H$6:$H$305,'Leave Register'!$B$6:$B$305,$B39,'Leave Register'!$J$6:$J$305,"Pending"))</f>
        <v/>
      </c>
      <c r="Y39" s="68" t="str">
        <f aca="false">IF(B39="","",IF(Setup!$F$18="No",G39,0)+IF(Setup!$F$19="No",J39,0)+IF(Setup!$F$20="No",M39,0)+IF(Setup!$F$21="No",P39,0)+IF(Setup!$F$22="No",S39,0)+IF(Setup!$F$23="No",V39,0))</f>
        <v/>
      </c>
    </row>
    <row r="40" customFormat="false" ht="15" hidden="false" customHeight="false" outlineLevel="0" collapsed="false">
      <c r="A40" s="51" t="str">
        <f aca="false">IF(B40="","",ROW()-5)</f>
        <v/>
      </c>
      <c r="B40" s="63" t="str">
        <f aca="false">IF(Employees!$B$39="","",Employees!$B$39)</f>
        <v/>
      </c>
      <c r="C40" s="10" t="str">
        <f aca="false">IF(B40="","",Employees!$C$39)</f>
        <v/>
      </c>
      <c r="D40" s="64" t="str">
        <f aca="false">IF(B40="","",IF(N(Employees!$E$39)&gt;Setup!$C$13,0,MAX(0,MIN(12,(YEAR(Setup!$C$13)-YEAR(IF(AND(Setup!$C$8="Yes",N(Employees!$E$39)&gt;Setup!$C$12),DATE(YEAR(Employees!$E$39),MONTH(Employees!$E$39),1),Setup!$C$12)))*12+MONTH(Setup!$C$13)-MONTH(IF(AND(Setup!$C$8="Yes",N(Employees!$E$39)&gt;Setup!$C$12),DATE(YEAR(Employees!$E$39),MONTH(Employees!$E$39),1),Setup!$C$12))+1))))</f>
        <v/>
      </c>
      <c r="E40" s="64" t="str">
        <f aca="false">IF(B40="","",IF(OR(N(Employees!$E$39)&gt;Setup!$C$13,Setup!$C$9&lt;IF(AND(Setup!$C$8="Yes",N(Employees!$E$39)&gt;Setup!$C$12),DATE(YEAR(Employees!$E$39),MONTH(Employees!$E$39),1),Setup!$C$12)),0,MAX(0,MIN(12,(YEAR(MIN(Setup!$C$9,Setup!$C$13))-YEAR(IF(AND(Setup!$C$8="Yes",N(Employees!$E$39)&gt;Setup!$C$12),DATE(YEAR(Employees!$E$39),MONTH(Employees!$E$39),1),Setup!$C$12)))*12+MONTH(MIN(Setup!$C$9,Setup!$C$13))-MONTH(IF(AND(Setup!$C$8="Yes",N(Employees!$E$39)&gt;Setup!$C$12),DATE(YEAR(Employees!$E$39),MONTH(Employees!$E$39),1),Setup!$C$12))+1))))</f>
        <v/>
      </c>
      <c r="F40" s="65" t="str">
        <f aca="false">IF(OR($B40="",NOT(Setup!$F$18="Yes")),"",MIN(N(Employees!F$39),Setup!$E$18)+ROUND(Setup!$C$18*IF(Setup!$D$18="Monthly",$E40,$D40)/12*2,0)/2)</f>
        <v/>
      </c>
      <c r="G40" s="65" t="str">
        <f aca="false">IF($B40="","",SUMIFS('Leave Register'!$H$6:$H$305,'Leave Register'!$B$6:$B$305,$B40,'Leave Register'!$D$6:$D$305,Setup!$A$18,'Leave Register'!$J$6:$J$305,"Approved",'Leave Register'!$E$6:$E$305,"&gt;="&amp;Setup!$C$12,'Leave Register'!$E$6:$E$305,"&lt;="&amp;Setup!$C$13))</f>
        <v/>
      </c>
      <c r="H40" s="66" t="str">
        <f aca="false">IF(OR($B40="",NOT(Setup!$F$18="Yes")),"",F40-G40)</f>
        <v/>
      </c>
      <c r="I40" s="65" t="str">
        <f aca="false">IF(OR($B40="",NOT(Setup!$F$19="Yes")),"",MIN(N(Employees!G$39),Setup!$E$19)+ROUND(Setup!$C$19*IF(Setup!$D$19="Monthly",$E40,$D40)/12*2,0)/2)</f>
        <v/>
      </c>
      <c r="J40" s="65" t="str">
        <f aca="false">IF($B40="","",SUMIFS('Leave Register'!$H$6:$H$305,'Leave Register'!$B$6:$B$305,$B40,'Leave Register'!$D$6:$D$305,Setup!$A$19,'Leave Register'!$J$6:$J$305,"Approved",'Leave Register'!$E$6:$E$305,"&gt;="&amp;Setup!$C$12,'Leave Register'!$E$6:$E$305,"&lt;="&amp;Setup!$C$13))</f>
        <v/>
      </c>
      <c r="K40" s="66" t="str">
        <f aca="false">IF(OR($B40="",NOT(Setup!$F$19="Yes")),"",I40-J40)</f>
        <v/>
      </c>
      <c r="L40" s="65" t="str">
        <f aca="false">IF(OR($B40="",NOT(Setup!$F$20="Yes")),"",MIN(N(Employees!H$39),Setup!$E$20)+ROUND(Setup!$C$20*IF(Setup!$D$20="Monthly",$E40,$D40)/12*2,0)/2)</f>
        <v/>
      </c>
      <c r="M40" s="65" t="str">
        <f aca="false">IF($B40="","",SUMIFS('Leave Register'!$H$6:$H$305,'Leave Register'!$B$6:$B$305,$B40,'Leave Register'!$D$6:$D$305,Setup!$A$20,'Leave Register'!$J$6:$J$305,"Approved",'Leave Register'!$E$6:$E$305,"&gt;="&amp;Setup!$C$12,'Leave Register'!$E$6:$E$305,"&lt;="&amp;Setup!$C$13))</f>
        <v/>
      </c>
      <c r="N40" s="66" t="str">
        <f aca="false">IF(OR($B40="",NOT(Setup!$F$20="Yes")),"",L40-M40)</f>
        <v/>
      </c>
      <c r="O40" s="65" t="str">
        <f aca="false">IF(OR($B40="",NOT(Setup!$F$21="Yes")),"",MIN(N(Employees!I$39),Setup!$E$21)+ROUND(Setup!$C$21*IF(Setup!$D$21="Monthly",$E40,$D40)/12*2,0)/2)</f>
        <v/>
      </c>
      <c r="P40" s="65" t="str">
        <f aca="false">IF($B40="","",SUMIFS('Leave Register'!$H$6:$H$305,'Leave Register'!$B$6:$B$305,$B40,'Leave Register'!$D$6:$D$305,Setup!$A$21,'Leave Register'!$J$6:$J$305,"Approved",'Leave Register'!$E$6:$E$305,"&gt;="&amp;Setup!$C$12,'Leave Register'!$E$6:$E$305,"&lt;="&amp;Setup!$C$13))</f>
        <v/>
      </c>
      <c r="Q40" s="66" t="str">
        <f aca="false">IF(OR($B40="",NOT(Setup!$F$21="Yes")),"",O40-P40)</f>
        <v/>
      </c>
      <c r="R40" s="65" t="str">
        <f aca="false">IF(OR($B40="",NOT(Setup!$F$22="Yes")),"",MIN(N(Employees!J$39),Setup!$E$22)+ROUND(Setup!$C$22*IF(Setup!$D$22="Monthly",$E40,$D40)/12*2,0)/2)</f>
        <v/>
      </c>
      <c r="S40" s="65" t="str">
        <f aca="false">IF($B40="","",SUMIFS('Leave Register'!$H$6:$H$305,'Leave Register'!$B$6:$B$305,$B40,'Leave Register'!$D$6:$D$305,Setup!$A$22,'Leave Register'!$J$6:$J$305,"Approved",'Leave Register'!$E$6:$E$305,"&gt;="&amp;Setup!$C$12,'Leave Register'!$E$6:$E$305,"&lt;="&amp;Setup!$C$13))</f>
        <v/>
      </c>
      <c r="T40" s="66" t="str">
        <f aca="false">IF(OR($B40="",NOT(Setup!$F$22="Yes")),"",R40-S40)</f>
        <v/>
      </c>
      <c r="U40" s="65" t="str">
        <f aca="false">IF(OR($B40="",NOT(Setup!$F$23="Yes")),"",MIN(N(Employees!K$39),Setup!$E$23)+ROUND(Setup!$C$23*IF(Setup!$D$23="Monthly",$E40,$D40)/12*2,0)/2)</f>
        <v/>
      </c>
      <c r="V40" s="65" t="str">
        <f aca="false">IF($B40="","",SUMIFS('Leave Register'!$H$6:$H$305,'Leave Register'!$B$6:$B$305,$B40,'Leave Register'!$D$6:$D$305,Setup!$A$23,'Leave Register'!$J$6:$J$305,"Approved",'Leave Register'!$E$6:$E$305,"&gt;="&amp;Setup!$C$12,'Leave Register'!$E$6:$E$305,"&lt;="&amp;Setup!$C$13))</f>
        <v/>
      </c>
      <c r="W40" s="66" t="str">
        <f aca="false">IF(OR($B40="",NOT(Setup!$F$23="Yes")),"",U40-V40)</f>
        <v/>
      </c>
      <c r="X40" s="67" t="str">
        <f aca="false">IF(B40="","",SUMIFS('Leave Register'!$H$6:$H$305,'Leave Register'!$B$6:$B$305,$B40,'Leave Register'!$J$6:$J$305,"Pending"))</f>
        <v/>
      </c>
      <c r="Y40" s="68" t="str">
        <f aca="false">IF(B40="","",IF(Setup!$F$18="No",G40,0)+IF(Setup!$F$19="No",J40,0)+IF(Setup!$F$20="No",M40,0)+IF(Setup!$F$21="No",P40,0)+IF(Setup!$F$22="No",S40,0)+IF(Setup!$F$23="No",V40,0))</f>
        <v/>
      </c>
    </row>
    <row r="41" customFormat="false" ht="15" hidden="false" customHeight="false" outlineLevel="0" collapsed="false">
      <c r="A41" s="51" t="str">
        <f aca="false">IF(B41="","",ROW()-5)</f>
        <v/>
      </c>
      <c r="B41" s="63" t="str">
        <f aca="false">IF(Employees!$B$40="","",Employees!$B$40)</f>
        <v/>
      </c>
      <c r="C41" s="10" t="str">
        <f aca="false">IF(B41="","",Employees!$C$40)</f>
        <v/>
      </c>
      <c r="D41" s="64" t="str">
        <f aca="false">IF(B41="","",IF(N(Employees!$E$40)&gt;Setup!$C$13,0,MAX(0,MIN(12,(YEAR(Setup!$C$13)-YEAR(IF(AND(Setup!$C$8="Yes",N(Employees!$E$40)&gt;Setup!$C$12),DATE(YEAR(Employees!$E$40),MONTH(Employees!$E$40),1),Setup!$C$12)))*12+MONTH(Setup!$C$13)-MONTH(IF(AND(Setup!$C$8="Yes",N(Employees!$E$40)&gt;Setup!$C$12),DATE(YEAR(Employees!$E$40),MONTH(Employees!$E$40),1),Setup!$C$12))+1))))</f>
        <v/>
      </c>
      <c r="E41" s="64" t="str">
        <f aca="false">IF(B41="","",IF(OR(N(Employees!$E$40)&gt;Setup!$C$13,Setup!$C$9&lt;IF(AND(Setup!$C$8="Yes",N(Employees!$E$40)&gt;Setup!$C$12),DATE(YEAR(Employees!$E$40),MONTH(Employees!$E$40),1),Setup!$C$12)),0,MAX(0,MIN(12,(YEAR(MIN(Setup!$C$9,Setup!$C$13))-YEAR(IF(AND(Setup!$C$8="Yes",N(Employees!$E$40)&gt;Setup!$C$12),DATE(YEAR(Employees!$E$40),MONTH(Employees!$E$40),1),Setup!$C$12)))*12+MONTH(MIN(Setup!$C$9,Setup!$C$13))-MONTH(IF(AND(Setup!$C$8="Yes",N(Employees!$E$40)&gt;Setup!$C$12),DATE(YEAR(Employees!$E$40),MONTH(Employees!$E$40),1),Setup!$C$12))+1))))</f>
        <v/>
      </c>
      <c r="F41" s="65" t="str">
        <f aca="false">IF(OR($B41="",NOT(Setup!$F$18="Yes")),"",MIN(N(Employees!F$40),Setup!$E$18)+ROUND(Setup!$C$18*IF(Setup!$D$18="Monthly",$E41,$D41)/12*2,0)/2)</f>
        <v/>
      </c>
      <c r="G41" s="65" t="str">
        <f aca="false">IF($B41="","",SUMIFS('Leave Register'!$H$6:$H$305,'Leave Register'!$B$6:$B$305,$B41,'Leave Register'!$D$6:$D$305,Setup!$A$18,'Leave Register'!$J$6:$J$305,"Approved",'Leave Register'!$E$6:$E$305,"&gt;="&amp;Setup!$C$12,'Leave Register'!$E$6:$E$305,"&lt;="&amp;Setup!$C$13))</f>
        <v/>
      </c>
      <c r="H41" s="66" t="str">
        <f aca="false">IF(OR($B41="",NOT(Setup!$F$18="Yes")),"",F41-G41)</f>
        <v/>
      </c>
      <c r="I41" s="65" t="str">
        <f aca="false">IF(OR($B41="",NOT(Setup!$F$19="Yes")),"",MIN(N(Employees!G$40),Setup!$E$19)+ROUND(Setup!$C$19*IF(Setup!$D$19="Monthly",$E41,$D41)/12*2,0)/2)</f>
        <v/>
      </c>
      <c r="J41" s="65" t="str">
        <f aca="false">IF($B41="","",SUMIFS('Leave Register'!$H$6:$H$305,'Leave Register'!$B$6:$B$305,$B41,'Leave Register'!$D$6:$D$305,Setup!$A$19,'Leave Register'!$J$6:$J$305,"Approved",'Leave Register'!$E$6:$E$305,"&gt;="&amp;Setup!$C$12,'Leave Register'!$E$6:$E$305,"&lt;="&amp;Setup!$C$13))</f>
        <v/>
      </c>
      <c r="K41" s="66" t="str">
        <f aca="false">IF(OR($B41="",NOT(Setup!$F$19="Yes")),"",I41-J41)</f>
        <v/>
      </c>
      <c r="L41" s="65" t="str">
        <f aca="false">IF(OR($B41="",NOT(Setup!$F$20="Yes")),"",MIN(N(Employees!H$40),Setup!$E$20)+ROUND(Setup!$C$20*IF(Setup!$D$20="Monthly",$E41,$D41)/12*2,0)/2)</f>
        <v/>
      </c>
      <c r="M41" s="65" t="str">
        <f aca="false">IF($B41="","",SUMIFS('Leave Register'!$H$6:$H$305,'Leave Register'!$B$6:$B$305,$B41,'Leave Register'!$D$6:$D$305,Setup!$A$20,'Leave Register'!$J$6:$J$305,"Approved",'Leave Register'!$E$6:$E$305,"&gt;="&amp;Setup!$C$12,'Leave Register'!$E$6:$E$305,"&lt;="&amp;Setup!$C$13))</f>
        <v/>
      </c>
      <c r="N41" s="66" t="str">
        <f aca="false">IF(OR($B41="",NOT(Setup!$F$20="Yes")),"",L41-M41)</f>
        <v/>
      </c>
      <c r="O41" s="65" t="str">
        <f aca="false">IF(OR($B41="",NOT(Setup!$F$21="Yes")),"",MIN(N(Employees!I$40),Setup!$E$21)+ROUND(Setup!$C$21*IF(Setup!$D$21="Monthly",$E41,$D41)/12*2,0)/2)</f>
        <v/>
      </c>
      <c r="P41" s="65" t="str">
        <f aca="false">IF($B41="","",SUMIFS('Leave Register'!$H$6:$H$305,'Leave Register'!$B$6:$B$305,$B41,'Leave Register'!$D$6:$D$305,Setup!$A$21,'Leave Register'!$J$6:$J$305,"Approved",'Leave Register'!$E$6:$E$305,"&gt;="&amp;Setup!$C$12,'Leave Register'!$E$6:$E$305,"&lt;="&amp;Setup!$C$13))</f>
        <v/>
      </c>
      <c r="Q41" s="66" t="str">
        <f aca="false">IF(OR($B41="",NOT(Setup!$F$21="Yes")),"",O41-P41)</f>
        <v/>
      </c>
      <c r="R41" s="65" t="str">
        <f aca="false">IF(OR($B41="",NOT(Setup!$F$22="Yes")),"",MIN(N(Employees!J$40),Setup!$E$22)+ROUND(Setup!$C$22*IF(Setup!$D$22="Monthly",$E41,$D41)/12*2,0)/2)</f>
        <v/>
      </c>
      <c r="S41" s="65" t="str">
        <f aca="false">IF($B41="","",SUMIFS('Leave Register'!$H$6:$H$305,'Leave Register'!$B$6:$B$305,$B41,'Leave Register'!$D$6:$D$305,Setup!$A$22,'Leave Register'!$J$6:$J$305,"Approved",'Leave Register'!$E$6:$E$305,"&gt;="&amp;Setup!$C$12,'Leave Register'!$E$6:$E$305,"&lt;="&amp;Setup!$C$13))</f>
        <v/>
      </c>
      <c r="T41" s="66" t="str">
        <f aca="false">IF(OR($B41="",NOT(Setup!$F$22="Yes")),"",R41-S41)</f>
        <v/>
      </c>
      <c r="U41" s="65" t="str">
        <f aca="false">IF(OR($B41="",NOT(Setup!$F$23="Yes")),"",MIN(N(Employees!K$40),Setup!$E$23)+ROUND(Setup!$C$23*IF(Setup!$D$23="Monthly",$E41,$D41)/12*2,0)/2)</f>
        <v/>
      </c>
      <c r="V41" s="65" t="str">
        <f aca="false">IF($B41="","",SUMIFS('Leave Register'!$H$6:$H$305,'Leave Register'!$B$6:$B$305,$B41,'Leave Register'!$D$6:$D$305,Setup!$A$23,'Leave Register'!$J$6:$J$305,"Approved",'Leave Register'!$E$6:$E$305,"&gt;="&amp;Setup!$C$12,'Leave Register'!$E$6:$E$305,"&lt;="&amp;Setup!$C$13))</f>
        <v/>
      </c>
      <c r="W41" s="66" t="str">
        <f aca="false">IF(OR($B41="",NOT(Setup!$F$23="Yes")),"",U41-V41)</f>
        <v/>
      </c>
      <c r="X41" s="67" t="str">
        <f aca="false">IF(B41="","",SUMIFS('Leave Register'!$H$6:$H$305,'Leave Register'!$B$6:$B$305,$B41,'Leave Register'!$J$6:$J$305,"Pending"))</f>
        <v/>
      </c>
      <c r="Y41" s="68" t="str">
        <f aca="false">IF(B41="","",IF(Setup!$F$18="No",G41,0)+IF(Setup!$F$19="No",J41,0)+IF(Setup!$F$20="No",M41,0)+IF(Setup!$F$21="No",P41,0)+IF(Setup!$F$22="No",S41,0)+IF(Setup!$F$23="No",V41,0))</f>
        <v/>
      </c>
    </row>
    <row r="42" customFormat="false" ht="15" hidden="false" customHeight="false" outlineLevel="0" collapsed="false">
      <c r="A42" s="51" t="str">
        <f aca="false">IF(B42="","",ROW()-5)</f>
        <v/>
      </c>
      <c r="B42" s="63" t="str">
        <f aca="false">IF(Employees!$B$41="","",Employees!$B$41)</f>
        <v/>
      </c>
      <c r="C42" s="10" t="str">
        <f aca="false">IF(B42="","",Employees!$C$41)</f>
        <v/>
      </c>
      <c r="D42" s="64" t="str">
        <f aca="false">IF(B42="","",IF(N(Employees!$E$41)&gt;Setup!$C$13,0,MAX(0,MIN(12,(YEAR(Setup!$C$13)-YEAR(IF(AND(Setup!$C$8="Yes",N(Employees!$E$41)&gt;Setup!$C$12),DATE(YEAR(Employees!$E$41),MONTH(Employees!$E$41),1),Setup!$C$12)))*12+MONTH(Setup!$C$13)-MONTH(IF(AND(Setup!$C$8="Yes",N(Employees!$E$41)&gt;Setup!$C$12),DATE(YEAR(Employees!$E$41),MONTH(Employees!$E$41),1),Setup!$C$12))+1))))</f>
        <v/>
      </c>
      <c r="E42" s="64" t="str">
        <f aca="false">IF(B42="","",IF(OR(N(Employees!$E$41)&gt;Setup!$C$13,Setup!$C$9&lt;IF(AND(Setup!$C$8="Yes",N(Employees!$E$41)&gt;Setup!$C$12),DATE(YEAR(Employees!$E$41),MONTH(Employees!$E$41),1),Setup!$C$12)),0,MAX(0,MIN(12,(YEAR(MIN(Setup!$C$9,Setup!$C$13))-YEAR(IF(AND(Setup!$C$8="Yes",N(Employees!$E$41)&gt;Setup!$C$12),DATE(YEAR(Employees!$E$41),MONTH(Employees!$E$41),1),Setup!$C$12)))*12+MONTH(MIN(Setup!$C$9,Setup!$C$13))-MONTH(IF(AND(Setup!$C$8="Yes",N(Employees!$E$41)&gt;Setup!$C$12),DATE(YEAR(Employees!$E$41),MONTH(Employees!$E$41),1),Setup!$C$12))+1))))</f>
        <v/>
      </c>
      <c r="F42" s="65" t="str">
        <f aca="false">IF(OR($B42="",NOT(Setup!$F$18="Yes")),"",MIN(N(Employees!F$41),Setup!$E$18)+ROUND(Setup!$C$18*IF(Setup!$D$18="Monthly",$E42,$D42)/12*2,0)/2)</f>
        <v/>
      </c>
      <c r="G42" s="65" t="str">
        <f aca="false">IF($B42="","",SUMIFS('Leave Register'!$H$6:$H$305,'Leave Register'!$B$6:$B$305,$B42,'Leave Register'!$D$6:$D$305,Setup!$A$18,'Leave Register'!$J$6:$J$305,"Approved",'Leave Register'!$E$6:$E$305,"&gt;="&amp;Setup!$C$12,'Leave Register'!$E$6:$E$305,"&lt;="&amp;Setup!$C$13))</f>
        <v/>
      </c>
      <c r="H42" s="66" t="str">
        <f aca="false">IF(OR($B42="",NOT(Setup!$F$18="Yes")),"",F42-G42)</f>
        <v/>
      </c>
      <c r="I42" s="65" t="str">
        <f aca="false">IF(OR($B42="",NOT(Setup!$F$19="Yes")),"",MIN(N(Employees!G$41),Setup!$E$19)+ROUND(Setup!$C$19*IF(Setup!$D$19="Monthly",$E42,$D42)/12*2,0)/2)</f>
        <v/>
      </c>
      <c r="J42" s="65" t="str">
        <f aca="false">IF($B42="","",SUMIFS('Leave Register'!$H$6:$H$305,'Leave Register'!$B$6:$B$305,$B42,'Leave Register'!$D$6:$D$305,Setup!$A$19,'Leave Register'!$J$6:$J$305,"Approved",'Leave Register'!$E$6:$E$305,"&gt;="&amp;Setup!$C$12,'Leave Register'!$E$6:$E$305,"&lt;="&amp;Setup!$C$13))</f>
        <v/>
      </c>
      <c r="K42" s="66" t="str">
        <f aca="false">IF(OR($B42="",NOT(Setup!$F$19="Yes")),"",I42-J42)</f>
        <v/>
      </c>
      <c r="L42" s="65" t="str">
        <f aca="false">IF(OR($B42="",NOT(Setup!$F$20="Yes")),"",MIN(N(Employees!H$41),Setup!$E$20)+ROUND(Setup!$C$20*IF(Setup!$D$20="Monthly",$E42,$D42)/12*2,0)/2)</f>
        <v/>
      </c>
      <c r="M42" s="65" t="str">
        <f aca="false">IF($B42="","",SUMIFS('Leave Register'!$H$6:$H$305,'Leave Register'!$B$6:$B$305,$B42,'Leave Register'!$D$6:$D$305,Setup!$A$20,'Leave Register'!$J$6:$J$305,"Approved",'Leave Register'!$E$6:$E$305,"&gt;="&amp;Setup!$C$12,'Leave Register'!$E$6:$E$305,"&lt;="&amp;Setup!$C$13))</f>
        <v/>
      </c>
      <c r="N42" s="66" t="str">
        <f aca="false">IF(OR($B42="",NOT(Setup!$F$20="Yes")),"",L42-M42)</f>
        <v/>
      </c>
      <c r="O42" s="65" t="str">
        <f aca="false">IF(OR($B42="",NOT(Setup!$F$21="Yes")),"",MIN(N(Employees!I$41),Setup!$E$21)+ROUND(Setup!$C$21*IF(Setup!$D$21="Monthly",$E42,$D42)/12*2,0)/2)</f>
        <v/>
      </c>
      <c r="P42" s="65" t="str">
        <f aca="false">IF($B42="","",SUMIFS('Leave Register'!$H$6:$H$305,'Leave Register'!$B$6:$B$305,$B42,'Leave Register'!$D$6:$D$305,Setup!$A$21,'Leave Register'!$J$6:$J$305,"Approved",'Leave Register'!$E$6:$E$305,"&gt;="&amp;Setup!$C$12,'Leave Register'!$E$6:$E$305,"&lt;="&amp;Setup!$C$13))</f>
        <v/>
      </c>
      <c r="Q42" s="66" t="str">
        <f aca="false">IF(OR($B42="",NOT(Setup!$F$21="Yes")),"",O42-P42)</f>
        <v/>
      </c>
      <c r="R42" s="65" t="str">
        <f aca="false">IF(OR($B42="",NOT(Setup!$F$22="Yes")),"",MIN(N(Employees!J$41),Setup!$E$22)+ROUND(Setup!$C$22*IF(Setup!$D$22="Monthly",$E42,$D42)/12*2,0)/2)</f>
        <v/>
      </c>
      <c r="S42" s="65" t="str">
        <f aca="false">IF($B42="","",SUMIFS('Leave Register'!$H$6:$H$305,'Leave Register'!$B$6:$B$305,$B42,'Leave Register'!$D$6:$D$305,Setup!$A$22,'Leave Register'!$J$6:$J$305,"Approved",'Leave Register'!$E$6:$E$305,"&gt;="&amp;Setup!$C$12,'Leave Register'!$E$6:$E$305,"&lt;="&amp;Setup!$C$13))</f>
        <v/>
      </c>
      <c r="T42" s="66" t="str">
        <f aca="false">IF(OR($B42="",NOT(Setup!$F$22="Yes")),"",R42-S42)</f>
        <v/>
      </c>
      <c r="U42" s="65" t="str">
        <f aca="false">IF(OR($B42="",NOT(Setup!$F$23="Yes")),"",MIN(N(Employees!K$41),Setup!$E$23)+ROUND(Setup!$C$23*IF(Setup!$D$23="Monthly",$E42,$D42)/12*2,0)/2)</f>
        <v/>
      </c>
      <c r="V42" s="65" t="str">
        <f aca="false">IF($B42="","",SUMIFS('Leave Register'!$H$6:$H$305,'Leave Register'!$B$6:$B$305,$B42,'Leave Register'!$D$6:$D$305,Setup!$A$23,'Leave Register'!$J$6:$J$305,"Approved",'Leave Register'!$E$6:$E$305,"&gt;="&amp;Setup!$C$12,'Leave Register'!$E$6:$E$305,"&lt;="&amp;Setup!$C$13))</f>
        <v/>
      </c>
      <c r="W42" s="66" t="str">
        <f aca="false">IF(OR($B42="",NOT(Setup!$F$23="Yes")),"",U42-V42)</f>
        <v/>
      </c>
      <c r="X42" s="67" t="str">
        <f aca="false">IF(B42="","",SUMIFS('Leave Register'!$H$6:$H$305,'Leave Register'!$B$6:$B$305,$B42,'Leave Register'!$J$6:$J$305,"Pending"))</f>
        <v/>
      </c>
      <c r="Y42" s="68" t="str">
        <f aca="false">IF(B42="","",IF(Setup!$F$18="No",G42,0)+IF(Setup!$F$19="No",J42,0)+IF(Setup!$F$20="No",M42,0)+IF(Setup!$F$21="No",P42,0)+IF(Setup!$F$22="No",S42,0)+IF(Setup!$F$23="No",V42,0))</f>
        <v/>
      </c>
    </row>
    <row r="43" customFormat="false" ht="15" hidden="false" customHeight="false" outlineLevel="0" collapsed="false">
      <c r="A43" s="51" t="str">
        <f aca="false">IF(B43="","",ROW()-5)</f>
        <v/>
      </c>
      <c r="B43" s="63" t="str">
        <f aca="false">IF(Employees!$B$42="","",Employees!$B$42)</f>
        <v/>
      </c>
      <c r="C43" s="10" t="str">
        <f aca="false">IF(B43="","",Employees!$C$42)</f>
        <v/>
      </c>
      <c r="D43" s="64" t="str">
        <f aca="false">IF(B43="","",IF(N(Employees!$E$42)&gt;Setup!$C$13,0,MAX(0,MIN(12,(YEAR(Setup!$C$13)-YEAR(IF(AND(Setup!$C$8="Yes",N(Employees!$E$42)&gt;Setup!$C$12),DATE(YEAR(Employees!$E$42),MONTH(Employees!$E$42),1),Setup!$C$12)))*12+MONTH(Setup!$C$13)-MONTH(IF(AND(Setup!$C$8="Yes",N(Employees!$E$42)&gt;Setup!$C$12),DATE(YEAR(Employees!$E$42),MONTH(Employees!$E$42),1),Setup!$C$12))+1))))</f>
        <v/>
      </c>
      <c r="E43" s="64" t="str">
        <f aca="false">IF(B43="","",IF(OR(N(Employees!$E$42)&gt;Setup!$C$13,Setup!$C$9&lt;IF(AND(Setup!$C$8="Yes",N(Employees!$E$42)&gt;Setup!$C$12),DATE(YEAR(Employees!$E$42),MONTH(Employees!$E$42),1),Setup!$C$12)),0,MAX(0,MIN(12,(YEAR(MIN(Setup!$C$9,Setup!$C$13))-YEAR(IF(AND(Setup!$C$8="Yes",N(Employees!$E$42)&gt;Setup!$C$12),DATE(YEAR(Employees!$E$42),MONTH(Employees!$E$42),1),Setup!$C$12)))*12+MONTH(MIN(Setup!$C$9,Setup!$C$13))-MONTH(IF(AND(Setup!$C$8="Yes",N(Employees!$E$42)&gt;Setup!$C$12),DATE(YEAR(Employees!$E$42),MONTH(Employees!$E$42),1),Setup!$C$12))+1))))</f>
        <v/>
      </c>
      <c r="F43" s="65" t="str">
        <f aca="false">IF(OR($B43="",NOT(Setup!$F$18="Yes")),"",MIN(N(Employees!F$42),Setup!$E$18)+ROUND(Setup!$C$18*IF(Setup!$D$18="Monthly",$E43,$D43)/12*2,0)/2)</f>
        <v/>
      </c>
      <c r="G43" s="65" t="str">
        <f aca="false">IF($B43="","",SUMIFS('Leave Register'!$H$6:$H$305,'Leave Register'!$B$6:$B$305,$B43,'Leave Register'!$D$6:$D$305,Setup!$A$18,'Leave Register'!$J$6:$J$305,"Approved",'Leave Register'!$E$6:$E$305,"&gt;="&amp;Setup!$C$12,'Leave Register'!$E$6:$E$305,"&lt;="&amp;Setup!$C$13))</f>
        <v/>
      </c>
      <c r="H43" s="66" t="str">
        <f aca="false">IF(OR($B43="",NOT(Setup!$F$18="Yes")),"",F43-G43)</f>
        <v/>
      </c>
      <c r="I43" s="65" t="str">
        <f aca="false">IF(OR($B43="",NOT(Setup!$F$19="Yes")),"",MIN(N(Employees!G$42),Setup!$E$19)+ROUND(Setup!$C$19*IF(Setup!$D$19="Monthly",$E43,$D43)/12*2,0)/2)</f>
        <v/>
      </c>
      <c r="J43" s="65" t="str">
        <f aca="false">IF($B43="","",SUMIFS('Leave Register'!$H$6:$H$305,'Leave Register'!$B$6:$B$305,$B43,'Leave Register'!$D$6:$D$305,Setup!$A$19,'Leave Register'!$J$6:$J$305,"Approved",'Leave Register'!$E$6:$E$305,"&gt;="&amp;Setup!$C$12,'Leave Register'!$E$6:$E$305,"&lt;="&amp;Setup!$C$13))</f>
        <v/>
      </c>
      <c r="K43" s="66" t="str">
        <f aca="false">IF(OR($B43="",NOT(Setup!$F$19="Yes")),"",I43-J43)</f>
        <v/>
      </c>
      <c r="L43" s="65" t="str">
        <f aca="false">IF(OR($B43="",NOT(Setup!$F$20="Yes")),"",MIN(N(Employees!H$42),Setup!$E$20)+ROUND(Setup!$C$20*IF(Setup!$D$20="Monthly",$E43,$D43)/12*2,0)/2)</f>
        <v/>
      </c>
      <c r="M43" s="65" t="str">
        <f aca="false">IF($B43="","",SUMIFS('Leave Register'!$H$6:$H$305,'Leave Register'!$B$6:$B$305,$B43,'Leave Register'!$D$6:$D$305,Setup!$A$20,'Leave Register'!$J$6:$J$305,"Approved",'Leave Register'!$E$6:$E$305,"&gt;="&amp;Setup!$C$12,'Leave Register'!$E$6:$E$305,"&lt;="&amp;Setup!$C$13))</f>
        <v/>
      </c>
      <c r="N43" s="66" t="str">
        <f aca="false">IF(OR($B43="",NOT(Setup!$F$20="Yes")),"",L43-M43)</f>
        <v/>
      </c>
      <c r="O43" s="65" t="str">
        <f aca="false">IF(OR($B43="",NOT(Setup!$F$21="Yes")),"",MIN(N(Employees!I$42),Setup!$E$21)+ROUND(Setup!$C$21*IF(Setup!$D$21="Monthly",$E43,$D43)/12*2,0)/2)</f>
        <v/>
      </c>
      <c r="P43" s="65" t="str">
        <f aca="false">IF($B43="","",SUMIFS('Leave Register'!$H$6:$H$305,'Leave Register'!$B$6:$B$305,$B43,'Leave Register'!$D$6:$D$305,Setup!$A$21,'Leave Register'!$J$6:$J$305,"Approved",'Leave Register'!$E$6:$E$305,"&gt;="&amp;Setup!$C$12,'Leave Register'!$E$6:$E$305,"&lt;="&amp;Setup!$C$13))</f>
        <v/>
      </c>
      <c r="Q43" s="66" t="str">
        <f aca="false">IF(OR($B43="",NOT(Setup!$F$21="Yes")),"",O43-P43)</f>
        <v/>
      </c>
      <c r="R43" s="65" t="str">
        <f aca="false">IF(OR($B43="",NOT(Setup!$F$22="Yes")),"",MIN(N(Employees!J$42),Setup!$E$22)+ROUND(Setup!$C$22*IF(Setup!$D$22="Monthly",$E43,$D43)/12*2,0)/2)</f>
        <v/>
      </c>
      <c r="S43" s="65" t="str">
        <f aca="false">IF($B43="","",SUMIFS('Leave Register'!$H$6:$H$305,'Leave Register'!$B$6:$B$305,$B43,'Leave Register'!$D$6:$D$305,Setup!$A$22,'Leave Register'!$J$6:$J$305,"Approved",'Leave Register'!$E$6:$E$305,"&gt;="&amp;Setup!$C$12,'Leave Register'!$E$6:$E$305,"&lt;="&amp;Setup!$C$13))</f>
        <v/>
      </c>
      <c r="T43" s="66" t="str">
        <f aca="false">IF(OR($B43="",NOT(Setup!$F$22="Yes")),"",R43-S43)</f>
        <v/>
      </c>
      <c r="U43" s="65" t="str">
        <f aca="false">IF(OR($B43="",NOT(Setup!$F$23="Yes")),"",MIN(N(Employees!K$42),Setup!$E$23)+ROUND(Setup!$C$23*IF(Setup!$D$23="Monthly",$E43,$D43)/12*2,0)/2)</f>
        <v/>
      </c>
      <c r="V43" s="65" t="str">
        <f aca="false">IF($B43="","",SUMIFS('Leave Register'!$H$6:$H$305,'Leave Register'!$B$6:$B$305,$B43,'Leave Register'!$D$6:$D$305,Setup!$A$23,'Leave Register'!$J$6:$J$305,"Approved",'Leave Register'!$E$6:$E$305,"&gt;="&amp;Setup!$C$12,'Leave Register'!$E$6:$E$305,"&lt;="&amp;Setup!$C$13))</f>
        <v/>
      </c>
      <c r="W43" s="66" t="str">
        <f aca="false">IF(OR($B43="",NOT(Setup!$F$23="Yes")),"",U43-V43)</f>
        <v/>
      </c>
      <c r="X43" s="67" t="str">
        <f aca="false">IF(B43="","",SUMIFS('Leave Register'!$H$6:$H$305,'Leave Register'!$B$6:$B$305,$B43,'Leave Register'!$J$6:$J$305,"Pending"))</f>
        <v/>
      </c>
      <c r="Y43" s="68" t="str">
        <f aca="false">IF(B43="","",IF(Setup!$F$18="No",G43,0)+IF(Setup!$F$19="No",J43,0)+IF(Setup!$F$20="No",M43,0)+IF(Setup!$F$21="No",P43,0)+IF(Setup!$F$22="No",S43,0)+IF(Setup!$F$23="No",V43,0))</f>
        <v/>
      </c>
    </row>
    <row r="44" customFormat="false" ht="15" hidden="false" customHeight="false" outlineLevel="0" collapsed="false">
      <c r="A44" s="51" t="str">
        <f aca="false">IF(B44="","",ROW()-5)</f>
        <v/>
      </c>
      <c r="B44" s="63" t="str">
        <f aca="false">IF(Employees!$B$43="","",Employees!$B$43)</f>
        <v/>
      </c>
      <c r="C44" s="10" t="str">
        <f aca="false">IF(B44="","",Employees!$C$43)</f>
        <v/>
      </c>
      <c r="D44" s="64" t="str">
        <f aca="false">IF(B44="","",IF(N(Employees!$E$43)&gt;Setup!$C$13,0,MAX(0,MIN(12,(YEAR(Setup!$C$13)-YEAR(IF(AND(Setup!$C$8="Yes",N(Employees!$E$43)&gt;Setup!$C$12),DATE(YEAR(Employees!$E$43),MONTH(Employees!$E$43),1),Setup!$C$12)))*12+MONTH(Setup!$C$13)-MONTH(IF(AND(Setup!$C$8="Yes",N(Employees!$E$43)&gt;Setup!$C$12),DATE(YEAR(Employees!$E$43),MONTH(Employees!$E$43),1),Setup!$C$12))+1))))</f>
        <v/>
      </c>
      <c r="E44" s="64" t="str">
        <f aca="false">IF(B44="","",IF(OR(N(Employees!$E$43)&gt;Setup!$C$13,Setup!$C$9&lt;IF(AND(Setup!$C$8="Yes",N(Employees!$E$43)&gt;Setup!$C$12),DATE(YEAR(Employees!$E$43),MONTH(Employees!$E$43),1),Setup!$C$12)),0,MAX(0,MIN(12,(YEAR(MIN(Setup!$C$9,Setup!$C$13))-YEAR(IF(AND(Setup!$C$8="Yes",N(Employees!$E$43)&gt;Setup!$C$12),DATE(YEAR(Employees!$E$43),MONTH(Employees!$E$43),1),Setup!$C$12)))*12+MONTH(MIN(Setup!$C$9,Setup!$C$13))-MONTH(IF(AND(Setup!$C$8="Yes",N(Employees!$E$43)&gt;Setup!$C$12),DATE(YEAR(Employees!$E$43),MONTH(Employees!$E$43),1),Setup!$C$12))+1))))</f>
        <v/>
      </c>
      <c r="F44" s="65" t="str">
        <f aca="false">IF(OR($B44="",NOT(Setup!$F$18="Yes")),"",MIN(N(Employees!F$43),Setup!$E$18)+ROUND(Setup!$C$18*IF(Setup!$D$18="Monthly",$E44,$D44)/12*2,0)/2)</f>
        <v/>
      </c>
      <c r="G44" s="65" t="str">
        <f aca="false">IF($B44="","",SUMIFS('Leave Register'!$H$6:$H$305,'Leave Register'!$B$6:$B$305,$B44,'Leave Register'!$D$6:$D$305,Setup!$A$18,'Leave Register'!$J$6:$J$305,"Approved",'Leave Register'!$E$6:$E$305,"&gt;="&amp;Setup!$C$12,'Leave Register'!$E$6:$E$305,"&lt;="&amp;Setup!$C$13))</f>
        <v/>
      </c>
      <c r="H44" s="66" t="str">
        <f aca="false">IF(OR($B44="",NOT(Setup!$F$18="Yes")),"",F44-G44)</f>
        <v/>
      </c>
      <c r="I44" s="65" t="str">
        <f aca="false">IF(OR($B44="",NOT(Setup!$F$19="Yes")),"",MIN(N(Employees!G$43),Setup!$E$19)+ROUND(Setup!$C$19*IF(Setup!$D$19="Monthly",$E44,$D44)/12*2,0)/2)</f>
        <v/>
      </c>
      <c r="J44" s="65" t="str">
        <f aca="false">IF($B44="","",SUMIFS('Leave Register'!$H$6:$H$305,'Leave Register'!$B$6:$B$305,$B44,'Leave Register'!$D$6:$D$305,Setup!$A$19,'Leave Register'!$J$6:$J$305,"Approved",'Leave Register'!$E$6:$E$305,"&gt;="&amp;Setup!$C$12,'Leave Register'!$E$6:$E$305,"&lt;="&amp;Setup!$C$13))</f>
        <v/>
      </c>
      <c r="K44" s="66" t="str">
        <f aca="false">IF(OR($B44="",NOT(Setup!$F$19="Yes")),"",I44-J44)</f>
        <v/>
      </c>
      <c r="L44" s="65" t="str">
        <f aca="false">IF(OR($B44="",NOT(Setup!$F$20="Yes")),"",MIN(N(Employees!H$43),Setup!$E$20)+ROUND(Setup!$C$20*IF(Setup!$D$20="Monthly",$E44,$D44)/12*2,0)/2)</f>
        <v/>
      </c>
      <c r="M44" s="65" t="str">
        <f aca="false">IF($B44="","",SUMIFS('Leave Register'!$H$6:$H$305,'Leave Register'!$B$6:$B$305,$B44,'Leave Register'!$D$6:$D$305,Setup!$A$20,'Leave Register'!$J$6:$J$305,"Approved",'Leave Register'!$E$6:$E$305,"&gt;="&amp;Setup!$C$12,'Leave Register'!$E$6:$E$305,"&lt;="&amp;Setup!$C$13))</f>
        <v/>
      </c>
      <c r="N44" s="66" t="str">
        <f aca="false">IF(OR($B44="",NOT(Setup!$F$20="Yes")),"",L44-M44)</f>
        <v/>
      </c>
      <c r="O44" s="65" t="str">
        <f aca="false">IF(OR($B44="",NOT(Setup!$F$21="Yes")),"",MIN(N(Employees!I$43),Setup!$E$21)+ROUND(Setup!$C$21*IF(Setup!$D$21="Monthly",$E44,$D44)/12*2,0)/2)</f>
        <v/>
      </c>
      <c r="P44" s="65" t="str">
        <f aca="false">IF($B44="","",SUMIFS('Leave Register'!$H$6:$H$305,'Leave Register'!$B$6:$B$305,$B44,'Leave Register'!$D$6:$D$305,Setup!$A$21,'Leave Register'!$J$6:$J$305,"Approved",'Leave Register'!$E$6:$E$305,"&gt;="&amp;Setup!$C$12,'Leave Register'!$E$6:$E$305,"&lt;="&amp;Setup!$C$13))</f>
        <v/>
      </c>
      <c r="Q44" s="66" t="str">
        <f aca="false">IF(OR($B44="",NOT(Setup!$F$21="Yes")),"",O44-P44)</f>
        <v/>
      </c>
      <c r="R44" s="65" t="str">
        <f aca="false">IF(OR($B44="",NOT(Setup!$F$22="Yes")),"",MIN(N(Employees!J$43),Setup!$E$22)+ROUND(Setup!$C$22*IF(Setup!$D$22="Monthly",$E44,$D44)/12*2,0)/2)</f>
        <v/>
      </c>
      <c r="S44" s="65" t="str">
        <f aca="false">IF($B44="","",SUMIFS('Leave Register'!$H$6:$H$305,'Leave Register'!$B$6:$B$305,$B44,'Leave Register'!$D$6:$D$305,Setup!$A$22,'Leave Register'!$J$6:$J$305,"Approved",'Leave Register'!$E$6:$E$305,"&gt;="&amp;Setup!$C$12,'Leave Register'!$E$6:$E$305,"&lt;="&amp;Setup!$C$13))</f>
        <v/>
      </c>
      <c r="T44" s="66" t="str">
        <f aca="false">IF(OR($B44="",NOT(Setup!$F$22="Yes")),"",R44-S44)</f>
        <v/>
      </c>
      <c r="U44" s="65" t="str">
        <f aca="false">IF(OR($B44="",NOT(Setup!$F$23="Yes")),"",MIN(N(Employees!K$43),Setup!$E$23)+ROUND(Setup!$C$23*IF(Setup!$D$23="Monthly",$E44,$D44)/12*2,0)/2)</f>
        <v/>
      </c>
      <c r="V44" s="65" t="str">
        <f aca="false">IF($B44="","",SUMIFS('Leave Register'!$H$6:$H$305,'Leave Register'!$B$6:$B$305,$B44,'Leave Register'!$D$6:$D$305,Setup!$A$23,'Leave Register'!$J$6:$J$305,"Approved",'Leave Register'!$E$6:$E$305,"&gt;="&amp;Setup!$C$12,'Leave Register'!$E$6:$E$305,"&lt;="&amp;Setup!$C$13))</f>
        <v/>
      </c>
      <c r="W44" s="66" t="str">
        <f aca="false">IF(OR($B44="",NOT(Setup!$F$23="Yes")),"",U44-V44)</f>
        <v/>
      </c>
      <c r="X44" s="67" t="str">
        <f aca="false">IF(B44="","",SUMIFS('Leave Register'!$H$6:$H$305,'Leave Register'!$B$6:$B$305,$B44,'Leave Register'!$J$6:$J$305,"Pending"))</f>
        <v/>
      </c>
      <c r="Y44" s="68" t="str">
        <f aca="false">IF(B44="","",IF(Setup!$F$18="No",G44,0)+IF(Setup!$F$19="No",J44,0)+IF(Setup!$F$20="No",M44,0)+IF(Setup!$F$21="No",P44,0)+IF(Setup!$F$22="No",S44,0)+IF(Setup!$F$23="No",V44,0))</f>
        <v/>
      </c>
    </row>
    <row r="45" customFormat="false" ht="15" hidden="false" customHeight="false" outlineLevel="0" collapsed="false">
      <c r="A45" s="51" t="str">
        <f aca="false">IF(B45="","",ROW()-5)</f>
        <v/>
      </c>
      <c r="B45" s="63" t="str">
        <f aca="false">IF(Employees!$B$44="","",Employees!$B$44)</f>
        <v/>
      </c>
      <c r="C45" s="10" t="str">
        <f aca="false">IF(B45="","",Employees!$C$44)</f>
        <v/>
      </c>
      <c r="D45" s="64" t="str">
        <f aca="false">IF(B45="","",IF(N(Employees!$E$44)&gt;Setup!$C$13,0,MAX(0,MIN(12,(YEAR(Setup!$C$13)-YEAR(IF(AND(Setup!$C$8="Yes",N(Employees!$E$44)&gt;Setup!$C$12),DATE(YEAR(Employees!$E$44),MONTH(Employees!$E$44),1),Setup!$C$12)))*12+MONTH(Setup!$C$13)-MONTH(IF(AND(Setup!$C$8="Yes",N(Employees!$E$44)&gt;Setup!$C$12),DATE(YEAR(Employees!$E$44),MONTH(Employees!$E$44),1),Setup!$C$12))+1))))</f>
        <v/>
      </c>
      <c r="E45" s="64" t="str">
        <f aca="false">IF(B45="","",IF(OR(N(Employees!$E$44)&gt;Setup!$C$13,Setup!$C$9&lt;IF(AND(Setup!$C$8="Yes",N(Employees!$E$44)&gt;Setup!$C$12),DATE(YEAR(Employees!$E$44),MONTH(Employees!$E$44),1),Setup!$C$12)),0,MAX(0,MIN(12,(YEAR(MIN(Setup!$C$9,Setup!$C$13))-YEAR(IF(AND(Setup!$C$8="Yes",N(Employees!$E$44)&gt;Setup!$C$12),DATE(YEAR(Employees!$E$44),MONTH(Employees!$E$44),1),Setup!$C$12)))*12+MONTH(MIN(Setup!$C$9,Setup!$C$13))-MONTH(IF(AND(Setup!$C$8="Yes",N(Employees!$E$44)&gt;Setup!$C$12),DATE(YEAR(Employees!$E$44),MONTH(Employees!$E$44),1),Setup!$C$12))+1))))</f>
        <v/>
      </c>
      <c r="F45" s="65" t="str">
        <f aca="false">IF(OR($B45="",NOT(Setup!$F$18="Yes")),"",MIN(N(Employees!F$44),Setup!$E$18)+ROUND(Setup!$C$18*IF(Setup!$D$18="Monthly",$E45,$D45)/12*2,0)/2)</f>
        <v/>
      </c>
      <c r="G45" s="65" t="str">
        <f aca="false">IF($B45="","",SUMIFS('Leave Register'!$H$6:$H$305,'Leave Register'!$B$6:$B$305,$B45,'Leave Register'!$D$6:$D$305,Setup!$A$18,'Leave Register'!$J$6:$J$305,"Approved",'Leave Register'!$E$6:$E$305,"&gt;="&amp;Setup!$C$12,'Leave Register'!$E$6:$E$305,"&lt;="&amp;Setup!$C$13))</f>
        <v/>
      </c>
      <c r="H45" s="66" t="str">
        <f aca="false">IF(OR($B45="",NOT(Setup!$F$18="Yes")),"",F45-G45)</f>
        <v/>
      </c>
      <c r="I45" s="65" t="str">
        <f aca="false">IF(OR($B45="",NOT(Setup!$F$19="Yes")),"",MIN(N(Employees!G$44),Setup!$E$19)+ROUND(Setup!$C$19*IF(Setup!$D$19="Monthly",$E45,$D45)/12*2,0)/2)</f>
        <v/>
      </c>
      <c r="J45" s="65" t="str">
        <f aca="false">IF($B45="","",SUMIFS('Leave Register'!$H$6:$H$305,'Leave Register'!$B$6:$B$305,$B45,'Leave Register'!$D$6:$D$305,Setup!$A$19,'Leave Register'!$J$6:$J$305,"Approved",'Leave Register'!$E$6:$E$305,"&gt;="&amp;Setup!$C$12,'Leave Register'!$E$6:$E$305,"&lt;="&amp;Setup!$C$13))</f>
        <v/>
      </c>
      <c r="K45" s="66" t="str">
        <f aca="false">IF(OR($B45="",NOT(Setup!$F$19="Yes")),"",I45-J45)</f>
        <v/>
      </c>
      <c r="L45" s="65" t="str">
        <f aca="false">IF(OR($B45="",NOT(Setup!$F$20="Yes")),"",MIN(N(Employees!H$44),Setup!$E$20)+ROUND(Setup!$C$20*IF(Setup!$D$20="Monthly",$E45,$D45)/12*2,0)/2)</f>
        <v/>
      </c>
      <c r="M45" s="65" t="str">
        <f aca="false">IF($B45="","",SUMIFS('Leave Register'!$H$6:$H$305,'Leave Register'!$B$6:$B$305,$B45,'Leave Register'!$D$6:$D$305,Setup!$A$20,'Leave Register'!$J$6:$J$305,"Approved",'Leave Register'!$E$6:$E$305,"&gt;="&amp;Setup!$C$12,'Leave Register'!$E$6:$E$305,"&lt;="&amp;Setup!$C$13))</f>
        <v/>
      </c>
      <c r="N45" s="66" t="str">
        <f aca="false">IF(OR($B45="",NOT(Setup!$F$20="Yes")),"",L45-M45)</f>
        <v/>
      </c>
      <c r="O45" s="65" t="str">
        <f aca="false">IF(OR($B45="",NOT(Setup!$F$21="Yes")),"",MIN(N(Employees!I$44),Setup!$E$21)+ROUND(Setup!$C$21*IF(Setup!$D$21="Monthly",$E45,$D45)/12*2,0)/2)</f>
        <v/>
      </c>
      <c r="P45" s="65" t="str">
        <f aca="false">IF($B45="","",SUMIFS('Leave Register'!$H$6:$H$305,'Leave Register'!$B$6:$B$305,$B45,'Leave Register'!$D$6:$D$305,Setup!$A$21,'Leave Register'!$J$6:$J$305,"Approved",'Leave Register'!$E$6:$E$305,"&gt;="&amp;Setup!$C$12,'Leave Register'!$E$6:$E$305,"&lt;="&amp;Setup!$C$13))</f>
        <v/>
      </c>
      <c r="Q45" s="66" t="str">
        <f aca="false">IF(OR($B45="",NOT(Setup!$F$21="Yes")),"",O45-P45)</f>
        <v/>
      </c>
      <c r="R45" s="65" t="str">
        <f aca="false">IF(OR($B45="",NOT(Setup!$F$22="Yes")),"",MIN(N(Employees!J$44),Setup!$E$22)+ROUND(Setup!$C$22*IF(Setup!$D$22="Monthly",$E45,$D45)/12*2,0)/2)</f>
        <v/>
      </c>
      <c r="S45" s="65" t="str">
        <f aca="false">IF($B45="","",SUMIFS('Leave Register'!$H$6:$H$305,'Leave Register'!$B$6:$B$305,$B45,'Leave Register'!$D$6:$D$305,Setup!$A$22,'Leave Register'!$J$6:$J$305,"Approved",'Leave Register'!$E$6:$E$305,"&gt;="&amp;Setup!$C$12,'Leave Register'!$E$6:$E$305,"&lt;="&amp;Setup!$C$13))</f>
        <v/>
      </c>
      <c r="T45" s="66" t="str">
        <f aca="false">IF(OR($B45="",NOT(Setup!$F$22="Yes")),"",R45-S45)</f>
        <v/>
      </c>
      <c r="U45" s="65" t="str">
        <f aca="false">IF(OR($B45="",NOT(Setup!$F$23="Yes")),"",MIN(N(Employees!K$44),Setup!$E$23)+ROUND(Setup!$C$23*IF(Setup!$D$23="Monthly",$E45,$D45)/12*2,0)/2)</f>
        <v/>
      </c>
      <c r="V45" s="65" t="str">
        <f aca="false">IF($B45="","",SUMIFS('Leave Register'!$H$6:$H$305,'Leave Register'!$B$6:$B$305,$B45,'Leave Register'!$D$6:$D$305,Setup!$A$23,'Leave Register'!$J$6:$J$305,"Approved",'Leave Register'!$E$6:$E$305,"&gt;="&amp;Setup!$C$12,'Leave Register'!$E$6:$E$305,"&lt;="&amp;Setup!$C$13))</f>
        <v/>
      </c>
      <c r="W45" s="66" t="str">
        <f aca="false">IF(OR($B45="",NOT(Setup!$F$23="Yes")),"",U45-V45)</f>
        <v/>
      </c>
      <c r="X45" s="67" t="str">
        <f aca="false">IF(B45="","",SUMIFS('Leave Register'!$H$6:$H$305,'Leave Register'!$B$6:$B$305,$B45,'Leave Register'!$J$6:$J$305,"Pending"))</f>
        <v/>
      </c>
      <c r="Y45" s="68" t="str">
        <f aca="false">IF(B45="","",IF(Setup!$F$18="No",G45,0)+IF(Setup!$F$19="No",J45,0)+IF(Setup!$F$20="No",M45,0)+IF(Setup!$F$21="No",P45,0)+IF(Setup!$F$22="No",S45,0)+IF(Setup!$F$23="No",V45,0))</f>
        <v/>
      </c>
    </row>
    <row r="46" customFormat="false" ht="15" hidden="false" customHeight="false" outlineLevel="0" collapsed="false">
      <c r="A46" s="51" t="str">
        <f aca="false">IF(B46="","",ROW()-5)</f>
        <v/>
      </c>
      <c r="B46" s="63" t="str">
        <f aca="false">IF(Employees!$B$45="","",Employees!$B$45)</f>
        <v/>
      </c>
      <c r="C46" s="10" t="str">
        <f aca="false">IF(B46="","",Employees!$C$45)</f>
        <v/>
      </c>
      <c r="D46" s="64" t="str">
        <f aca="false">IF(B46="","",IF(N(Employees!$E$45)&gt;Setup!$C$13,0,MAX(0,MIN(12,(YEAR(Setup!$C$13)-YEAR(IF(AND(Setup!$C$8="Yes",N(Employees!$E$45)&gt;Setup!$C$12),DATE(YEAR(Employees!$E$45),MONTH(Employees!$E$45),1),Setup!$C$12)))*12+MONTH(Setup!$C$13)-MONTH(IF(AND(Setup!$C$8="Yes",N(Employees!$E$45)&gt;Setup!$C$12),DATE(YEAR(Employees!$E$45),MONTH(Employees!$E$45),1),Setup!$C$12))+1))))</f>
        <v/>
      </c>
      <c r="E46" s="64" t="str">
        <f aca="false">IF(B46="","",IF(OR(N(Employees!$E$45)&gt;Setup!$C$13,Setup!$C$9&lt;IF(AND(Setup!$C$8="Yes",N(Employees!$E$45)&gt;Setup!$C$12),DATE(YEAR(Employees!$E$45),MONTH(Employees!$E$45),1),Setup!$C$12)),0,MAX(0,MIN(12,(YEAR(MIN(Setup!$C$9,Setup!$C$13))-YEAR(IF(AND(Setup!$C$8="Yes",N(Employees!$E$45)&gt;Setup!$C$12),DATE(YEAR(Employees!$E$45),MONTH(Employees!$E$45),1),Setup!$C$12)))*12+MONTH(MIN(Setup!$C$9,Setup!$C$13))-MONTH(IF(AND(Setup!$C$8="Yes",N(Employees!$E$45)&gt;Setup!$C$12),DATE(YEAR(Employees!$E$45),MONTH(Employees!$E$45),1),Setup!$C$12))+1))))</f>
        <v/>
      </c>
      <c r="F46" s="65" t="str">
        <f aca="false">IF(OR($B46="",NOT(Setup!$F$18="Yes")),"",MIN(N(Employees!F$45),Setup!$E$18)+ROUND(Setup!$C$18*IF(Setup!$D$18="Monthly",$E46,$D46)/12*2,0)/2)</f>
        <v/>
      </c>
      <c r="G46" s="65" t="str">
        <f aca="false">IF($B46="","",SUMIFS('Leave Register'!$H$6:$H$305,'Leave Register'!$B$6:$B$305,$B46,'Leave Register'!$D$6:$D$305,Setup!$A$18,'Leave Register'!$J$6:$J$305,"Approved",'Leave Register'!$E$6:$E$305,"&gt;="&amp;Setup!$C$12,'Leave Register'!$E$6:$E$305,"&lt;="&amp;Setup!$C$13))</f>
        <v/>
      </c>
      <c r="H46" s="66" t="str">
        <f aca="false">IF(OR($B46="",NOT(Setup!$F$18="Yes")),"",F46-G46)</f>
        <v/>
      </c>
      <c r="I46" s="65" t="str">
        <f aca="false">IF(OR($B46="",NOT(Setup!$F$19="Yes")),"",MIN(N(Employees!G$45),Setup!$E$19)+ROUND(Setup!$C$19*IF(Setup!$D$19="Monthly",$E46,$D46)/12*2,0)/2)</f>
        <v/>
      </c>
      <c r="J46" s="65" t="str">
        <f aca="false">IF($B46="","",SUMIFS('Leave Register'!$H$6:$H$305,'Leave Register'!$B$6:$B$305,$B46,'Leave Register'!$D$6:$D$305,Setup!$A$19,'Leave Register'!$J$6:$J$305,"Approved",'Leave Register'!$E$6:$E$305,"&gt;="&amp;Setup!$C$12,'Leave Register'!$E$6:$E$305,"&lt;="&amp;Setup!$C$13))</f>
        <v/>
      </c>
      <c r="K46" s="66" t="str">
        <f aca="false">IF(OR($B46="",NOT(Setup!$F$19="Yes")),"",I46-J46)</f>
        <v/>
      </c>
      <c r="L46" s="65" t="str">
        <f aca="false">IF(OR($B46="",NOT(Setup!$F$20="Yes")),"",MIN(N(Employees!H$45),Setup!$E$20)+ROUND(Setup!$C$20*IF(Setup!$D$20="Monthly",$E46,$D46)/12*2,0)/2)</f>
        <v/>
      </c>
      <c r="M46" s="65" t="str">
        <f aca="false">IF($B46="","",SUMIFS('Leave Register'!$H$6:$H$305,'Leave Register'!$B$6:$B$305,$B46,'Leave Register'!$D$6:$D$305,Setup!$A$20,'Leave Register'!$J$6:$J$305,"Approved",'Leave Register'!$E$6:$E$305,"&gt;="&amp;Setup!$C$12,'Leave Register'!$E$6:$E$305,"&lt;="&amp;Setup!$C$13))</f>
        <v/>
      </c>
      <c r="N46" s="66" t="str">
        <f aca="false">IF(OR($B46="",NOT(Setup!$F$20="Yes")),"",L46-M46)</f>
        <v/>
      </c>
      <c r="O46" s="65" t="str">
        <f aca="false">IF(OR($B46="",NOT(Setup!$F$21="Yes")),"",MIN(N(Employees!I$45),Setup!$E$21)+ROUND(Setup!$C$21*IF(Setup!$D$21="Monthly",$E46,$D46)/12*2,0)/2)</f>
        <v/>
      </c>
      <c r="P46" s="65" t="str">
        <f aca="false">IF($B46="","",SUMIFS('Leave Register'!$H$6:$H$305,'Leave Register'!$B$6:$B$305,$B46,'Leave Register'!$D$6:$D$305,Setup!$A$21,'Leave Register'!$J$6:$J$305,"Approved",'Leave Register'!$E$6:$E$305,"&gt;="&amp;Setup!$C$12,'Leave Register'!$E$6:$E$305,"&lt;="&amp;Setup!$C$13))</f>
        <v/>
      </c>
      <c r="Q46" s="66" t="str">
        <f aca="false">IF(OR($B46="",NOT(Setup!$F$21="Yes")),"",O46-P46)</f>
        <v/>
      </c>
      <c r="R46" s="65" t="str">
        <f aca="false">IF(OR($B46="",NOT(Setup!$F$22="Yes")),"",MIN(N(Employees!J$45),Setup!$E$22)+ROUND(Setup!$C$22*IF(Setup!$D$22="Monthly",$E46,$D46)/12*2,0)/2)</f>
        <v/>
      </c>
      <c r="S46" s="65" t="str">
        <f aca="false">IF($B46="","",SUMIFS('Leave Register'!$H$6:$H$305,'Leave Register'!$B$6:$B$305,$B46,'Leave Register'!$D$6:$D$305,Setup!$A$22,'Leave Register'!$J$6:$J$305,"Approved",'Leave Register'!$E$6:$E$305,"&gt;="&amp;Setup!$C$12,'Leave Register'!$E$6:$E$305,"&lt;="&amp;Setup!$C$13))</f>
        <v/>
      </c>
      <c r="T46" s="66" t="str">
        <f aca="false">IF(OR($B46="",NOT(Setup!$F$22="Yes")),"",R46-S46)</f>
        <v/>
      </c>
      <c r="U46" s="65" t="str">
        <f aca="false">IF(OR($B46="",NOT(Setup!$F$23="Yes")),"",MIN(N(Employees!K$45),Setup!$E$23)+ROUND(Setup!$C$23*IF(Setup!$D$23="Monthly",$E46,$D46)/12*2,0)/2)</f>
        <v/>
      </c>
      <c r="V46" s="65" t="str">
        <f aca="false">IF($B46="","",SUMIFS('Leave Register'!$H$6:$H$305,'Leave Register'!$B$6:$B$305,$B46,'Leave Register'!$D$6:$D$305,Setup!$A$23,'Leave Register'!$J$6:$J$305,"Approved",'Leave Register'!$E$6:$E$305,"&gt;="&amp;Setup!$C$12,'Leave Register'!$E$6:$E$305,"&lt;="&amp;Setup!$C$13))</f>
        <v/>
      </c>
      <c r="W46" s="66" t="str">
        <f aca="false">IF(OR($B46="",NOT(Setup!$F$23="Yes")),"",U46-V46)</f>
        <v/>
      </c>
      <c r="X46" s="67" t="str">
        <f aca="false">IF(B46="","",SUMIFS('Leave Register'!$H$6:$H$305,'Leave Register'!$B$6:$B$305,$B46,'Leave Register'!$J$6:$J$305,"Pending"))</f>
        <v/>
      </c>
      <c r="Y46" s="68" t="str">
        <f aca="false">IF(B46="","",IF(Setup!$F$18="No",G46,0)+IF(Setup!$F$19="No",J46,0)+IF(Setup!$F$20="No",M46,0)+IF(Setup!$F$21="No",P46,0)+IF(Setup!$F$22="No",S46,0)+IF(Setup!$F$23="No",V46,0))</f>
        <v/>
      </c>
    </row>
    <row r="47" customFormat="false" ht="15" hidden="false" customHeight="false" outlineLevel="0" collapsed="false">
      <c r="A47" s="51" t="str">
        <f aca="false">IF(B47="","",ROW()-5)</f>
        <v/>
      </c>
      <c r="B47" s="63" t="str">
        <f aca="false">IF(Employees!$B$46="","",Employees!$B$46)</f>
        <v/>
      </c>
      <c r="C47" s="10" t="str">
        <f aca="false">IF(B47="","",Employees!$C$46)</f>
        <v/>
      </c>
      <c r="D47" s="64" t="str">
        <f aca="false">IF(B47="","",IF(N(Employees!$E$46)&gt;Setup!$C$13,0,MAX(0,MIN(12,(YEAR(Setup!$C$13)-YEAR(IF(AND(Setup!$C$8="Yes",N(Employees!$E$46)&gt;Setup!$C$12),DATE(YEAR(Employees!$E$46),MONTH(Employees!$E$46),1),Setup!$C$12)))*12+MONTH(Setup!$C$13)-MONTH(IF(AND(Setup!$C$8="Yes",N(Employees!$E$46)&gt;Setup!$C$12),DATE(YEAR(Employees!$E$46),MONTH(Employees!$E$46),1),Setup!$C$12))+1))))</f>
        <v/>
      </c>
      <c r="E47" s="64" t="str">
        <f aca="false">IF(B47="","",IF(OR(N(Employees!$E$46)&gt;Setup!$C$13,Setup!$C$9&lt;IF(AND(Setup!$C$8="Yes",N(Employees!$E$46)&gt;Setup!$C$12),DATE(YEAR(Employees!$E$46),MONTH(Employees!$E$46),1),Setup!$C$12)),0,MAX(0,MIN(12,(YEAR(MIN(Setup!$C$9,Setup!$C$13))-YEAR(IF(AND(Setup!$C$8="Yes",N(Employees!$E$46)&gt;Setup!$C$12),DATE(YEAR(Employees!$E$46),MONTH(Employees!$E$46),1),Setup!$C$12)))*12+MONTH(MIN(Setup!$C$9,Setup!$C$13))-MONTH(IF(AND(Setup!$C$8="Yes",N(Employees!$E$46)&gt;Setup!$C$12),DATE(YEAR(Employees!$E$46),MONTH(Employees!$E$46),1),Setup!$C$12))+1))))</f>
        <v/>
      </c>
      <c r="F47" s="65" t="str">
        <f aca="false">IF(OR($B47="",NOT(Setup!$F$18="Yes")),"",MIN(N(Employees!F$46),Setup!$E$18)+ROUND(Setup!$C$18*IF(Setup!$D$18="Monthly",$E47,$D47)/12*2,0)/2)</f>
        <v/>
      </c>
      <c r="G47" s="65" t="str">
        <f aca="false">IF($B47="","",SUMIFS('Leave Register'!$H$6:$H$305,'Leave Register'!$B$6:$B$305,$B47,'Leave Register'!$D$6:$D$305,Setup!$A$18,'Leave Register'!$J$6:$J$305,"Approved",'Leave Register'!$E$6:$E$305,"&gt;="&amp;Setup!$C$12,'Leave Register'!$E$6:$E$305,"&lt;="&amp;Setup!$C$13))</f>
        <v/>
      </c>
      <c r="H47" s="66" t="str">
        <f aca="false">IF(OR($B47="",NOT(Setup!$F$18="Yes")),"",F47-G47)</f>
        <v/>
      </c>
      <c r="I47" s="65" t="str">
        <f aca="false">IF(OR($B47="",NOT(Setup!$F$19="Yes")),"",MIN(N(Employees!G$46),Setup!$E$19)+ROUND(Setup!$C$19*IF(Setup!$D$19="Monthly",$E47,$D47)/12*2,0)/2)</f>
        <v/>
      </c>
      <c r="J47" s="65" t="str">
        <f aca="false">IF($B47="","",SUMIFS('Leave Register'!$H$6:$H$305,'Leave Register'!$B$6:$B$305,$B47,'Leave Register'!$D$6:$D$305,Setup!$A$19,'Leave Register'!$J$6:$J$305,"Approved",'Leave Register'!$E$6:$E$305,"&gt;="&amp;Setup!$C$12,'Leave Register'!$E$6:$E$305,"&lt;="&amp;Setup!$C$13))</f>
        <v/>
      </c>
      <c r="K47" s="66" t="str">
        <f aca="false">IF(OR($B47="",NOT(Setup!$F$19="Yes")),"",I47-J47)</f>
        <v/>
      </c>
      <c r="L47" s="65" t="str">
        <f aca="false">IF(OR($B47="",NOT(Setup!$F$20="Yes")),"",MIN(N(Employees!H$46),Setup!$E$20)+ROUND(Setup!$C$20*IF(Setup!$D$20="Monthly",$E47,$D47)/12*2,0)/2)</f>
        <v/>
      </c>
      <c r="M47" s="65" t="str">
        <f aca="false">IF($B47="","",SUMIFS('Leave Register'!$H$6:$H$305,'Leave Register'!$B$6:$B$305,$B47,'Leave Register'!$D$6:$D$305,Setup!$A$20,'Leave Register'!$J$6:$J$305,"Approved",'Leave Register'!$E$6:$E$305,"&gt;="&amp;Setup!$C$12,'Leave Register'!$E$6:$E$305,"&lt;="&amp;Setup!$C$13))</f>
        <v/>
      </c>
      <c r="N47" s="66" t="str">
        <f aca="false">IF(OR($B47="",NOT(Setup!$F$20="Yes")),"",L47-M47)</f>
        <v/>
      </c>
      <c r="O47" s="65" t="str">
        <f aca="false">IF(OR($B47="",NOT(Setup!$F$21="Yes")),"",MIN(N(Employees!I$46),Setup!$E$21)+ROUND(Setup!$C$21*IF(Setup!$D$21="Monthly",$E47,$D47)/12*2,0)/2)</f>
        <v/>
      </c>
      <c r="P47" s="65" t="str">
        <f aca="false">IF($B47="","",SUMIFS('Leave Register'!$H$6:$H$305,'Leave Register'!$B$6:$B$305,$B47,'Leave Register'!$D$6:$D$305,Setup!$A$21,'Leave Register'!$J$6:$J$305,"Approved",'Leave Register'!$E$6:$E$305,"&gt;="&amp;Setup!$C$12,'Leave Register'!$E$6:$E$305,"&lt;="&amp;Setup!$C$13))</f>
        <v/>
      </c>
      <c r="Q47" s="66" t="str">
        <f aca="false">IF(OR($B47="",NOT(Setup!$F$21="Yes")),"",O47-P47)</f>
        <v/>
      </c>
      <c r="R47" s="65" t="str">
        <f aca="false">IF(OR($B47="",NOT(Setup!$F$22="Yes")),"",MIN(N(Employees!J$46),Setup!$E$22)+ROUND(Setup!$C$22*IF(Setup!$D$22="Monthly",$E47,$D47)/12*2,0)/2)</f>
        <v/>
      </c>
      <c r="S47" s="65" t="str">
        <f aca="false">IF($B47="","",SUMIFS('Leave Register'!$H$6:$H$305,'Leave Register'!$B$6:$B$305,$B47,'Leave Register'!$D$6:$D$305,Setup!$A$22,'Leave Register'!$J$6:$J$305,"Approved",'Leave Register'!$E$6:$E$305,"&gt;="&amp;Setup!$C$12,'Leave Register'!$E$6:$E$305,"&lt;="&amp;Setup!$C$13))</f>
        <v/>
      </c>
      <c r="T47" s="66" t="str">
        <f aca="false">IF(OR($B47="",NOT(Setup!$F$22="Yes")),"",R47-S47)</f>
        <v/>
      </c>
      <c r="U47" s="65" t="str">
        <f aca="false">IF(OR($B47="",NOT(Setup!$F$23="Yes")),"",MIN(N(Employees!K$46),Setup!$E$23)+ROUND(Setup!$C$23*IF(Setup!$D$23="Monthly",$E47,$D47)/12*2,0)/2)</f>
        <v/>
      </c>
      <c r="V47" s="65" t="str">
        <f aca="false">IF($B47="","",SUMIFS('Leave Register'!$H$6:$H$305,'Leave Register'!$B$6:$B$305,$B47,'Leave Register'!$D$6:$D$305,Setup!$A$23,'Leave Register'!$J$6:$J$305,"Approved",'Leave Register'!$E$6:$E$305,"&gt;="&amp;Setup!$C$12,'Leave Register'!$E$6:$E$305,"&lt;="&amp;Setup!$C$13))</f>
        <v/>
      </c>
      <c r="W47" s="66" t="str">
        <f aca="false">IF(OR($B47="",NOT(Setup!$F$23="Yes")),"",U47-V47)</f>
        <v/>
      </c>
      <c r="X47" s="67" t="str">
        <f aca="false">IF(B47="","",SUMIFS('Leave Register'!$H$6:$H$305,'Leave Register'!$B$6:$B$305,$B47,'Leave Register'!$J$6:$J$305,"Pending"))</f>
        <v/>
      </c>
      <c r="Y47" s="68" t="str">
        <f aca="false">IF(B47="","",IF(Setup!$F$18="No",G47,0)+IF(Setup!$F$19="No",J47,0)+IF(Setup!$F$20="No",M47,0)+IF(Setup!$F$21="No",P47,0)+IF(Setup!$F$22="No",S47,0)+IF(Setup!$F$23="No",V47,0))</f>
        <v/>
      </c>
    </row>
    <row r="48" customFormat="false" ht="15" hidden="false" customHeight="false" outlineLevel="0" collapsed="false">
      <c r="A48" s="51" t="str">
        <f aca="false">IF(B48="","",ROW()-5)</f>
        <v/>
      </c>
      <c r="B48" s="63" t="str">
        <f aca="false">IF(Employees!$B$47="","",Employees!$B$47)</f>
        <v/>
      </c>
      <c r="C48" s="10" t="str">
        <f aca="false">IF(B48="","",Employees!$C$47)</f>
        <v/>
      </c>
      <c r="D48" s="64" t="str">
        <f aca="false">IF(B48="","",IF(N(Employees!$E$47)&gt;Setup!$C$13,0,MAX(0,MIN(12,(YEAR(Setup!$C$13)-YEAR(IF(AND(Setup!$C$8="Yes",N(Employees!$E$47)&gt;Setup!$C$12),DATE(YEAR(Employees!$E$47),MONTH(Employees!$E$47),1),Setup!$C$12)))*12+MONTH(Setup!$C$13)-MONTH(IF(AND(Setup!$C$8="Yes",N(Employees!$E$47)&gt;Setup!$C$12),DATE(YEAR(Employees!$E$47),MONTH(Employees!$E$47),1),Setup!$C$12))+1))))</f>
        <v/>
      </c>
      <c r="E48" s="64" t="str">
        <f aca="false">IF(B48="","",IF(OR(N(Employees!$E$47)&gt;Setup!$C$13,Setup!$C$9&lt;IF(AND(Setup!$C$8="Yes",N(Employees!$E$47)&gt;Setup!$C$12),DATE(YEAR(Employees!$E$47),MONTH(Employees!$E$47),1),Setup!$C$12)),0,MAX(0,MIN(12,(YEAR(MIN(Setup!$C$9,Setup!$C$13))-YEAR(IF(AND(Setup!$C$8="Yes",N(Employees!$E$47)&gt;Setup!$C$12),DATE(YEAR(Employees!$E$47),MONTH(Employees!$E$47),1),Setup!$C$12)))*12+MONTH(MIN(Setup!$C$9,Setup!$C$13))-MONTH(IF(AND(Setup!$C$8="Yes",N(Employees!$E$47)&gt;Setup!$C$12),DATE(YEAR(Employees!$E$47),MONTH(Employees!$E$47),1),Setup!$C$12))+1))))</f>
        <v/>
      </c>
      <c r="F48" s="65" t="str">
        <f aca="false">IF(OR($B48="",NOT(Setup!$F$18="Yes")),"",MIN(N(Employees!F$47),Setup!$E$18)+ROUND(Setup!$C$18*IF(Setup!$D$18="Monthly",$E48,$D48)/12*2,0)/2)</f>
        <v/>
      </c>
      <c r="G48" s="65" t="str">
        <f aca="false">IF($B48="","",SUMIFS('Leave Register'!$H$6:$H$305,'Leave Register'!$B$6:$B$305,$B48,'Leave Register'!$D$6:$D$305,Setup!$A$18,'Leave Register'!$J$6:$J$305,"Approved",'Leave Register'!$E$6:$E$305,"&gt;="&amp;Setup!$C$12,'Leave Register'!$E$6:$E$305,"&lt;="&amp;Setup!$C$13))</f>
        <v/>
      </c>
      <c r="H48" s="66" t="str">
        <f aca="false">IF(OR($B48="",NOT(Setup!$F$18="Yes")),"",F48-G48)</f>
        <v/>
      </c>
      <c r="I48" s="65" t="str">
        <f aca="false">IF(OR($B48="",NOT(Setup!$F$19="Yes")),"",MIN(N(Employees!G$47),Setup!$E$19)+ROUND(Setup!$C$19*IF(Setup!$D$19="Monthly",$E48,$D48)/12*2,0)/2)</f>
        <v/>
      </c>
      <c r="J48" s="65" t="str">
        <f aca="false">IF($B48="","",SUMIFS('Leave Register'!$H$6:$H$305,'Leave Register'!$B$6:$B$305,$B48,'Leave Register'!$D$6:$D$305,Setup!$A$19,'Leave Register'!$J$6:$J$305,"Approved",'Leave Register'!$E$6:$E$305,"&gt;="&amp;Setup!$C$12,'Leave Register'!$E$6:$E$305,"&lt;="&amp;Setup!$C$13))</f>
        <v/>
      </c>
      <c r="K48" s="66" t="str">
        <f aca="false">IF(OR($B48="",NOT(Setup!$F$19="Yes")),"",I48-J48)</f>
        <v/>
      </c>
      <c r="L48" s="65" t="str">
        <f aca="false">IF(OR($B48="",NOT(Setup!$F$20="Yes")),"",MIN(N(Employees!H$47),Setup!$E$20)+ROUND(Setup!$C$20*IF(Setup!$D$20="Monthly",$E48,$D48)/12*2,0)/2)</f>
        <v/>
      </c>
      <c r="M48" s="65" t="str">
        <f aca="false">IF($B48="","",SUMIFS('Leave Register'!$H$6:$H$305,'Leave Register'!$B$6:$B$305,$B48,'Leave Register'!$D$6:$D$305,Setup!$A$20,'Leave Register'!$J$6:$J$305,"Approved",'Leave Register'!$E$6:$E$305,"&gt;="&amp;Setup!$C$12,'Leave Register'!$E$6:$E$305,"&lt;="&amp;Setup!$C$13))</f>
        <v/>
      </c>
      <c r="N48" s="66" t="str">
        <f aca="false">IF(OR($B48="",NOT(Setup!$F$20="Yes")),"",L48-M48)</f>
        <v/>
      </c>
      <c r="O48" s="65" t="str">
        <f aca="false">IF(OR($B48="",NOT(Setup!$F$21="Yes")),"",MIN(N(Employees!I$47),Setup!$E$21)+ROUND(Setup!$C$21*IF(Setup!$D$21="Monthly",$E48,$D48)/12*2,0)/2)</f>
        <v/>
      </c>
      <c r="P48" s="65" t="str">
        <f aca="false">IF($B48="","",SUMIFS('Leave Register'!$H$6:$H$305,'Leave Register'!$B$6:$B$305,$B48,'Leave Register'!$D$6:$D$305,Setup!$A$21,'Leave Register'!$J$6:$J$305,"Approved",'Leave Register'!$E$6:$E$305,"&gt;="&amp;Setup!$C$12,'Leave Register'!$E$6:$E$305,"&lt;="&amp;Setup!$C$13))</f>
        <v/>
      </c>
      <c r="Q48" s="66" t="str">
        <f aca="false">IF(OR($B48="",NOT(Setup!$F$21="Yes")),"",O48-P48)</f>
        <v/>
      </c>
      <c r="R48" s="65" t="str">
        <f aca="false">IF(OR($B48="",NOT(Setup!$F$22="Yes")),"",MIN(N(Employees!J$47),Setup!$E$22)+ROUND(Setup!$C$22*IF(Setup!$D$22="Monthly",$E48,$D48)/12*2,0)/2)</f>
        <v/>
      </c>
      <c r="S48" s="65" t="str">
        <f aca="false">IF($B48="","",SUMIFS('Leave Register'!$H$6:$H$305,'Leave Register'!$B$6:$B$305,$B48,'Leave Register'!$D$6:$D$305,Setup!$A$22,'Leave Register'!$J$6:$J$305,"Approved",'Leave Register'!$E$6:$E$305,"&gt;="&amp;Setup!$C$12,'Leave Register'!$E$6:$E$305,"&lt;="&amp;Setup!$C$13))</f>
        <v/>
      </c>
      <c r="T48" s="66" t="str">
        <f aca="false">IF(OR($B48="",NOT(Setup!$F$22="Yes")),"",R48-S48)</f>
        <v/>
      </c>
      <c r="U48" s="65" t="str">
        <f aca="false">IF(OR($B48="",NOT(Setup!$F$23="Yes")),"",MIN(N(Employees!K$47),Setup!$E$23)+ROUND(Setup!$C$23*IF(Setup!$D$23="Monthly",$E48,$D48)/12*2,0)/2)</f>
        <v/>
      </c>
      <c r="V48" s="65" t="str">
        <f aca="false">IF($B48="","",SUMIFS('Leave Register'!$H$6:$H$305,'Leave Register'!$B$6:$B$305,$B48,'Leave Register'!$D$6:$D$305,Setup!$A$23,'Leave Register'!$J$6:$J$305,"Approved",'Leave Register'!$E$6:$E$305,"&gt;="&amp;Setup!$C$12,'Leave Register'!$E$6:$E$305,"&lt;="&amp;Setup!$C$13))</f>
        <v/>
      </c>
      <c r="W48" s="66" t="str">
        <f aca="false">IF(OR($B48="",NOT(Setup!$F$23="Yes")),"",U48-V48)</f>
        <v/>
      </c>
      <c r="X48" s="67" t="str">
        <f aca="false">IF(B48="","",SUMIFS('Leave Register'!$H$6:$H$305,'Leave Register'!$B$6:$B$305,$B48,'Leave Register'!$J$6:$J$305,"Pending"))</f>
        <v/>
      </c>
      <c r="Y48" s="68" t="str">
        <f aca="false">IF(B48="","",IF(Setup!$F$18="No",G48,0)+IF(Setup!$F$19="No",J48,0)+IF(Setup!$F$20="No",M48,0)+IF(Setup!$F$21="No",P48,0)+IF(Setup!$F$22="No",S48,0)+IF(Setup!$F$23="No",V48,0))</f>
        <v/>
      </c>
    </row>
    <row r="49" customFormat="false" ht="15" hidden="false" customHeight="false" outlineLevel="0" collapsed="false">
      <c r="A49" s="51" t="str">
        <f aca="false">IF(B49="","",ROW()-5)</f>
        <v/>
      </c>
      <c r="B49" s="63" t="str">
        <f aca="false">IF(Employees!$B$48="","",Employees!$B$48)</f>
        <v/>
      </c>
      <c r="C49" s="10" t="str">
        <f aca="false">IF(B49="","",Employees!$C$48)</f>
        <v/>
      </c>
      <c r="D49" s="64" t="str">
        <f aca="false">IF(B49="","",IF(N(Employees!$E$48)&gt;Setup!$C$13,0,MAX(0,MIN(12,(YEAR(Setup!$C$13)-YEAR(IF(AND(Setup!$C$8="Yes",N(Employees!$E$48)&gt;Setup!$C$12),DATE(YEAR(Employees!$E$48),MONTH(Employees!$E$48),1),Setup!$C$12)))*12+MONTH(Setup!$C$13)-MONTH(IF(AND(Setup!$C$8="Yes",N(Employees!$E$48)&gt;Setup!$C$12),DATE(YEAR(Employees!$E$48),MONTH(Employees!$E$48),1),Setup!$C$12))+1))))</f>
        <v/>
      </c>
      <c r="E49" s="64" t="str">
        <f aca="false">IF(B49="","",IF(OR(N(Employees!$E$48)&gt;Setup!$C$13,Setup!$C$9&lt;IF(AND(Setup!$C$8="Yes",N(Employees!$E$48)&gt;Setup!$C$12),DATE(YEAR(Employees!$E$48),MONTH(Employees!$E$48),1),Setup!$C$12)),0,MAX(0,MIN(12,(YEAR(MIN(Setup!$C$9,Setup!$C$13))-YEAR(IF(AND(Setup!$C$8="Yes",N(Employees!$E$48)&gt;Setup!$C$12),DATE(YEAR(Employees!$E$48),MONTH(Employees!$E$48),1),Setup!$C$12)))*12+MONTH(MIN(Setup!$C$9,Setup!$C$13))-MONTH(IF(AND(Setup!$C$8="Yes",N(Employees!$E$48)&gt;Setup!$C$12),DATE(YEAR(Employees!$E$48),MONTH(Employees!$E$48),1),Setup!$C$12))+1))))</f>
        <v/>
      </c>
      <c r="F49" s="65" t="str">
        <f aca="false">IF(OR($B49="",NOT(Setup!$F$18="Yes")),"",MIN(N(Employees!F$48),Setup!$E$18)+ROUND(Setup!$C$18*IF(Setup!$D$18="Monthly",$E49,$D49)/12*2,0)/2)</f>
        <v/>
      </c>
      <c r="G49" s="65" t="str">
        <f aca="false">IF($B49="","",SUMIFS('Leave Register'!$H$6:$H$305,'Leave Register'!$B$6:$B$305,$B49,'Leave Register'!$D$6:$D$305,Setup!$A$18,'Leave Register'!$J$6:$J$305,"Approved",'Leave Register'!$E$6:$E$305,"&gt;="&amp;Setup!$C$12,'Leave Register'!$E$6:$E$305,"&lt;="&amp;Setup!$C$13))</f>
        <v/>
      </c>
      <c r="H49" s="66" t="str">
        <f aca="false">IF(OR($B49="",NOT(Setup!$F$18="Yes")),"",F49-G49)</f>
        <v/>
      </c>
      <c r="I49" s="65" t="str">
        <f aca="false">IF(OR($B49="",NOT(Setup!$F$19="Yes")),"",MIN(N(Employees!G$48),Setup!$E$19)+ROUND(Setup!$C$19*IF(Setup!$D$19="Monthly",$E49,$D49)/12*2,0)/2)</f>
        <v/>
      </c>
      <c r="J49" s="65" t="str">
        <f aca="false">IF($B49="","",SUMIFS('Leave Register'!$H$6:$H$305,'Leave Register'!$B$6:$B$305,$B49,'Leave Register'!$D$6:$D$305,Setup!$A$19,'Leave Register'!$J$6:$J$305,"Approved",'Leave Register'!$E$6:$E$305,"&gt;="&amp;Setup!$C$12,'Leave Register'!$E$6:$E$305,"&lt;="&amp;Setup!$C$13))</f>
        <v/>
      </c>
      <c r="K49" s="66" t="str">
        <f aca="false">IF(OR($B49="",NOT(Setup!$F$19="Yes")),"",I49-J49)</f>
        <v/>
      </c>
      <c r="L49" s="65" t="str">
        <f aca="false">IF(OR($B49="",NOT(Setup!$F$20="Yes")),"",MIN(N(Employees!H$48),Setup!$E$20)+ROUND(Setup!$C$20*IF(Setup!$D$20="Monthly",$E49,$D49)/12*2,0)/2)</f>
        <v/>
      </c>
      <c r="M49" s="65" t="str">
        <f aca="false">IF($B49="","",SUMIFS('Leave Register'!$H$6:$H$305,'Leave Register'!$B$6:$B$305,$B49,'Leave Register'!$D$6:$D$305,Setup!$A$20,'Leave Register'!$J$6:$J$305,"Approved",'Leave Register'!$E$6:$E$305,"&gt;="&amp;Setup!$C$12,'Leave Register'!$E$6:$E$305,"&lt;="&amp;Setup!$C$13))</f>
        <v/>
      </c>
      <c r="N49" s="66" t="str">
        <f aca="false">IF(OR($B49="",NOT(Setup!$F$20="Yes")),"",L49-M49)</f>
        <v/>
      </c>
      <c r="O49" s="65" t="str">
        <f aca="false">IF(OR($B49="",NOT(Setup!$F$21="Yes")),"",MIN(N(Employees!I$48),Setup!$E$21)+ROUND(Setup!$C$21*IF(Setup!$D$21="Monthly",$E49,$D49)/12*2,0)/2)</f>
        <v/>
      </c>
      <c r="P49" s="65" t="str">
        <f aca="false">IF($B49="","",SUMIFS('Leave Register'!$H$6:$H$305,'Leave Register'!$B$6:$B$305,$B49,'Leave Register'!$D$6:$D$305,Setup!$A$21,'Leave Register'!$J$6:$J$305,"Approved",'Leave Register'!$E$6:$E$305,"&gt;="&amp;Setup!$C$12,'Leave Register'!$E$6:$E$305,"&lt;="&amp;Setup!$C$13))</f>
        <v/>
      </c>
      <c r="Q49" s="66" t="str">
        <f aca="false">IF(OR($B49="",NOT(Setup!$F$21="Yes")),"",O49-P49)</f>
        <v/>
      </c>
      <c r="R49" s="65" t="str">
        <f aca="false">IF(OR($B49="",NOT(Setup!$F$22="Yes")),"",MIN(N(Employees!J$48),Setup!$E$22)+ROUND(Setup!$C$22*IF(Setup!$D$22="Monthly",$E49,$D49)/12*2,0)/2)</f>
        <v/>
      </c>
      <c r="S49" s="65" t="str">
        <f aca="false">IF($B49="","",SUMIFS('Leave Register'!$H$6:$H$305,'Leave Register'!$B$6:$B$305,$B49,'Leave Register'!$D$6:$D$305,Setup!$A$22,'Leave Register'!$J$6:$J$305,"Approved",'Leave Register'!$E$6:$E$305,"&gt;="&amp;Setup!$C$12,'Leave Register'!$E$6:$E$305,"&lt;="&amp;Setup!$C$13))</f>
        <v/>
      </c>
      <c r="T49" s="66" t="str">
        <f aca="false">IF(OR($B49="",NOT(Setup!$F$22="Yes")),"",R49-S49)</f>
        <v/>
      </c>
      <c r="U49" s="65" t="str">
        <f aca="false">IF(OR($B49="",NOT(Setup!$F$23="Yes")),"",MIN(N(Employees!K$48),Setup!$E$23)+ROUND(Setup!$C$23*IF(Setup!$D$23="Monthly",$E49,$D49)/12*2,0)/2)</f>
        <v/>
      </c>
      <c r="V49" s="65" t="str">
        <f aca="false">IF($B49="","",SUMIFS('Leave Register'!$H$6:$H$305,'Leave Register'!$B$6:$B$305,$B49,'Leave Register'!$D$6:$D$305,Setup!$A$23,'Leave Register'!$J$6:$J$305,"Approved",'Leave Register'!$E$6:$E$305,"&gt;="&amp;Setup!$C$12,'Leave Register'!$E$6:$E$305,"&lt;="&amp;Setup!$C$13))</f>
        <v/>
      </c>
      <c r="W49" s="66" t="str">
        <f aca="false">IF(OR($B49="",NOT(Setup!$F$23="Yes")),"",U49-V49)</f>
        <v/>
      </c>
      <c r="X49" s="67" t="str">
        <f aca="false">IF(B49="","",SUMIFS('Leave Register'!$H$6:$H$305,'Leave Register'!$B$6:$B$305,$B49,'Leave Register'!$J$6:$J$305,"Pending"))</f>
        <v/>
      </c>
      <c r="Y49" s="68" t="str">
        <f aca="false">IF(B49="","",IF(Setup!$F$18="No",G49,0)+IF(Setup!$F$19="No",J49,0)+IF(Setup!$F$20="No",M49,0)+IF(Setup!$F$21="No",P49,0)+IF(Setup!$F$22="No",S49,0)+IF(Setup!$F$23="No",V49,0))</f>
        <v/>
      </c>
    </row>
    <row r="50" customFormat="false" ht="15" hidden="false" customHeight="false" outlineLevel="0" collapsed="false">
      <c r="A50" s="51" t="str">
        <f aca="false">IF(B50="","",ROW()-5)</f>
        <v/>
      </c>
      <c r="B50" s="63" t="str">
        <f aca="false">IF(Employees!$B$49="","",Employees!$B$49)</f>
        <v/>
      </c>
      <c r="C50" s="10" t="str">
        <f aca="false">IF(B50="","",Employees!$C$49)</f>
        <v/>
      </c>
      <c r="D50" s="64" t="str">
        <f aca="false">IF(B50="","",IF(N(Employees!$E$49)&gt;Setup!$C$13,0,MAX(0,MIN(12,(YEAR(Setup!$C$13)-YEAR(IF(AND(Setup!$C$8="Yes",N(Employees!$E$49)&gt;Setup!$C$12),DATE(YEAR(Employees!$E$49),MONTH(Employees!$E$49),1),Setup!$C$12)))*12+MONTH(Setup!$C$13)-MONTH(IF(AND(Setup!$C$8="Yes",N(Employees!$E$49)&gt;Setup!$C$12),DATE(YEAR(Employees!$E$49),MONTH(Employees!$E$49),1),Setup!$C$12))+1))))</f>
        <v/>
      </c>
      <c r="E50" s="64" t="str">
        <f aca="false">IF(B50="","",IF(OR(N(Employees!$E$49)&gt;Setup!$C$13,Setup!$C$9&lt;IF(AND(Setup!$C$8="Yes",N(Employees!$E$49)&gt;Setup!$C$12),DATE(YEAR(Employees!$E$49),MONTH(Employees!$E$49),1),Setup!$C$12)),0,MAX(0,MIN(12,(YEAR(MIN(Setup!$C$9,Setup!$C$13))-YEAR(IF(AND(Setup!$C$8="Yes",N(Employees!$E$49)&gt;Setup!$C$12),DATE(YEAR(Employees!$E$49),MONTH(Employees!$E$49),1),Setup!$C$12)))*12+MONTH(MIN(Setup!$C$9,Setup!$C$13))-MONTH(IF(AND(Setup!$C$8="Yes",N(Employees!$E$49)&gt;Setup!$C$12),DATE(YEAR(Employees!$E$49),MONTH(Employees!$E$49),1),Setup!$C$12))+1))))</f>
        <v/>
      </c>
      <c r="F50" s="65" t="str">
        <f aca="false">IF(OR($B50="",NOT(Setup!$F$18="Yes")),"",MIN(N(Employees!F$49),Setup!$E$18)+ROUND(Setup!$C$18*IF(Setup!$D$18="Monthly",$E50,$D50)/12*2,0)/2)</f>
        <v/>
      </c>
      <c r="G50" s="65" t="str">
        <f aca="false">IF($B50="","",SUMIFS('Leave Register'!$H$6:$H$305,'Leave Register'!$B$6:$B$305,$B50,'Leave Register'!$D$6:$D$305,Setup!$A$18,'Leave Register'!$J$6:$J$305,"Approved",'Leave Register'!$E$6:$E$305,"&gt;="&amp;Setup!$C$12,'Leave Register'!$E$6:$E$305,"&lt;="&amp;Setup!$C$13))</f>
        <v/>
      </c>
      <c r="H50" s="66" t="str">
        <f aca="false">IF(OR($B50="",NOT(Setup!$F$18="Yes")),"",F50-G50)</f>
        <v/>
      </c>
      <c r="I50" s="65" t="str">
        <f aca="false">IF(OR($B50="",NOT(Setup!$F$19="Yes")),"",MIN(N(Employees!G$49),Setup!$E$19)+ROUND(Setup!$C$19*IF(Setup!$D$19="Monthly",$E50,$D50)/12*2,0)/2)</f>
        <v/>
      </c>
      <c r="J50" s="65" t="str">
        <f aca="false">IF($B50="","",SUMIFS('Leave Register'!$H$6:$H$305,'Leave Register'!$B$6:$B$305,$B50,'Leave Register'!$D$6:$D$305,Setup!$A$19,'Leave Register'!$J$6:$J$305,"Approved",'Leave Register'!$E$6:$E$305,"&gt;="&amp;Setup!$C$12,'Leave Register'!$E$6:$E$305,"&lt;="&amp;Setup!$C$13))</f>
        <v/>
      </c>
      <c r="K50" s="66" t="str">
        <f aca="false">IF(OR($B50="",NOT(Setup!$F$19="Yes")),"",I50-J50)</f>
        <v/>
      </c>
      <c r="L50" s="65" t="str">
        <f aca="false">IF(OR($B50="",NOT(Setup!$F$20="Yes")),"",MIN(N(Employees!H$49),Setup!$E$20)+ROUND(Setup!$C$20*IF(Setup!$D$20="Monthly",$E50,$D50)/12*2,0)/2)</f>
        <v/>
      </c>
      <c r="M50" s="65" t="str">
        <f aca="false">IF($B50="","",SUMIFS('Leave Register'!$H$6:$H$305,'Leave Register'!$B$6:$B$305,$B50,'Leave Register'!$D$6:$D$305,Setup!$A$20,'Leave Register'!$J$6:$J$305,"Approved",'Leave Register'!$E$6:$E$305,"&gt;="&amp;Setup!$C$12,'Leave Register'!$E$6:$E$305,"&lt;="&amp;Setup!$C$13))</f>
        <v/>
      </c>
      <c r="N50" s="66" t="str">
        <f aca="false">IF(OR($B50="",NOT(Setup!$F$20="Yes")),"",L50-M50)</f>
        <v/>
      </c>
      <c r="O50" s="65" t="str">
        <f aca="false">IF(OR($B50="",NOT(Setup!$F$21="Yes")),"",MIN(N(Employees!I$49),Setup!$E$21)+ROUND(Setup!$C$21*IF(Setup!$D$21="Monthly",$E50,$D50)/12*2,0)/2)</f>
        <v/>
      </c>
      <c r="P50" s="65" t="str">
        <f aca="false">IF($B50="","",SUMIFS('Leave Register'!$H$6:$H$305,'Leave Register'!$B$6:$B$305,$B50,'Leave Register'!$D$6:$D$305,Setup!$A$21,'Leave Register'!$J$6:$J$305,"Approved",'Leave Register'!$E$6:$E$305,"&gt;="&amp;Setup!$C$12,'Leave Register'!$E$6:$E$305,"&lt;="&amp;Setup!$C$13))</f>
        <v/>
      </c>
      <c r="Q50" s="66" t="str">
        <f aca="false">IF(OR($B50="",NOT(Setup!$F$21="Yes")),"",O50-P50)</f>
        <v/>
      </c>
      <c r="R50" s="65" t="str">
        <f aca="false">IF(OR($B50="",NOT(Setup!$F$22="Yes")),"",MIN(N(Employees!J$49),Setup!$E$22)+ROUND(Setup!$C$22*IF(Setup!$D$22="Monthly",$E50,$D50)/12*2,0)/2)</f>
        <v/>
      </c>
      <c r="S50" s="65" t="str">
        <f aca="false">IF($B50="","",SUMIFS('Leave Register'!$H$6:$H$305,'Leave Register'!$B$6:$B$305,$B50,'Leave Register'!$D$6:$D$305,Setup!$A$22,'Leave Register'!$J$6:$J$305,"Approved",'Leave Register'!$E$6:$E$305,"&gt;="&amp;Setup!$C$12,'Leave Register'!$E$6:$E$305,"&lt;="&amp;Setup!$C$13))</f>
        <v/>
      </c>
      <c r="T50" s="66" t="str">
        <f aca="false">IF(OR($B50="",NOT(Setup!$F$22="Yes")),"",R50-S50)</f>
        <v/>
      </c>
      <c r="U50" s="65" t="str">
        <f aca="false">IF(OR($B50="",NOT(Setup!$F$23="Yes")),"",MIN(N(Employees!K$49),Setup!$E$23)+ROUND(Setup!$C$23*IF(Setup!$D$23="Monthly",$E50,$D50)/12*2,0)/2)</f>
        <v/>
      </c>
      <c r="V50" s="65" t="str">
        <f aca="false">IF($B50="","",SUMIFS('Leave Register'!$H$6:$H$305,'Leave Register'!$B$6:$B$305,$B50,'Leave Register'!$D$6:$D$305,Setup!$A$23,'Leave Register'!$J$6:$J$305,"Approved",'Leave Register'!$E$6:$E$305,"&gt;="&amp;Setup!$C$12,'Leave Register'!$E$6:$E$305,"&lt;="&amp;Setup!$C$13))</f>
        <v/>
      </c>
      <c r="W50" s="66" t="str">
        <f aca="false">IF(OR($B50="",NOT(Setup!$F$23="Yes")),"",U50-V50)</f>
        <v/>
      </c>
      <c r="X50" s="67" t="str">
        <f aca="false">IF(B50="","",SUMIFS('Leave Register'!$H$6:$H$305,'Leave Register'!$B$6:$B$305,$B50,'Leave Register'!$J$6:$J$305,"Pending"))</f>
        <v/>
      </c>
      <c r="Y50" s="68" t="str">
        <f aca="false">IF(B50="","",IF(Setup!$F$18="No",G50,0)+IF(Setup!$F$19="No",J50,0)+IF(Setup!$F$20="No",M50,0)+IF(Setup!$F$21="No",P50,0)+IF(Setup!$F$22="No",S50,0)+IF(Setup!$F$23="No",V50,0))</f>
        <v/>
      </c>
    </row>
    <row r="51" customFormat="false" ht="15" hidden="false" customHeight="false" outlineLevel="0" collapsed="false">
      <c r="A51" s="51" t="str">
        <f aca="false">IF(B51="","",ROW()-5)</f>
        <v/>
      </c>
      <c r="B51" s="63" t="str">
        <f aca="false">IF(Employees!$B$50="","",Employees!$B$50)</f>
        <v/>
      </c>
      <c r="C51" s="10" t="str">
        <f aca="false">IF(B51="","",Employees!$C$50)</f>
        <v/>
      </c>
      <c r="D51" s="64" t="str">
        <f aca="false">IF(B51="","",IF(N(Employees!$E$50)&gt;Setup!$C$13,0,MAX(0,MIN(12,(YEAR(Setup!$C$13)-YEAR(IF(AND(Setup!$C$8="Yes",N(Employees!$E$50)&gt;Setup!$C$12),DATE(YEAR(Employees!$E$50),MONTH(Employees!$E$50),1),Setup!$C$12)))*12+MONTH(Setup!$C$13)-MONTH(IF(AND(Setup!$C$8="Yes",N(Employees!$E$50)&gt;Setup!$C$12),DATE(YEAR(Employees!$E$50),MONTH(Employees!$E$50),1),Setup!$C$12))+1))))</f>
        <v/>
      </c>
      <c r="E51" s="64" t="str">
        <f aca="false">IF(B51="","",IF(OR(N(Employees!$E$50)&gt;Setup!$C$13,Setup!$C$9&lt;IF(AND(Setup!$C$8="Yes",N(Employees!$E$50)&gt;Setup!$C$12),DATE(YEAR(Employees!$E$50),MONTH(Employees!$E$50),1),Setup!$C$12)),0,MAX(0,MIN(12,(YEAR(MIN(Setup!$C$9,Setup!$C$13))-YEAR(IF(AND(Setup!$C$8="Yes",N(Employees!$E$50)&gt;Setup!$C$12),DATE(YEAR(Employees!$E$50),MONTH(Employees!$E$50),1),Setup!$C$12)))*12+MONTH(MIN(Setup!$C$9,Setup!$C$13))-MONTH(IF(AND(Setup!$C$8="Yes",N(Employees!$E$50)&gt;Setup!$C$12),DATE(YEAR(Employees!$E$50),MONTH(Employees!$E$50),1),Setup!$C$12))+1))))</f>
        <v/>
      </c>
      <c r="F51" s="65" t="str">
        <f aca="false">IF(OR($B51="",NOT(Setup!$F$18="Yes")),"",MIN(N(Employees!F$50),Setup!$E$18)+ROUND(Setup!$C$18*IF(Setup!$D$18="Monthly",$E51,$D51)/12*2,0)/2)</f>
        <v/>
      </c>
      <c r="G51" s="65" t="str">
        <f aca="false">IF($B51="","",SUMIFS('Leave Register'!$H$6:$H$305,'Leave Register'!$B$6:$B$305,$B51,'Leave Register'!$D$6:$D$305,Setup!$A$18,'Leave Register'!$J$6:$J$305,"Approved",'Leave Register'!$E$6:$E$305,"&gt;="&amp;Setup!$C$12,'Leave Register'!$E$6:$E$305,"&lt;="&amp;Setup!$C$13))</f>
        <v/>
      </c>
      <c r="H51" s="66" t="str">
        <f aca="false">IF(OR($B51="",NOT(Setup!$F$18="Yes")),"",F51-G51)</f>
        <v/>
      </c>
      <c r="I51" s="65" t="str">
        <f aca="false">IF(OR($B51="",NOT(Setup!$F$19="Yes")),"",MIN(N(Employees!G$50),Setup!$E$19)+ROUND(Setup!$C$19*IF(Setup!$D$19="Monthly",$E51,$D51)/12*2,0)/2)</f>
        <v/>
      </c>
      <c r="J51" s="65" t="str">
        <f aca="false">IF($B51="","",SUMIFS('Leave Register'!$H$6:$H$305,'Leave Register'!$B$6:$B$305,$B51,'Leave Register'!$D$6:$D$305,Setup!$A$19,'Leave Register'!$J$6:$J$305,"Approved",'Leave Register'!$E$6:$E$305,"&gt;="&amp;Setup!$C$12,'Leave Register'!$E$6:$E$305,"&lt;="&amp;Setup!$C$13))</f>
        <v/>
      </c>
      <c r="K51" s="66" t="str">
        <f aca="false">IF(OR($B51="",NOT(Setup!$F$19="Yes")),"",I51-J51)</f>
        <v/>
      </c>
      <c r="L51" s="65" t="str">
        <f aca="false">IF(OR($B51="",NOT(Setup!$F$20="Yes")),"",MIN(N(Employees!H$50),Setup!$E$20)+ROUND(Setup!$C$20*IF(Setup!$D$20="Monthly",$E51,$D51)/12*2,0)/2)</f>
        <v/>
      </c>
      <c r="M51" s="65" t="str">
        <f aca="false">IF($B51="","",SUMIFS('Leave Register'!$H$6:$H$305,'Leave Register'!$B$6:$B$305,$B51,'Leave Register'!$D$6:$D$305,Setup!$A$20,'Leave Register'!$J$6:$J$305,"Approved",'Leave Register'!$E$6:$E$305,"&gt;="&amp;Setup!$C$12,'Leave Register'!$E$6:$E$305,"&lt;="&amp;Setup!$C$13))</f>
        <v/>
      </c>
      <c r="N51" s="66" t="str">
        <f aca="false">IF(OR($B51="",NOT(Setup!$F$20="Yes")),"",L51-M51)</f>
        <v/>
      </c>
      <c r="O51" s="65" t="str">
        <f aca="false">IF(OR($B51="",NOT(Setup!$F$21="Yes")),"",MIN(N(Employees!I$50),Setup!$E$21)+ROUND(Setup!$C$21*IF(Setup!$D$21="Monthly",$E51,$D51)/12*2,0)/2)</f>
        <v/>
      </c>
      <c r="P51" s="65" t="str">
        <f aca="false">IF($B51="","",SUMIFS('Leave Register'!$H$6:$H$305,'Leave Register'!$B$6:$B$305,$B51,'Leave Register'!$D$6:$D$305,Setup!$A$21,'Leave Register'!$J$6:$J$305,"Approved",'Leave Register'!$E$6:$E$305,"&gt;="&amp;Setup!$C$12,'Leave Register'!$E$6:$E$305,"&lt;="&amp;Setup!$C$13))</f>
        <v/>
      </c>
      <c r="Q51" s="66" t="str">
        <f aca="false">IF(OR($B51="",NOT(Setup!$F$21="Yes")),"",O51-P51)</f>
        <v/>
      </c>
      <c r="R51" s="65" t="str">
        <f aca="false">IF(OR($B51="",NOT(Setup!$F$22="Yes")),"",MIN(N(Employees!J$50),Setup!$E$22)+ROUND(Setup!$C$22*IF(Setup!$D$22="Monthly",$E51,$D51)/12*2,0)/2)</f>
        <v/>
      </c>
      <c r="S51" s="65" t="str">
        <f aca="false">IF($B51="","",SUMIFS('Leave Register'!$H$6:$H$305,'Leave Register'!$B$6:$B$305,$B51,'Leave Register'!$D$6:$D$305,Setup!$A$22,'Leave Register'!$J$6:$J$305,"Approved",'Leave Register'!$E$6:$E$305,"&gt;="&amp;Setup!$C$12,'Leave Register'!$E$6:$E$305,"&lt;="&amp;Setup!$C$13))</f>
        <v/>
      </c>
      <c r="T51" s="66" t="str">
        <f aca="false">IF(OR($B51="",NOT(Setup!$F$22="Yes")),"",R51-S51)</f>
        <v/>
      </c>
      <c r="U51" s="65" t="str">
        <f aca="false">IF(OR($B51="",NOT(Setup!$F$23="Yes")),"",MIN(N(Employees!K$50),Setup!$E$23)+ROUND(Setup!$C$23*IF(Setup!$D$23="Monthly",$E51,$D51)/12*2,0)/2)</f>
        <v/>
      </c>
      <c r="V51" s="65" t="str">
        <f aca="false">IF($B51="","",SUMIFS('Leave Register'!$H$6:$H$305,'Leave Register'!$B$6:$B$305,$B51,'Leave Register'!$D$6:$D$305,Setup!$A$23,'Leave Register'!$J$6:$J$305,"Approved",'Leave Register'!$E$6:$E$305,"&gt;="&amp;Setup!$C$12,'Leave Register'!$E$6:$E$305,"&lt;="&amp;Setup!$C$13))</f>
        <v/>
      </c>
      <c r="W51" s="66" t="str">
        <f aca="false">IF(OR($B51="",NOT(Setup!$F$23="Yes")),"",U51-V51)</f>
        <v/>
      </c>
      <c r="X51" s="67" t="str">
        <f aca="false">IF(B51="","",SUMIFS('Leave Register'!$H$6:$H$305,'Leave Register'!$B$6:$B$305,$B51,'Leave Register'!$J$6:$J$305,"Pending"))</f>
        <v/>
      </c>
      <c r="Y51" s="68" t="str">
        <f aca="false">IF(B51="","",IF(Setup!$F$18="No",G51,0)+IF(Setup!$F$19="No",J51,0)+IF(Setup!$F$20="No",M51,0)+IF(Setup!$F$21="No",P51,0)+IF(Setup!$F$22="No",S51,0)+IF(Setup!$F$23="No",V51,0))</f>
        <v/>
      </c>
    </row>
    <row r="52" customFormat="false" ht="15" hidden="false" customHeight="false" outlineLevel="0" collapsed="false">
      <c r="A52" s="51" t="str">
        <f aca="false">IF(B52="","",ROW()-5)</f>
        <v/>
      </c>
      <c r="B52" s="63" t="str">
        <f aca="false">IF(Employees!$B$51="","",Employees!$B$51)</f>
        <v/>
      </c>
      <c r="C52" s="10" t="str">
        <f aca="false">IF(B52="","",Employees!$C$51)</f>
        <v/>
      </c>
      <c r="D52" s="64" t="str">
        <f aca="false">IF(B52="","",IF(N(Employees!$E$51)&gt;Setup!$C$13,0,MAX(0,MIN(12,(YEAR(Setup!$C$13)-YEAR(IF(AND(Setup!$C$8="Yes",N(Employees!$E$51)&gt;Setup!$C$12),DATE(YEAR(Employees!$E$51),MONTH(Employees!$E$51),1),Setup!$C$12)))*12+MONTH(Setup!$C$13)-MONTH(IF(AND(Setup!$C$8="Yes",N(Employees!$E$51)&gt;Setup!$C$12),DATE(YEAR(Employees!$E$51),MONTH(Employees!$E$51),1),Setup!$C$12))+1))))</f>
        <v/>
      </c>
      <c r="E52" s="64" t="str">
        <f aca="false">IF(B52="","",IF(OR(N(Employees!$E$51)&gt;Setup!$C$13,Setup!$C$9&lt;IF(AND(Setup!$C$8="Yes",N(Employees!$E$51)&gt;Setup!$C$12),DATE(YEAR(Employees!$E$51),MONTH(Employees!$E$51),1),Setup!$C$12)),0,MAX(0,MIN(12,(YEAR(MIN(Setup!$C$9,Setup!$C$13))-YEAR(IF(AND(Setup!$C$8="Yes",N(Employees!$E$51)&gt;Setup!$C$12),DATE(YEAR(Employees!$E$51),MONTH(Employees!$E$51),1),Setup!$C$12)))*12+MONTH(MIN(Setup!$C$9,Setup!$C$13))-MONTH(IF(AND(Setup!$C$8="Yes",N(Employees!$E$51)&gt;Setup!$C$12),DATE(YEAR(Employees!$E$51),MONTH(Employees!$E$51),1),Setup!$C$12))+1))))</f>
        <v/>
      </c>
      <c r="F52" s="65" t="str">
        <f aca="false">IF(OR($B52="",NOT(Setup!$F$18="Yes")),"",MIN(N(Employees!F$51),Setup!$E$18)+ROUND(Setup!$C$18*IF(Setup!$D$18="Monthly",$E52,$D52)/12*2,0)/2)</f>
        <v/>
      </c>
      <c r="G52" s="65" t="str">
        <f aca="false">IF($B52="","",SUMIFS('Leave Register'!$H$6:$H$305,'Leave Register'!$B$6:$B$305,$B52,'Leave Register'!$D$6:$D$305,Setup!$A$18,'Leave Register'!$J$6:$J$305,"Approved",'Leave Register'!$E$6:$E$305,"&gt;="&amp;Setup!$C$12,'Leave Register'!$E$6:$E$305,"&lt;="&amp;Setup!$C$13))</f>
        <v/>
      </c>
      <c r="H52" s="66" t="str">
        <f aca="false">IF(OR($B52="",NOT(Setup!$F$18="Yes")),"",F52-G52)</f>
        <v/>
      </c>
      <c r="I52" s="65" t="str">
        <f aca="false">IF(OR($B52="",NOT(Setup!$F$19="Yes")),"",MIN(N(Employees!G$51),Setup!$E$19)+ROUND(Setup!$C$19*IF(Setup!$D$19="Monthly",$E52,$D52)/12*2,0)/2)</f>
        <v/>
      </c>
      <c r="J52" s="65" t="str">
        <f aca="false">IF($B52="","",SUMIFS('Leave Register'!$H$6:$H$305,'Leave Register'!$B$6:$B$305,$B52,'Leave Register'!$D$6:$D$305,Setup!$A$19,'Leave Register'!$J$6:$J$305,"Approved",'Leave Register'!$E$6:$E$305,"&gt;="&amp;Setup!$C$12,'Leave Register'!$E$6:$E$305,"&lt;="&amp;Setup!$C$13))</f>
        <v/>
      </c>
      <c r="K52" s="66" t="str">
        <f aca="false">IF(OR($B52="",NOT(Setup!$F$19="Yes")),"",I52-J52)</f>
        <v/>
      </c>
      <c r="L52" s="65" t="str">
        <f aca="false">IF(OR($B52="",NOT(Setup!$F$20="Yes")),"",MIN(N(Employees!H$51),Setup!$E$20)+ROUND(Setup!$C$20*IF(Setup!$D$20="Monthly",$E52,$D52)/12*2,0)/2)</f>
        <v/>
      </c>
      <c r="M52" s="65" t="str">
        <f aca="false">IF($B52="","",SUMIFS('Leave Register'!$H$6:$H$305,'Leave Register'!$B$6:$B$305,$B52,'Leave Register'!$D$6:$D$305,Setup!$A$20,'Leave Register'!$J$6:$J$305,"Approved",'Leave Register'!$E$6:$E$305,"&gt;="&amp;Setup!$C$12,'Leave Register'!$E$6:$E$305,"&lt;="&amp;Setup!$C$13))</f>
        <v/>
      </c>
      <c r="N52" s="66" t="str">
        <f aca="false">IF(OR($B52="",NOT(Setup!$F$20="Yes")),"",L52-M52)</f>
        <v/>
      </c>
      <c r="O52" s="65" t="str">
        <f aca="false">IF(OR($B52="",NOT(Setup!$F$21="Yes")),"",MIN(N(Employees!I$51),Setup!$E$21)+ROUND(Setup!$C$21*IF(Setup!$D$21="Monthly",$E52,$D52)/12*2,0)/2)</f>
        <v/>
      </c>
      <c r="P52" s="65" t="str">
        <f aca="false">IF($B52="","",SUMIFS('Leave Register'!$H$6:$H$305,'Leave Register'!$B$6:$B$305,$B52,'Leave Register'!$D$6:$D$305,Setup!$A$21,'Leave Register'!$J$6:$J$305,"Approved",'Leave Register'!$E$6:$E$305,"&gt;="&amp;Setup!$C$12,'Leave Register'!$E$6:$E$305,"&lt;="&amp;Setup!$C$13))</f>
        <v/>
      </c>
      <c r="Q52" s="66" t="str">
        <f aca="false">IF(OR($B52="",NOT(Setup!$F$21="Yes")),"",O52-P52)</f>
        <v/>
      </c>
      <c r="R52" s="65" t="str">
        <f aca="false">IF(OR($B52="",NOT(Setup!$F$22="Yes")),"",MIN(N(Employees!J$51),Setup!$E$22)+ROUND(Setup!$C$22*IF(Setup!$D$22="Monthly",$E52,$D52)/12*2,0)/2)</f>
        <v/>
      </c>
      <c r="S52" s="65" t="str">
        <f aca="false">IF($B52="","",SUMIFS('Leave Register'!$H$6:$H$305,'Leave Register'!$B$6:$B$305,$B52,'Leave Register'!$D$6:$D$305,Setup!$A$22,'Leave Register'!$J$6:$J$305,"Approved",'Leave Register'!$E$6:$E$305,"&gt;="&amp;Setup!$C$12,'Leave Register'!$E$6:$E$305,"&lt;="&amp;Setup!$C$13))</f>
        <v/>
      </c>
      <c r="T52" s="66" t="str">
        <f aca="false">IF(OR($B52="",NOT(Setup!$F$22="Yes")),"",R52-S52)</f>
        <v/>
      </c>
      <c r="U52" s="65" t="str">
        <f aca="false">IF(OR($B52="",NOT(Setup!$F$23="Yes")),"",MIN(N(Employees!K$51),Setup!$E$23)+ROUND(Setup!$C$23*IF(Setup!$D$23="Monthly",$E52,$D52)/12*2,0)/2)</f>
        <v/>
      </c>
      <c r="V52" s="65" t="str">
        <f aca="false">IF($B52="","",SUMIFS('Leave Register'!$H$6:$H$305,'Leave Register'!$B$6:$B$305,$B52,'Leave Register'!$D$6:$D$305,Setup!$A$23,'Leave Register'!$J$6:$J$305,"Approved",'Leave Register'!$E$6:$E$305,"&gt;="&amp;Setup!$C$12,'Leave Register'!$E$6:$E$305,"&lt;="&amp;Setup!$C$13))</f>
        <v/>
      </c>
      <c r="W52" s="66" t="str">
        <f aca="false">IF(OR($B52="",NOT(Setup!$F$23="Yes")),"",U52-V52)</f>
        <v/>
      </c>
      <c r="X52" s="67" t="str">
        <f aca="false">IF(B52="","",SUMIFS('Leave Register'!$H$6:$H$305,'Leave Register'!$B$6:$B$305,$B52,'Leave Register'!$J$6:$J$305,"Pending"))</f>
        <v/>
      </c>
      <c r="Y52" s="68" t="str">
        <f aca="false">IF(B52="","",IF(Setup!$F$18="No",G52,0)+IF(Setup!$F$19="No",J52,0)+IF(Setup!$F$20="No",M52,0)+IF(Setup!$F$21="No",P52,0)+IF(Setup!$F$22="No",S52,0)+IF(Setup!$F$23="No",V52,0))</f>
        <v/>
      </c>
    </row>
    <row r="53" customFormat="false" ht="15" hidden="false" customHeight="false" outlineLevel="0" collapsed="false">
      <c r="A53" s="51" t="str">
        <f aca="false">IF(B53="","",ROW()-5)</f>
        <v/>
      </c>
      <c r="B53" s="63" t="str">
        <f aca="false">IF(Employees!$B$52="","",Employees!$B$52)</f>
        <v/>
      </c>
      <c r="C53" s="10" t="str">
        <f aca="false">IF(B53="","",Employees!$C$52)</f>
        <v/>
      </c>
      <c r="D53" s="64" t="str">
        <f aca="false">IF(B53="","",IF(N(Employees!$E$52)&gt;Setup!$C$13,0,MAX(0,MIN(12,(YEAR(Setup!$C$13)-YEAR(IF(AND(Setup!$C$8="Yes",N(Employees!$E$52)&gt;Setup!$C$12),DATE(YEAR(Employees!$E$52),MONTH(Employees!$E$52),1),Setup!$C$12)))*12+MONTH(Setup!$C$13)-MONTH(IF(AND(Setup!$C$8="Yes",N(Employees!$E$52)&gt;Setup!$C$12),DATE(YEAR(Employees!$E$52),MONTH(Employees!$E$52),1),Setup!$C$12))+1))))</f>
        <v/>
      </c>
      <c r="E53" s="64" t="str">
        <f aca="false">IF(B53="","",IF(OR(N(Employees!$E$52)&gt;Setup!$C$13,Setup!$C$9&lt;IF(AND(Setup!$C$8="Yes",N(Employees!$E$52)&gt;Setup!$C$12),DATE(YEAR(Employees!$E$52),MONTH(Employees!$E$52),1),Setup!$C$12)),0,MAX(0,MIN(12,(YEAR(MIN(Setup!$C$9,Setup!$C$13))-YEAR(IF(AND(Setup!$C$8="Yes",N(Employees!$E$52)&gt;Setup!$C$12),DATE(YEAR(Employees!$E$52),MONTH(Employees!$E$52),1),Setup!$C$12)))*12+MONTH(MIN(Setup!$C$9,Setup!$C$13))-MONTH(IF(AND(Setup!$C$8="Yes",N(Employees!$E$52)&gt;Setup!$C$12),DATE(YEAR(Employees!$E$52),MONTH(Employees!$E$52),1),Setup!$C$12))+1))))</f>
        <v/>
      </c>
      <c r="F53" s="65" t="str">
        <f aca="false">IF(OR($B53="",NOT(Setup!$F$18="Yes")),"",MIN(N(Employees!F$52),Setup!$E$18)+ROUND(Setup!$C$18*IF(Setup!$D$18="Monthly",$E53,$D53)/12*2,0)/2)</f>
        <v/>
      </c>
      <c r="G53" s="65" t="str">
        <f aca="false">IF($B53="","",SUMIFS('Leave Register'!$H$6:$H$305,'Leave Register'!$B$6:$B$305,$B53,'Leave Register'!$D$6:$D$305,Setup!$A$18,'Leave Register'!$J$6:$J$305,"Approved",'Leave Register'!$E$6:$E$305,"&gt;="&amp;Setup!$C$12,'Leave Register'!$E$6:$E$305,"&lt;="&amp;Setup!$C$13))</f>
        <v/>
      </c>
      <c r="H53" s="66" t="str">
        <f aca="false">IF(OR($B53="",NOT(Setup!$F$18="Yes")),"",F53-G53)</f>
        <v/>
      </c>
      <c r="I53" s="65" t="str">
        <f aca="false">IF(OR($B53="",NOT(Setup!$F$19="Yes")),"",MIN(N(Employees!G$52),Setup!$E$19)+ROUND(Setup!$C$19*IF(Setup!$D$19="Monthly",$E53,$D53)/12*2,0)/2)</f>
        <v/>
      </c>
      <c r="J53" s="65" t="str">
        <f aca="false">IF($B53="","",SUMIFS('Leave Register'!$H$6:$H$305,'Leave Register'!$B$6:$B$305,$B53,'Leave Register'!$D$6:$D$305,Setup!$A$19,'Leave Register'!$J$6:$J$305,"Approved",'Leave Register'!$E$6:$E$305,"&gt;="&amp;Setup!$C$12,'Leave Register'!$E$6:$E$305,"&lt;="&amp;Setup!$C$13))</f>
        <v/>
      </c>
      <c r="K53" s="66" t="str">
        <f aca="false">IF(OR($B53="",NOT(Setup!$F$19="Yes")),"",I53-J53)</f>
        <v/>
      </c>
      <c r="L53" s="65" t="str">
        <f aca="false">IF(OR($B53="",NOT(Setup!$F$20="Yes")),"",MIN(N(Employees!H$52),Setup!$E$20)+ROUND(Setup!$C$20*IF(Setup!$D$20="Monthly",$E53,$D53)/12*2,0)/2)</f>
        <v/>
      </c>
      <c r="M53" s="65" t="str">
        <f aca="false">IF($B53="","",SUMIFS('Leave Register'!$H$6:$H$305,'Leave Register'!$B$6:$B$305,$B53,'Leave Register'!$D$6:$D$305,Setup!$A$20,'Leave Register'!$J$6:$J$305,"Approved",'Leave Register'!$E$6:$E$305,"&gt;="&amp;Setup!$C$12,'Leave Register'!$E$6:$E$305,"&lt;="&amp;Setup!$C$13))</f>
        <v/>
      </c>
      <c r="N53" s="66" t="str">
        <f aca="false">IF(OR($B53="",NOT(Setup!$F$20="Yes")),"",L53-M53)</f>
        <v/>
      </c>
      <c r="O53" s="65" t="str">
        <f aca="false">IF(OR($B53="",NOT(Setup!$F$21="Yes")),"",MIN(N(Employees!I$52),Setup!$E$21)+ROUND(Setup!$C$21*IF(Setup!$D$21="Monthly",$E53,$D53)/12*2,0)/2)</f>
        <v/>
      </c>
      <c r="P53" s="65" t="str">
        <f aca="false">IF($B53="","",SUMIFS('Leave Register'!$H$6:$H$305,'Leave Register'!$B$6:$B$305,$B53,'Leave Register'!$D$6:$D$305,Setup!$A$21,'Leave Register'!$J$6:$J$305,"Approved",'Leave Register'!$E$6:$E$305,"&gt;="&amp;Setup!$C$12,'Leave Register'!$E$6:$E$305,"&lt;="&amp;Setup!$C$13))</f>
        <v/>
      </c>
      <c r="Q53" s="66" t="str">
        <f aca="false">IF(OR($B53="",NOT(Setup!$F$21="Yes")),"",O53-P53)</f>
        <v/>
      </c>
      <c r="R53" s="65" t="str">
        <f aca="false">IF(OR($B53="",NOT(Setup!$F$22="Yes")),"",MIN(N(Employees!J$52),Setup!$E$22)+ROUND(Setup!$C$22*IF(Setup!$D$22="Monthly",$E53,$D53)/12*2,0)/2)</f>
        <v/>
      </c>
      <c r="S53" s="65" t="str">
        <f aca="false">IF($B53="","",SUMIFS('Leave Register'!$H$6:$H$305,'Leave Register'!$B$6:$B$305,$B53,'Leave Register'!$D$6:$D$305,Setup!$A$22,'Leave Register'!$J$6:$J$305,"Approved",'Leave Register'!$E$6:$E$305,"&gt;="&amp;Setup!$C$12,'Leave Register'!$E$6:$E$305,"&lt;="&amp;Setup!$C$13))</f>
        <v/>
      </c>
      <c r="T53" s="66" t="str">
        <f aca="false">IF(OR($B53="",NOT(Setup!$F$22="Yes")),"",R53-S53)</f>
        <v/>
      </c>
      <c r="U53" s="65" t="str">
        <f aca="false">IF(OR($B53="",NOT(Setup!$F$23="Yes")),"",MIN(N(Employees!K$52),Setup!$E$23)+ROUND(Setup!$C$23*IF(Setup!$D$23="Monthly",$E53,$D53)/12*2,0)/2)</f>
        <v/>
      </c>
      <c r="V53" s="65" t="str">
        <f aca="false">IF($B53="","",SUMIFS('Leave Register'!$H$6:$H$305,'Leave Register'!$B$6:$B$305,$B53,'Leave Register'!$D$6:$D$305,Setup!$A$23,'Leave Register'!$J$6:$J$305,"Approved",'Leave Register'!$E$6:$E$305,"&gt;="&amp;Setup!$C$12,'Leave Register'!$E$6:$E$305,"&lt;="&amp;Setup!$C$13))</f>
        <v/>
      </c>
      <c r="W53" s="66" t="str">
        <f aca="false">IF(OR($B53="",NOT(Setup!$F$23="Yes")),"",U53-V53)</f>
        <v/>
      </c>
      <c r="X53" s="67" t="str">
        <f aca="false">IF(B53="","",SUMIFS('Leave Register'!$H$6:$H$305,'Leave Register'!$B$6:$B$305,$B53,'Leave Register'!$J$6:$J$305,"Pending"))</f>
        <v/>
      </c>
      <c r="Y53" s="68" t="str">
        <f aca="false">IF(B53="","",IF(Setup!$F$18="No",G53,0)+IF(Setup!$F$19="No",J53,0)+IF(Setup!$F$20="No",M53,0)+IF(Setup!$F$21="No",P53,0)+IF(Setup!$F$22="No",S53,0)+IF(Setup!$F$23="No",V53,0))</f>
        <v/>
      </c>
    </row>
    <row r="54" customFormat="false" ht="15" hidden="false" customHeight="false" outlineLevel="0" collapsed="false">
      <c r="A54" s="51" t="str">
        <f aca="false">IF(B54="","",ROW()-5)</f>
        <v/>
      </c>
      <c r="B54" s="63" t="str">
        <f aca="false">IF(Employees!$B$53="","",Employees!$B$53)</f>
        <v/>
      </c>
      <c r="C54" s="10" t="str">
        <f aca="false">IF(B54="","",Employees!$C$53)</f>
        <v/>
      </c>
      <c r="D54" s="64" t="str">
        <f aca="false">IF(B54="","",IF(N(Employees!$E$53)&gt;Setup!$C$13,0,MAX(0,MIN(12,(YEAR(Setup!$C$13)-YEAR(IF(AND(Setup!$C$8="Yes",N(Employees!$E$53)&gt;Setup!$C$12),DATE(YEAR(Employees!$E$53),MONTH(Employees!$E$53),1),Setup!$C$12)))*12+MONTH(Setup!$C$13)-MONTH(IF(AND(Setup!$C$8="Yes",N(Employees!$E$53)&gt;Setup!$C$12),DATE(YEAR(Employees!$E$53),MONTH(Employees!$E$53),1),Setup!$C$12))+1))))</f>
        <v/>
      </c>
      <c r="E54" s="64" t="str">
        <f aca="false">IF(B54="","",IF(OR(N(Employees!$E$53)&gt;Setup!$C$13,Setup!$C$9&lt;IF(AND(Setup!$C$8="Yes",N(Employees!$E$53)&gt;Setup!$C$12),DATE(YEAR(Employees!$E$53),MONTH(Employees!$E$53),1),Setup!$C$12)),0,MAX(0,MIN(12,(YEAR(MIN(Setup!$C$9,Setup!$C$13))-YEAR(IF(AND(Setup!$C$8="Yes",N(Employees!$E$53)&gt;Setup!$C$12),DATE(YEAR(Employees!$E$53),MONTH(Employees!$E$53),1),Setup!$C$12)))*12+MONTH(MIN(Setup!$C$9,Setup!$C$13))-MONTH(IF(AND(Setup!$C$8="Yes",N(Employees!$E$53)&gt;Setup!$C$12),DATE(YEAR(Employees!$E$53),MONTH(Employees!$E$53),1),Setup!$C$12))+1))))</f>
        <v/>
      </c>
      <c r="F54" s="65" t="str">
        <f aca="false">IF(OR($B54="",NOT(Setup!$F$18="Yes")),"",MIN(N(Employees!F$53),Setup!$E$18)+ROUND(Setup!$C$18*IF(Setup!$D$18="Monthly",$E54,$D54)/12*2,0)/2)</f>
        <v/>
      </c>
      <c r="G54" s="65" t="str">
        <f aca="false">IF($B54="","",SUMIFS('Leave Register'!$H$6:$H$305,'Leave Register'!$B$6:$B$305,$B54,'Leave Register'!$D$6:$D$305,Setup!$A$18,'Leave Register'!$J$6:$J$305,"Approved",'Leave Register'!$E$6:$E$305,"&gt;="&amp;Setup!$C$12,'Leave Register'!$E$6:$E$305,"&lt;="&amp;Setup!$C$13))</f>
        <v/>
      </c>
      <c r="H54" s="66" t="str">
        <f aca="false">IF(OR($B54="",NOT(Setup!$F$18="Yes")),"",F54-G54)</f>
        <v/>
      </c>
      <c r="I54" s="65" t="str">
        <f aca="false">IF(OR($B54="",NOT(Setup!$F$19="Yes")),"",MIN(N(Employees!G$53),Setup!$E$19)+ROUND(Setup!$C$19*IF(Setup!$D$19="Monthly",$E54,$D54)/12*2,0)/2)</f>
        <v/>
      </c>
      <c r="J54" s="65" t="str">
        <f aca="false">IF($B54="","",SUMIFS('Leave Register'!$H$6:$H$305,'Leave Register'!$B$6:$B$305,$B54,'Leave Register'!$D$6:$D$305,Setup!$A$19,'Leave Register'!$J$6:$J$305,"Approved",'Leave Register'!$E$6:$E$305,"&gt;="&amp;Setup!$C$12,'Leave Register'!$E$6:$E$305,"&lt;="&amp;Setup!$C$13))</f>
        <v/>
      </c>
      <c r="K54" s="66" t="str">
        <f aca="false">IF(OR($B54="",NOT(Setup!$F$19="Yes")),"",I54-J54)</f>
        <v/>
      </c>
      <c r="L54" s="65" t="str">
        <f aca="false">IF(OR($B54="",NOT(Setup!$F$20="Yes")),"",MIN(N(Employees!H$53),Setup!$E$20)+ROUND(Setup!$C$20*IF(Setup!$D$20="Monthly",$E54,$D54)/12*2,0)/2)</f>
        <v/>
      </c>
      <c r="M54" s="65" t="str">
        <f aca="false">IF($B54="","",SUMIFS('Leave Register'!$H$6:$H$305,'Leave Register'!$B$6:$B$305,$B54,'Leave Register'!$D$6:$D$305,Setup!$A$20,'Leave Register'!$J$6:$J$305,"Approved",'Leave Register'!$E$6:$E$305,"&gt;="&amp;Setup!$C$12,'Leave Register'!$E$6:$E$305,"&lt;="&amp;Setup!$C$13))</f>
        <v/>
      </c>
      <c r="N54" s="66" t="str">
        <f aca="false">IF(OR($B54="",NOT(Setup!$F$20="Yes")),"",L54-M54)</f>
        <v/>
      </c>
      <c r="O54" s="65" t="str">
        <f aca="false">IF(OR($B54="",NOT(Setup!$F$21="Yes")),"",MIN(N(Employees!I$53),Setup!$E$21)+ROUND(Setup!$C$21*IF(Setup!$D$21="Monthly",$E54,$D54)/12*2,0)/2)</f>
        <v/>
      </c>
      <c r="P54" s="65" t="str">
        <f aca="false">IF($B54="","",SUMIFS('Leave Register'!$H$6:$H$305,'Leave Register'!$B$6:$B$305,$B54,'Leave Register'!$D$6:$D$305,Setup!$A$21,'Leave Register'!$J$6:$J$305,"Approved",'Leave Register'!$E$6:$E$305,"&gt;="&amp;Setup!$C$12,'Leave Register'!$E$6:$E$305,"&lt;="&amp;Setup!$C$13))</f>
        <v/>
      </c>
      <c r="Q54" s="66" t="str">
        <f aca="false">IF(OR($B54="",NOT(Setup!$F$21="Yes")),"",O54-P54)</f>
        <v/>
      </c>
      <c r="R54" s="65" t="str">
        <f aca="false">IF(OR($B54="",NOT(Setup!$F$22="Yes")),"",MIN(N(Employees!J$53),Setup!$E$22)+ROUND(Setup!$C$22*IF(Setup!$D$22="Monthly",$E54,$D54)/12*2,0)/2)</f>
        <v/>
      </c>
      <c r="S54" s="65" t="str">
        <f aca="false">IF($B54="","",SUMIFS('Leave Register'!$H$6:$H$305,'Leave Register'!$B$6:$B$305,$B54,'Leave Register'!$D$6:$D$305,Setup!$A$22,'Leave Register'!$J$6:$J$305,"Approved",'Leave Register'!$E$6:$E$305,"&gt;="&amp;Setup!$C$12,'Leave Register'!$E$6:$E$305,"&lt;="&amp;Setup!$C$13))</f>
        <v/>
      </c>
      <c r="T54" s="66" t="str">
        <f aca="false">IF(OR($B54="",NOT(Setup!$F$22="Yes")),"",R54-S54)</f>
        <v/>
      </c>
      <c r="U54" s="65" t="str">
        <f aca="false">IF(OR($B54="",NOT(Setup!$F$23="Yes")),"",MIN(N(Employees!K$53),Setup!$E$23)+ROUND(Setup!$C$23*IF(Setup!$D$23="Monthly",$E54,$D54)/12*2,0)/2)</f>
        <v/>
      </c>
      <c r="V54" s="65" t="str">
        <f aca="false">IF($B54="","",SUMIFS('Leave Register'!$H$6:$H$305,'Leave Register'!$B$6:$B$305,$B54,'Leave Register'!$D$6:$D$305,Setup!$A$23,'Leave Register'!$J$6:$J$305,"Approved",'Leave Register'!$E$6:$E$305,"&gt;="&amp;Setup!$C$12,'Leave Register'!$E$6:$E$305,"&lt;="&amp;Setup!$C$13))</f>
        <v/>
      </c>
      <c r="W54" s="66" t="str">
        <f aca="false">IF(OR($B54="",NOT(Setup!$F$23="Yes")),"",U54-V54)</f>
        <v/>
      </c>
      <c r="X54" s="67" t="str">
        <f aca="false">IF(B54="","",SUMIFS('Leave Register'!$H$6:$H$305,'Leave Register'!$B$6:$B$305,$B54,'Leave Register'!$J$6:$J$305,"Pending"))</f>
        <v/>
      </c>
      <c r="Y54" s="68" t="str">
        <f aca="false">IF(B54="","",IF(Setup!$F$18="No",G54,0)+IF(Setup!$F$19="No",J54,0)+IF(Setup!$F$20="No",M54,0)+IF(Setup!$F$21="No",P54,0)+IF(Setup!$F$22="No",S54,0)+IF(Setup!$F$23="No",V54,0))</f>
        <v/>
      </c>
    </row>
    <row r="55" customFormat="false" ht="15" hidden="false" customHeight="false" outlineLevel="0" collapsed="false">
      <c r="A55" s="51" t="str">
        <f aca="false">IF(B55="","",ROW()-5)</f>
        <v/>
      </c>
      <c r="B55" s="63" t="str">
        <f aca="false">IF(Employees!$B$54="","",Employees!$B$54)</f>
        <v/>
      </c>
      <c r="C55" s="10" t="str">
        <f aca="false">IF(B55="","",Employees!$C$54)</f>
        <v/>
      </c>
      <c r="D55" s="64" t="str">
        <f aca="false">IF(B55="","",IF(N(Employees!$E$54)&gt;Setup!$C$13,0,MAX(0,MIN(12,(YEAR(Setup!$C$13)-YEAR(IF(AND(Setup!$C$8="Yes",N(Employees!$E$54)&gt;Setup!$C$12),DATE(YEAR(Employees!$E$54),MONTH(Employees!$E$54),1),Setup!$C$12)))*12+MONTH(Setup!$C$13)-MONTH(IF(AND(Setup!$C$8="Yes",N(Employees!$E$54)&gt;Setup!$C$12),DATE(YEAR(Employees!$E$54),MONTH(Employees!$E$54),1),Setup!$C$12))+1))))</f>
        <v/>
      </c>
      <c r="E55" s="64" t="str">
        <f aca="false">IF(B55="","",IF(OR(N(Employees!$E$54)&gt;Setup!$C$13,Setup!$C$9&lt;IF(AND(Setup!$C$8="Yes",N(Employees!$E$54)&gt;Setup!$C$12),DATE(YEAR(Employees!$E$54),MONTH(Employees!$E$54),1),Setup!$C$12)),0,MAX(0,MIN(12,(YEAR(MIN(Setup!$C$9,Setup!$C$13))-YEAR(IF(AND(Setup!$C$8="Yes",N(Employees!$E$54)&gt;Setup!$C$12),DATE(YEAR(Employees!$E$54),MONTH(Employees!$E$54),1),Setup!$C$12)))*12+MONTH(MIN(Setup!$C$9,Setup!$C$13))-MONTH(IF(AND(Setup!$C$8="Yes",N(Employees!$E$54)&gt;Setup!$C$12),DATE(YEAR(Employees!$E$54),MONTH(Employees!$E$54),1),Setup!$C$12))+1))))</f>
        <v/>
      </c>
      <c r="F55" s="65" t="str">
        <f aca="false">IF(OR($B55="",NOT(Setup!$F$18="Yes")),"",MIN(N(Employees!F$54),Setup!$E$18)+ROUND(Setup!$C$18*IF(Setup!$D$18="Monthly",$E55,$D55)/12*2,0)/2)</f>
        <v/>
      </c>
      <c r="G55" s="65" t="str">
        <f aca="false">IF($B55="","",SUMIFS('Leave Register'!$H$6:$H$305,'Leave Register'!$B$6:$B$305,$B55,'Leave Register'!$D$6:$D$305,Setup!$A$18,'Leave Register'!$J$6:$J$305,"Approved",'Leave Register'!$E$6:$E$305,"&gt;="&amp;Setup!$C$12,'Leave Register'!$E$6:$E$305,"&lt;="&amp;Setup!$C$13))</f>
        <v/>
      </c>
      <c r="H55" s="66" t="str">
        <f aca="false">IF(OR($B55="",NOT(Setup!$F$18="Yes")),"",F55-G55)</f>
        <v/>
      </c>
      <c r="I55" s="65" t="str">
        <f aca="false">IF(OR($B55="",NOT(Setup!$F$19="Yes")),"",MIN(N(Employees!G$54),Setup!$E$19)+ROUND(Setup!$C$19*IF(Setup!$D$19="Monthly",$E55,$D55)/12*2,0)/2)</f>
        <v/>
      </c>
      <c r="J55" s="65" t="str">
        <f aca="false">IF($B55="","",SUMIFS('Leave Register'!$H$6:$H$305,'Leave Register'!$B$6:$B$305,$B55,'Leave Register'!$D$6:$D$305,Setup!$A$19,'Leave Register'!$J$6:$J$305,"Approved",'Leave Register'!$E$6:$E$305,"&gt;="&amp;Setup!$C$12,'Leave Register'!$E$6:$E$305,"&lt;="&amp;Setup!$C$13))</f>
        <v/>
      </c>
      <c r="K55" s="66" t="str">
        <f aca="false">IF(OR($B55="",NOT(Setup!$F$19="Yes")),"",I55-J55)</f>
        <v/>
      </c>
      <c r="L55" s="65" t="str">
        <f aca="false">IF(OR($B55="",NOT(Setup!$F$20="Yes")),"",MIN(N(Employees!H$54),Setup!$E$20)+ROUND(Setup!$C$20*IF(Setup!$D$20="Monthly",$E55,$D55)/12*2,0)/2)</f>
        <v/>
      </c>
      <c r="M55" s="65" t="str">
        <f aca="false">IF($B55="","",SUMIFS('Leave Register'!$H$6:$H$305,'Leave Register'!$B$6:$B$305,$B55,'Leave Register'!$D$6:$D$305,Setup!$A$20,'Leave Register'!$J$6:$J$305,"Approved",'Leave Register'!$E$6:$E$305,"&gt;="&amp;Setup!$C$12,'Leave Register'!$E$6:$E$305,"&lt;="&amp;Setup!$C$13))</f>
        <v/>
      </c>
      <c r="N55" s="66" t="str">
        <f aca="false">IF(OR($B55="",NOT(Setup!$F$20="Yes")),"",L55-M55)</f>
        <v/>
      </c>
      <c r="O55" s="65" t="str">
        <f aca="false">IF(OR($B55="",NOT(Setup!$F$21="Yes")),"",MIN(N(Employees!I$54),Setup!$E$21)+ROUND(Setup!$C$21*IF(Setup!$D$21="Monthly",$E55,$D55)/12*2,0)/2)</f>
        <v/>
      </c>
      <c r="P55" s="65" t="str">
        <f aca="false">IF($B55="","",SUMIFS('Leave Register'!$H$6:$H$305,'Leave Register'!$B$6:$B$305,$B55,'Leave Register'!$D$6:$D$305,Setup!$A$21,'Leave Register'!$J$6:$J$305,"Approved",'Leave Register'!$E$6:$E$305,"&gt;="&amp;Setup!$C$12,'Leave Register'!$E$6:$E$305,"&lt;="&amp;Setup!$C$13))</f>
        <v/>
      </c>
      <c r="Q55" s="66" t="str">
        <f aca="false">IF(OR($B55="",NOT(Setup!$F$21="Yes")),"",O55-P55)</f>
        <v/>
      </c>
      <c r="R55" s="65" t="str">
        <f aca="false">IF(OR($B55="",NOT(Setup!$F$22="Yes")),"",MIN(N(Employees!J$54),Setup!$E$22)+ROUND(Setup!$C$22*IF(Setup!$D$22="Monthly",$E55,$D55)/12*2,0)/2)</f>
        <v/>
      </c>
      <c r="S55" s="65" t="str">
        <f aca="false">IF($B55="","",SUMIFS('Leave Register'!$H$6:$H$305,'Leave Register'!$B$6:$B$305,$B55,'Leave Register'!$D$6:$D$305,Setup!$A$22,'Leave Register'!$J$6:$J$305,"Approved",'Leave Register'!$E$6:$E$305,"&gt;="&amp;Setup!$C$12,'Leave Register'!$E$6:$E$305,"&lt;="&amp;Setup!$C$13))</f>
        <v/>
      </c>
      <c r="T55" s="66" t="str">
        <f aca="false">IF(OR($B55="",NOT(Setup!$F$22="Yes")),"",R55-S55)</f>
        <v/>
      </c>
      <c r="U55" s="65" t="str">
        <f aca="false">IF(OR($B55="",NOT(Setup!$F$23="Yes")),"",MIN(N(Employees!K$54),Setup!$E$23)+ROUND(Setup!$C$23*IF(Setup!$D$23="Monthly",$E55,$D55)/12*2,0)/2)</f>
        <v/>
      </c>
      <c r="V55" s="65" t="str">
        <f aca="false">IF($B55="","",SUMIFS('Leave Register'!$H$6:$H$305,'Leave Register'!$B$6:$B$305,$B55,'Leave Register'!$D$6:$D$305,Setup!$A$23,'Leave Register'!$J$6:$J$305,"Approved",'Leave Register'!$E$6:$E$305,"&gt;="&amp;Setup!$C$12,'Leave Register'!$E$6:$E$305,"&lt;="&amp;Setup!$C$13))</f>
        <v/>
      </c>
      <c r="W55" s="66" t="str">
        <f aca="false">IF(OR($B55="",NOT(Setup!$F$23="Yes")),"",U55-V55)</f>
        <v/>
      </c>
      <c r="X55" s="67" t="str">
        <f aca="false">IF(B55="","",SUMIFS('Leave Register'!$H$6:$H$305,'Leave Register'!$B$6:$B$305,$B55,'Leave Register'!$J$6:$J$305,"Pending"))</f>
        <v/>
      </c>
      <c r="Y55" s="68" t="str">
        <f aca="false">IF(B55="","",IF(Setup!$F$18="No",G55,0)+IF(Setup!$F$19="No",J55,0)+IF(Setup!$F$20="No",M55,0)+IF(Setup!$F$21="No",P55,0)+IF(Setup!$F$22="No",S55,0)+IF(Setup!$F$23="No",V55,0))</f>
        <v/>
      </c>
    </row>
    <row r="56" customFormat="false" ht="15" hidden="false" customHeight="false" outlineLevel="0" collapsed="false">
      <c r="C56" s="33" t="s">
        <v>161</v>
      </c>
      <c r="G56" s="69" t="n">
        <f aca="false">SUM(G6:G55)</f>
        <v>4.5</v>
      </c>
      <c r="J56" s="69" t="n">
        <f aca="false">SUM(J6:J55)</f>
        <v>5</v>
      </c>
      <c r="M56" s="69" t="n">
        <f aca="false">SUM(M6:M55)</f>
        <v>16</v>
      </c>
      <c r="P56" s="69" t="n">
        <f aca="false">SUM(P6:P55)</f>
        <v>1</v>
      </c>
      <c r="S56" s="69" t="n">
        <f aca="false">SUM(S6:S55)</f>
        <v>5</v>
      </c>
      <c r="V56" s="69" t="n">
        <f aca="false">SUM(V6:V55)</f>
        <v>0</v>
      </c>
      <c r="X56" s="69" t="n">
        <f aca="false">SUM(X6:X55)</f>
        <v>3</v>
      </c>
      <c r="Y56" s="69" t="n">
        <f aca="false">SUM(Y6:Y55)</f>
        <v>5</v>
      </c>
    </row>
  </sheetData>
  <sheetProtection sheet="1" objects="1" scenarios="1" formatColumns="0" formatRows="0" algorithmName="SHA-512" hashValue="z0VpD8jy4N8q39yw6xcucyyXaym4yFmvkKvjvmgvVobVLtStDnwKmLR3nad2CUA0MvnXrqyHnb1QUv+4uML2eg==" saltValue="QMcESXsw7zNvcm+VjDNeCg==" spinCount="100000"/>
  <mergeCells count="8">
    <mergeCell ref="A2:Y2"/>
    <mergeCell ref="A3:Y3"/>
    <mergeCell ref="F4:H4"/>
    <mergeCell ref="I4:K4"/>
    <mergeCell ref="L4:N4"/>
    <mergeCell ref="O4:Q4"/>
    <mergeCell ref="R4:T4"/>
    <mergeCell ref="U4:W4"/>
  </mergeCells>
  <conditionalFormatting sqref="F6:W55">
    <cfRule type="expression" priority="2" aboveAverage="0" equalAverage="0" bottom="0" percent="0" rank="0" text="" dxfId="18">
      <formula>AND(ISNUMBER(F6),F6&lt;0)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AK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3" min="3" style="0" width="4.4"/>
    <col collapsed="false" customWidth="true" hidden="false" outlineLevel="0" max="34" min="34" style="0" width="9"/>
    <col collapsed="false" customWidth="true" hidden="false" outlineLevel="0" max="36" min="36" style="0" width="7"/>
    <col collapsed="false" customWidth="true" hidden="false" outlineLevel="0" max="37" min="37" style="0" width="22"/>
  </cols>
  <sheetData>
    <row r="1" customFormat="false" ht="15" hidden="false" customHeight="false" outlineLevel="0" collapsed="false">
      <c r="A1" s="14" t="s">
        <v>21</v>
      </c>
    </row>
    <row r="2" customFormat="false" ht="27.75" hidden="false" customHeight="true" outlineLevel="0" collapsed="false">
      <c r="A2" s="47" t="s">
        <v>162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</row>
    <row r="3" customFormat="false" ht="15" hidden="false" customHeight="false" outlineLevel="0" collapsed="false">
      <c r="A3" s="70" t="s">
        <v>163</v>
      </c>
      <c r="B3" s="70"/>
      <c r="C3" s="124" t="n">
        <v>46296</v>
      </c>
      <c r="D3" s="124"/>
      <c r="E3" s="124"/>
      <c r="F3" s="124"/>
      <c r="G3" s="124"/>
      <c r="I3" s="48" t="s">
        <v>164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</row>
    <row r="5" customFormat="false" ht="15" hidden="false" customHeight="true" outlineLevel="0" collapsed="false">
      <c r="A5" s="33" t="s">
        <v>107</v>
      </c>
      <c r="B5" s="33" t="s">
        <v>165</v>
      </c>
      <c r="C5" s="72" t="n">
        <f aca="false">IF(1&gt;DAY(EOMONTH($C$3,0)),"",DATE(YEAR($C$3),MONTH($C$3),1))</f>
        <v>46296</v>
      </c>
      <c r="D5" s="72" t="n">
        <f aca="false">IF(2&gt;DAY(EOMONTH($C$3,0)),"",DATE(YEAR($C$3),MONTH($C$3),2))</f>
        <v>46297</v>
      </c>
      <c r="E5" s="72" t="n">
        <f aca="false">IF(3&gt;DAY(EOMONTH($C$3,0)),"",DATE(YEAR($C$3),MONTH($C$3),3))</f>
        <v>46298</v>
      </c>
      <c r="F5" s="72" t="n">
        <f aca="false">IF(4&gt;DAY(EOMONTH($C$3,0)),"",DATE(YEAR($C$3),MONTH($C$3),4))</f>
        <v>46299</v>
      </c>
      <c r="G5" s="72" t="n">
        <f aca="false">IF(5&gt;DAY(EOMONTH($C$3,0)),"",DATE(YEAR($C$3),MONTH($C$3),5))</f>
        <v>46300</v>
      </c>
      <c r="H5" s="72" t="n">
        <f aca="false">IF(6&gt;DAY(EOMONTH($C$3,0)),"",DATE(YEAR($C$3),MONTH($C$3),6))</f>
        <v>46301</v>
      </c>
      <c r="I5" s="72" t="n">
        <f aca="false">IF(7&gt;DAY(EOMONTH($C$3,0)),"",DATE(YEAR($C$3),MONTH($C$3),7))</f>
        <v>46302</v>
      </c>
      <c r="J5" s="72" t="n">
        <f aca="false">IF(8&gt;DAY(EOMONTH($C$3,0)),"",DATE(YEAR($C$3),MONTH($C$3),8))</f>
        <v>46303</v>
      </c>
      <c r="K5" s="72" t="n">
        <f aca="false">IF(9&gt;DAY(EOMONTH($C$3,0)),"",DATE(YEAR($C$3),MONTH($C$3),9))</f>
        <v>46304</v>
      </c>
      <c r="L5" s="72" t="n">
        <f aca="false">IF(10&gt;DAY(EOMONTH($C$3,0)),"",DATE(YEAR($C$3),MONTH($C$3),10))</f>
        <v>46305</v>
      </c>
      <c r="M5" s="72" t="n">
        <f aca="false">IF(11&gt;DAY(EOMONTH($C$3,0)),"",DATE(YEAR($C$3),MONTH($C$3),11))</f>
        <v>46306</v>
      </c>
      <c r="N5" s="72" t="n">
        <f aca="false">IF(12&gt;DAY(EOMONTH($C$3,0)),"",DATE(YEAR($C$3),MONTH($C$3),12))</f>
        <v>46307</v>
      </c>
      <c r="O5" s="72" t="n">
        <f aca="false">IF(13&gt;DAY(EOMONTH($C$3,0)),"",DATE(YEAR($C$3),MONTH($C$3),13))</f>
        <v>46308</v>
      </c>
      <c r="P5" s="72" t="n">
        <f aca="false">IF(14&gt;DAY(EOMONTH($C$3,0)),"",DATE(YEAR($C$3),MONTH($C$3),14))</f>
        <v>46309</v>
      </c>
      <c r="Q5" s="72" t="n">
        <f aca="false">IF(15&gt;DAY(EOMONTH($C$3,0)),"",DATE(YEAR($C$3),MONTH($C$3),15))</f>
        <v>46310</v>
      </c>
      <c r="R5" s="72" t="n">
        <f aca="false">IF(16&gt;DAY(EOMONTH($C$3,0)),"",DATE(YEAR($C$3),MONTH($C$3),16))</f>
        <v>46311</v>
      </c>
      <c r="S5" s="72" t="n">
        <f aca="false">IF(17&gt;DAY(EOMONTH($C$3,0)),"",DATE(YEAR($C$3),MONTH($C$3),17))</f>
        <v>46312</v>
      </c>
      <c r="T5" s="72" t="n">
        <f aca="false">IF(18&gt;DAY(EOMONTH($C$3,0)),"",DATE(YEAR($C$3),MONTH($C$3),18))</f>
        <v>46313</v>
      </c>
      <c r="U5" s="72" t="n">
        <f aca="false">IF(19&gt;DAY(EOMONTH($C$3,0)),"",DATE(YEAR($C$3),MONTH($C$3),19))</f>
        <v>46314</v>
      </c>
      <c r="V5" s="72" t="n">
        <f aca="false">IF(20&gt;DAY(EOMONTH($C$3,0)),"",DATE(YEAR($C$3),MONTH($C$3),20))</f>
        <v>46315</v>
      </c>
      <c r="W5" s="72" t="n">
        <f aca="false">IF(21&gt;DAY(EOMONTH($C$3,0)),"",DATE(YEAR($C$3),MONTH($C$3),21))</f>
        <v>46316</v>
      </c>
      <c r="X5" s="72" t="n">
        <f aca="false">IF(22&gt;DAY(EOMONTH($C$3,0)),"",DATE(YEAR($C$3),MONTH($C$3),22))</f>
        <v>46317</v>
      </c>
      <c r="Y5" s="72" t="n">
        <f aca="false">IF(23&gt;DAY(EOMONTH($C$3,0)),"",DATE(YEAR($C$3),MONTH($C$3),23))</f>
        <v>46318</v>
      </c>
      <c r="Z5" s="72" t="n">
        <f aca="false">IF(24&gt;DAY(EOMONTH($C$3,0)),"",DATE(YEAR($C$3),MONTH($C$3),24))</f>
        <v>46319</v>
      </c>
      <c r="AA5" s="72" t="n">
        <f aca="false">IF(25&gt;DAY(EOMONTH($C$3,0)),"",DATE(YEAR($C$3),MONTH($C$3),25))</f>
        <v>46320</v>
      </c>
      <c r="AB5" s="72" t="n">
        <f aca="false">IF(26&gt;DAY(EOMONTH($C$3,0)),"",DATE(YEAR($C$3),MONTH($C$3),26))</f>
        <v>46321</v>
      </c>
      <c r="AC5" s="72" t="n">
        <f aca="false">IF(27&gt;DAY(EOMONTH($C$3,0)),"",DATE(YEAR($C$3),MONTH($C$3),27))</f>
        <v>46322</v>
      </c>
      <c r="AD5" s="72" t="n">
        <f aca="false">IF(28&gt;DAY(EOMONTH($C$3,0)),"",DATE(YEAR($C$3),MONTH($C$3),28))</f>
        <v>46323</v>
      </c>
      <c r="AE5" s="72" t="n">
        <f aca="false">IF(29&gt;DAY(EOMONTH($C$3,0)),"",DATE(YEAR($C$3),MONTH($C$3),29))</f>
        <v>46324</v>
      </c>
      <c r="AF5" s="72" t="n">
        <f aca="false">IF(30&gt;DAY(EOMONTH($C$3,0)),"",DATE(YEAR($C$3),MONTH($C$3),30))</f>
        <v>46325</v>
      </c>
      <c r="AG5" s="72" t="n">
        <f aca="false">IF(31&gt;DAY(EOMONTH($C$3,0)),"",DATE(YEAR($C$3),MONTH($C$3),31))</f>
        <v>46326</v>
      </c>
      <c r="AH5" s="58" t="s">
        <v>166</v>
      </c>
      <c r="AJ5" s="73" t="s">
        <v>167</v>
      </c>
    </row>
    <row r="6" customFormat="false" ht="15" hidden="false" customHeight="false" outlineLevel="0" collapsed="false">
      <c r="A6" s="74"/>
      <c r="B6" s="74"/>
      <c r="C6" s="75" t="str">
        <f aca="false">IF(C5="","",TEXT(C5,"ddd"))</f>
        <v>Thu</v>
      </c>
      <c r="D6" s="75" t="str">
        <f aca="false">IF(D5="","",TEXT(D5,"ddd"))</f>
        <v>Fri</v>
      </c>
      <c r="E6" s="75" t="str">
        <f aca="false">IF(E5="","",TEXT(E5,"ddd"))</f>
        <v>Sat</v>
      </c>
      <c r="F6" s="75" t="str">
        <f aca="false">IF(F5="","",TEXT(F5,"ddd"))</f>
        <v>Sun</v>
      </c>
      <c r="G6" s="75" t="str">
        <f aca="false">IF(G5="","",TEXT(G5,"ddd"))</f>
        <v>Mon</v>
      </c>
      <c r="H6" s="75" t="str">
        <f aca="false">IF(H5="","",TEXT(H5,"ddd"))</f>
        <v>Tue</v>
      </c>
      <c r="I6" s="75" t="str">
        <f aca="false">IF(I5="","",TEXT(I5,"ddd"))</f>
        <v>Wed</v>
      </c>
      <c r="J6" s="75" t="str">
        <f aca="false">IF(J5="","",TEXT(J5,"ddd"))</f>
        <v>Thu</v>
      </c>
      <c r="K6" s="75" t="str">
        <f aca="false">IF(K5="","",TEXT(K5,"ddd"))</f>
        <v>Fri</v>
      </c>
      <c r="L6" s="75" t="str">
        <f aca="false">IF(L5="","",TEXT(L5,"ddd"))</f>
        <v>Sat</v>
      </c>
      <c r="M6" s="75" t="str">
        <f aca="false">IF(M5="","",TEXT(M5,"ddd"))</f>
        <v>Sun</v>
      </c>
      <c r="N6" s="75" t="str">
        <f aca="false">IF(N5="","",TEXT(N5,"ddd"))</f>
        <v>Mon</v>
      </c>
      <c r="O6" s="75" t="str">
        <f aca="false">IF(O5="","",TEXT(O5,"ddd"))</f>
        <v>Tue</v>
      </c>
      <c r="P6" s="75" t="str">
        <f aca="false">IF(P5="","",TEXT(P5,"ddd"))</f>
        <v>Wed</v>
      </c>
      <c r="Q6" s="75" t="str">
        <f aca="false">IF(Q5="","",TEXT(Q5,"ddd"))</f>
        <v>Thu</v>
      </c>
      <c r="R6" s="75" t="str">
        <f aca="false">IF(R5="","",TEXT(R5,"ddd"))</f>
        <v>Fri</v>
      </c>
      <c r="S6" s="75" t="str">
        <f aca="false">IF(S5="","",TEXT(S5,"ddd"))</f>
        <v>Sat</v>
      </c>
      <c r="T6" s="75" t="str">
        <f aca="false">IF(T5="","",TEXT(T5,"ddd"))</f>
        <v>Sun</v>
      </c>
      <c r="U6" s="75" t="str">
        <f aca="false">IF(U5="","",TEXT(U5,"ddd"))</f>
        <v>Mon</v>
      </c>
      <c r="V6" s="75" t="str">
        <f aca="false">IF(V5="","",TEXT(V5,"ddd"))</f>
        <v>Tue</v>
      </c>
      <c r="W6" s="75" t="str">
        <f aca="false">IF(W5="","",TEXT(W5,"ddd"))</f>
        <v>Wed</v>
      </c>
      <c r="X6" s="75" t="str">
        <f aca="false">IF(X5="","",TEXT(X5,"ddd"))</f>
        <v>Thu</v>
      </c>
      <c r="Y6" s="75" t="str">
        <f aca="false">IF(Y5="","",TEXT(Y5,"ddd"))</f>
        <v>Fri</v>
      </c>
      <c r="Z6" s="75" t="str">
        <f aca="false">IF(Z5="","",TEXT(Z5,"ddd"))</f>
        <v>Sat</v>
      </c>
      <c r="AA6" s="75" t="str">
        <f aca="false">IF(AA5="","",TEXT(AA5,"ddd"))</f>
        <v>Sun</v>
      </c>
      <c r="AB6" s="75" t="str">
        <f aca="false">IF(AB5="","",TEXT(AB5,"ddd"))</f>
        <v>Mon</v>
      </c>
      <c r="AC6" s="75" t="str">
        <f aca="false">IF(AC5="","",TEXT(AC5,"ddd"))</f>
        <v>Tue</v>
      </c>
      <c r="AD6" s="75" t="str">
        <f aca="false">IF(AD5="","",TEXT(AD5,"ddd"))</f>
        <v>Wed</v>
      </c>
      <c r="AE6" s="75" t="str">
        <f aca="false">IF(AE5="","",TEXT(AE5,"ddd"))</f>
        <v>Thu</v>
      </c>
      <c r="AF6" s="75" t="str">
        <f aca="false">IF(AF5="","",TEXT(AF5,"ddd"))</f>
        <v>Fri</v>
      </c>
      <c r="AG6" s="75" t="str">
        <f aca="false">IF(AG5="","",TEXT(AG5,"ddd"))</f>
        <v>Sat</v>
      </c>
      <c r="AH6" s="58"/>
      <c r="AJ6" s="76" t="str">
        <f aca="false">Setup!A18</f>
        <v>CL</v>
      </c>
      <c r="AK6" s="77" t="str">
        <f aca="false">Setup!B18</f>
        <v>Casual Leave</v>
      </c>
    </row>
    <row r="7" customFormat="false" ht="15" hidden="false" customHeight="false" outlineLevel="0" collapsed="false">
      <c r="A7" s="78"/>
      <c r="B7" s="78"/>
      <c r="C7" s="79" t="str">
        <f aca="false">IF(C$5="","",IF(COUNTIF(Holidays!$B$5:$B$34,C$5)&gt;0,"H",IF(MID(Setup!$C$14,WEEKDAY(C$5,2),1)="1","WO","W")))</f>
        <v>W</v>
      </c>
      <c r="D7" s="79" t="str">
        <f aca="false">IF(D$5="","",IF(COUNTIF(Holidays!$B$5:$B$34,D$5)&gt;0,"H",IF(MID(Setup!$C$14,WEEKDAY(D$5,2),1)="1","WO","W")))</f>
        <v>H</v>
      </c>
      <c r="E7" s="79" t="str">
        <f aca="false">IF(E$5="","",IF(COUNTIF(Holidays!$B$5:$B$34,E$5)&gt;0,"H",IF(MID(Setup!$C$14,WEEKDAY(E$5,2),1)="1","WO","W")))</f>
        <v>W</v>
      </c>
      <c r="F7" s="79" t="str">
        <f aca="false">IF(F$5="","",IF(COUNTIF(Holidays!$B$5:$B$34,F$5)&gt;0,"H",IF(MID(Setup!$C$14,WEEKDAY(F$5,2),1)="1","WO","W")))</f>
        <v>WO</v>
      </c>
      <c r="G7" s="79" t="str">
        <f aca="false">IF(G$5="","",IF(COUNTIF(Holidays!$B$5:$B$34,G$5)&gt;0,"H",IF(MID(Setup!$C$14,WEEKDAY(G$5,2),1)="1","WO","W")))</f>
        <v>W</v>
      </c>
      <c r="H7" s="79" t="str">
        <f aca="false">IF(H$5="","",IF(COUNTIF(Holidays!$B$5:$B$34,H$5)&gt;0,"H",IF(MID(Setup!$C$14,WEEKDAY(H$5,2),1)="1","WO","W")))</f>
        <v>W</v>
      </c>
      <c r="I7" s="79" t="str">
        <f aca="false">IF(I$5="","",IF(COUNTIF(Holidays!$B$5:$B$34,I$5)&gt;0,"H",IF(MID(Setup!$C$14,WEEKDAY(I$5,2),1)="1","WO","W")))</f>
        <v>W</v>
      </c>
      <c r="J7" s="79" t="str">
        <f aca="false">IF(J$5="","",IF(COUNTIF(Holidays!$B$5:$B$34,J$5)&gt;0,"H",IF(MID(Setup!$C$14,WEEKDAY(J$5,2),1)="1","WO","W")))</f>
        <v>W</v>
      </c>
      <c r="K7" s="79" t="str">
        <f aca="false">IF(K$5="","",IF(COUNTIF(Holidays!$B$5:$B$34,K$5)&gt;0,"H",IF(MID(Setup!$C$14,WEEKDAY(K$5,2),1)="1","WO","W")))</f>
        <v>W</v>
      </c>
      <c r="L7" s="79" t="str">
        <f aca="false">IF(L$5="","",IF(COUNTIF(Holidays!$B$5:$B$34,L$5)&gt;0,"H",IF(MID(Setup!$C$14,WEEKDAY(L$5,2),1)="1","WO","W")))</f>
        <v>W</v>
      </c>
      <c r="M7" s="79" t="str">
        <f aca="false">IF(M$5="","",IF(COUNTIF(Holidays!$B$5:$B$34,M$5)&gt;0,"H",IF(MID(Setup!$C$14,WEEKDAY(M$5,2),1)="1","WO","W")))</f>
        <v>WO</v>
      </c>
      <c r="N7" s="79" t="str">
        <f aca="false">IF(N$5="","",IF(COUNTIF(Holidays!$B$5:$B$34,N$5)&gt;0,"H",IF(MID(Setup!$C$14,WEEKDAY(N$5,2),1)="1","WO","W")))</f>
        <v>W</v>
      </c>
      <c r="O7" s="79" t="str">
        <f aca="false">IF(O$5="","",IF(COUNTIF(Holidays!$B$5:$B$34,O$5)&gt;0,"H",IF(MID(Setup!$C$14,WEEKDAY(O$5,2),1)="1","WO","W")))</f>
        <v>W</v>
      </c>
      <c r="P7" s="79" t="str">
        <f aca="false">IF(P$5="","",IF(COUNTIF(Holidays!$B$5:$B$34,P$5)&gt;0,"H",IF(MID(Setup!$C$14,WEEKDAY(P$5,2),1)="1","WO","W")))</f>
        <v>W</v>
      </c>
      <c r="Q7" s="79" t="str">
        <f aca="false">IF(Q$5="","",IF(COUNTIF(Holidays!$B$5:$B$34,Q$5)&gt;0,"H",IF(MID(Setup!$C$14,WEEKDAY(Q$5,2),1)="1","WO","W")))</f>
        <v>W</v>
      </c>
      <c r="R7" s="79" t="str">
        <f aca="false">IF(R$5="","",IF(COUNTIF(Holidays!$B$5:$B$34,R$5)&gt;0,"H",IF(MID(Setup!$C$14,WEEKDAY(R$5,2),1)="1","WO","W")))</f>
        <v>W</v>
      </c>
      <c r="S7" s="79" t="str">
        <f aca="false">IF(S$5="","",IF(COUNTIF(Holidays!$B$5:$B$34,S$5)&gt;0,"H",IF(MID(Setup!$C$14,WEEKDAY(S$5,2),1)="1","WO","W")))</f>
        <v>W</v>
      </c>
      <c r="T7" s="79" t="str">
        <f aca="false">IF(T$5="","",IF(COUNTIF(Holidays!$B$5:$B$34,T$5)&gt;0,"H",IF(MID(Setup!$C$14,WEEKDAY(T$5,2),1)="1","WO","W")))</f>
        <v>WO</v>
      </c>
      <c r="U7" s="79" t="str">
        <f aca="false">IF(U$5="","",IF(COUNTIF(Holidays!$B$5:$B$34,U$5)&gt;0,"H",IF(MID(Setup!$C$14,WEEKDAY(U$5,2),1)="1","WO","W")))</f>
        <v>W</v>
      </c>
      <c r="V7" s="79" t="str">
        <f aca="false">IF(V$5="","",IF(COUNTIF(Holidays!$B$5:$B$34,V$5)&gt;0,"H",IF(MID(Setup!$C$14,WEEKDAY(V$5,2),1)="1","WO","W")))</f>
        <v>H</v>
      </c>
      <c r="W7" s="79" t="str">
        <f aca="false">IF(W$5="","",IF(COUNTIF(Holidays!$B$5:$B$34,W$5)&gt;0,"H",IF(MID(Setup!$C$14,WEEKDAY(W$5,2),1)="1","WO","W")))</f>
        <v>W</v>
      </c>
      <c r="X7" s="79" t="str">
        <f aca="false">IF(X$5="","",IF(COUNTIF(Holidays!$B$5:$B$34,X$5)&gt;0,"H",IF(MID(Setup!$C$14,WEEKDAY(X$5,2),1)="1","WO","W")))</f>
        <v>W</v>
      </c>
      <c r="Y7" s="79" t="str">
        <f aca="false">IF(Y$5="","",IF(COUNTIF(Holidays!$B$5:$B$34,Y$5)&gt;0,"H",IF(MID(Setup!$C$14,WEEKDAY(Y$5,2),1)="1","WO","W")))</f>
        <v>W</v>
      </c>
      <c r="Z7" s="79" t="str">
        <f aca="false">IF(Z$5="","",IF(COUNTIF(Holidays!$B$5:$B$34,Z$5)&gt;0,"H",IF(MID(Setup!$C$14,WEEKDAY(Z$5,2),1)="1","WO","W")))</f>
        <v>W</v>
      </c>
      <c r="AA7" s="79" t="str">
        <f aca="false">IF(AA$5="","",IF(COUNTIF(Holidays!$B$5:$B$34,AA$5)&gt;0,"H",IF(MID(Setup!$C$14,WEEKDAY(AA$5,2),1)="1","WO","W")))</f>
        <v>WO</v>
      </c>
      <c r="AB7" s="79" t="str">
        <f aca="false">IF(AB$5="","",IF(COUNTIF(Holidays!$B$5:$B$34,AB$5)&gt;0,"H",IF(MID(Setup!$C$14,WEEKDAY(AB$5,2),1)="1","WO","W")))</f>
        <v>W</v>
      </c>
      <c r="AC7" s="79" t="str">
        <f aca="false">IF(AC$5="","",IF(COUNTIF(Holidays!$B$5:$B$34,AC$5)&gt;0,"H",IF(MID(Setup!$C$14,WEEKDAY(AC$5,2),1)="1","WO","W")))</f>
        <v>W</v>
      </c>
      <c r="AD7" s="79" t="str">
        <f aca="false">IF(AD$5="","",IF(COUNTIF(Holidays!$B$5:$B$34,AD$5)&gt;0,"H",IF(MID(Setup!$C$14,WEEKDAY(AD$5,2),1)="1","WO","W")))</f>
        <v>W</v>
      </c>
      <c r="AE7" s="79" t="str">
        <f aca="false">IF(AE$5="","",IF(COUNTIF(Holidays!$B$5:$B$34,AE$5)&gt;0,"H",IF(MID(Setup!$C$14,WEEKDAY(AE$5,2),1)="1","WO","W")))</f>
        <v>W</v>
      </c>
      <c r="AF7" s="79" t="str">
        <f aca="false">IF(AF$5="","",IF(COUNTIF(Holidays!$B$5:$B$34,AF$5)&gt;0,"H",IF(MID(Setup!$C$14,WEEKDAY(AF$5,2),1)="1","WO","W")))</f>
        <v>W</v>
      </c>
      <c r="AG7" s="79" t="str">
        <f aca="false">IF(AG$5="","",IF(COUNTIF(Holidays!$B$5:$B$34,AG$5)&gt;0,"H",IF(MID(Setup!$C$14,WEEKDAY(AG$5,2),1)="1","WO","W")))</f>
        <v>W</v>
      </c>
      <c r="AH7" s="58"/>
      <c r="AJ7" s="80" t="str">
        <f aca="false">Setup!A19</f>
        <v>SL</v>
      </c>
      <c r="AK7" s="77" t="str">
        <f aca="false">Setup!B19</f>
        <v>Sick Leave</v>
      </c>
    </row>
    <row r="8" customFormat="false" ht="15" hidden="false" customHeight="false" outlineLevel="0" collapsed="false">
      <c r="A8" s="81" t="str">
        <f aca="false">IF(Employees!$B$5="","",Employees!$B$5)</f>
        <v>XE001</v>
      </c>
      <c r="B8" s="82" t="str">
        <f aca="false">IF(A8="","",Employees!$C$5)</f>
        <v>Harpreet Singh</v>
      </c>
      <c r="C8" s="83" t="str">
        <f aca="false">IF(OR($A8="",C$5="",C$7&lt;&gt;"W"),"",IF(SUMPRODUCT(MAX(('Leave Register'!$B$6:$B$305=$A8)*('Leave Register'!$E$6:$E$305&lt;=C$5)*('Leave Register'!$F$6:$F$305&gt;=C$5)*('Leave Register'!$J$6:$J$305="Approved")*(ROW('Leave Register'!$B$6:$B$305)-5)))=0,"",INDEX('Leave Register'!$D$6:$D$305,SUMPRODUCT(MAX(('Leave Register'!$B$6:$B$305=$A8)*('Leave Register'!$E$6:$E$305&lt;=C$5)*('Leave Register'!$F$6:$F$305&gt;=C$5)*('Leave Register'!$J$6:$J$305="Approved")*(ROW('Leave Register'!$B$6:$B$305)-5))))))</f>
        <v/>
      </c>
      <c r="D8" s="83" t="str">
        <f aca="false">IF(OR($A8="",D$5="",D$7&lt;&gt;"W"),"",IF(SUMPRODUCT(MAX(('Leave Register'!$B$6:$B$305=$A8)*('Leave Register'!$E$6:$E$305&lt;=D$5)*('Leave Register'!$F$6:$F$305&gt;=D$5)*('Leave Register'!$J$6:$J$305="Approved")*(ROW('Leave Register'!$B$6:$B$305)-5)))=0,"",INDEX('Leave Register'!$D$6:$D$305,SUMPRODUCT(MAX(('Leave Register'!$B$6:$B$305=$A8)*('Leave Register'!$E$6:$E$305&lt;=D$5)*('Leave Register'!$F$6:$F$305&gt;=D$5)*('Leave Register'!$J$6:$J$305="Approved")*(ROW('Leave Register'!$B$6:$B$305)-5))))))</f>
        <v/>
      </c>
      <c r="E8" s="83" t="str">
        <f aca="false">IF(OR($A8="",E$5="",E$7&lt;&gt;"W"),"",IF(SUMPRODUCT(MAX(('Leave Register'!$B$6:$B$305=$A8)*('Leave Register'!$E$6:$E$305&lt;=E$5)*('Leave Register'!$F$6:$F$305&gt;=E$5)*('Leave Register'!$J$6:$J$305="Approved")*(ROW('Leave Register'!$B$6:$B$305)-5)))=0,"",INDEX('Leave Register'!$D$6:$D$305,SUMPRODUCT(MAX(('Leave Register'!$B$6:$B$305=$A8)*('Leave Register'!$E$6:$E$305&lt;=E$5)*('Leave Register'!$F$6:$F$305&gt;=E$5)*('Leave Register'!$J$6:$J$305="Approved")*(ROW('Leave Register'!$B$6:$B$305)-5))))))</f>
        <v/>
      </c>
      <c r="F8" s="83" t="str">
        <f aca="false">IF(OR($A8="",F$5="",F$7&lt;&gt;"W"),"",IF(SUMPRODUCT(MAX(('Leave Register'!$B$6:$B$305=$A8)*('Leave Register'!$E$6:$E$305&lt;=F$5)*('Leave Register'!$F$6:$F$305&gt;=F$5)*('Leave Register'!$J$6:$J$305="Approved")*(ROW('Leave Register'!$B$6:$B$305)-5)))=0,"",INDEX('Leave Register'!$D$6:$D$305,SUMPRODUCT(MAX(('Leave Register'!$B$6:$B$305=$A8)*('Leave Register'!$E$6:$E$305&lt;=F$5)*('Leave Register'!$F$6:$F$305&gt;=F$5)*('Leave Register'!$J$6:$J$305="Approved")*(ROW('Leave Register'!$B$6:$B$305)-5))))))</f>
        <v/>
      </c>
      <c r="G8" s="83" t="str">
        <f aca="false">IF(OR($A8="",G$5="",G$7&lt;&gt;"W"),"",IF(SUMPRODUCT(MAX(('Leave Register'!$B$6:$B$305=$A8)*('Leave Register'!$E$6:$E$305&lt;=G$5)*('Leave Register'!$F$6:$F$305&gt;=G$5)*('Leave Register'!$J$6:$J$305="Approved")*(ROW('Leave Register'!$B$6:$B$305)-5)))=0,"",INDEX('Leave Register'!$D$6:$D$305,SUMPRODUCT(MAX(('Leave Register'!$B$6:$B$305=$A8)*('Leave Register'!$E$6:$E$305&lt;=G$5)*('Leave Register'!$F$6:$F$305&gt;=G$5)*('Leave Register'!$J$6:$J$305="Approved")*(ROW('Leave Register'!$B$6:$B$305)-5))))))</f>
        <v/>
      </c>
      <c r="H8" s="83" t="str">
        <f aca="false">IF(OR($A8="",H$5="",H$7&lt;&gt;"W"),"",IF(SUMPRODUCT(MAX(('Leave Register'!$B$6:$B$305=$A8)*('Leave Register'!$E$6:$E$305&lt;=H$5)*('Leave Register'!$F$6:$F$305&gt;=H$5)*('Leave Register'!$J$6:$J$305="Approved")*(ROW('Leave Register'!$B$6:$B$305)-5)))=0,"",INDEX('Leave Register'!$D$6:$D$305,SUMPRODUCT(MAX(('Leave Register'!$B$6:$B$305=$A8)*('Leave Register'!$E$6:$E$305&lt;=H$5)*('Leave Register'!$F$6:$F$305&gt;=H$5)*('Leave Register'!$J$6:$J$305="Approved")*(ROW('Leave Register'!$B$6:$B$305)-5))))))</f>
        <v/>
      </c>
      <c r="I8" s="83" t="str">
        <f aca="false">IF(OR($A8="",I$5="",I$7&lt;&gt;"W"),"",IF(SUMPRODUCT(MAX(('Leave Register'!$B$6:$B$305=$A8)*('Leave Register'!$E$6:$E$305&lt;=I$5)*('Leave Register'!$F$6:$F$305&gt;=I$5)*('Leave Register'!$J$6:$J$305="Approved")*(ROW('Leave Register'!$B$6:$B$305)-5)))=0,"",INDEX('Leave Register'!$D$6:$D$305,SUMPRODUCT(MAX(('Leave Register'!$B$6:$B$305=$A8)*('Leave Register'!$E$6:$E$305&lt;=I$5)*('Leave Register'!$F$6:$F$305&gt;=I$5)*('Leave Register'!$J$6:$J$305="Approved")*(ROW('Leave Register'!$B$6:$B$305)-5))))))</f>
        <v/>
      </c>
      <c r="J8" s="83" t="str">
        <f aca="false">IF(OR($A8="",J$5="",J$7&lt;&gt;"W"),"",IF(SUMPRODUCT(MAX(('Leave Register'!$B$6:$B$305=$A8)*('Leave Register'!$E$6:$E$305&lt;=J$5)*('Leave Register'!$F$6:$F$305&gt;=J$5)*('Leave Register'!$J$6:$J$305="Approved")*(ROW('Leave Register'!$B$6:$B$305)-5)))=0,"",INDEX('Leave Register'!$D$6:$D$305,SUMPRODUCT(MAX(('Leave Register'!$B$6:$B$305=$A8)*('Leave Register'!$E$6:$E$305&lt;=J$5)*('Leave Register'!$F$6:$F$305&gt;=J$5)*('Leave Register'!$J$6:$J$305="Approved")*(ROW('Leave Register'!$B$6:$B$305)-5))))))</f>
        <v/>
      </c>
      <c r="K8" s="83" t="str">
        <f aca="false">IF(OR($A8="",K$5="",K$7&lt;&gt;"W"),"",IF(SUMPRODUCT(MAX(('Leave Register'!$B$6:$B$305=$A8)*('Leave Register'!$E$6:$E$305&lt;=K$5)*('Leave Register'!$F$6:$F$305&gt;=K$5)*('Leave Register'!$J$6:$J$305="Approved")*(ROW('Leave Register'!$B$6:$B$305)-5)))=0,"",INDEX('Leave Register'!$D$6:$D$305,SUMPRODUCT(MAX(('Leave Register'!$B$6:$B$305=$A8)*('Leave Register'!$E$6:$E$305&lt;=K$5)*('Leave Register'!$F$6:$F$305&gt;=K$5)*('Leave Register'!$J$6:$J$305="Approved")*(ROW('Leave Register'!$B$6:$B$305)-5))))))</f>
        <v/>
      </c>
      <c r="L8" s="83" t="str">
        <f aca="false">IF(OR($A8="",L$5="",L$7&lt;&gt;"W"),"",IF(SUMPRODUCT(MAX(('Leave Register'!$B$6:$B$305=$A8)*('Leave Register'!$E$6:$E$305&lt;=L$5)*('Leave Register'!$F$6:$F$305&gt;=L$5)*('Leave Register'!$J$6:$J$305="Approved")*(ROW('Leave Register'!$B$6:$B$305)-5)))=0,"",INDEX('Leave Register'!$D$6:$D$305,SUMPRODUCT(MAX(('Leave Register'!$B$6:$B$305=$A8)*('Leave Register'!$E$6:$E$305&lt;=L$5)*('Leave Register'!$F$6:$F$305&gt;=L$5)*('Leave Register'!$J$6:$J$305="Approved")*(ROW('Leave Register'!$B$6:$B$305)-5))))))</f>
        <v/>
      </c>
      <c r="M8" s="83" t="str">
        <f aca="false">IF(OR($A8="",M$5="",M$7&lt;&gt;"W"),"",IF(SUMPRODUCT(MAX(('Leave Register'!$B$6:$B$305=$A8)*('Leave Register'!$E$6:$E$305&lt;=M$5)*('Leave Register'!$F$6:$F$305&gt;=M$5)*('Leave Register'!$J$6:$J$305="Approved")*(ROW('Leave Register'!$B$6:$B$305)-5)))=0,"",INDEX('Leave Register'!$D$6:$D$305,SUMPRODUCT(MAX(('Leave Register'!$B$6:$B$305=$A8)*('Leave Register'!$E$6:$E$305&lt;=M$5)*('Leave Register'!$F$6:$F$305&gt;=M$5)*('Leave Register'!$J$6:$J$305="Approved")*(ROW('Leave Register'!$B$6:$B$305)-5))))))</f>
        <v/>
      </c>
      <c r="N8" s="83" t="str">
        <f aca="false">IF(OR($A8="",N$5="",N$7&lt;&gt;"W"),"",IF(SUMPRODUCT(MAX(('Leave Register'!$B$6:$B$305=$A8)*('Leave Register'!$E$6:$E$305&lt;=N$5)*('Leave Register'!$F$6:$F$305&gt;=N$5)*('Leave Register'!$J$6:$J$305="Approved")*(ROW('Leave Register'!$B$6:$B$305)-5)))=0,"",INDEX('Leave Register'!$D$6:$D$305,SUMPRODUCT(MAX(('Leave Register'!$B$6:$B$305=$A8)*('Leave Register'!$E$6:$E$305&lt;=N$5)*('Leave Register'!$F$6:$F$305&gt;=N$5)*('Leave Register'!$J$6:$J$305="Approved")*(ROW('Leave Register'!$B$6:$B$305)-5))))))</f>
        <v/>
      </c>
      <c r="O8" s="83" t="str">
        <f aca="false">IF(OR($A8="",O$5="",O$7&lt;&gt;"W"),"",IF(SUMPRODUCT(MAX(('Leave Register'!$B$6:$B$305=$A8)*('Leave Register'!$E$6:$E$305&lt;=O$5)*('Leave Register'!$F$6:$F$305&gt;=O$5)*('Leave Register'!$J$6:$J$305="Approved")*(ROW('Leave Register'!$B$6:$B$305)-5)))=0,"",INDEX('Leave Register'!$D$6:$D$305,SUMPRODUCT(MAX(('Leave Register'!$B$6:$B$305=$A8)*('Leave Register'!$E$6:$E$305&lt;=O$5)*('Leave Register'!$F$6:$F$305&gt;=O$5)*('Leave Register'!$J$6:$J$305="Approved")*(ROW('Leave Register'!$B$6:$B$305)-5))))))</f>
        <v/>
      </c>
      <c r="P8" s="83" t="str">
        <f aca="false">IF(OR($A8="",P$5="",P$7&lt;&gt;"W"),"",IF(SUMPRODUCT(MAX(('Leave Register'!$B$6:$B$305=$A8)*('Leave Register'!$E$6:$E$305&lt;=P$5)*('Leave Register'!$F$6:$F$305&gt;=P$5)*('Leave Register'!$J$6:$J$305="Approved")*(ROW('Leave Register'!$B$6:$B$305)-5)))=0,"",INDEX('Leave Register'!$D$6:$D$305,SUMPRODUCT(MAX(('Leave Register'!$B$6:$B$305=$A8)*('Leave Register'!$E$6:$E$305&lt;=P$5)*('Leave Register'!$F$6:$F$305&gt;=P$5)*('Leave Register'!$J$6:$J$305="Approved")*(ROW('Leave Register'!$B$6:$B$305)-5))))))</f>
        <v/>
      </c>
      <c r="Q8" s="83" t="str">
        <f aca="false">IF(OR($A8="",Q$5="",Q$7&lt;&gt;"W"),"",IF(SUMPRODUCT(MAX(('Leave Register'!$B$6:$B$305=$A8)*('Leave Register'!$E$6:$E$305&lt;=Q$5)*('Leave Register'!$F$6:$F$305&gt;=Q$5)*('Leave Register'!$J$6:$J$305="Approved")*(ROW('Leave Register'!$B$6:$B$305)-5)))=0,"",INDEX('Leave Register'!$D$6:$D$305,SUMPRODUCT(MAX(('Leave Register'!$B$6:$B$305=$A8)*('Leave Register'!$E$6:$E$305&lt;=Q$5)*('Leave Register'!$F$6:$F$305&gt;=Q$5)*('Leave Register'!$J$6:$J$305="Approved")*(ROW('Leave Register'!$B$6:$B$305)-5))))))</f>
        <v/>
      </c>
      <c r="R8" s="83" t="str">
        <f aca="false">IF(OR($A8="",R$5="",R$7&lt;&gt;"W"),"",IF(SUMPRODUCT(MAX(('Leave Register'!$B$6:$B$305=$A8)*('Leave Register'!$E$6:$E$305&lt;=R$5)*('Leave Register'!$F$6:$F$305&gt;=R$5)*('Leave Register'!$J$6:$J$305="Approved")*(ROW('Leave Register'!$B$6:$B$305)-5)))=0,"",INDEX('Leave Register'!$D$6:$D$305,SUMPRODUCT(MAX(('Leave Register'!$B$6:$B$305=$A8)*('Leave Register'!$E$6:$E$305&lt;=R$5)*('Leave Register'!$F$6:$F$305&gt;=R$5)*('Leave Register'!$J$6:$J$305="Approved")*(ROW('Leave Register'!$B$6:$B$305)-5))))))</f>
        <v/>
      </c>
      <c r="S8" s="83" t="str">
        <f aca="false">IF(OR($A8="",S$5="",S$7&lt;&gt;"W"),"",IF(SUMPRODUCT(MAX(('Leave Register'!$B$6:$B$305=$A8)*('Leave Register'!$E$6:$E$305&lt;=S$5)*('Leave Register'!$F$6:$F$305&gt;=S$5)*('Leave Register'!$J$6:$J$305="Approved")*(ROW('Leave Register'!$B$6:$B$305)-5)))=0,"",INDEX('Leave Register'!$D$6:$D$305,SUMPRODUCT(MAX(('Leave Register'!$B$6:$B$305=$A8)*('Leave Register'!$E$6:$E$305&lt;=S$5)*('Leave Register'!$F$6:$F$305&gt;=S$5)*('Leave Register'!$J$6:$J$305="Approved")*(ROW('Leave Register'!$B$6:$B$305)-5))))))</f>
        <v/>
      </c>
      <c r="T8" s="83" t="str">
        <f aca="false">IF(OR($A8="",T$5="",T$7&lt;&gt;"W"),"",IF(SUMPRODUCT(MAX(('Leave Register'!$B$6:$B$305=$A8)*('Leave Register'!$E$6:$E$305&lt;=T$5)*('Leave Register'!$F$6:$F$305&gt;=T$5)*('Leave Register'!$J$6:$J$305="Approved")*(ROW('Leave Register'!$B$6:$B$305)-5)))=0,"",INDEX('Leave Register'!$D$6:$D$305,SUMPRODUCT(MAX(('Leave Register'!$B$6:$B$305=$A8)*('Leave Register'!$E$6:$E$305&lt;=T$5)*('Leave Register'!$F$6:$F$305&gt;=T$5)*('Leave Register'!$J$6:$J$305="Approved")*(ROW('Leave Register'!$B$6:$B$305)-5))))))</f>
        <v/>
      </c>
      <c r="U8" s="83" t="str">
        <f aca="false">IF(OR($A8="",U$5="",U$7&lt;&gt;"W"),"",IF(SUMPRODUCT(MAX(('Leave Register'!$B$6:$B$305=$A8)*('Leave Register'!$E$6:$E$305&lt;=U$5)*('Leave Register'!$F$6:$F$305&gt;=U$5)*('Leave Register'!$J$6:$J$305="Approved")*(ROW('Leave Register'!$B$6:$B$305)-5)))=0,"",INDEX('Leave Register'!$D$6:$D$305,SUMPRODUCT(MAX(('Leave Register'!$B$6:$B$305=$A8)*('Leave Register'!$E$6:$E$305&lt;=U$5)*('Leave Register'!$F$6:$F$305&gt;=U$5)*('Leave Register'!$J$6:$J$305="Approved")*(ROW('Leave Register'!$B$6:$B$305)-5))))))</f>
        <v/>
      </c>
      <c r="V8" s="83" t="str">
        <f aca="false">IF(OR($A8="",V$5="",V$7&lt;&gt;"W"),"",IF(SUMPRODUCT(MAX(('Leave Register'!$B$6:$B$305=$A8)*('Leave Register'!$E$6:$E$305&lt;=V$5)*('Leave Register'!$F$6:$F$305&gt;=V$5)*('Leave Register'!$J$6:$J$305="Approved")*(ROW('Leave Register'!$B$6:$B$305)-5)))=0,"",INDEX('Leave Register'!$D$6:$D$305,SUMPRODUCT(MAX(('Leave Register'!$B$6:$B$305=$A8)*('Leave Register'!$E$6:$E$305&lt;=V$5)*('Leave Register'!$F$6:$F$305&gt;=V$5)*('Leave Register'!$J$6:$J$305="Approved")*(ROW('Leave Register'!$B$6:$B$305)-5))))))</f>
        <v/>
      </c>
      <c r="W8" s="83" t="str">
        <f aca="false">IF(OR($A8="",W$5="",W$7&lt;&gt;"W"),"",IF(SUMPRODUCT(MAX(('Leave Register'!$B$6:$B$305=$A8)*('Leave Register'!$E$6:$E$305&lt;=W$5)*('Leave Register'!$F$6:$F$305&gt;=W$5)*('Leave Register'!$J$6:$J$305="Approved")*(ROW('Leave Register'!$B$6:$B$305)-5)))=0,"",INDEX('Leave Register'!$D$6:$D$305,SUMPRODUCT(MAX(('Leave Register'!$B$6:$B$305=$A8)*('Leave Register'!$E$6:$E$305&lt;=W$5)*('Leave Register'!$F$6:$F$305&gt;=W$5)*('Leave Register'!$J$6:$J$305="Approved")*(ROW('Leave Register'!$B$6:$B$305)-5))))))</f>
        <v/>
      </c>
      <c r="X8" s="83" t="str">
        <f aca="false">IF(OR($A8="",X$5="",X$7&lt;&gt;"W"),"",IF(SUMPRODUCT(MAX(('Leave Register'!$B$6:$B$305=$A8)*('Leave Register'!$E$6:$E$305&lt;=X$5)*('Leave Register'!$F$6:$F$305&gt;=X$5)*('Leave Register'!$J$6:$J$305="Approved")*(ROW('Leave Register'!$B$6:$B$305)-5)))=0,"",INDEX('Leave Register'!$D$6:$D$305,SUMPRODUCT(MAX(('Leave Register'!$B$6:$B$305=$A8)*('Leave Register'!$E$6:$E$305&lt;=X$5)*('Leave Register'!$F$6:$F$305&gt;=X$5)*('Leave Register'!$J$6:$J$305="Approved")*(ROW('Leave Register'!$B$6:$B$305)-5))))))</f>
        <v/>
      </c>
      <c r="Y8" s="83" t="str">
        <f aca="false">IF(OR($A8="",Y$5="",Y$7&lt;&gt;"W"),"",IF(SUMPRODUCT(MAX(('Leave Register'!$B$6:$B$305=$A8)*('Leave Register'!$E$6:$E$305&lt;=Y$5)*('Leave Register'!$F$6:$F$305&gt;=Y$5)*('Leave Register'!$J$6:$J$305="Approved")*(ROW('Leave Register'!$B$6:$B$305)-5)))=0,"",INDEX('Leave Register'!$D$6:$D$305,SUMPRODUCT(MAX(('Leave Register'!$B$6:$B$305=$A8)*('Leave Register'!$E$6:$E$305&lt;=Y$5)*('Leave Register'!$F$6:$F$305&gt;=Y$5)*('Leave Register'!$J$6:$J$305="Approved")*(ROW('Leave Register'!$B$6:$B$305)-5))))))</f>
        <v/>
      </c>
      <c r="Z8" s="83" t="str">
        <f aca="false">IF(OR($A8="",Z$5="",Z$7&lt;&gt;"W"),"",IF(SUMPRODUCT(MAX(('Leave Register'!$B$6:$B$305=$A8)*('Leave Register'!$E$6:$E$305&lt;=Z$5)*('Leave Register'!$F$6:$F$305&gt;=Z$5)*('Leave Register'!$J$6:$J$305="Approved")*(ROW('Leave Register'!$B$6:$B$305)-5)))=0,"",INDEX('Leave Register'!$D$6:$D$305,SUMPRODUCT(MAX(('Leave Register'!$B$6:$B$305=$A8)*('Leave Register'!$E$6:$E$305&lt;=Z$5)*('Leave Register'!$F$6:$F$305&gt;=Z$5)*('Leave Register'!$J$6:$J$305="Approved")*(ROW('Leave Register'!$B$6:$B$305)-5))))))</f>
        <v/>
      </c>
      <c r="AA8" s="83" t="str">
        <f aca="false">IF(OR($A8="",AA$5="",AA$7&lt;&gt;"W"),"",IF(SUMPRODUCT(MAX(('Leave Register'!$B$6:$B$305=$A8)*('Leave Register'!$E$6:$E$305&lt;=AA$5)*('Leave Register'!$F$6:$F$305&gt;=AA$5)*('Leave Register'!$J$6:$J$305="Approved")*(ROW('Leave Register'!$B$6:$B$305)-5)))=0,"",INDEX('Leave Register'!$D$6:$D$305,SUMPRODUCT(MAX(('Leave Register'!$B$6:$B$305=$A8)*('Leave Register'!$E$6:$E$305&lt;=AA$5)*('Leave Register'!$F$6:$F$305&gt;=AA$5)*('Leave Register'!$J$6:$J$305="Approved")*(ROW('Leave Register'!$B$6:$B$305)-5))))))</f>
        <v/>
      </c>
      <c r="AB8" s="83" t="str">
        <f aca="false">IF(OR($A8="",AB$5="",AB$7&lt;&gt;"W"),"",IF(SUMPRODUCT(MAX(('Leave Register'!$B$6:$B$305=$A8)*('Leave Register'!$E$6:$E$305&lt;=AB$5)*('Leave Register'!$F$6:$F$305&gt;=AB$5)*('Leave Register'!$J$6:$J$305="Approved")*(ROW('Leave Register'!$B$6:$B$305)-5)))=0,"",INDEX('Leave Register'!$D$6:$D$305,SUMPRODUCT(MAX(('Leave Register'!$B$6:$B$305=$A8)*('Leave Register'!$E$6:$E$305&lt;=AB$5)*('Leave Register'!$F$6:$F$305&gt;=AB$5)*('Leave Register'!$J$6:$J$305="Approved")*(ROW('Leave Register'!$B$6:$B$305)-5))))))</f>
        <v/>
      </c>
      <c r="AC8" s="83" t="str">
        <f aca="false">IF(OR($A8="",AC$5="",AC$7&lt;&gt;"W"),"",IF(SUMPRODUCT(MAX(('Leave Register'!$B$6:$B$305=$A8)*('Leave Register'!$E$6:$E$305&lt;=AC$5)*('Leave Register'!$F$6:$F$305&gt;=AC$5)*('Leave Register'!$J$6:$J$305="Approved")*(ROW('Leave Register'!$B$6:$B$305)-5)))=0,"",INDEX('Leave Register'!$D$6:$D$305,SUMPRODUCT(MAX(('Leave Register'!$B$6:$B$305=$A8)*('Leave Register'!$E$6:$E$305&lt;=AC$5)*('Leave Register'!$F$6:$F$305&gt;=AC$5)*('Leave Register'!$J$6:$J$305="Approved")*(ROW('Leave Register'!$B$6:$B$305)-5))))))</f>
        <v/>
      </c>
      <c r="AD8" s="83" t="str">
        <f aca="false">IF(OR($A8="",AD$5="",AD$7&lt;&gt;"W"),"",IF(SUMPRODUCT(MAX(('Leave Register'!$B$6:$B$305=$A8)*('Leave Register'!$E$6:$E$305&lt;=AD$5)*('Leave Register'!$F$6:$F$305&gt;=AD$5)*('Leave Register'!$J$6:$J$305="Approved")*(ROW('Leave Register'!$B$6:$B$305)-5)))=0,"",INDEX('Leave Register'!$D$6:$D$305,SUMPRODUCT(MAX(('Leave Register'!$B$6:$B$305=$A8)*('Leave Register'!$E$6:$E$305&lt;=AD$5)*('Leave Register'!$F$6:$F$305&gt;=AD$5)*('Leave Register'!$J$6:$J$305="Approved")*(ROW('Leave Register'!$B$6:$B$305)-5))))))</f>
        <v/>
      </c>
      <c r="AE8" s="83" t="str">
        <f aca="false">IF(OR($A8="",AE$5="",AE$7&lt;&gt;"W"),"",IF(SUMPRODUCT(MAX(('Leave Register'!$B$6:$B$305=$A8)*('Leave Register'!$E$6:$E$305&lt;=AE$5)*('Leave Register'!$F$6:$F$305&gt;=AE$5)*('Leave Register'!$J$6:$J$305="Approved")*(ROW('Leave Register'!$B$6:$B$305)-5)))=0,"",INDEX('Leave Register'!$D$6:$D$305,SUMPRODUCT(MAX(('Leave Register'!$B$6:$B$305=$A8)*('Leave Register'!$E$6:$E$305&lt;=AE$5)*('Leave Register'!$F$6:$F$305&gt;=AE$5)*('Leave Register'!$J$6:$J$305="Approved")*(ROW('Leave Register'!$B$6:$B$305)-5))))))</f>
        <v/>
      </c>
      <c r="AF8" s="83" t="str">
        <f aca="false">IF(OR($A8="",AF$5="",AF$7&lt;&gt;"W"),"",IF(SUMPRODUCT(MAX(('Leave Register'!$B$6:$B$305=$A8)*('Leave Register'!$E$6:$E$305&lt;=AF$5)*('Leave Register'!$F$6:$F$305&gt;=AF$5)*('Leave Register'!$J$6:$J$305="Approved")*(ROW('Leave Register'!$B$6:$B$305)-5)))=0,"",INDEX('Leave Register'!$D$6:$D$305,SUMPRODUCT(MAX(('Leave Register'!$B$6:$B$305=$A8)*('Leave Register'!$E$6:$E$305&lt;=AF$5)*('Leave Register'!$F$6:$F$305&gt;=AF$5)*('Leave Register'!$J$6:$J$305="Approved")*(ROW('Leave Register'!$B$6:$B$305)-5))))))</f>
        <v/>
      </c>
      <c r="AG8" s="83" t="str">
        <f aca="false">IF(OR($A8="",AG$5="",AG$7&lt;&gt;"W"),"",IF(SUMPRODUCT(MAX(('Leave Register'!$B$6:$B$305=$A8)*('Leave Register'!$E$6:$E$305&lt;=AG$5)*('Leave Register'!$F$6:$F$305&gt;=AG$5)*('Leave Register'!$J$6:$J$305="Approved")*(ROW('Leave Register'!$B$6:$B$305)-5)))=0,"",INDEX('Leave Register'!$D$6:$D$305,SUMPRODUCT(MAX(('Leave Register'!$B$6:$B$305=$A8)*('Leave Register'!$E$6:$E$305&lt;=AG$5)*('Leave Register'!$F$6:$F$305&gt;=AG$5)*('Leave Register'!$J$6:$J$305="Approved")*(ROW('Leave Register'!$B$6:$B$305)-5))))))</f>
        <v/>
      </c>
      <c r="AH8" s="84" t="n">
        <f aca="false">IF(A8="","",COUNTIF(C8:AG8,"?*"))</f>
        <v>0</v>
      </c>
      <c r="AJ8" s="85" t="str">
        <f aca="false">Setup!A20</f>
        <v>EL</v>
      </c>
      <c r="AK8" s="77" t="str">
        <f aca="false">Setup!B20</f>
        <v>Earned / Privilege Leave</v>
      </c>
    </row>
    <row r="9" customFormat="false" ht="15" hidden="false" customHeight="false" outlineLevel="0" collapsed="false">
      <c r="A9" s="81" t="str">
        <f aca="false">IF(Employees!$B$6="","",Employees!$B$6)</f>
        <v>XE002</v>
      </c>
      <c r="B9" s="82" t="str">
        <f aca="false">IF(A9="","",Employees!$C$6)</f>
        <v>Simran Kaur</v>
      </c>
      <c r="C9" s="83" t="str">
        <f aca="false">IF(OR($A9="",C$5="",C$7&lt;&gt;"W"),"",IF(SUMPRODUCT(MAX(('Leave Register'!$B$6:$B$305=$A9)*('Leave Register'!$E$6:$E$305&lt;=C$5)*('Leave Register'!$F$6:$F$305&gt;=C$5)*('Leave Register'!$J$6:$J$305="Approved")*(ROW('Leave Register'!$B$6:$B$305)-5)))=0,"",INDEX('Leave Register'!$D$6:$D$305,SUMPRODUCT(MAX(('Leave Register'!$B$6:$B$305=$A9)*('Leave Register'!$E$6:$E$305&lt;=C$5)*('Leave Register'!$F$6:$F$305&gt;=C$5)*('Leave Register'!$J$6:$J$305="Approved")*(ROW('Leave Register'!$B$6:$B$305)-5))))))</f>
        <v/>
      </c>
      <c r="D9" s="83" t="str">
        <f aca="false">IF(OR($A9="",D$5="",D$7&lt;&gt;"W"),"",IF(SUMPRODUCT(MAX(('Leave Register'!$B$6:$B$305=$A9)*('Leave Register'!$E$6:$E$305&lt;=D$5)*('Leave Register'!$F$6:$F$305&gt;=D$5)*('Leave Register'!$J$6:$J$305="Approved")*(ROW('Leave Register'!$B$6:$B$305)-5)))=0,"",INDEX('Leave Register'!$D$6:$D$305,SUMPRODUCT(MAX(('Leave Register'!$B$6:$B$305=$A9)*('Leave Register'!$E$6:$E$305&lt;=D$5)*('Leave Register'!$F$6:$F$305&gt;=D$5)*('Leave Register'!$J$6:$J$305="Approved")*(ROW('Leave Register'!$B$6:$B$305)-5))))))</f>
        <v/>
      </c>
      <c r="E9" s="83" t="str">
        <f aca="false">IF(OR($A9="",E$5="",E$7&lt;&gt;"W"),"",IF(SUMPRODUCT(MAX(('Leave Register'!$B$6:$B$305=$A9)*('Leave Register'!$E$6:$E$305&lt;=E$5)*('Leave Register'!$F$6:$F$305&gt;=E$5)*('Leave Register'!$J$6:$J$305="Approved")*(ROW('Leave Register'!$B$6:$B$305)-5)))=0,"",INDEX('Leave Register'!$D$6:$D$305,SUMPRODUCT(MAX(('Leave Register'!$B$6:$B$305=$A9)*('Leave Register'!$E$6:$E$305&lt;=E$5)*('Leave Register'!$F$6:$F$305&gt;=E$5)*('Leave Register'!$J$6:$J$305="Approved")*(ROW('Leave Register'!$B$6:$B$305)-5))))))</f>
        <v/>
      </c>
      <c r="F9" s="83" t="str">
        <f aca="false">IF(OR($A9="",F$5="",F$7&lt;&gt;"W"),"",IF(SUMPRODUCT(MAX(('Leave Register'!$B$6:$B$305=$A9)*('Leave Register'!$E$6:$E$305&lt;=F$5)*('Leave Register'!$F$6:$F$305&gt;=F$5)*('Leave Register'!$J$6:$J$305="Approved")*(ROW('Leave Register'!$B$6:$B$305)-5)))=0,"",INDEX('Leave Register'!$D$6:$D$305,SUMPRODUCT(MAX(('Leave Register'!$B$6:$B$305=$A9)*('Leave Register'!$E$6:$E$305&lt;=F$5)*('Leave Register'!$F$6:$F$305&gt;=F$5)*('Leave Register'!$J$6:$J$305="Approved")*(ROW('Leave Register'!$B$6:$B$305)-5))))))</f>
        <v/>
      </c>
      <c r="G9" s="83" t="str">
        <f aca="false">IF(OR($A9="",G$5="",G$7&lt;&gt;"W"),"",IF(SUMPRODUCT(MAX(('Leave Register'!$B$6:$B$305=$A9)*('Leave Register'!$E$6:$E$305&lt;=G$5)*('Leave Register'!$F$6:$F$305&gt;=G$5)*('Leave Register'!$J$6:$J$305="Approved")*(ROW('Leave Register'!$B$6:$B$305)-5)))=0,"",INDEX('Leave Register'!$D$6:$D$305,SUMPRODUCT(MAX(('Leave Register'!$B$6:$B$305=$A9)*('Leave Register'!$E$6:$E$305&lt;=G$5)*('Leave Register'!$F$6:$F$305&gt;=G$5)*('Leave Register'!$J$6:$J$305="Approved")*(ROW('Leave Register'!$B$6:$B$305)-5))))))</f>
        <v/>
      </c>
      <c r="H9" s="83" t="str">
        <f aca="false">IF(OR($A9="",H$5="",H$7&lt;&gt;"W"),"",IF(SUMPRODUCT(MAX(('Leave Register'!$B$6:$B$305=$A9)*('Leave Register'!$E$6:$E$305&lt;=H$5)*('Leave Register'!$F$6:$F$305&gt;=H$5)*('Leave Register'!$J$6:$J$305="Approved")*(ROW('Leave Register'!$B$6:$B$305)-5)))=0,"",INDEX('Leave Register'!$D$6:$D$305,SUMPRODUCT(MAX(('Leave Register'!$B$6:$B$305=$A9)*('Leave Register'!$E$6:$E$305&lt;=H$5)*('Leave Register'!$F$6:$F$305&gt;=H$5)*('Leave Register'!$J$6:$J$305="Approved")*(ROW('Leave Register'!$B$6:$B$305)-5))))))</f>
        <v/>
      </c>
      <c r="I9" s="83" t="str">
        <f aca="false">IF(OR($A9="",I$5="",I$7&lt;&gt;"W"),"",IF(SUMPRODUCT(MAX(('Leave Register'!$B$6:$B$305=$A9)*('Leave Register'!$E$6:$E$305&lt;=I$5)*('Leave Register'!$F$6:$F$305&gt;=I$5)*('Leave Register'!$J$6:$J$305="Approved")*(ROW('Leave Register'!$B$6:$B$305)-5)))=0,"",INDEX('Leave Register'!$D$6:$D$305,SUMPRODUCT(MAX(('Leave Register'!$B$6:$B$305=$A9)*('Leave Register'!$E$6:$E$305&lt;=I$5)*('Leave Register'!$F$6:$F$305&gt;=I$5)*('Leave Register'!$J$6:$J$305="Approved")*(ROW('Leave Register'!$B$6:$B$305)-5))))))</f>
        <v/>
      </c>
      <c r="J9" s="83" t="str">
        <f aca="false">IF(OR($A9="",J$5="",J$7&lt;&gt;"W"),"",IF(SUMPRODUCT(MAX(('Leave Register'!$B$6:$B$305=$A9)*('Leave Register'!$E$6:$E$305&lt;=J$5)*('Leave Register'!$F$6:$F$305&gt;=J$5)*('Leave Register'!$J$6:$J$305="Approved")*(ROW('Leave Register'!$B$6:$B$305)-5)))=0,"",INDEX('Leave Register'!$D$6:$D$305,SUMPRODUCT(MAX(('Leave Register'!$B$6:$B$305=$A9)*('Leave Register'!$E$6:$E$305&lt;=J$5)*('Leave Register'!$F$6:$F$305&gt;=J$5)*('Leave Register'!$J$6:$J$305="Approved")*(ROW('Leave Register'!$B$6:$B$305)-5))))))</f>
        <v/>
      </c>
      <c r="K9" s="83" t="str">
        <f aca="false">IF(OR($A9="",K$5="",K$7&lt;&gt;"W"),"",IF(SUMPRODUCT(MAX(('Leave Register'!$B$6:$B$305=$A9)*('Leave Register'!$E$6:$E$305&lt;=K$5)*('Leave Register'!$F$6:$F$305&gt;=K$5)*('Leave Register'!$J$6:$J$305="Approved")*(ROW('Leave Register'!$B$6:$B$305)-5)))=0,"",INDEX('Leave Register'!$D$6:$D$305,SUMPRODUCT(MAX(('Leave Register'!$B$6:$B$305=$A9)*('Leave Register'!$E$6:$E$305&lt;=K$5)*('Leave Register'!$F$6:$F$305&gt;=K$5)*('Leave Register'!$J$6:$J$305="Approved")*(ROW('Leave Register'!$B$6:$B$305)-5))))))</f>
        <v/>
      </c>
      <c r="L9" s="83" t="str">
        <f aca="false">IF(OR($A9="",L$5="",L$7&lt;&gt;"W"),"",IF(SUMPRODUCT(MAX(('Leave Register'!$B$6:$B$305=$A9)*('Leave Register'!$E$6:$E$305&lt;=L$5)*('Leave Register'!$F$6:$F$305&gt;=L$5)*('Leave Register'!$J$6:$J$305="Approved")*(ROW('Leave Register'!$B$6:$B$305)-5)))=0,"",INDEX('Leave Register'!$D$6:$D$305,SUMPRODUCT(MAX(('Leave Register'!$B$6:$B$305=$A9)*('Leave Register'!$E$6:$E$305&lt;=L$5)*('Leave Register'!$F$6:$F$305&gt;=L$5)*('Leave Register'!$J$6:$J$305="Approved")*(ROW('Leave Register'!$B$6:$B$305)-5))))))</f>
        <v/>
      </c>
      <c r="M9" s="83" t="str">
        <f aca="false">IF(OR($A9="",M$5="",M$7&lt;&gt;"W"),"",IF(SUMPRODUCT(MAX(('Leave Register'!$B$6:$B$305=$A9)*('Leave Register'!$E$6:$E$305&lt;=M$5)*('Leave Register'!$F$6:$F$305&gt;=M$5)*('Leave Register'!$J$6:$J$305="Approved")*(ROW('Leave Register'!$B$6:$B$305)-5)))=0,"",INDEX('Leave Register'!$D$6:$D$305,SUMPRODUCT(MAX(('Leave Register'!$B$6:$B$305=$A9)*('Leave Register'!$E$6:$E$305&lt;=M$5)*('Leave Register'!$F$6:$F$305&gt;=M$5)*('Leave Register'!$J$6:$J$305="Approved")*(ROW('Leave Register'!$B$6:$B$305)-5))))))</f>
        <v/>
      </c>
      <c r="N9" s="83" t="str">
        <f aca="false">IF(OR($A9="",N$5="",N$7&lt;&gt;"W"),"",IF(SUMPRODUCT(MAX(('Leave Register'!$B$6:$B$305=$A9)*('Leave Register'!$E$6:$E$305&lt;=N$5)*('Leave Register'!$F$6:$F$305&gt;=N$5)*('Leave Register'!$J$6:$J$305="Approved")*(ROW('Leave Register'!$B$6:$B$305)-5)))=0,"",INDEX('Leave Register'!$D$6:$D$305,SUMPRODUCT(MAX(('Leave Register'!$B$6:$B$305=$A9)*('Leave Register'!$E$6:$E$305&lt;=N$5)*('Leave Register'!$F$6:$F$305&gt;=N$5)*('Leave Register'!$J$6:$J$305="Approved")*(ROW('Leave Register'!$B$6:$B$305)-5))))))</f>
        <v/>
      </c>
      <c r="O9" s="83" t="str">
        <f aca="false">IF(OR($A9="",O$5="",O$7&lt;&gt;"W"),"",IF(SUMPRODUCT(MAX(('Leave Register'!$B$6:$B$305=$A9)*('Leave Register'!$E$6:$E$305&lt;=O$5)*('Leave Register'!$F$6:$F$305&gt;=O$5)*('Leave Register'!$J$6:$J$305="Approved")*(ROW('Leave Register'!$B$6:$B$305)-5)))=0,"",INDEX('Leave Register'!$D$6:$D$305,SUMPRODUCT(MAX(('Leave Register'!$B$6:$B$305=$A9)*('Leave Register'!$E$6:$E$305&lt;=O$5)*('Leave Register'!$F$6:$F$305&gt;=O$5)*('Leave Register'!$J$6:$J$305="Approved")*(ROW('Leave Register'!$B$6:$B$305)-5))))))</f>
        <v/>
      </c>
      <c r="P9" s="83" t="str">
        <f aca="false">IF(OR($A9="",P$5="",P$7&lt;&gt;"W"),"",IF(SUMPRODUCT(MAX(('Leave Register'!$B$6:$B$305=$A9)*('Leave Register'!$E$6:$E$305&lt;=P$5)*('Leave Register'!$F$6:$F$305&gt;=P$5)*('Leave Register'!$J$6:$J$305="Approved")*(ROW('Leave Register'!$B$6:$B$305)-5)))=0,"",INDEX('Leave Register'!$D$6:$D$305,SUMPRODUCT(MAX(('Leave Register'!$B$6:$B$305=$A9)*('Leave Register'!$E$6:$E$305&lt;=P$5)*('Leave Register'!$F$6:$F$305&gt;=P$5)*('Leave Register'!$J$6:$J$305="Approved")*(ROW('Leave Register'!$B$6:$B$305)-5))))))</f>
        <v/>
      </c>
      <c r="Q9" s="83" t="str">
        <f aca="false">IF(OR($A9="",Q$5="",Q$7&lt;&gt;"W"),"",IF(SUMPRODUCT(MAX(('Leave Register'!$B$6:$B$305=$A9)*('Leave Register'!$E$6:$E$305&lt;=Q$5)*('Leave Register'!$F$6:$F$305&gt;=Q$5)*('Leave Register'!$J$6:$J$305="Approved")*(ROW('Leave Register'!$B$6:$B$305)-5)))=0,"",INDEX('Leave Register'!$D$6:$D$305,SUMPRODUCT(MAX(('Leave Register'!$B$6:$B$305=$A9)*('Leave Register'!$E$6:$E$305&lt;=Q$5)*('Leave Register'!$F$6:$F$305&gt;=Q$5)*('Leave Register'!$J$6:$J$305="Approved")*(ROW('Leave Register'!$B$6:$B$305)-5))))))</f>
        <v/>
      </c>
      <c r="R9" s="83" t="str">
        <f aca="false">IF(OR($A9="",R$5="",R$7&lt;&gt;"W"),"",IF(SUMPRODUCT(MAX(('Leave Register'!$B$6:$B$305=$A9)*('Leave Register'!$E$6:$E$305&lt;=R$5)*('Leave Register'!$F$6:$F$305&gt;=R$5)*('Leave Register'!$J$6:$J$305="Approved")*(ROW('Leave Register'!$B$6:$B$305)-5)))=0,"",INDEX('Leave Register'!$D$6:$D$305,SUMPRODUCT(MAX(('Leave Register'!$B$6:$B$305=$A9)*('Leave Register'!$E$6:$E$305&lt;=R$5)*('Leave Register'!$F$6:$F$305&gt;=R$5)*('Leave Register'!$J$6:$J$305="Approved")*(ROW('Leave Register'!$B$6:$B$305)-5))))))</f>
        <v/>
      </c>
      <c r="S9" s="83" t="str">
        <f aca="false">IF(OR($A9="",S$5="",S$7&lt;&gt;"W"),"",IF(SUMPRODUCT(MAX(('Leave Register'!$B$6:$B$305=$A9)*('Leave Register'!$E$6:$E$305&lt;=S$5)*('Leave Register'!$F$6:$F$305&gt;=S$5)*('Leave Register'!$J$6:$J$305="Approved")*(ROW('Leave Register'!$B$6:$B$305)-5)))=0,"",INDEX('Leave Register'!$D$6:$D$305,SUMPRODUCT(MAX(('Leave Register'!$B$6:$B$305=$A9)*('Leave Register'!$E$6:$E$305&lt;=S$5)*('Leave Register'!$F$6:$F$305&gt;=S$5)*('Leave Register'!$J$6:$J$305="Approved")*(ROW('Leave Register'!$B$6:$B$305)-5))))))</f>
        <v/>
      </c>
      <c r="T9" s="83" t="str">
        <f aca="false">IF(OR($A9="",T$5="",T$7&lt;&gt;"W"),"",IF(SUMPRODUCT(MAX(('Leave Register'!$B$6:$B$305=$A9)*('Leave Register'!$E$6:$E$305&lt;=T$5)*('Leave Register'!$F$6:$F$305&gt;=T$5)*('Leave Register'!$J$6:$J$305="Approved")*(ROW('Leave Register'!$B$6:$B$305)-5)))=0,"",INDEX('Leave Register'!$D$6:$D$305,SUMPRODUCT(MAX(('Leave Register'!$B$6:$B$305=$A9)*('Leave Register'!$E$6:$E$305&lt;=T$5)*('Leave Register'!$F$6:$F$305&gt;=T$5)*('Leave Register'!$J$6:$J$305="Approved")*(ROW('Leave Register'!$B$6:$B$305)-5))))))</f>
        <v/>
      </c>
      <c r="U9" s="83" t="str">
        <f aca="false">IF(OR($A9="",U$5="",U$7&lt;&gt;"W"),"",IF(SUMPRODUCT(MAX(('Leave Register'!$B$6:$B$305=$A9)*('Leave Register'!$E$6:$E$305&lt;=U$5)*('Leave Register'!$F$6:$F$305&gt;=U$5)*('Leave Register'!$J$6:$J$305="Approved")*(ROW('Leave Register'!$B$6:$B$305)-5)))=0,"",INDEX('Leave Register'!$D$6:$D$305,SUMPRODUCT(MAX(('Leave Register'!$B$6:$B$305=$A9)*('Leave Register'!$E$6:$E$305&lt;=U$5)*('Leave Register'!$F$6:$F$305&gt;=U$5)*('Leave Register'!$J$6:$J$305="Approved")*(ROW('Leave Register'!$B$6:$B$305)-5))))))</f>
        <v/>
      </c>
      <c r="V9" s="83" t="str">
        <f aca="false">IF(OR($A9="",V$5="",V$7&lt;&gt;"W"),"",IF(SUMPRODUCT(MAX(('Leave Register'!$B$6:$B$305=$A9)*('Leave Register'!$E$6:$E$305&lt;=V$5)*('Leave Register'!$F$6:$F$305&gt;=V$5)*('Leave Register'!$J$6:$J$305="Approved")*(ROW('Leave Register'!$B$6:$B$305)-5)))=0,"",INDEX('Leave Register'!$D$6:$D$305,SUMPRODUCT(MAX(('Leave Register'!$B$6:$B$305=$A9)*('Leave Register'!$E$6:$E$305&lt;=V$5)*('Leave Register'!$F$6:$F$305&gt;=V$5)*('Leave Register'!$J$6:$J$305="Approved")*(ROW('Leave Register'!$B$6:$B$305)-5))))))</f>
        <v/>
      </c>
      <c r="W9" s="83" t="str">
        <f aca="false">IF(OR($A9="",W$5="",W$7&lt;&gt;"W"),"",IF(SUMPRODUCT(MAX(('Leave Register'!$B$6:$B$305=$A9)*('Leave Register'!$E$6:$E$305&lt;=W$5)*('Leave Register'!$F$6:$F$305&gt;=W$5)*('Leave Register'!$J$6:$J$305="Approved")*(ROW('Leave Register'!$B$6:$B$305)-5)))=0,"",INDEX('Leave Register'!$D$6:$D$305,SUMPRODUCT(MAX(('Leave Register'!$B$6:$B$305=$A9)*('Leave Register'!$E$6:$E$305&lt;=W$5)*('Leave Register'!$F$6:$F$305&gt;=W$5)*('Leave Register'!$J$6:$J$305="Approved")*(ROW('Leave Register'!$B$6:$B$305)-5))))))</f>
        <v/>
      </c>
      <c r="X9" s="83" t="str">
        <f aca="false">IF(OR($A9="",X$5="",X$7&lt;&gt;"W"),"",IF(SUMPRODUCT(MAX(('Leave Register'!$B$6:$B$305=$A9)*('Leave Register'!$E$6:$E$305&lt;=X$5)*('Leave Register'!$F$6:$F$305&gt;=X$5)*('Leave Register'!$J$6:$J$305="Approved")*(ROW('Leave Register'!$B$6:$B$305)-5)))=0,"",INDEX('Leave Register'!$D$6:$D$305,SUMPRODUCT(MAX(('Leave Register'!$B$6:$B$305=$A9)*('Leave Register'!$E$6:$E$305&lt;=X$5)*('Leave Register'!$F$6:$F$305&gt;=X$5)*('Leave Register'!$J$6:$J$305="Approved")*(ROW('Leave Register'!$B$6:$B$305)-5))))))</f>
        <v/>
      </c>
      <c r="Y9" s="83" t="str">
        <f aca="false">IF(OR($A9="",Y$5="",Y$7&lt;&gt;"W"),"",IF(SUMPRODUCT(MAX(('Leave Register'!$B$6:$B$305=$A9)*('Leave Register'!$E$6:$E$305&lt;=Y$5)*('Leave Register'!$F$6:$F$305&gt;=Y$5)*('Leave Register'!$J$6:$J$305="Approved")*(ROW('Leave Register'!$B$6:$B$305)-5)))=0,"",INDEX('Leave Register'!$D$6:$D$305,SUMPRODUCT(MAX(('Leave Register'!$B$6:$B$305=$A9)*('Leave Register'!$E$6:$E$305&lt;=Y$5)*('Leave Register'!$F$6:$F$305&gt;=Y$5)*('Leave Register'!$J$6:$J$305="Approved")*(ROW('Leave Register'!$B$6:$B$305)-5))))))</f>
        <v/>
      </c>
      <c r="Z9" s="83" t="str">
        <f aca="false">IF(OR($A9="",Z$5="",Z$7&lt;&gt;"W"),"",IF(SUMPRODUCT(MAX(('Leave Register'!$B$6:$B$305=$A9)*('Leave Register'!$E$6:$E$305&lt;=Z$5)*('Leave Register'!$F$6:$F$305&gt;=Z$5)*('Leave Register'!$J$6:$J$305="Approved")*(ROW('Leave Register'!$B$6:$B$305)-5)))=0,"",INDEX('Leave Register'!$D$6:$D$305,SUMPRODUCT(MAX(('Leave Register'!$B$6:$B$305=$A9)*('Leave Register'!$E$6:$E$305&lt;=Z$5)*('Leave Register'!$F$6:$F$305&gt;=Z$5)*('Leave Register'!$J$6:$J$305="Approved")*(ROW('Leave Register'!$B$6:$B$305)-5))))))</f>
        <v/>
      </c>
      <c r="AA9" s="83" t="str">
        <f aca="false">IF(OR($A9="",AA$5="",AA$7&lt;&gt;"W"),"",IF(SUMPRODUCT(MAX(('Leave Register'!$B$6:$B$305=$A9)*('Leave Register'!$E$6:$E$305&lt;=AA$5)*('Leave Register'!$F$6:$F$305&gt;=AA$5)*('Leave Register'!$J$6:$J$305="Approved")*(ROW('Leave Register'!$B$6:$B$305)-5)))=0,"",INDEX('Leave Register'!$D$6:$D$305,SUMPRODUCT(MAX(('Leave Register'!$B$6:$B$305=$A9)*('Leave Register'!$E$6:$E$305&lt;=AA$5)*('Leave Register'!$F$6:$F$305&gt;=AA$5)*('Leave Register'!$J$6:$J$305="Approved")*(ROW('Leave Register'!$B$6:$B$305)-5))))))</f>
        <v/>
      </c>
      <c r="AB9" s="83" t="str">
        <f aca="false">IF(OR($A9="",AB$5="",AB$7&lt;&gt;"W"),"",IF(SUMPRODUCT(MAX(('Leave Register'!$B$6:$B$305=$A9)*('Leave Register'!$E$6:$E$305&lt;=AB$5)*('Leave Register'!$F$6:$F$305&gt;=AB$5)*('Leave Register'!$J$6:$J$305="Approved")*(ROW('Leave Register'!$B$6:$B$305)-5)))=0,"",INDEX('Leave Register'!$D$6:$D$305,SUMPRODUCT(MAX(('Leave Register'!$B$6:$B$305=$A9)*('Leave Register'!$E$6:$E$305&lt;=AB$5)*('Leave Register'!$F$6:$F$305&gt;=AB$5)*('Leave Register'!$J$6:$J$305="Approved")*(ROW('Leave Register'!$B$6:$B$305)-5))))))</f>
        <v/>
      </c>
      <c r="AC9" s="83" t="str">
        <f aca="false">IF(OR($A9="",AC$5="",AC$7&lt;&gt;"W"),"",IF(SUMPRODUCT(MAX(('Leave Register'!$B$6:$B$305=$A9)*('Leave Register'!$E$6:$E$305&lt;=AC$5)*('Leave Register'!$F$6:$F$305&gt;=AC$5)*('Leave Register'!$J$6:$J$305="Approved")*(ROW('Leave Register'!$B$6:$B$305)-5)))=0,"",INDEX('Leave Register'!$D$6:$D$305,SUMPRODUCT(MAX(('Leave Register'!$B$6:$B$305=$A9)*('Leave Register'!$E$6:$E$305&lt;=AC$5)*('Leave Register'!$F$6:$F$305&gt;=AC$5)*('Leave Register'!$J$6:$J$305="Approved")*(ROW('Leave Register'!$B$6:$B$305)-5))))))</f>
        <v/>
      </c>
      <c r="AD9" s="83" t="str">
        <f aca="false">IF(OR($A9="",AD$5="",AD$7&lt;&gt;"W"),"",IF(SUMPRODUCT(MAX(('Leave Register'!$B$6:$B$305=$A9)*('Leave Register'!$E$6:$E$305&lt;=AD$5)*('Leave Register'!$F$6:$F$305&gt;=AD$5)*('Leave Register'!$J$6:$J$305="Approved")*(ROW('Leave Register'!$B$6:$B$305)-5)))=0,"",INDEX('Leave Register'!$D$6:$D$305,SUMPRODUCT(MAX(('Leave Register'!$B$6:$B$305=$A9)*('Leave Register'!$E$6:$E$305&lt;=AD$5)*('Leave Register'!$F$6:$F$305&gt;=AD$5)*('Leave Register'!$J$6:$J$305="Approved")*(ROW('Leave Register'!$B$6:$B$305)-5))))))</f>
        <v/>
      </c>
      <c r="AE9" s="83" t="str">
        <f aca="false">IF(OR($A9="",AE$5="",AE$7&lt;&gt;"W"),"",IF(SUMPRODUCT(MAX(('Leave Register'!$B$6:$B$305=$A9)*('Leave Register'!$E$6:$E$305&lt;=AE$5)*('Leave Register'!$F$6:$F$305&gt;=AE$5)*('Leave Register'!$J$6:$J$305="Approved")*(ROW('Leave Register'!$B$6:$B$305)-5)))=0,"",INDEX('Leave Register'!$D$6:$D$305,SUMPRODUCT(MAX(('Leave Register'!$B$6:$B$305=$A9)*('Leave Register'!$E$6:$E$305&lt;=AE$5)*('Leave Register'!$F$6:$F$305&gt;=AE$5)*('Leave Register'!$J$6:$J$305="Approved")*(ROW('Leave Register'!$B$6:$B$305)-5))))))</f>
        <v/>
      </c>
      <c r="AF9" s="83" t="str">
        <f aca="false">IF(OR($A9="",AF$5="",AF$7&lt;&gt;"W"),"",IF(SUMPRODUCT(MAX(('Leave Register'!$B$6:$B$305=$A9)*('Leave Register'!$E$6:$E$305&lt;=AF$5)*('Leave Register'!$F$6:$F$305&gt;=AF$5)*('Leave Register'!$J$6:$J$305="Approved")*(ROW('Leave Register'!$B$6:$B$305)-5)))=0,"",INDEX('Leave Register'!$D$6:$D$305,SUMPRODUCT(MAX(('Leave Register'!$B$6:$B$305=$A9)*('Leave Register'!$E$6:$E$305&lt;=AF$5)*('Leave Register'!$F$6:$F$305&gt;=AF$5)*('Leave Register'!$J$6:$J$305="Approved")*(ROW('Leave Register'!$B$6:$B$305)-5))))))</f>
        <v/>
      </c>
      <c r="AG9" s="83" t="str">
        <f aca="false">IF(OR($A9="",AG$5="",AG$7&lt;&gt;"W"),"",IF(SUMPRODUCT(MAX(('Leave Register'!$B$6:$B$305=$A9)*('Leave Register'!$E$6:$E$305&lt;=AG$5)*('Leave Register'!$F$6:$F$305&gt;=AG$5)*('Leave Register'!$J$6:$J$305="Approved")*(ROW('Leave Register'!$B$6:$B$305)-5)))=0,"",INDEX('Leave Register'!$D$6:$D$305,SUMPRODUCT(MAX(('Leave Register'!$B$6:$B$305=$A9)*('Leave Register'!$E$6:$E$305&lt;=AG$5)*('Leave Register'!$F$6:$F$305&gt;=AG$5)*('Leave Register'!$J$6:$J$305="Approved")*(ROW('Leave Register'!$B$6:$B$305)-5))))))</f>
        <v/>
      </c>
      <c r="AH9" s="84" t="n">
        <f aca="false">IF(A9="","",COUNTIF(C9:AG9,"?*"))</f>
        <v>0</v>
      </c>
      <c r="AJ9" s="86" t="str">
        <f aca="false">Setup!A21</f>
        <v>CO</v>
      </c>
      <c r="AK9" s="77" t="str">
        <f aca="false">Setup!B21</f>
        <v>Compensatory Off</v>
      </c>
    </row>
    <row r="10" customFormat="false" ht="15" hidden="false" customHeight="false" outlineLevel="0" collapsed="false">
      <c r="A10" s="81" t="str">
        <f aca="false">IF(Employees!$B$7="","",Employees!$B$7)</f>
        <v>XE003</v>
      </c>
      <c r="B10" s="82" t="str">
        <f aca="false">IF(A10="","",Employees!$C$7)</f>
        <v>Amit Verma</v>
      </c>
      <c r="C10" s="83" t="str">
        <f aca="false">IF(OR($A10="",C$5="",C$7&lt;&gt;"W"),"",IF(SUMPRODUCT(MAX(('Leave Register'!$B$6:$B$305=$A10)*('Leave Register'!$E$6:$E$305&lt;=C$5)*('Leave Register'!$F$6:$F$305&gt;=C$5)*('Leave Register'!$J$6:$J$305="Approved")*(ROW('Leave Register'!$B$6:$B$305)-5)))=0,"",INDEX('Leave Register'!$D$6:$D$305,SUMPRODUCT(MAX(('Leave Register'!$B$6:$B$305=$A10)*('Leave Register'!$E$6:$E$305&lt;=C$5)*('Leave Register'!$F$6:$F$305&gt;=C$5)*('Leave Register'!$J$6:$J$305="Approved")*(ROW('Leave Register'!$B$6:$B$305)-5))))))</f>
        <v/>
      </c>
      <c r="D10" s="83" t="str">
        <f aca="false">IF(OR($A10="",D$5="",D$7&lt;&gt;"W"),"",IF(SUMPRODUCT(MAX(('Leave Register'!$B$6:$B$305=$A10)*('Leave Register'!$E$6:$E$305&lt;=D$5)*('Leave Register'!$F$6:$F$305&gt;=D$5)*('Leave Register'!$J$6:$J$305="Approved")*(ROW('Leave Register'!$B$6:$B$305)-5)))=0,"",INDEX('Leave Register'!$D$6:$D$305,SUMPRODUCT(MAX(('Leave Register'!$B$6:$B$305=$A10)*('Leave Register'!$E$6:$E$305&lt;=D$5)*('Leave Register'!$F$6:$F$305&gt;=D$5)*('Leave Register'!$J$6:$J$305="Approved")*(ROW('Leave Register'!$B$6:$B$305)-5))))))</f>
        <v/>
      </c>
      <c r="E10" s="83" t="str">
        <f aca="false">IF(OR($A10="",E$5="",E$7&lt;&gt;"W"),"",IF(SUMPRODUCT(MAX(('Leave Register'!$B$6:$B$305=$A10)*('Leave Register'!$E$6:$E$305&lt;=E$5)*('Leave Register'!$F$6:$F$305&gt;=E$5)*('Leave Register'!$J$6:$J$305="Approved")*(ROW('Leave Register'!$B$6:$B$305)-5)))=0,"",INDEX('Leave Register'!$D$6:$D$305,SUMPRODUCT(MAX(('Leave Register'!$B$6:$B$305=$A10)*('Leave Register'!$E$6:$E$305&lt;=E$5)*('Leave Register'!$F$6:$F$305&gt;=E$5)*('Leave Register'!$J$6:$J$305="Approved")*(ROW('Leave Register'!$B$6:$B$305)-5))))))</f>
        <v/>
      </c>
      <c r="F10" s="83" t="str">
        <f aca="false">IF(OR($A10="",F$5="",F$7&lt;&gt;"W"),"",IF(SUMPRODUCT(MAX(('Leave Register'!$B$6:$B$305=$A10)*('Leave Register'!$E$6:$E$305&lt;=F$5)*('Leave Register'!$F$6:$F$305&gt;=F$5)*('Leave Register'!$J$6:$J$305="Approved")*(ROW('Leave Register'!$B$6:$B$305)-5)))=0,"",INDEX('Leave Register'!$D$6:$D$305,SUMPRODUCT(MAX(('Leave Register'!$B$6:$B$305=$A10)*('Leave Register'!$E$6:$E$305&lt;=F$5)*('Leave Register'!$F$6:$F$305&gt;=F$5)*('Leave Register'!$J$6:$J$305="Approved")*(ROW('Leave Register'!$B$6:$B$305)-5))))))</f>
        <v/>
      </c>
      <c r="G10" s="83" t="str">
        <f aca="false">IF(OR($A10="",G$5="",G$7&lt;&gt;"W"),"",IF(SUMPRODUCT(MAX(('Leave Register'!$B$6:$B$305=$A10)*('Leave Register'!$E$6:$E$305&lt;=G$5)*('Leave Register'!$F$6:$F$305&gt;=G$5)*('Leave Register'!$J$6:$J$305="Approved")*(ROW('Leave Register'!$B$6:$B$305)-5)))=0,"",INDEX('Leave Register'!$D$6:$D$305,SUMPRODUCT(MAX(('Leave Register'!$B$6:$B$305=$A10)*('Leave Register'!$E$6:$E$305&lt;=G$5)*('Leave Register'!$F$6:$F$305&gt;=G$5)*('Leave Register'!$J$6:$J$305="Approved")*(ROW('Leave Register'!$B$6:$B$305)-5))))))</f>
        <v/>
      </c>
      <c r="H10" s="83" t="str">
        <f aca="false">IF(OR($A10="",H$5="",H$7&lt;&gt;"W"),"",IF(SUMPRODUCT(MAX(('Leave Register'!$B$6:$B$305=$A10)*('Leave Register'!$E$6:$E$305&lt;=H$5)*('Leave Register'!$F$6:$F$305&gt;=H$5)*('Leave Register'!$J$6:$J$305="Approved")*(ROW('Leave Register'!$B$6:$B$305)-5)))=0,"",INDEX('Leave Register'!$D$6:$D$305,SUMPRODUCT(MAX(('Leave Register'!$B$6:$B$305=$A10)*('Leave Register'!$E$6:$E$305&lt;=H$5)*('Leave Register'!$F$6:$F$305&gt;=H$5)*('Leave Register'!$J$6:$J$305="Approved")*(ROW('Leave Register'!$B$6:$B$305)-5))))))</f>
        <v/>
      </c>
      <c r="I10" s="83" t="str">
        <f aca="false">IF(OR($A10="",I$5="",I$7&lt;&gt;"W"),"",IF(SUMPRODUCT(MAX(('Leave Register'!$B$6:$B$305=$A10)*('Leave Register'!$E$6:$E$305&lt;=I$5)*('Leave Register'!$F$6:$F$305&gt;=I$5)*('Leave Register'!$J$6:$J$305="Approved")*(ROW('Leave Register'!$B$6:$B$305)-5)))=0,"",INDEX('Leave Register'!$D$6:$D$305,SUMPRODUCT(MAX(('Leave Register'!$B$6:$B$305=$A10)*('Leave Register'!$E$6:$E$305&lt;=I$5)*('Leave Register'!$F$6:$F$305&gt;=I$5)*('Leave Register'!$J$6:$J$305="Approved")*(ROW('Leave Register'!$B$6:$B$305)-5))))))</f>
        <v/>
      </c>
      <c r="J10" s="83" t="str">
        <f aca="false">IF(OR($A10="",J$5="",J$7&lt;&gt;"W"),"",IF(SUMPRODUCT(MAX(('Leave Register'!$B$6:$B$305=$A10)*('Leave Register'!$E$6:$E$305&lt;=J$5)*('Leave Register'!$F$6:$F$305&gt;=J$5)*('Leave Register'!$J$6:$J$305="Approved")*(ROW('Leave Register'!$B$6:$B$305)-5)))=0,"",INDEX('Leave Register'!$D$6:$D$305,SUMPRODUCT(MAX(('Leave Register'!$B$6:$B$305=$A10)*('Leave Register'!$E$6:$E$305&lt;=J$5)*('Leave Register'!$F$6:$F$305&gt;=J$5)*('Leave Register'!$J$6:$J$305="Approved")*(ROW('Leave Register'!$B$6:$B$305)-5))))))</f>
        <v/>
      </c>
      <c r="K10" s="83" t="str">
        <f aca="false">IF(OR($A10="",K$5="",K$7&lt;&gt;"W"),"",IF(SUMPRODUCT(MAX(('Leave Register'!$B$6:$B$305=$A10)*('Leave Register'!$E$6:$E$305&lt;=K$5)*('Leave Register'!$F$6:$F$305&gt;=K$5)*('Leave Register'!$J$6:$J$305="Approved")*(ROW('Leave Register'!$B$6:$B$305)-5)))=0,"",INDEX('Leave Register'!$D$6:$D$305,SUMPRODUCT(MAX(('Leave Register'!$B$6:$B$305=$A10)*('Leave Register'!$E$6:$E$305&lt;=K$5)*('Leave Register'!$F$6:$F$305&gt;=K$5)*('Leave Register'!$J$6:$J$305="Approved")*(ROW('Leave Register'!$B$6:$B$305)-5))))))</f>
        <v/>
      </c>
      <c r="L10" s="83" t="str">
        <f aca="false">IF(OR($A10="",L$5="",L$7&lt;&gt;"W"),"",IF(SUMPRODUCT(MAX(('Leave Register'!$B$6:$B$305=$A10)*('Leave Register'!$E$6:$E$305&lt;=L$5)*('Leave Register'!$F$6:$F$305&gt;=L$5)*('Leave Register'!$J$6:$J$305="Approved")*(ROW('Leave Register'!$B$6:$B$305)-5)))=0,"",INDEX('Leave Register'!$D$6:$D$305,SUMPRODUCT(MAX(('Leave Register'!$B$6:$B$305=$A10)*('Leave Register'!$E$6:$E$305&lt;=L$5)*('Leave Register'!$F$6:$F$305&gt;=L$5)*('Leave Register'!$J$6:$J$305="Approved")*(ROW('Leave Register'!$B$6:$B$305)-5))))))</f>
        <v/>
      </c>
      <c r="M10" s="83" t="str">
        <f aca="false">IF(OR($A10="",M$5="",M$7&lt;&gt;"W"),"",IF(SUMPRODUCT(MAX(('Leave Register'!$B$6:$B$305=$A10)*('Leave Register'!$E$6:$E$305&lt;=M$5)*('Leave Register'!$F$6:$F$305&gt;=M$5)*('Leave Register'!$J$6:$J$305="Approved")*(ROW('Leave Register'!$B$6:$B$305)-5)))=0,"",INDEX('Leave Register'!$D$6:$D$305,SUMPRODUCT(MAX(('Leave Register'!$B$6:$B$305=$A10)*('Leave Register'!$E$6:$E$305&lt;=M$5)*('Leave Register'!$F$6:$F$305&gt;=M$5)*('Leave Register'!$J$6:$J$305="Approved")*(ROW('Leave Register'!$B$6:$B$305)-5))))))</f>
        <v/>
      </c>
      <c r="N10" s="83" t="str">
        <f aca="false">IF(OR($A10="",N$5="",N$7&lt;&gt;"W"),"",IF(SUMPRODUCT(MAX(('Leave Register'!$B$6:$B$305=$A10)*('Leave Register'!$E$6:$E$305&lt;=N$5)*('Leave Register'!$F$6:$F$305&gt;=N$5)*('Leave Register'!$J$6:$J$305="Approved")*(ROW('Leave Register'!$B$6:$B$305)-5)))=0,"",INDEX('Leave Register'!$D$6:$D$305,SUMPRODUCT(MAX(('Leave Register'!$B$6:$B$305=$A10)*('Leave Register'!$E$6:$E$305&lt;=N$5)*('Leave Register'!$F$6:$F$305&gt;=N$5)*('Leave Register'!$J$6:$J$305="Approved")*(ROW('Leave Register'!$B$6:$B$305)-5))))))</f>
        <v/>
      </c>
      <c r="O10" s="83" t="str">
        <f aca="false">IF(OR($A10="",O$5="",O$7&lt;&gt;"W"),"",IF(SUMPRODUCT(MAX(('Leave Register'!$B$6:$B$305=$A10)*('Leave Register'!$E$6:$E$305&lt;=O$5)*('Leave Register'!$F$6:$F$305&gt;=O$5)*('Leave Register'!$J$6:$J$305="Approved")*(ROW('Leave Register'!$B$6:$B$305)-5)))=0,"",INDEX('Leave Register'!$D$6:$D$305,SUMPRODUCT(MAX(('Leave Register'!$B$6:$B$305=$A10)*('Leave Register'!$E$6:$E$305&lt;=O$5)*('Leave Register'!$F$6:$F$305&gt;=O$5)*('Leave Register'!$J$6:$J$305="Approved")*(ROW('Leave Register'!$B$6:$B$305)-5))))))</f>
        <v/>
      </c>
      <c r="P10" s="83" t="str">
        <f aca="false">IF(OR($A10="",P$5="",P$7&lt;&gt;"W"),"",IF(SUMPRODUCT(MAX(('Leave Register'!$B$6:$B$305=$A10)*('Leave Register'!$E$6:$E$305&lt;=P$5)*('Leave Register'!$F$6:$F$305&gt;=P$5)*('Leave Register'!$J$6:$J$305="Approved")*(ROW('Leave Register'!$B$6:$B$305)-5)))=0,"",INDEX('Leave Register'!$D$6:$D$305,SUMPRODUCT(MAX(('Leave Register'!$B$6:$B$305=$A10)*('Leave Register'!$E$6:$E$305&lt;=P$5)*('Leave Register'!$F$6:$F$305&gt;=P$5)*('Leave Register'!$J$6:$J$305="Approved")*(ROW('Leave Register'!$B$6:$B$305)-5))))))</f>
        <v/>
      </c>
      <c r="Q10" s="83" t="str">
        <f aca="false">IF(OR($A10="",Q$5="",Q$7&lt;&gt;"W"),"",IF(SUMPRODUCT(MAX(('Leave Register'!$B$6:$B$305=$A10)*('Leave Register'!$E$6:$E$305&lt;=Q$5)*('Leave Register'!$F$6:$F$305&gt;=Q$5)*('Leave Register'!$J$6:$J$305="Approved")*(ROW('Leave Register'!$B$6:$B$305)-5)))=0,"",INDEX('Leave Register'!$D$6:$D$305,SUMPRODUCT(MAX(('Leave Register'!$B$6:$B$305=$A10)*('Leave Register'!$E$6:$E$305&lt;=Q$5)*('Leave Register'!$F$6:$F$305&gt;=Q$5)*('Leave Register'!$J$6:$J$305="Approved")*(ROW('Leave Register'!$B$6:$B$305)-5))))))</f>
        <v/>
      </c>
      <c r="R10" s="83" t="str">
        <f aca="false">IF(OR($A10="",R$5="",R$7&lt;&gt;"W"),"",IF(SUMPRODUCT(MAX(('Leave Register'!$B$6:$B$305=$A10)*('Leave Register'!$E$6:$E$305&lt;=R$5)*('Leave Register'!$F$6:$F$305&gt;=R$5)*('Leave Register'!$J$6:$J$305="Approved")*(ROW('Leave Register'!$B$6:$B$305)-5)))=0,"",INDEX('Leave Register'!$D$6:$D$305,SUMPRODUCT(MAX(('Leave Register'!$B$6:$B$305=$A10)*('Leave Register'!$E$6:$E$305&lt;=R$5)*('Leave Register'!$F$6:$F$305&gt;=R$5)*('Leave Register'!$J$6:$J$305="Approved")*(ROW('Leave Register'!$B$6:$B$305)-5))))))</f>
        <v/>
      </c>
      <c r="S10" s="83" t="str">
        <f aca="false">IF(OR($A10="",S$5="",S$7&lt;&gt;"W"),"",IF(SUMPRODUCT(MAX(('Leave Register'!$B$6:$B$305=$A10)*('Leave Register'!$E$6:$E$305&lt;=S$5)*('Leave Register'!$F$6:$F$305&gt;=S$5)*('Leave Register'!$J$6:$J$305="Approved")*(ROW('Leave Register'!$B$6:$B$305)-5)))=0,"",INDEX('Leave Register'!$D$6:$D$305,SUMPRODUCT(MAX(('Leave Register'!$B$6:$B$305=$A10)*('Leave Register'!$E$6:$E$305&lt;=S$5)*('Leave Register'!$F$6:$F$305&gt;=S$5)*('Leave Register'!$J$6:$J$305="Approved")*(ROW('Leave Register'!$B$6:$B$305)-5))))))</f>
        <v/>
      </c>
      <c r="T10" s="83" t="str">
        <f aca="false">IF(OR($A10="",T$5="",T$7&lt;&gt;"W"),"",IF(SUMPRODUCT(MAX(('Leave Register'!$B$6:$B$305=$A10)*('Leave Register'!$E$6:$E$305&lt;=T$5)*('Leave Register'!$F$6:$F$305&gt;=T$5)*('Leave Register'!$J$6:$J$305="Approved")*(ROW('Leave Register'!$B$6:$B$305)-5)))=0,"",INDEX('Leave Register'!$D$6:$D$305,SUMPRODUCT(MAX(('Leave Register'!$B$6:$B$305=$A10)*('Leave Register'!$E$6:$E$305&lt;=T$5)*('Leave Register'!$F$6:$F$305&gt;=T$5)*('Leave Register'!$J$6:$J$305="Approved")*(ROW('Leave Register'!$B$6:$B$305)-5))))))</f>
        <v/>
      </c>
      <c r="U10" s="83" t="str">
        <f aca="false">IF(OR($A10="",U$5="",U$7&lt;&gt;"W"),"",IF(SUMPRODUCT(MAX(('Leave Register'!$B$6:$B$305=$A10)*('Leave Register'!$E$6:$E$305&lt;=U$5)*('Leave Register'!$F$6:$F$305&gt;=U$5)*('Leave Register'!$J$6:$J$305="Approved")*(ROW('Leave Register'!$B$6:$B$305)-5)))=0,"",INDEX('Leave Register'!$D$6:$D$305,SUMPRODUCT(MAX(('Leave Register'!$B$6:$B$305=$A10)*('Leave Register'!$E$6:$E$305&lt;=U$5)*('Leave Register'!$F$6:$F$305&gt;=U$5)*('Leave Register'!$J$6:$J$305="Approved")*(ROW('Leave Register'!$B$6:$B$305)-5))))))</f>
        <v/>
      </c>
      <c r="V10" s="83" t="str">
        <f aca="false">IF(OR($A10="",V$5="",V$7&lt;&gt;"W"),"",IF(SUMPRODUCT(MAX(('Leave Register'!$B$6:$B$305=$A10)*('Leave Register'!$E$6:$E$305&lt;=V$5)*('Leave Register'!$F$6:$F$305&gt;=V$5)*('Leave Register'!$J$6:$J$305="Approved")*(ROW('Leave Register'!$B$6:$B$305)-5)))=0,"",INDEX('Leave Register'!$D$6:$D$305,SUMPRODUCT(MAX(('Leave Register'!$B$6:$B$305=$A10)*('Leave Register'!$E$6:$E$305&lt;=V$5)*('Leave Register'!$F$6:$F$305&gt;=V$5)*('Leave Register'!$J$6:$J$305="Approved")*(ROW('Leave Register'!$B$6:$B$305)-5))))))</f>
        <v/>
      </c>
      <c r="W10" s="83" t="str">
        <f aca="false">IF(OR($A10="",W$5="",W$7&lt;&gt;"W"),"",IF(SUMPRODUCT(MAX(('Leave Register'!$B$6:$B$305=$A10)*('Leave Register'!$E$6:$E$305&lt;=W$5)*('Leave Register'!$F$6:$F$305&gt;=W$5)*('Leave Register'!$J$6:$J$305="Approved")*(ROW('Leave Register'!$B$6:$B$305)-5)))=0,"",INDEX('Leave Register'!$D$6:$D$305,SUMPRODUCT(MAX(('Leave Register'!$B$6:$B$305=$A10)*('Leave Register'!$E$6:$E$305&lt;=W$5)*('Leave Register'!$F$6:$F$305&gt;=W$5)*('Leave Register'!$J$6:$J$305="Approved")*(ROW('Leave Register'!$B$6:$B$305)-5))))))</f>
        <v/>
      </c>
      <c r="X10" s="83" t="str">
        <f aca="false">IF(OR($A10="",X$5="",X$7&lt;&gt;"W"),"",IF(SUMPRODUCT(MAX(('Leave Register'!$B$6:$B$305=$A10)*('Leave Register'!$E$6:$E$305&lt;=X$5)*('Leave Register'!$F$6:$F$305&gt;=X$5)*('Leave Register'!$J$6:$J$305="Approved")*(ROW('Leave Register'!$B$6:$B$305)-5)))=0,"",INDEX('Leave Register'!$D$6:$D$305,SUMPRODUCT(MAX(('Leave Register'!$B$6:$B$305=$A10)*('Leave Register'!$E$6:$E$305&lt;=X$5)*('Leave Register'!$F$6:$F$305&gt;=X$5)*('Leave Register'!$J$6:$J$305="Approved")*(ROW('Leave Register'!$B$6:$B$305)-5))))))</f>
        <v/>
      </c>
      <c r="Y10" s="83" t="str">
        <f aca="false">IF(OR($A10="",Y$5="",Y$7&lt;&gt;"W"),"",IF(SUMPRODUCT(MAX(('Leave Register'!$B$6:$B$305=$A10)*('Leave Register'!$E$6:$E$305&lt;=Y$5)*('Leave Register'!$F$6:$F$305&gt;=Y$5)*('Leave Register'!$J$6:$J$305="Approved")*(ROW('Leave Register'!$B$6:$B$305)-5)))=0,"",INDEX('Leave Register'!$D$6:$D$305,SUMPRODUCT(MAX(('Leave Register'!$B$6:$B$305=$A10)*('Leave Register'!$E$6:$E$305&lt;=Y$5)*('Leave Register'!$F$6:$F$305&gt;=Y$5)*('Leave Register'!$J$6:$J$305="Approved")*(ROW('Leave Register'!$B$6:$B$305)-5))))))</f>
        <v/>
      </c>
      <c r="Z10" s="83" t="str">
        <f aca="false">IF(OR($A10="",Z$5="",Z$7&lt;&gt;"W"),"",IF(SUMPRODUCT(MAX(('Leave Register'!$B$6:$B$305=$A10)*('Leave Register'!$E$6:$E$305&lt;=Z$5)*('Leave Register'!$F$6:$F$305&gt;=Z$5)*('Leave Register'!$J$6:$J$305="Approved")*(ROW('Leave Register'!$B$6:$B$305)-5)))=0,"",INDEX('Leave Register'!$D$6:$D$305,SUMPRODUCT(MAX(('Leave Register'!$B$6:$B$305=$A10)*('Leave Register'!$E$6:$E$305&lt;=Z$5)*('Leave Register'!$F$6:$F$305&gt;=Z$5)*('Leave Register'!$J$6:$J$305="Approved")*(ROW('Leave Register'!$B$6:$B$305)-5))))))</f>
        <v/>
      </c>
      <c r="AA10" s="83" t="str">
        <f aca="false">IF(OR($A10="",AA$5="",AA$7&lt;&gt;"W"),"",IF(SUMPRODUCT(MAX(('Leave Register'!$B$6:$B$305=$A10)*('Leave Register'!$E$6:$E$305&lt;=AA$5)*('Leave Register'!$F$6:$F$305&gt;=AA$5)*('Leave Register'!$J$6:$J$305="Approved")*(ROW('Leave Register'!$B$6:$B$305)-5)))=0,"",INDEX('Leave Register'!$D$6:$D$305,SUMPRODUCT(MAX(('Leave Register'!$B$6:$B$305=$A10)*('Leave Register'!$E$6:$E$305&lt;=AA$5)*('Leave Register'!$F$6:$F$305&gt;=AA$5)*('Leave Register'!$J$6:$J$305="Approved")*(ROW('Leave Register'!$B$6:$B$305)-5))))))</f>
        <v/>
      </c>
      <c r="AB10" s="83" t="str">
        <f aca="false">IF(OR($A10="",AB$5="",AB$7&lt;&gt;"W"),"",IF(SUMPRODUCT(MAX(('Leave Register'!$B$6:$B$305=$A10)*('Leave Register'!$E$6:$E$305&lt;=AB$5)*('Leave Register'!$F$6:$F$305&gt;=AB$5)*('Leave Register'!$J$6:$J$305="Approved")*(ROW('Leave Register'!$B$6:$B$305)-5)))=0,"",INDEX('Leave Register'!$D$6:$D$305,SUMPRODUCT(MAX(('Leave Register'!$B$6:$B$305=$A10)*('Leave Register'!$E$6:$E$305&lt;=AB$5)*('Leave Register'!$F$6:$F$305&gt;=AB$5)*('Leave Register'!$J$6:$J$305="Approved")*(ROW('Leave Register'!$B$6:$B$305)-5))))))</f>
        <v/>
      </c>
      <c r="AC10" s="83" t="str">
        <f aca="false">IF(OR($A10="",AC$5="",AC$7&lt;&gt;"W"),"",IF(SUMPRODUCT(MAX(('Leave Register'!$B$6:$B$305=$A10)*('Leave Register'!$E$6:$E$305&lt;=AC$5)*('Leave Register'!$F$6:$F$305&gt;=AC$5)*('Leave Register'!$J$6:$J$305="Approved")*(ROW('Leave Register'!$B$6:$B$305)-5)))=0,"",INDEX('Leave Register'!$D$6:$D$305,SUMPRODUCT(MAX(('Leave Register'!$B$6:$B$305=$A10)*('Leave Register'!$E$6:$E$305&lt;=AC$5)*('Leave Register'!$F$6:$F$305&gt;=AC$5)*('Leave Register'!$J$6:$J$305="Approved")*(ROW('Leave Register'!$B$6:$B$305)-5))))))</f>
        <v/>
      </c>
      <c r="AD10" s="83" t="str">
        <f aca="false">IF(OR($A10="",AD$5="",AD$7&lt;&gt;"W"),"",IF(SUMPRODUCT(MAX(('Leave Register'!$B$6:$B$305=$A10)*('Leave Register'!$E$6:$E$305&lt;=AD$5)*('Leave Register'!$F$6:$F$305&gt;=AD$5)*('Leave Register'!$J$6:$J$305="Approved")*(ROW('Leave Register'!$B$6:$B$305)-5)))=0,"",INDEX('Leave Register'!$D$6:$D$305,SUMPRODUCT(MAX(('Leave Register'!$B$6:$B$305=$A10)*('Leave Register'!$E$6:$E$305&lt;=AD$5)*('Leave Register'!$F$6:$F$305&gt;=AD$5)*('Leave Register'!$J$6:$J$305="Approved")*(ROW('Leave Register'!$B$6:$B$305)-5))))))</f>
        <v/>
      </c>
      <c r="AE10" s="83" t="str">
        <f aca="false">IF(OR($A10="",AE$5="",AE$7&lt;&gt;"W"),"",IF(SUMPRODUCT(MAX(('Leave Register'!$B$6:$B$305=$A10)*('Leave Register'!$E$6:$E$305&lt;=AE$5)*('Leave Register'!$F$6:$F$305&gt;=AE$5)*('Leave Register'!$J$6:$J$305="Approved")*(ROW('Leave Register'!$B$6:$B$305)-5)))=0,"",INDEX('Leave Register'!$D$6:$D$305,SUMPRODUCT(MAX(('Leave Register'!$B$6:$B$305=$A10)*('Leave Register'!$E$6:$E$305&lt;=AE$5)*('Leave Register'!$F$6:$F$305&gt;=AE$5)*('Leave Register'!$J$6:$J$305="Approved")*(ROW('Leave Register'!$B$6:$B$305)-5))))))</f>
        <v/>
      </c>
      <c r="AF10" s="83" t="str">
        <f aca="false">IF(OR($A10="",AF$5="",AF$7&lt;&gt;"W"),"",IF(SUMPRODUCT(MAX(('Leave Register'!$B$6:$B$305=$A10)*('Leave Register'!$E$6:$E$305&lt;=AF$5)*('Leave Register'!$F$6:$F$305&gt;=AF$5)*('Leave Register'!$J$6:$J$305="Approved")*(ROW('Leave Register'!$B$6:$B$305)-5)))=0,"",INDEX('Leave Register'!$D$6:$D$305,SUMPRODUCT(MAX(('Leave Register'!$B$6:$B$305=$A10)*('Leave Register'!$E$6:$E$305&lt;=AF$5)*('Leave Register'!$F$6:$F$305&gt;=AF$5)*('Leave Register'!$J$6:$J$305="Approved")*(ROW('Leave Register'!$B$6:$B$305)-5))))))</f>
        <v/>
      </c>
      <c r="AG10" s="83" t="str">
        <f aca="false">IF(OR($A10="",AG$5="",AG$7&lt;&gt;"W"),"",IF(SUMPRODUCT(MAX(('Leave Register'!$B$6:$B$305=$A10)*('Leave Register'!$E$6:$E$305&lt;=AG$5)*('Leave Register'!$F$6:$F$305&gt;=AG$5)*('Leave Register'!$J$6:$J$305="Approved")*(ROW('Leave Register'!$B$6:$B$305)-5)))=0,"",INDEX('Leave Register'!$D$6:$D$305,SUMPRODUCT(MAX(('Leave Register'!$B$6:$B$305=$A10)*('Leave Register'!$E$6:$E$305&lt;=AG$5)*('Leave Register'!$F$6:$F$305&gt;=AG$5)*('Leave Register'!$J$6:$J$305="Approved")*(ROW('Leave Register'!$B$6:$B$305)-5))))))</f>
        <v/>
      </c>
      <c r="AH10" s="84" t="n">
        <f aca="false">IF(A10="","",COUNTIF(C10:AG10,"?*"))</f>
        <v>0</v>
      </c>
      <c r="AJ10" s="87" t="str">
        <f aca="false">Setup!A22</f>
        <v>LWP</v>
      </c>
      <c r="AK10" s="77" t="str">
        <f aca="false">Setup!B22</f>
        <v>Leave Without Pay</v>
      </c>
    </row>
    <row r="11" customFormat="false" ht="15" hidden="false" customHeight="false" outlineLevel="0" collapsed="false">
      <c r="A11" s="81" t="str">
        <f aca="false">IF(Employees!$B$8="","",Employees!$B$8)</f>
        <v>XE004</v>
      </c>
      <c r="B11" s="82" t="str">
        <f aca="false">IF(A11="","",Employees!$C$8)</f>
        <v>Neha Gupta</v>
      </c>
      <c r="C11" s="83" t="str">
        <f aca="false">IF(OR($A11="",C$5="",C$7&lt;&gt;"W"),"",IF(SUMPRODUCT(MAX(('Leave Register'!$B$6:$B$305=$A11)*('Leave Register'!$E$6:$E$305&lt;=C$5)*('Leave Register'!$F$6:$F$305&gt;=C$5)*('Leave Register'!$J$6:$J$305="Approved")*(ROW('Leave Register'!$B$6:$B$305)-5)))=0,"",INDEX('Leave Register'!$D$6:$D$305,SUMPRODUCT(MAX(('Leave Register'!$B$6:$B$305=$A11)*('Leave Register'!$E$6:$E$305&lt;=C$5)*('Leave Register'!$F$6:$F$305&gt;=C$5)*('Leave Register'!$J$6:$J$305="Approved")*(ROW('Leave Register'!$B$6:$B$305)-5))))))</f>
        <v/>
      </c>
      <c r="D11" s="83" t="str">
        <f aca="false">IF(OR($A11="",D$5="",D$7&lt;&gt;"W"),"",IF(SUMPRODUCT(MAX(('Leave Register'!$B$6:$B$305=$A11)*('Leave Register'!$E$6:$E$305&lt;=D$5)*('Leave Register'!$F$6:$F$305&gt;=D$5)*('Leave Register'!$J$6:$J$305="Approved")*(ROW('Leave Register'!$B$6:$B$305)-5)))=0,"",INDEX('Leave Register'!$D$6:$D$305,SUMPRODUCT(MAX(('Leave Register'!$B$6:$B$305=$A11)*('Leave Register'!$E$6:$E$305&lt;=D$5)*('Leave Register'!$F$6:$F$305&gt;=D$5)*('Leave Register'!$J$6:$J$305="Approved")*(ROW('Leave Register'!$B$6:$B$305)-5))))))</f>
        <v/>
      </c>
      <c r="E11" s="83" t="str">
        <f aca="false">IF(OR($A11="",E$5="",E$7&lt;&gt;"W"),"",IF(SUMPRODUCT(MAX(('Leave Register'!$B$6:$B$305=$A11)*('Leave Register'!$E$6:$E$305&lt;=E$5)*('Leave Register'!$F$6:$F$305&gt;=E$5)*('Leave Register'!$J$6:$J$305="Approved")*(ROW('Leave Register'!$B$6:$B$305)-5)))=0,"",INDEX('Leave Register'!$D$6:$D$305,SUMPRODUCT(MAX(('Leave Register'!$B$6:$B$305=$A11)*('Leave Register'!$E$6:$E$305&lt;=E$5)*('Leave Register'!$F$6:$F$305&gt;=E$5)*('Leave Register'!$J$6:$J$305="Approved")*(ROW('Leave Register'!$B$6:$B$305)-5))))))</f>
        <v/>
      </c>
      <c r="F11" s="83" t="str">
        <f aca="false">IF(OR($A11="",F$5="",F$7&lt;&gt;"W"),"",IF(SUMPRODUCT(MAX(('Leave Register'!$B$6:$B$305=$A11)*('Leave Register'!$E$6:$E$305&lt;=F$5)*('Leave Register'!$F$6:$F$305&gt;=F$5)*('Leave Register'!$J$6:$J$305="Approved")*(ROW('Leave Register'!$B$6:$B$305)-5)))=0,"",INDEX('Leave Register'!$D$6:$D$305,SUMPRODUCT(MAX(('Leave Register'!$B$6:$B$305=$A11)*('Leave Register'!$E$6:$E$305&lt;=F$5)*('Leave Register'!$F$6:$F$305&gt;=F$5)*('Leave Register'!$J$6:$J$305="Approved")*(ROW('Leave Register'!$B$6:$B$305)-5))))))</f>
        <v/>
      </c>
      <c r="G11" s="83" t="str">
        <f aca="false">IF(OR($A11="",G$5="",G$7&lt;&gt;"W"),"",IF(SUMPRODUCT(MAX(('Leave Register'!$B$6:$B$305=$A11)*('Leave Register'!$E$6:$E$305&lt;=G$5)*('Leave Register'!$F$6:$F$305&gt;=G$5)*('Leave Register'!$J$6:$J$305="Approved")*(ROW('Leave Register'!$B$6:$B$305)-5)))=0,"",INDEX('Leave Register'!$D$6:$D$305,SUMPRODUCT(MAX(('Leave Register'!$B$6:$B$305=$A11)*('Leave Register'!$E$6:$E$305&lt;=G$5)*('Leave Register'!$F$6:$F$305&gt;=G$5)*('Leave Register'!$J$6:$J$305="Approved")*(ROW('Leave Register'!$B$6:$B$305)-5))))))</f>
        <v/>
      </c>
      <c r="H11" s="83" t="str">
        <f aca="false">IF(OR($A11="",H$5="",H$7&lt;&gt;"W"),"",IF(SUMPRODUCT(MAX(('Leave Register'!$B$6:$B$305=$A11)*('Leave Register'!$E$6:$E$305&lt;=H$5)*('Leave Register'!$F$6:$F$305&gt;=H$5)*('Leave Register'!$J$6:$J$305="Approved")*(ROW('Leave Register'!$B$6:$B$305)-5)))=0,"",INDEX('Leave Register'!$D$6:$D$305,SUMPRODUCT(MAX(('Leave Register'!$B$6:$B$305=$A11)*('Leave Register'!$E$6:$E$305&lt;=H$5)*('Leave Register'!$F$6:$F$305&gt;=H$5)*('Leave Register'!$J$6:$J$305="Approved")*(ROW('Leave Register'!$B$6:$B$305)-5))))))</f>
        <v/>
      </c>
      <c r="I11" s="83" t="str">
        <f aca="false">IF(OR($A11="",I$5="",I$7&lt;&gt;"W"),"",IF(SUMPRODUCT(MAX(('Leave Register'!$B$6:$B$305=$A11)*('Leave Register'!$E$6:$E$305&lt;=I$5)*('Leave Register'!$F$6:$F$305&gt;=I$5)*('Leave Register'!$J$6:$J$305="Approved")*(ROW('Leave Register'!$B$6:$B$305)-5)))=0,"",INDEX('Leave Register'!$D$6:$D$305,SUMPRODUCT(MAX(('Leave Register'!$B$6:$B$305=$A11)*('Leave Register'!$E$6:$E$305&lt;=I$5)*('Leave Register'!$F$6:$F$305&gt;=I$5)*('Leave Register'!$J$6:$J$305="Approved")*(ROW('Leave Register'!$B$6:$B$305)-5))))))</f>
        <v/>
      </c>
      <c r="J11" s="83" t="str">
        <f aca="false">IF(OR($A11="",J$5="",J$7&lt;&gt;"W"),"",IF(SUMPRODUCT(MAX(('Leave Register'!$B$6:$B$305=$A11)*('Leave Register'!$E$6:$E$305&lt;=J$5)*('Leave Register'!$F$6:$F$305&gt;=J$5)*('Leave Register'!$J$6:$J$305="Approved")*(ROW('Leave Register'!$B$6:$B$305)-5)))=0,"",INDEX('Leave Register'!$D$6:$D$305,SUMPRODUCT(MAX(('Leave Register'!$B$6:$B$305=$A11)*('Leave Register'!$E$6:$E$305&lt;=J$5)*('Leave Register'!$F$6:$F$305&gt;=J$5)*('Leave Register'!$J$6:$J$305="Approved")*(ROW('Leave Register'!$B$6:$B$305)-5))))))</f>
        <v/>
      </c>
      <c r="K11" s="83" t="str">
        <f aca="false">IF(OR($A11="",K$5="",K$7&lt;&gt;"W"),"",IF(SUMPRODUCT(MAX(('Leave Register'!$B$6:$B$305=$A11)*('Leave Register'!$E$6:$E$305&lt;=K$5)*('Leave Register'!$F$6:$F$305&gt;=K$5)*('Leave Register'!$J$6:$J$305="Approved")*(ROW('Leave Register'!$B$6:$B$305)-5)))=0,"",INDEX('Leave Register'!$D$6:$D$305,SUMPRODUCT(MAX(('Leave Register'!$B$6:$B$305=$A11)*('Leave Register'!$E$6:$E$305&lt;=K$5)*('Leave Register'!$F$6:$F$305&gt;=K$5)*('Leave Register'!$J$6:$J$305="Approved")*(ROW('Leave Register'!$B$6:$B$305)-5))))))</f>
        <v/>
      </c>
      <c r="L11" s="83" t="str">
        <f aca="false">IF(OR($A11="",L$5="",L$7&lt;&gt;"W"),"",IF(SUMPRODUCT(MAX(('Leave Register'!$B$6:$B$305=$A11)*('Leave Register'!$E$6:$E$305&lt;=L$5)*('Leave Register'!$F$6:$F$305&gt;=L$5)*('Leave Register'!$J$6:$J$305="Approved")*(ROW('Leave Register'!$B$6:$B$305)-5)))=0,"",INDEX('Leave Register'!$D$6:$D$305,SUMPRODUCT(MAX(('Leave Register'!$B$6:$B$305=$A11)*('Leave Register'!$E$6:$E$305&lt;=L$5)*('Leave Register'!$F$6:$F$305&gt;=L$5)*('Leave Register'!$J$6:$J$305="Approved")*(ROW('Leave Register'!$B$6:$B$305)-5))))))</f>
        <v/>
      </c>
      <c r="M11" s="83" t="str">
        <f aca="false">IF(OR($A11="",M$5="",M$7&lt;&gt;"W"),"",IF(SUMPRODUCT(MAX(('Leave Register'!$B$6:$B$305=$A11)*('Leave Register'!$E$6:$E$305&lt;=M$5)*('Leave Register'!$F$6:$F$305&gt;=M$5)*('Leave Register'!$J$6:$J$305="Approved")*(ROW('Leave Register'!$B$6:$B$305)-5)))=0,"",INDEX('Leave Register'!$D$6:$D$305,SUMPRODUCT(MAX(('Leave Register'!$B$6:$B$305=$A11)*('Leave Register'!$E$6:$E$305&lt;=M$5)*('Leave Register'!$F$6:$F$305&gt;=M$5)*('Leave Register'!$J$6:$J$305="Approved")*(ROW('Leave Register'!$B$6:$B$305)-5))))))</f>
        <v/>
      </c>
      <c r="N11" s="83" t="str">
        <f aca="false">IF(OR($A11="",N$5="",N$7&lt;&gt;"W"),"",IF(SUMPRODUCT(MAX(('Leave Register'!$B$6:$B$305=$A11)*('Leave Register'!$E$6:$E$305&lt;=N$5)*('Leave Register'!$F$6:$F$305&gt;=N$5)*('Leave Register'!$J$6:$J$305="Approved")*(ROW('Leave Register'!$B$6:$B$305)-5)))=0,"",INDEX('Leave Register'!$D$6:$D$305,SUMPRODUCT(MAX(('Leave Register'!$B$6:$B$305=$A11)*('Leave Register'!$E$6:$E$305&lt;=N$5)*('Leave Register'!$F$6:$F$305&gt;=N$5)*('Leave Register'!$J$6:$J$305="Approved")*(ROW('Leave Register'!$B$6:$B$305)-5))))))</f>
        <v>EL</v>
      </c>
      <c r="O11" s="83" t="str">
        <f aca="false">IF(OR($A11="",O$5="",O$7&lt;&gt;"W"),"",IF(SUMPRODUCT(MAX(('Leave Register'!$B$6:$B$305=$A11)*('Leave Register'!$E$6:$E$305&lt;=O$5)*('Leave Register'!$F$6:$F$305&gt;=O$5)*('Leave Register'!$J$6:$J$305="Approved")*(ROW('Leave Register'!$B$6:$B$305)-5)))=0,"",INDEX('Leave Register'!$D$6:$D$305,SUMPRODUCT(MAX(('Leave Register'!$B$6:$B$305=$A11)*('Leave Register'!$E$6:$E$305&lt;=O$5)*('Leave Register'!$F$6:$F$305&gt;=O$5)*('Leave Register'!$J$6:$J$305="Approved")*(ROW('Leave Register'!$B$6:$B$305)-5))))))</f>
        <v>EL</v>
      </c>
      <c r="P11" s="83" t="str">
        <f aca="false">IF(OR($A11="",P$5="",P$7&lt;&gt;"W"),"",IF(SUMPRODUCT(MAX(('Leave Register'!$B$6:$B$305=$A11)*('Leave Register'!$E$6:$E$305&lt;=P$5)*('Leave Register'!$F$6:$F$305&gt;=P$5)*('Leave Register'!$J$6:$J$305="Approved")*(ROW('Leave Register'!$B$6:$B$305)-5)))=0,"",INDEX('Leave Register'!$D$6:$D$305,SUMPRODUCT(MAX(('Leave Register'!$B$6:$B$305=$A11)*('Leave Register'!$E$6:$E$305&lt;=P$5)*('Leave Register'!$F$6:$F$305&gt;=P$5)*('Leave Register'!$J$6:$J$305="Approved")*(ROW('Leave Register'!$B$6:$B$305)-5))))))</f>
        <v>EL</v>
      </c>
      <c r="Q11" s="83" t="str">
        <f aca="false">IF(OR($A11="",Q$5="",Q$7&lt;&gt;"W"),"",IF(SUMPRODUCT(MAX(('Leave Register'!$B$6:$B$305=$A11)*('Leave Register'!$E$6:$E$305&lt;=Q$5)*('Leave Register'!$F$6:$F$305&gt;=Q$5)*('Leave Register'!$J$6:$J$305="Approved")*(ROW('Leave Register'!$B$6:$B$305)-5)))=0,"",INDEX('Leave Register'!$D$6:$D$305,SUMPRODUCT(MAX(('Leave Register'!$B$6:$B$305=$A11)*('Leave Register'!$E$6:$E$305&lt;=Q$5)*('Leave Register'!$F$6:$F$305&gt;=Q$5)*('Leave Register'!$J$6:$J$305="Approved")*(ROW('Leave Register'!$B$6:$B$305)-5))))))</f>
        <v>EL</v>
      </c>
      <c r="R11" s="83" t="str">
        <f aca="false">IF(OR($A11="",R$5="",R$7&lt;&gt;"W"),"",IF(SUMPRODUCT(MAX(('Leave Register'!$B$6:$B$305=$A11)*('Leave Register'!$E$6:$E$305&lt;=R$5)*('Leave Register'!$F$6:$F$305&gt;=R$5)*('Leave Register'!$J$6:$J$305="Approved")*(ROW('Leave Register'!$B$6:$B$305)-5)))=0,"",INDEX('Leave Register'!$D$6:$D$305,SUMPRODUCT(MAX(('Leave Register'!$B$6:$B$305=$A11)*('Leave Register'!$E$6:$E$305&lt;=R$5)*('Leave Register'!$F$6:$F$305&gt;=R$5)*('Leave Register'!$J$6:$J$305="Approved")*(ROW('Leave Register'!$B$6:$B$305)-5))))))</f>
        <v>EL</v>
      </c>
      <c r="S11" s="83" t="str">
        <f aca="false">IF(OR($A11="",S$5="",S$7&lt;&gt;"W"),"",IF(SUMPRODUCT(MAX(('Leave Register'!$B$6:$B$305=$A11)*('Leave Register'!$E$6:$E$305&lt;=S$5)*('Leave Register'!$F$6:$F$305&gt;=S$5)*('Leave Register'!$J$6:$J$305="Approved")*(ROW('Leave Register'!$B$6:$B$305)-5)))=0,"",INDEX('Leave Register'!$D$6:$D$305,SUMPRODUCT(MAX(('Leave Register'!$B$6:$B$305=$A11)*('Leave Register'!$E$6:$E$305&lt;=S$5)*('Leave Register'!$F$6:$F$305&gt;=S$5)*('Leave Register'!$J$6:$J$305="Approved")*(ROW('Leave Register'!$B$6:$B$305)-5))))))</f>
        <v>EL</v>
      </c>
      <c r="T11" s="83" t="str">
        <f aca="false">IF(OR($A11="",T$5="",T$7&lt;&gt;"W"),"",IF(SUMPRODUCT(MAX(('Leave Register'!$B$6:$B$305=$A11)*('Leave Register'!$E$6:$E$305&lt;=T$5)*('Leave Register'!$F$6:$F$305&gt;=T$5)*('Leave Register'!$J$6:$J$305="Approved")*(ROW('Leave Register'!$B$6:$B$305)-5)))=0,"",INDEX('Leave Register'!$D$6:$D$305,SUMPRODUCT(MAX(('Leave Register'!$B$6:$B$305=$A11)*('Leave Register'!$E$6:$E$305&lt;=T$5)*('Leave Register'!$F$6:$F$305&gt;=T$5)*('Leave Register'!$J$6:$J$305="Approved")*(ROW('Leave Register'!$B$6:$B$305)-5))))))</f>
        <v/>
      </c>
      <c r="U11" s="83" t="str">
        <f aca="false">IF(OR($A11="",U$5="",U$7&lt;&gt;"W"),"",IF(SUMPRODUCT(MAX(('Leave Register'!$B$6:$B$305=$A11)*('Leave Register'!$E$6:$E$305&lt;=U$5)*('Leave Register'!$F$6:$F$305&gt;=U$5)*('Leave Register'!$J$6:$J$305="Approved")*(ROW('Leave Register'!$B$6:$B$305)-5)))=0,"",INDEX('Leave Register'!$D$6:$D$305,SUMPRODUCT(MAX(('Leave Register'!$B$6:$B$305=$A11)*('Leave Register'!$E$6:$E$305&lt;=U$5)*('Leave Register'!$F$6:$F$305&gt;=U$5)*('Leave Register'!$J$6:$J$305="Approved")*(ROW('Leave Register'!$B$6:$B$305)-5))))))</f>
        <v>EL</v>
      </c>
      <c r="V11" s="83" t="str">
        <f aca="false">IF(OR($A11="",V$5="",V$7&lt;&gt;"W"),"",IF(SUMPRODUCT(MAX(('Leave Register'!$B$6:$B$305=$A11)*('Leave Register'!$E$6:$E$305&lt;=V$5)*('Leave Register'!$F$6:$F$305&gt;=V$5)*('Leave Register'!$J$6:$J$305="Approved")*(ROW('Leave Register'!$B$6:$B$305)-5)))=0,"",INDEX('Leave Register'!$D$6:$D$305,SUMPRODUCT(MAX(('Leave Register'!$B$6:$B$305=$A11)*('Leave Register'!$E$6:$E$305&lt;=V$5)*('Leave Register'!$F$6:$F$305&gt;=V$5)*('Leave Register'!$J$6:$J$305="Approved")*(ROW('Leave Register'!$B$6:$B$305)-5))))))</f>
        <v/>
      </c>
      <c r="W11" s="83" t="str">
        <f aca="false">IF(OR($A11="",W$5="",W$7&lt;&gt;"W"),"",IF(SUMPRODUCT(MAX(('Leave Register'!$B$6:$B$305=$A11)*('Leave Register'!$E$6:$E$305&lt;=W$5)*('Leave Register'!$F$6:$F$305&gt;=W$5)*('Leave Register'!$J$6:$J$305="Approved")*(ROW('Leave Register'!$B$6:$B$305)-5)))=0,"",INDEX('Leave Register'!$D$6:$D$305,SUMPRODUCT(MAX(('Leave Register'!$B$6:$B$305=$A11)*('Leave Register'!$E$6:$E$305&lt;=W$5)*('Leave Register'!$F$6:$F$305&gt;=W$5)*('Leave Register'!$J$6:$J$305="Approved")*(ROW('Leave Register'!$B$6:$B$305)-5))))))</f>
        <v>EL</v>
      </c>
      <c r="X11" s="83" t="str">
        <f aca="false">IF(OR($A11="",X$5="",X$7&lt;&gt;"W"),"",IF(SUMPRODUCT(MAX(('Leave Register'!$B$6:$B$305=$A11)*('Leave Register'!$E$6:$E$305&lt;=X$5)*('Leave Register'!$F$6:$F$305&gt;=X$5)*('Leave Register'!$J$6:$J$305="Approved")*(ROW('Leave Register'!$B$6:$B$305)-5)))=0,"",INDEX('Leave Register'!$D$6:$D$305,SUMPRODUCT(MAX(('Leave Register'!$B$6:$B$305=$A11)*('Leave Register'!$E$6:$E$305&lt;=X$5)*('Leave Register'!$F$6:$F$305&gt;=X$5)*('Leave Register'!$J$6:$J$305="Approved")*(ROW('Leave Register'!$B$6:$B$305)-5))))))</f>
        <v>EL</v>
      </c>
      <c r="Y11" s="83" t="str">
        <f aca="false">IF(OR($A11="",Y$5="",Y$7&lt;&gt;"W"),"",IF(SUMPRODUCT(MAX(('Leave Register'!$B$6:$B$305=$A11)*('Leave Register'!$E$6:$E$305&lt;=Y$5)*('Leave Register'!$F$6:$F$305&gt;=Y$5)*('Leave Register'!$J$6:$J$305="Approved")*(ROW('Leave Register'!$B$6:$B$305)-5)))=0,"",INDEX('Leave Register'!$D$6:$D$305,SUMPRODUCT(MAX(('Leave Register'!$B$6:$B$305=$A11)*('Leave Register'!$E$6:$E$305&lt;=Y$5)*('Leave Register'!$F$6:$F$305&gt;=Y$5)*('Leave Register'!$J$6:$J$305="Approved")*(ROW('Leave Register'!$B$6:$B$305)-5))))))</f>
        <v>EL</v>
      </c>
      <c r="Z11" s="83" t="str">
        <f aca="false">IF(OR($A11="",Z$5="",Z$7&lt;&gt;"W"),"",IF(SUMPRODUCT(MAX(('Leave Register'!$B$6:$B$305=$A11)*('Leave Register'!$E$6:$E$305&lt;=Z$5)*('Leave Register'!$F$6:$F$305&gt;=Z$5)*('Leave Register'!$J$6:$J$305="Approved")*(ROW('Leave Register'!$B$6:$B$305)-5)))=0,"",INDEX('Leave Register'!$D$6:$D$305,SUMPRODUCT(MAX(('Leave Register'!$B$6:$B$305=$A11)*('Leave Register'!$E$6:$E$305&lt;=Z$5)*('Leave Register'!$F$6:$F$305&gt;=Z$5)*('Leave Register'!$J$6:$J$305="Approved")*(ROW('Leave Register'!$B$6:$B$305)-5))))))</f>
        <v/>
      </c>
      <c r="AA11" s="83" t="str">
        <f aca="false">IF(OR($A11="",AA$5="",AA$7&lt;&gt;"W"),"",IF(SUMPRODUCT(MAX(('Leave Register'!$B$6:$B$305=$A11)*('Leave Register'!$E$6:$E$305&lt;=AA$5)*('Leave Register'!$F$6:$F$305&gt;=AA$5)*('Leave Register'!$J$6:$J$305="Approved")*(ROW('Leave Register'!$B$6:$B$305)-5)))=0,"",INDEX('Leave Register'!$D$6:$D$305,SUMPRODUCT(MAX(('Leave Register'!$B$6:$B$305=$A11)*('Leave Register'!$E$6:$E$305&lt;=AA$5)*('Leave Register'!$F$6:$F$305&gt;=AA$5)*('Leave Register'!$J$6:$J$305="Approved")*(ROW('Leave Register'!$B$6:$B$305)-5))))))</f>
        <v/>
      </c>
      <c r="AB11" s="83" t="str">
        <f aca="false">IF(OR($A11="",AB$5="",AB$7&lt;&gt;"W"),"",IF(SUMPRODUCT(MAX(('Leave Register'!$B$6:$B$305=$A11)*('Leave Register'!$E$6:$E$305&lt;=AB$5)*('Leave Register'!$F$6:$F$305&gt;=AB$5)*('Leave Register'!$J$6:$J$305="Approved")*(ROW('Leave Register'!$B$6:$B$305)-5)))=0,"",INDEX('Leave Register'!$D$6:$D$305,SUMPRODUCT(MAX(('Leave Register'!$B$6:$B$305=$A11)*('Leave Register'!$E$6:$E$305&lt;=AB$5)*('Leave Register'!$F$6:$F$305&gt;=AB$5)*('Leave Register'!$J$6:$J$305="Approved")*(ROW('Leave Register'!$B$6:$B$305)-5))))))</f>
        <v/>
      </c>
      <c r="AC11" s="83" t="str">
        <f aca="false">IF(OR($A11="",AC$5="",AC$7&lt;&gt;"W"),"",IF(SUMPRODUCT(MAX(('Leave Register'!$B$6:$B$305=$A11)*('Leave Register'!$E$6:$E$305&lt;=AC$5)*('Leave Register'!$F$6:$F$305&gt;=AC$5)*('Leave Register'!$J$6:$J$305="Approved")*(ROW('Leave Register'!$B$6:$B$305)-5)))=0,"",INDEX('Leave Register'!$D$6:$D$305,SUMPRODUCT(MAX(('Leave Register'!$B$6:$B$305=$A11)*('Leave Register'!$E$6:$E$305&lt;=AC$5)*('Leave Register'!$F$6:$F$305&gt;=AC$5)*('Leave Register'!$J$6:$J$305="Approved")*(ROW('Leave Register'!$B$6:$B$305)-5))))))</f>
        <v/>
      </c>
      <c r="AD11" s="83" t="str">
        <f aca="false">IF(OR($A11="",AD$5="",AD$7&lt;&gt;"W"),"",IF(SUMPRODUCT(MAX(('Leave Register'!$B$6:$B$305=$A11)*('Leave Register'!$E$6:$E$305&lt;=AD$5)*('Leave Register'!$F$6:$F$305&gt;=AD$5)*('Leave Register'!$J$6:$J$305="Approved")*(ROW('Leave Register'!$B$6:$B$305)-5)))=0,"",INDEX('Leave Register'!$D$6:$D$305,SUMPRODUCT(MAX(('Leave Register'!$B$6:$B$305=$A11)*('Leave Register'!$E$6:$E$305&lt;=AD$5)*('Leave Register'!$F$6:$F$305&gt;=AD$5)*('Leave Register'!$J$6:$J$305="Approved")*(ROW('Leave Register'!$B$6:$B$305)-5))))))</f>
        <v/>
      </c>
      <c r="AE11" s="83" t="str">
        <f aca="false">IF(OR($A11="",AE$5="",AE$7&lt;&gt;"W"),"",IF(SUMPRODUCT(MAX(('Leave Register'!$B$6:$B$305=$A11)*('Leave Register'!$E$6:$E$305&lt;=AE$5)*('Leave Register'!$F$6:$F$305&gt;=AE$5)*('Leave Register'!$J$6:$J$305="Approved")*(ROW('Leave Register'!$B$6:$B$305)-5)))=0,"",INDEX('Leave Register'!$D$6:$D$305,SUMPRODUCT(MAX(('Leave Register'!$B$6:$B$305=$A11)*('Leave Register'!$E$6:$E$305&lt;=AE$5)*('Leave Register'!$F$6:$F$305&gt;=AE$5)*('Leave Register'!$J$6:$J$305="Approved")*(ROW('Leave Register'!$B$6:$B$305)-5))))))</f>
        <v/>
      </c>
      <c r="AF11" s="83" t="str">
        <f aca="false">IF(OR($A11="",AF$5="",AF$7&lt;&gt;"W"),"",IF(SUMPRODUCT(MAX(('Leave Register'!$B$6:$B$305=$A11)*('Leave Register'!$E$6:$E$305&lt;=AF$5)*('Leave Register'!$F$6:$F$305&gt;=AF$5)*('Leave Register'!$J$6:$J$305="Approved")*(ROW('Leave Register'!$B$6:$B$305)-5)))=0,"",INDEX('Leave Register'!$D$6:$D$305,SUMPRODUCT(MAX(('Leave Register'!$B$6:$B$305=$A11)*('Leave Register'!$E$6:$E$305&lt;=AF$5)*('Leave Register'!$F$6:$F$305&gt;=AF$5)*('Leave Register'!$J$6:$J$305="Approved")*(ROW('Leave Register'!$B$6:$B$305)-5))))))</f>
        <v/>
      </c>
      <c r="AG11" s="83" t="str">
        <f aca="false">IF(OR($A11="",AG$5="",AG$7&lt;&gt;"W"),"",IF(SUMPRODUCT(MAX(('Leave Register'!$B$6:$B$305=$A11)*('Leave Register'!$E$6:$E$305&lt;=AG$5)*('Leave Register'!$F$6:$F$305&gt;=AG$5)*('Leave Register'!$J$6:$J$305="Approved")*(ROW('Leave Register'!$B$6:$B$305)-5)))=0,"",INDEX('Leave Register'!$D$6:$D$305,SUMPRODUCT(MAX(('Leave Register'!$B$6:$B$305=$A11)*('Leave Register'!$E$6:$E$305&lt;=AG$5)*('Leave Register'!$F$6:$F$305&gt;=AG$5)*('Leave Register'!$J$6:$J$305="Approved")*(ROW('Leave Register'!$B$6:$B$305)-5))))))</f>
        <v/>
      </c>
      <c r="AH11" s="84" t="n">
        <f aca="false">IF(A11="","",COUNTIF(C11:AG11,"?*"))</f>
        <v>10</v>
      </c>
      <c r="AJ11" s="88" t="str">
        <f aca="false">Setup!A23</f>
        <v>OL</v>
      </c>
      <c r="AK11" s="77" t="str">
        <f aca="false">Setup!B23</f>
        <v>Other Leave</v>
      </c>
    </row>
    <row r="12" customFormat="false" ht="15" hidden="false" customHeight="false" outlineLevel="0" collapsed="false">
      <c r="A12" s="81" t="str">
        <f aca="false">IF(Employees!$B$9="","",Employees!$B$9)</f>
        <v>XE005</v>
      </c>
      <c r="B12" s="82" t="str">
        <f aca="false">IF(A12="","",Employees!$C$9)</f>
        <v>Gurpreet Kaur</v>
      </c>
      <c r="C12" s="83" t="str">
        <f aca="false">IF(OR($A12="",C$5="",C$7&lt;&gt;"W"),"",IF(SUMPRODUCT(MAX(('Leave Register'!$B$6:$B$305=$A12)*('Leave Register'!$E$6:$E$305&lt;=C$5)*('Leave Register'!$F$6:$F$305&gt;=C$5)*('Leave Register'!$J$6:$J$305="Approved")*(ROW('Leave Register'!$B$6:$B$305)-5)))=0,"",INDEX('Leave Register'!$D$6:$D$305,SUMPRODUCT(MAX(('Leave Register'!$B$6:$B$305=$A12)*('Leave Register'!$E$6:$E$305&lt;=C$5)*('Leave Register'!$F$6:$F$305&gt;=C$5)*('Leave Register'!$J$6:$J$305="Approved")*(ROW('Leave Register'!$B$6:$B$305)-5))))))</f>
        <v/>
      </c>
      <c r="D12" s="83" t="str">
        <f aca="false">IF(OR($A12="",D$5="",D$7&lt;&gt;"W"),"",IF(SUMPRODUCT(MAX(('Leave Register'!$B$6:$B$305=$A12)*('Leave Register'!$E$6:$E$305&lt;=D$5)*('Leave Register'!$F$6:$F$305&gt;=D$5)*('Leave Register'!$J$6:$J$305="Approved")*(ROW('Leave Register'!$B$6:$B$305)-5)))=0,"",INDEX('Leave Register'!$D$6:$D$305,SUMPRODUCT(MAX(('Leave Register'!$B$6:$B$305=$A12)*('Leave Register'!$E$6:$E$305&lt;=D$5)*('Leave Register'!$F$6:$F$305&gt;=D$5)*('Leave Register'!$J$6:$J$305="Approved")*(ROW('Leave Register'!$B$6:$B$305)-5))))))</f>
        <v/>
      </c>
      <c r="E12" s="83" t="str">
        <f aca="false">IF(OR($A12="",E$5="",E$7&lt;&gt;"W"),"",IF(SUMPRODUCT(MAX(('Leave Register'!$B$6:$B$305=$A12)*('Leave Register'!$E$6:$E$305&lt;=E$5)*('Leave Register'!$F$6:$F$305&gt;=E$5)*('Leave Register'!$J$6:$J$305="Approved")*(ROW('Leave Register'!$B$6:$B$305)-5)))=0,"",INDEX('Leave Register'!$D$6:$D$305,SUMPRODUCT(MAX(('Leave Register'!$B$6:$B$305=$A12)*('Leave Register'!$E$6:$E$305&lt;=E$5)*('Leave Register'!$F$6:$F$305&gt;=E$5)*('Leave Register'!$J$6:$J$305="Approved")*(ROW('Leave Register'!$B$6:$B$305)-5))))))</f>
        <v/>
      </c>
      <c r="F12" s="83" t="str">
        <f aca="false">IF(OR($A12="",F$5="",F$7&lt;&gt;"W"),"",IF(SUMPRODUCT(MAX(('Leave Register'!$B$6:$B$305=$A12)*('Leave Register'!$E$6:$E$305&lt;=F$5)*('Leave Register'!$F$6:$F$305&gt;=F$5)*('Leave Register'!$J$6:$J$305="Approved")*(ROW('Leave Register'!$B$6:$B$305)-5)))=0,"",INDEX('Leave Register'!$D$6:$D$305,SUMPRODUCT(MAX(('Leave Register'!$B$6:$B$305=$A12)*('Leave Register'!$E$6:$E$305&lt;=F$5)*('Leave Register'!$F$6:$F$305&gt;=F$5)*('Leave Register'!$J$6:$J$305="Approved")*(ROW('Leave Register'!$B$6:$B$305)-5))))))</f>
        <v/>
      </c>
      <c r="G12" s="83" t="str">
        <f aca="false">IF(OR($A12="",G$5="",G$7&lt;&gt;"W"),"",IF(SUMPRODUCT(MAX(('Leave Register'!$B$6:$B$305=$A12)*('Leave Register'!$E$6:$E$305&lt;=G$5)*('Leave Register'!$F$6:$F$305&gt;=G$5)*('Leave Register'!$J$6:$J$305="Approved")*(ROW('Leave Register'!$B$6:$B$305)-5)))=0,"",INDEX('Leave Register'!$D$6:$D$305,SUMPRODUCT(MAX(('Leave Register'!$B$6:$B$305=$A12)*('Leave Register'!$E$6:$E$305&lt;=G$5)*('Leave Register'!$F$6:$F$305&gt;=G$5)*('Leave Register'!$J$6:$J$305="Approved")*(ROW('Leave Register'!$B$6:$B$305)-5))))))</f>
        <v/>
      </c>
      <c r="H12" s="83" t="str">
        <f aca="false">IF(OR($A12="",H$5="",H$7&lt;&gt;"W"),"",IF(SUMPRODUCT(MAX(('Leave Register'!$B$6:$B$305=$A12)*('Leave Register'!$E$6:$E$305&lt;=H$5)*('Leave Register'!$F$6:$F$305&gt;=H$5)*('Leave Register'!$J$6:$J$305="Approved")*(ROW('Leave Register'!$B$6:$B$305)-5)))=0,"",INDEX('Leave Register'!$D$6:$D$305,SUMPRODUCT(MAX(('Leave Register'!$B$6:$B$305=$A12)*('Leave Register'!$E$6:$E$305&lt;=H$5)*('Leave Register'!$F$6:$F$305&gt;=H$5)*('Leave Register'!$J$6:$J$305="Approved")*(ROW('Leave Register'!$B$6:$B$305)-5))))))</f>
        <v/>
      </c>
      <c r="I12" s="83" t="str">
        <f aca="false">IF(OR($A12="",I$5="",I$7&lt;&gt;"W"),"",IF(SUMPRODUCT(MAX(('Leave Register'!$B$6:$B$305=$A12)*('Leave Register'!$E$6:$E$305&lt;=I$5)*('Leave Register'!$F$6:$F$305&gt;=I$5)*('Leave Register'!$J$6:$J$305="Approved")*(ROW('Leave Register'!$B$6:$B$305)-5)))=0,"",INDEX('Leave Register'!$D$6:$D$305,SUMPRODUCT(MAX(('Leave Register'!$B$6:$B$305=$A12)*('Leave Register'!$E$6:$E$305&lt;=I$5)*('Leave Register'!$F$6:$F$305&gt;=I$5)*('Leave Register'!$J$6:$J$305="Approved")*(ROW('Leave Register'!$B$6:$B$305)-5))))))</f>
        <v/>
      </c>
      <c r="J12" s="83" t="str">
        <f aca="false">IF(OR($A12="",J$5="",J$7&lt;&gt;"W"),"",IF(SUMPRODUCT(MAX(('Leave Register'!$B$6:$B$305=$A12)*('Leave Register'!$E$6:$E$305&lt;=J$5)*('Leave Register'!$F$6:$F$305&gt;=J$5)*('Leave Register'!$J$6:$J$305="Approved")*(ROW('Leave Register'!$B$6:$B$305)-5)))=0,"",INDEX('Leave Register'!$D$6:$D$305,SUMPRODUCT(MAX(('Leave Register'!$B$6:$B$305=$A12)*('Leave Register'!$E$6:$E$305&lt;=J$5)*('Leave Register'!$F$6:$F$305&gt;=J$5)*('Leave Register'!$J$6:$J$305="Approved")*(ROW('Leave Register'!$B$6:$B$305)-5))))))</f>
        <v/>
      </c>
      <c r="K12" s="83" t="str">
        <f aca="false">IF(OR($A12="",K$5="",K$7&lt;&gt;"W"),"",IF(SUMPRODUCT(MAX(('Leave Register'!$B$6:$B$305=$A12)*('Leave Register'!$E$6:$E$305&lt;=K$5)*('Leave Register'!$F$6:$F$305&gt;=K$5)*('Leave Register'!$J$6:$J$305="Approved")*(ROW('Leave Register'!$B$6:$B$305)-5)))=0,"",INDEX('Leave Register'!$D$6:$D$305,SUMPRODUCT(MAX(('Leave Register'!$B$6:$B$305=$A12)*('Leave Register'!$E$6:$E$305&lt;=K$5)*('Leave Register'!$F$6:$F$305&gt;=K$5)*('Leave Register'!$J$6:$J$305="Approved")*(ROW('Leave Register'!$B$6:$B$305)-5))))))</f>
        <v/>
      </c>
      <c r="L12" s="83" t="str">
        <f aca="false">IF(OR($A12="",L$5="",L$7&lt;&gt;"W"),"",IF(SUMPRODUCT(MAX(('Leave Register'!$B$6:$B$305=$A12)*('Leave Register'!$E$6:$E$305&lt;=L$5)*('Leave Register'!$F$6:$F$305&gt;=L$5)*('Leave Register'!$J$6:$J$305="Approved")*(ROW('Leave Register'!$B$6:$B$305)-5)))=0,"",INDEX('Leave Register'!$D$6:$D$305,SUMPRODUCT(MAX(('Leave Register'!$B$6:$B$305=$A12)*('Leave Register'!$E$6:$E$305&lt;=L$5)*('Leave Register'!$F$6:$F$305&gt;=L$5)*('Leave Register'!$J$6:$J$305="Approved")*(ROW('Leave Register'!$B$6:$B$305)-5))))))</f>
        <v/>
      </c>
      <c r="M12" s="83" t="str">
        <f aca="false">IF(OR($A12="",M$5="",M$7&lt;&gt;"W"),"",IF(SUMPRODUCT(MAX(('Leave Register'!$B$6:$B$305=$A12)*('Leave Register'!$E$6:$E$305&lt;=M$5)*('Leave Register'!$F$6:$F$305&gt;=M$5)*('Leave Register'!$J$6:$J$305="Approved")*(ROW('Leave Register'!$B$6:$B$305)-5)))=0,"",INDEX('Leave Register'!$D$6:$D$305,SUMPRODUCT(MAX(('Leave Register'!$B$6:$B$305=$A12)*('Leave Register'!$E$6:$E$305&lt;=M$5)*('Leave Register'!$F$6:$F$305&gt;=M$5)*('Leave Register'!$J$6:$J$305="Approved")*(ROW('Leave Register'!$B$6:$B$305)-5))))))</f>
        <v/>
      </c>
      <c r="N12" s="83" t="str">
        <f aca="false">IF(OR($A12="",N$5="",N$7&lt;&gt;"W"),"",IF(SUMPRODUCT(MAX(('Leave Register'!$B$6:$B$305=$A12)*('Leave Register'!$E$6:$E$305&lt;=N$5)*('Leave Register'!$F$6:$F$305&gt;=N$5)*('Leave Register'!$J$6:$J$305="Approved")*(ROW('Leave Register'!$B$6:$B$305)-5)))=0,"",INDEX('Leave Register'!$D$6:$D$305,SUMPRODUCT(MAX(('Leave Register'!$B$6:$B$305=$A12)*('Leave Register'!$E$6:$E$305&lt;=N$5)*('Leave Register'!$F$6:$F$305&gt;=N$5)*('Leave Register'!$J$6:$J$305="Approved")*(ROW('Leave Register'!$B$6:$B$305)-5))))))</f>
        <v/>
      </c>
      <c r="O12" s="83" t="str">
        <f aca="false">IF(OR($A12="",O$5="",O$7&lt;&gt;"W"),"",IF(SUMPRODUCT(MAX(('Leave Register'!$B$6:$B$305=$A12)*('Leave Register'!$E$6:$E$305&lt;=O$5)*('Leave Register'!$F$6:$F$305&gt;=O$5)*('Leave Register'!$J$6:$J$305="Approved")*(ROW('Leave Register'!$B$6:$B$305)-5)))=0,"",INDEX('Leave Register'!$D$6:$D$305,SUMPRODUCT(MAX(('Leave Register'!$B$6:$B$305=$A12)*('Leave Register'!$E$6:$E$305&lt;=O$5)*('Leave Register'!$F$6:$F$305&gt;=O$5)*('Leave Register'!$J$6:$J$305="Approved")*(ROW('Leave Register'!$B$6:$B$305)-5))))))</f>
        <v/>
      </c>
      <c r="P12" s="83" t="str">
        <f aca="false">IF(OR($A12="",P$5="",P$7&lt;&gt;"W"),"",IF(SUMPRODUCT(MAX(('Leave Register'!$B$6:$B$305=$A12)*('Leave Register'!$E$6:$E$305&lt;=P$5)*('Leave Register'!$F$6:$F$305&gt;=P$5)*('Leave Register'!$J$6:$J$305="Approved")*(ROW('Leave Register'!$B$6:$B$305)-5)))=0,"",INDEX('Leave Register'!$D$6:$D$305,SUMPRODUCT(MAX(('Leave Register'!$B$6:$B$305=$A12)*('Leave Register'!$E$6:$E$305&lt;=P$5)*('Leave Register'!$F$6:$F$305&gt;=P$5)*('Leave Register'!$J$6:$J$305="Approved")*(ROW('Leave Register'!$B$6:$B$305)-5))))))</f>
        <v/>
      </c>
      <c r="Q12" s="83" t="str">
        <f aca="false">IF(OR($A12="",Q$5="",Q$7&lt;&gt;"W"),"",IF(SUMPRODUCT(MAX(('Leave Register'!$B$6:$B$305=$A12)*('Leave Register'!$E$6:$E$305&lt;=Q$5)*('Leave Register'!$F$6:$F$305&gt;=Q$5)*('Leave Register'!$J$6:$J$305="Approved")*(ROW('Leave Register'!$B$6:$B$305)-5)))=0,"",INDEX('Leave Register'!$D$6:$D$305,SUMPRODUCT(MAX(('Leave Register'!$B$6:$B$305=$A12)*('Leave Register'!$E$6:$E$305&lt;=Q$5)*('Leave Register'!$F$6:$F$305&gt;=Q$5)*('Leave Register'!$J$6:$J$305="Approved")*(ROW('Leave Register'!$B$6:$B$305)-5))))))</f>
        <v/>
      </c>
      <c r="R12" s="83" t="str">
        <f aca="false">IF(OR($A12="",R$5="",R$7&lt;&gt;"W"),"",IF(SUMPRODUCT(MAX(('Leave Register'!$B$6:$B$305=$A12)*('Leave Register'!$E$6:$E$305&lt;=R$5)*('Leave Register'!$F$6:$F$305&gt;=R$5)*('Leave Register'!$J$6:$J$305="Approved")*(ROW('Leave Register'!$B$6:$B$305)-5)))=0,"",INDEX('Leave Register'!$D$6:$D$305,SUMPRODUCT(MAX(('Leave Register'!$B$6:$B$305=$A12)*('Leave Register'!$E$6:$E$305&lt;=R$5)*('Leave Register'!$F$6:$F$305&gt;=R$5)*('Leave Register'!$J$6:$J$305="Approved")*(ROW('Leave Register'!$B$6:$B$305)-5))))))</f>
        <v/>
      </c>
      <c r="S12" s="83" t="str">
        <f aca="false">IF(OR($A12="",S$5="",S$7&lt;&gt;"W"),"",IF(SUMPRODUCT(MAX(('Leave Register'!$B$6:$B$305=$A12)*('Leave Register'!$E$6:$E$305&lt;=S$5)*('Leave Register'!$F$6:$F$305&gt;=S$5)*('Leave Register'!$J$6:$J$305="Approved")*(ROW('Leave Register'!$B$6:$B$305)-5)))=0,"",INDEX('Leave Register'!$D$6:$D$305,SUMPRODUCT(MAX(('Leave Register'!$B$6:$B$305=$A12)*('Leave Register'!$E$6:$E$305&lt;=S$5)*('Leave Register'!$F$6:$F$305&gt;=S$5)*('Leave Register'!$J$6:$J$305="Approved")*(ROW('Leave Register'!$B$6:$B$305)-5))))))</f>
        <v/>
      </c>
      <c r="T12" s="83" t="str">
        <f aca="false">IF(OR($A12="",T$5="",T$7&lt;&gt;"W"),"",IF(SUMPRODUCT(MAX(('Leave Register'!$B$6:$B$305=$A12)*('Leave Register'!$E$6:$E$305&lt;=T$5)*('Leave Register'!$F$6:$F$305&gt;=T$5)*('Leave Register'!$J$6:$J$305="Approved")*(ROW('Leave Register'!$B$6:$B$305)-5)))=0,"",INDEX('Leave Register'!$D$6:$D$305,SUMPRODUCT(MAX(('Leave Register'!$B$6:$B$305=$A12)*('Leave Register'!$E$6:$E$305&lt;=T$5)*('Leave Register'!$F$6:$F$305&gt;=T$5)*('Leave Register'!$J$6:$J$305="Approved")*(ROW('Leave Register'!$B$6:$B$305)-5))))))</f>
        <v/>
      </c>
      <c r="U12" s="83" t="str">
        <f aca="false">IF(OR($A12="",U$5="",U$7&lt;&gt;"W"),"",IF(SUMPRODUCT(MAX(('Leave Register'!$B$6:$B$305=$A12)*('Leave Register'!$E$6:$E$305&lt;=U$5)*('Leave Register'!$F$6:$F$305&gt;=U$5)*('Leave Register'!$J$6:$J$305="Approved")*(ROW('Leave Register'!$B$6:$B$305)-5)))=0,"",INDEX('Leave Register'!$D$6:$D$305,SUMPRODUCT(MAX(('Leave Register'!$B$6:$B$305=$A12)*('Leave Register'!$E$6:$E$305&lt;=U$5)*('Leave Register'!$F$6:$F$305&gt;=U$5)*('Leave Register'!$J$6:$J$305="Approved")*(ROW('Leave Register'!$B$6:$B$305)-5))))))</f>
        <v/>
      </c>
      <c r="V12" s="83" t="str">
        <f aca="false">IF(OR($A12="",V$5="",V$7&lt;&gt;"W"),"",IF(SUMPRODUCT(MAX(('Leave Register'!$B$6:$B$305=$A12)*('Leave Register'!$E$6:$E$305&lt;=V$5)*('Leave Register'!$F$6:$F$305&gt;=V$5)*('Leave Register'!$J$6:$J$305="Approved")*(ROW('Leave Register'!$B$6:$B$305)-5)))=0,"",INDEX('Leave Register'!$D$6:$D$305,SUMPRODUCT(MAX(('Leave Register'!$B$6:$B$305=$A12)*('Leave Register'!$E$6:$E$305&lt;=V$5)*('Leave Register'!$F$6:$F$305&gt;=V$5)*('Leave Register'!$J$6:$J$305="Approved")*(ROW('Leave Register'!$B$6:$B$305)-5))))))</f>
        <v/>
      </c>
      <c r="W12" s="83" t="str">
        <f aca="false">IF(OR($A12="",W$5="",W$7&lt;&gt;"W"),"",IF(SUMPRODUCT(MAX(('Leave Register'!$B$6:$B$305=$A12)*('Leave Register'!$E$6:$E$305&lt;=W$5)*('Leave Register'!$F$6:$F$305&gt;=W$5)*('Leave Register'!$J$6:$J$305="Approved")*(ROW('Leave Register'!$B$6:$B$305)-5)))=0,"",INDEX('Leave Register'!$D$6:$D$305,SUMPRODUCT(MAX(('Leave Register'!$B$6:$B$305=$A12)*('Leave Register'!$E$6:$E$305&lt;=W$5)*('Leave Register'!$F$6:$F$305&gt;=W$5)*('Leave Register'!$J$6:$J$305="Approved")*(ROW('Leave Register'!$B$6:$B$305)-5))))))</f>
        <v/>
      </c>
      <c r="X12" s="83" t="str">
        <f aca="false">IF(OR($A12="",X$5="",X$7&lt;&gt;"W"),"",IF(SUMPRODUCT(MAX(('Leave Register'!$B$6:$B$305=$A12)*('Leave Register'!$E$6:$E$305&lt;=X$5)*('Leave Register'!$F$6:$F$305&gt;=X$5)*('Leave Register'!$J$6:$J$305="Approved")*(ROW('Leave Register'!$B$6:$B$305)-5)))=0,"",INDEX('Leave Register'!$D$6:$D$305,SUMPRODUCT(MAX(('Leave Register'!$B$6:$B$305=$A12)*('Leave Register'!$E$6:$E$305&lt;=X$5)*('Leave Register'!$F$6:$F$305&gt;=X$5)*('Leave Register'!$J$6:$J$305="Approved")*(ROW('Leave Register'!$B$6:$B$305)-5))))))</f>
        <v/>
      </c>
      <c r="Y12" s="83" t="str">
        <f aca="false">IF(OR($A12="",Y$5="",Y$7&lt;&gt;"W"),"",IF(SUMPRODUCT(MAX(('Leave Register'!$B$6:$B$305=$A12)*('Leave Register'!$E$6:$E$305&lt;=Y$5)*('Leave Register'!$F$6:$F$305&gt;=Y$5)*('Leave Register'!$J$6:$J$305="Approved")*(ROW('Leave Register'!$B$6:$B$305)-5)))=0,"",INDEX('Leave Register'!$D$6:$D$305,SUMPRODUCT(MAX(('Leave Register'!$B$6:$B$305=$A12)*('Leave Register'!$E$6:$E$305&lt;=Y$5)*('Leave Register'!$F$6:$F$305&gt;=Y$5)*('Leave Register'!$J$6:$J$305="Approved")*(ROW('Leave Register'!$B$6:$B$305)-5))))))</f>
        <v/>
      </c>
      <c r="Z12" s="83" t="str">
        <f aca="false">IF(OR($A12="",Z$5="",Z$7&lt;&gt;"W"),"",IF(SUMPRODUCT(MAX(('Leave Register'!$B$6:$B$305=$A12)*('Leave Register'!$E$6:$E$305&lt;=Z$5)*('Leave Register'!$F$6:$F$305&gt;=Z$5)*('Leave Register'!$J$6:$J$305="Approved")*(ROW('Leave Register'!$B$6:$B$305)-5)))=0,"",INDEX('Leave Register'!$D$6:$D$305,SUMPRODUCT(MAX(('Leave Register'!$B$6:$B$305=$A12)*('Leave Register'!$E$6:$E$305&lt;=Z$5)*('Leave Register'!$F$6:$F$305&gt;=Z$5)*('Leave Register'!$J$6:$J$305="Approved")*(ROW('Leave Register'!$B$6:$B$305)-5))))))</f>
        <v/>
      </c>
      <c r="AA12" s="83" t="str">
        <f aca="false">IF(OR($A12="",AA$5="",AA$7&lt;&gt;"W"),"",IF(SUMPRODUCT(MAX(('Leave Register'!$B$6:$B$305=$A12)*('Leave Register'!$E$6:$E$305&lt;=AA$5)*('Leave Register'!$F$6:$F$305&gt;=AA$5)*('Leave Register'!$J$6:$J$305="Approved")*(ROW('Leave Register'!$B$6:$B$305)-5)))=0,"",INDEX('Leave Register'!$D$6:$D$305,SUMPRODUCT(MAX(('Leave Register'!$B$6:$B$305=$A12)*('Leave Register'!$E$6:$E$305&lt;=AA$5)*('Leave Register'!$F$6:$F$305&gt;=AA$5)*('Leave Register'!$J$6:$J$305="Approved")*(ROW('Leave Register'!$B$6:$B$305)-5))))))</f>
        <v/>
      </c>
      <c r="AB12" s="83" t="str">
        <f aca="false">IF(OR($A12="",AB$5="",AB$7&lt;&gt;"W"),"",IF(SUMPRODUCT(MAX(('Leave Register'!$B$6:$B$305=$A12)*('Leave Register'!$E$6:$E$305&lt;=AB$5)*('Leave Register'!$F$6:$F$305&gt;=AB$5)*('Leave Register'!$J$6:$J$305="Approved")*(ROW('Leave Register'!$B$6:$B$305)-5)))=0,"",INDEX('Leave Register'!$D$6:$D$305,SUMPRODUCT(MAX(('Leave Register'!$B$6:$B$305=$A12)*('Leave Register'!$E$6:$E$305&lt;=AB$5)*('Leave Register'!$F$6:$F$305&gt;=AB$5)*('Leave Register'!$J$6:$J$305="Approved")*(ROW('Leave Register'!$B$6:$B$305)-5))))))</f>
        <v/>
      </c>
      <c r="AC12" s="83" t="str">
        <f aca="false">IF(OR($A12="",AC$5="",AC$7&lt;&gt;"W"),"",IF(SUMPRODUCT(MAX(('Leave Register'!$B$6:$B$305=$A12)*('Leave Register'!$E$6:$E$305&lt;=AC$5)*('Leave Register'!$F$6:$F$305&gt;=AC$5)*('Leave Register'!$J$6:$J$305="Approved")*(ROW('Leave Register'!$B$6:$B$305)-5)))=0,"",INDEX('Leave Register'!$D$6:$D$305,SUMPRODUCT(MAX(('Leave Register'!$B$6:$B$305=$A12)*('Leave Register'!$E$6:$E$305&lt;=AC$5)*('Leave Register'!$F$6:$F$305&gt;=AC$5)*('Leave Register'!$J$6:$J$305="Approved")*(ROW('Leave Register'!$B$6:$B$305)-5))))))</f>
        <v/>
      </c>
      <c r="AD12" s="83" t="str">
        <f aca="false">IF(OR($A12="",AD$5="",AD$7&lt;&gt;"W"),"",IF(SUMPRODUCT(MAX(('Leave Register'!$B$6:$B$305=$A12)*('Leave Register'!$E$6:$E$305&lt;=AD$5)*('Leave Register'!$F$6:$F$305&gt;=AD$5)*('Leave Register'!$J$6:$J$305="Approved")*(ROW('Leave Register'!$B$6:$B$305)-5)))=0,"",INDEX('Leave Register'!$D$6:$D$305,SUMPRODUCT(MAX(('Leave Register'!$B$6:$B$305=$A12)*('Leave Register'!$E$6:$E$305&lt;=AD$5)*('Leave Register'!$F$6:$F$305&gt;=AD$5)*('Leave Register'!$J$6:$J$305="Approved")*(ROW('Leave Register'!$B$6:$B$305)-5))))))</f>
        <v/>
      </c>
      <c r="AE12" s="83" t="str">
        <f aca="false">IF(OR($A12="",AE$5="",AE$7&lt;&gt;"W"),"",IF(SUMPRODUCT(MAX(('Leave Register'!$B$6:$B$305=$A12)*('Leave Register'!$E$6:$E$305&lt;=AE$5)*('Leave Register'!$F$6:$F$305&gt;=AE$5)*('Leave Register'!$J$6:$J$305="Approved")*(ROW('Leave Register'!$B$6:$B$305)-5)))=0,"",INDEX('Leave Register'!$D$6:$D$305,SUMPRODUCT(MAX(('Leave Register'!$B$6:$B$305=$A12)*('Leave Register'!$E$6:$E$305&lt;=AE$5)*('Leave Register'!$F$6:$F$305&gt;=AE$5)*('Leave Register'!$J$6:$J$305="Approved")*(ROW('Leave Register'!$B$6:$B$305)-5))))))</f>
        <v/>
      </c>
      <c r="AF12" s="83" t="str">
        <f aca="false">IF(OR($A12="",AF$5="",AF$7&lt;&gt;"W"),"",IF(SUMPRODUCT(MAX(('Leave Register'!$B$6:$B$305=$A12)*('Leave Register'!$E$6:$E$305&lt;=AF$5)*('Leave Register'!$F$6:$F$305&gt;=AF$5)*('Leave Register'!$J$6:$J$305="Approved")*(ROW('Leave Register'!$B$6:$B$305)-5)))=0,"",INDEX('Leave Register'!$D$6:$D$305,SUMPRODUCT(MAX(('Leave Register'!$B$6:$B$305=$A12)*('Leave Register'!$E$6:$E$305&lt;=AF$5)*('Leave Register'!$F$6:$F$305&gt;=AF$5)*('Leave Register'!$J$6:$J$305="Approved")*(ROW('Leave Register'!$B$6:$B$305)-5))))))</f>
        <v/>
      </c>
      <c r="AG12" s="83" t="str">
        <f aca="false">IF(OR($A12="",AG$5="",AG$7&lt;&gt;"W"),"",IF(SUMPRODUCT(MAX(('Leave Register'!$B$6:$B$305=$A12)*('Leave Register'!$E$6:$E$305&lt;=AG$5)*('Leave Register'!$F$6:$F$305&gt;=AG$5)*('Leave Register'!$J$6:$J$305="Approved")*(ROW('Leave Register'!$B$6:$B$305)-5)))=0,"",INDEX('Leave Register'!$D$6:$D$305,SUMPRODUCT(MAX(('Leave Register'!$B$6:$B$305=$A12)*('Leave Register'!$E$6:$E$305&lt;=AG$5)*('Leave Register'!$F$6:$F$305&gt;=AG$5)*('Leave Register'!$J$6:$J$305="Approved")*(ROW('Leave Register'!$B$6:$B$305)-5))))))</f>
        <v/>
      </c>
      <c r="AH12" s="84" t="n">
        <f aca="false">IF(A12="","",COUNTIF(C12:AG12,"?*"))</f>
        <v>0</v>
      </c>
    </row>
    <row r="13" customFormat="false" ht="15" hidden="false" customHeight="false" outlineLevel="0" collapsed="false">
      <c r="A13" s="81" t="str">
        <f aca="false">IF(Employees!$B$10="","",Employees!$B$10)</f>
        <v>XE006</v>
      </c>
      <c r="B13" s="82" t="str">
        <f aca="false">IF(A13="","",Employees!$C$10)</f>
        <v>Rajesh Kumar</v>
      </c>
      <c r="C13" s="83" t="str">
        <f aca="false">IF(OR($A13="",C$5="",C$7&lt;&gt;"W"),"",IF(SUMPRODUCT(MAX(('Leave Register'!$B$6:$B$305=$A13)*('Leave Register'!$E$6:$E$305&lt;=C$5)*('Leave Register'!$F$6:$F$305&gt;=C$5)*('Leave Register'!$J$6:$J$305="Approved")*(ROW('Leave Register'!$B$6:$B$305)-5)))=0,"",INDEX('Leave Register'!$D$6:$D$305,SUMPRODUCT(MAX(('Leave Register'!$B$6:$B$305=$A13)*('Leave Register'!$E$6:$E$305&lt;=C$5)*('Leave Register'!$F$6:$F$305&gt;=C$5)*('Leave Register'!$J$6:$J$305="Approved")*(ROW('Leave Register'!$B$6:$B$305)-5))))))</f>
        <v/>
      </c>
      <c r="D13" s="83" t="str">
        <f aca="false">IF(OR($A13="",D$5="",D$7&lt;&gt;"W"),"",IF(SUMPRODUCT(MAX(('Leave Register'!$B$6:$B$305=$A13)*('Leave Register'!$E$6:$E$305&lt;=D$5)*('Leave Register'!$F$6:$F$305&gt;=D$5)*('Leave Register'!$J$6:$J$305="Approved")*(ROW('Leave Register'!$B$6:$B$305)-5)))=0,"",INDEX('Leave Register'!$D$6:$D$305,SUMPRODUCT(MAX(('Leave Register'!$B$6:$B$305=$A13)*('Leave Register'!$E$6:$E$305&lt;=D$5)*('Leave Register'!$F$6:$F$305&gt;=D$5)*('Leave Register'!$J$6:$J$305="Approved")*(ROW('Leave Register'!$B$6:$B$305)-5))))))</f>
        <v/>
      </c>
      <c r="E13" s="83" t="str">
        <f aca="false">IF(OR($A13="",E$5="",E$7&lt;&gt;"W"),"",IF(SUMPRODUCT(MAX(('Leave Register'!$B$6:$B$305=$A13)*('Leave Register'!$E$6:$E$305&lt;=E$5)*('Leave Register'!$F$6:$F$305&gt;=E$5)*('Leave Register'!$J$6:$J$305="Approved")*(ROW('Leave Register'!$B$6:$B$305)-5)))=0,"",INDEX('Leave Register'!$D$6:$D$305,SUMPRODUCT(MAX(('Leave Register'!$B$6:$B$305=$A13)*('Leave Register'!$E$6:$E$305&lt;=E$5)*('Leave Register'!$F$6:$F$305&gt;=E$5)*('Leave Register'!$J$6:$J$305="Approved")*(ROW('Leave Register'!$B$6:$B$305)-5))))))</f>
        <v/>
      </c>
      <c r="F13" s="83" t="str">
        <f aca="false">IF(OR($A13="",F$5="",F$7&lt;&gt;"W"),"",IF(SUMPRODUCT(MAX(('Leave Register'!$B$6:$B$305=$A13)*('Leave Register'!$E$6:$E$305&lt;=F$5)*('Leave Register'!$F$6:$F$305&gt;=F$5)*('Leave Register'!$J$6:$J$305="Approved")*(ROW('Leave Register'!$B$6:$B$305)-5)))=0,"",INDEX('Leave Register'!$D$6:$D$305,SUMPRODUCT(MAX(('Leave Register'!$B$6:$B$305=$A13)*('Leave Register'!$E$6:$E$305&lt;=F$5)*('Leave Register'!$F$6:$F$305&gt;=F$5)*('Leave Register'!$J$6:$J$305="Approved")*(ROW('Leave Register'!$B$6:$B$305)-5))))))</f>
        <v/>
      </c>
      <c r="G13" s="83" t="str">
        <f aca="false">IF(OR($A13="",G$5="",G$7&lt;&gt;"W"),"",IF(SUMPRODUCT(MAX(('Leave Register'!$B$6:$B$305=$A13)*('Leave Register'!$E$6:$E$305&lt;=G$5)*('Leave Register'!$F$6:$F$305&gt;=G$5)*('Leave Register'!$J$6:$J$305="Approved")*(ROW('Leave Register'!$B$6:$B$305)-5)))=0,"",INDEX('Leave Register'!$D$6:$D$305,SUMPRODUCT(MAX(('Leave Register'!$B$6:$B$305=$A13)*('Leave Register'!$E$6:$E$305&lt;=G$5)*('Leave Register'!$F$6:$F$305&gt;=G$5)*('Leave Register'!$J$6:$J$305="Approved")*(ROW('Leave Register'!$B$6:$B$305)-5))))))</f>
        <v/>
      </c>
      <c r="H13" s="83" t="str">
        <f aca="false">IF(OR($A13="",H$5="",H$7&lt;&gt;"W"),"",IF(SUMPRODUCT(MAX(('Leave Register'!$B$6:$B$305=$A13)*('Leave Register'!$E$6:$E$305&lt;=H$5)*('Leave Register'!$F$6:$F$305&gt;=H$5)*('Leave Register'!$J$6:$J$305="Approved")*(ROW('Leave Register'!$B$6:$B$305)-5)))=0,"",INDEX('Leave Register'!$D$6:$D$305,SUMPRODUCT(MAX(('Leave Register'!$B$6:$B$305=$A13)*('Leave Register'!$E$6:$E$305&lt;=H$5)*('Leave Register'!$F$6:$F$305&gt;=H$5)*('Leave Register'!$J$6:$J$305="Approved")*(ROW('Leave Register'!$B$6:$B$305)-5))))))</f>
        <v>SL</v>
      </c>
      <c r="I13" s="83" t="str">
        <f aca="false">IF(OR($A13="",I$5="",I$7&lt;&gt;"W"),"",IF(SUMPRODUCT(MAX(('Leave Register'!$B$6:$B$305=$A13)*('Leave Register'!$E$6:$E$305&lt;=I$5)*('Leave Register'!$F$6:$F$305&gt;=I$5)*('Leave Register'!$J$6:$J$305="Approved")*(ROW('Leave Register'!$B$6:$B$305)-5)))=0,"",INDEX('Leave Register'!$D$6:$D$305,SUMPRODUCT(MAX(('Leave Register'!$B$6:$B$305=$A13)*('Leave Register'!$E$6:$E$305&lt;=I$5)*('Leave Register'!$F$6:$F$305&gt;=I$5)*('Leave Register'!$J$6:$J$305="Approved")*(ROW('Leave Register'!$B$6:$B$305)-5))))))</f>
        <v>SL</v>
      </c>
      <c r="J13" s="83" t="str">
        <f aca="false">IF(OR($A13="",J$5="",J$7&lt;&gt;"W"),"",IF(SUMPRODUCT(MAX(('Leave Register'!$B$6:$B$305=$A13)*('Leave Register'!$E$6:$E$305&lt;=J$5)*('Leave Register'!$F$6:$F$305&gt;=J$5)*('Leave Register'!$J$6:$J$305="Approved")*(ROW('Leave Register'!$B$6:$B$305)-5)))=0,"",INDEX('Leave Register'!$D$6:$D$305,SUMPRODUCT(MAX(('Leave Register'!$B$6:$B$305=$A13)*('Leave Register'!$E$6:$E$305&lt;=J$5)*('Leave Register'!$F$6:$F$305&gt;=J$5)*('Leave Register'!$J$6:$J$305="Approved")*(ROW('Leave Register'!$B$6:$B$305)-5))))))</f>
        <v/>
      </c>
      <c r="K13" s="83" t="str">
        <f aca="false">IF(OR($A13="",K$5="",K$7&lt;&gt;"W"),"",IF(SUMPRODUCT(MAX(('Leave Register'!$B$6:$B$305=$A13)*('Leave Register'!$E$6:$E$305&lt;=K$5)*('Leave Register'!$F$6:$F$305&gt;=K$5)*('Leave Register'!$J$6:$J$305="Approved")*(ROW('Leave Register'!$B$6:$B$305)-5)))=0,"",INDEX('Leave Register'!$D$6:$D$305,SUMPRODUCT(MAX(('Leave Register'!$B$6:$B$305=$A13)*('Leave Register'!$E$6:$E$305&lt;=K$5)*('Leave Register'!$F$6:$F$305&gt;=K$5)*('Leave Register'!$J$6:$J$305="Approved")*(ROW('Leave Register'!$B$6:$B$305)-5))))))</f>
        <v>CO</v>
      </c>
      <c r="L13" s="83" t="str">
        <f aca="false">IF(OR($A13="",L$5="",L$7&lt;&gt;"W"),"",IF(SUMPRODUCT(MAX(('Leave Register'!$B$6:$B$305=$A13)*('Leave Register'!$E$6:$E$305&lt;=L$5)*('Leave Register'!$F$6:$F$305&gt;=L$5)*('Leave Register'!$J$6:$J$305="Approved")*(ROW('Leave Register'!$B$6:$B$305)-5)))=0,"",INDEX('Leave Register'!$D$6:$D$305,SUMPRODUCT(MAX(('Leave Register'!$B$6:$B$305=$A13)*('Leave Register'!$E$6:$E$305&lt;=L$5)*('Leave Register'!$F$6:$F$305&gt;=L$5)*('Leave Register'!$J$6:$J$305="Approved")*(ROW('Leave Register'!$B$6:$B$305)-5))))))</f>
        <v/>
      </c>
      <c r="M13" s="83" t="str">
        <f aca="false">IF(OR($A13="",M$5="",M$7&lt;&gt;"W"),"",IF(SUMPRODUCT(MAX(('Leave Register'!$B$6:$B$305=$A13)*('Leave Register'!$E$6:$E$305&lt;=M$5)*('Leave Register'!$F$6:$F$305&gt;=M$5)*('Leave Register'!$J$6:$J$305="Approved")*(ROW('Leave Register'!$B$6:$B$305)-5)))=0,"",INDEX('Leave Register'!$D$6:$D$305,SUMPRODUCT(MAX(('Leave Register'!$B$6:$B$305=$A13)*('Leave Register'!$E$6:$E$305&lt;=M$5)*('Leave Register'!$F$6:$F$305&gt;=M$5)*('Leave Register'!$J$6:$J$305="Approved")*(ROW('Leave Register'!$B$6:$B$305)-5))))))</f>
        <v/>
      </c>
      <c r="N13" s="83" t="str">
        <f aca="false">IF(OR($A13="",N$5="",N$7&lt;&gt;"W"),"",IF(SUMPRODUCT(MAX(('Leave Register'!$B$6:$B$305=$A13)*('Leave Register'!$E$6:$E$305&lt;=N$5)*('Leave Register'!$F$6:$F$305&gt;=N$5)*('Leave Register'!$J$6:$J$305="Approved")*(ROW('Leave Register'!$B$6:$B$305)-5)))=0,"",INDEX('Leave Register'!$D$6:$D$305,SUMPRODUCT(MAX(('Leave Register'!$B$6:$B$305=$A13)*('Leave Register'!$E$6:$E$305&lt;=N$5)*('Leave Register'!$F$6:$F$305&gt;=N$5)*('Leave Register'!$J$6:$J$305="Approved")*(ROW('Leave Register'!$B$6:$B$305)-5))))))</f>
        <v/>
      </c>
      <c r="O13" s="83" t="str">
        <f aca="false">IF(OR($A13="",O$5="",O$7&lt;&gt;"W"),"",IF(SUMPRODUCT(MAX(('Leave Register'!$B$6:$B$305=$A13)*('Leave Register'!$E$6:$E$305&lt;=O$5)*('Leave Register'!$F$6:$F$305&gt;=O$5)*('Leave Register'!$J$6:$J$305="Approved")*(ROW('Leave Register'!$B$6:$B$305)-5)))=0,"",INDEX('Leave Register'!$D$6:$D$305,SUMPRODUCT(MAX(('Leave Register'!$B$6:$B$305=$A13)*('Leave Register'!$E$6:$E$305&lt;=O$5)*('Leave Register'!$F$6:$F$305&gt;=O$5)*('Leave Register'!$J$6:$J$305="Approved")*(ROW('Leave Register'!$B$6:$B$305)-5))))))</f>
        <v/>
      </c>
      <c r="P13" s="83" t="str">
        <f aca="false">IF(OR($A13="",P$5="",P$7&lt;&gt;"W"),"",IF(SUMPRODUCT(MAX(('Leave Register'!$B$6:$B$305=$A13)*('Leave Register'!$E$6:$E$305&lt;=P$5)*('Leave Register'!$F$6:$F$305&gt;=P$5)*('Leave Register'!$J$6:$J$305="Approved")*(ROW('Leave Register'!$B$6:$B$305)-5)))=0,"",INDEX('Leave Register'!$D$6:$D$305,SUMPRODUCT(MAX(('Leave Register'!$B$6:$B$305=$A13)*('Leave Register'!$E$6:$E$305&lt;=P$5)*('Leave Register'!$F$6:$F$305&gt;=P$5)*('Leave Register'!$J$6:$J$305="Approved")*(ROW('Leave Register'!$B$6:$B$305)-5))))))</f>
        <v/>
      </c>
      <c r="Q13" s="83" t="str">
        <f aca="false">IF(OR($A13="",Q$5="",Q$7&lt;&gt;"W"),"",IF(SUMPRODUCT(MAX(('Leave Register'!$B$6:$B$305=$A13)*('Leave Register'!$E$6:$E$305&lt;=Q$5)*('Leave Register'!$F$6:$F$305&gt;=Q$5)*('Leave Register'!$J$6:$J$305="Approved")*(ROW('Leave Register'!$B$6:$B$305)-5)))=0,"",INDEX('Leave Register'!$D$6:$D$305,SUMPRODUCT(MAX(('Leave Register'!$B$6:$B$305=$A13)*('Leave Register'!$E$6:$E$305&lt;=Q$5)*('Leave Register'!$F$6:$F$305&gt;=Q$5)*('Leave Register'!$J$6:$J$305="Approved")*(ROW('Leave Register'!$B$6:$B$305)-5))))))</f>
        <v/>
      </c>
      <c r="R13" s="83" t="str">
        <f aca="false">IF(OR($A13="",R$5="",R$7&lt;&gt;"W"),"",IF(SUMPRODUCT(MAX(('Leave Register'!$B$6:$B$305=$A13)*('Leave Register'!$E$6:$E$305&lt;=R$5)*('Leave Register'!$F$6:$F$305&gt;=R$5)*('Leave Register'!$J$6:$J$305="Approved")*(ROW('Leave Register'!$B$6:$B$305)-5)))=0,"",INDEX('Leave Register'!$D$6:$D$305,SUMPRODUCT(MAX(('Leave Register'!$B$6:$B$305=$A13)*('Leave Register'!$E$6:$E$305&lt;=R$5)*('Leave Register'!$F$6:$F$305&gt;=R$5)*('Leave Register'!$J$6:$J$305="Approved")*(ROW('Leave Register'!$B$6:$B$305)-5))))))</f>
        <v/>
      </c>
      <c r="S13" s="83" t="str">
        <f aca="false">IF(OR($A13="",S$5="",S$7&lt;&gt;"W"),"",IF(SUMPRODUCT(MAX(('Leave Register'!$B$6:$B$305=$A13)*('Leave Register'!$E$6:$E$305&lt;=S$5)*('Leave Register'!$F$6:$F$305&gt;=S$5)*('Leave Register'!$J$6:$J$305="Approved")*(ROW('Leave Register'!$B$6:$B$305)-5)))=0,"",INDEX('Leave Register'!$D$6:$D$305,SUMPRODUCT(MAX(('Leave Register'!$B$6:$B$305=$A13)*('Leave Register'!$E$6:$E$305&lt;=S$5)*('Leave Register'!$F$6:$F$305&gt;=S$5)*('Leave Register'!$J$6:$J$305="Approved")*(ROW('Leave Register'!$B$6:$B$305)-5))))))</f>
        <v/>
      </c>
      <c r="T13" s="83" t="str">
        <f aca="false">IF(OR($A13="",T$5="",T$7&lt;&gt;"W"),"",IF(SUMPRODUCT(MAX(('Leave Register'!$B$6:$B$305=$A13)*('Leave Register'!$E$6:$E$305&lt;=T$5)*('Leave Register'!$F$6:$F$305&gt;=T$5)*('Leave Register'!$J$6:$J$305="Approved")*(ROW('Leave Register'!$B$6:$B$305)-5)))=0,"",INDEX('Leave Register'!$D$6:$D$305,SUMPRODUCT(MAX(('Leave Register'!$B$6:$B$305=$A13)*('Leave Register'!$E$6:$E$305&lt;=T$5)*('Leave Register'!$F$6:$F$305&gt;=T$5)*('Leave Register'!$J$6:$J$305="Approved")*(ROW('Leave Register'!$B$6:$B$305)-5))))))</f>
        <v/>
      </c>
      <c r="U13" s="83" t="str">
        <f aca="false">IF(OR($A13="",U$5="",U$7&lt;&gt;"W"),"",IF(SUMPRODUCT(MAX(('Leave Register'!$B$6:$B$305=$A13)*('Leave Register'!$E$6:$E$305&lt;=U$5)*('Leave Register'!$F$6:$F$305&gt;=U$5)*('Leave Register'!$J$6:$J$305="Approved")*(ROW('Leave Register'!$B$6:$B$305)-5)))=0,"",INDEX('Leave Register'!$D$6:$D$305,SUMPRODUCT(MAX(('Leave Register'!$B$6:$B$305=$A13)*('Leave Register'!$E$6:$E$305&lt;=U$5)*('Leave Register'!$F$6:$F$305&gt;=U$5)*('Leave Register'!$J$6:$J$305="Approved")*(ROW('Leave Register'!$B$6:$B$305)-5))))))</f>
        <v/>
      </c>
      <c r="V13" s="83" t="str">
        <f aca="false">IF(OR($A13="",V$5="",V$7&lt;&gt;"W"),"",IF(SUMPRODUCT(MAX(('Leave Register'!$B$6:$B$305=$A13)*('Leave Register'!$E$6:$E$305&lt;=V$5)*('Leave Register'!$F$6:$F$305&gt;=V$5)*('Leave Register'!$J$6:$J$305="Approved")*(ROW('Leave Register'!$B$6:$B$305)-5)))=0,"",INDEX('Leave Register'!$D$6:$D$305,SUMPRODUCT(MAX(('Leave Register'!$B$6:$B$305=$A13)*('Leave Register'!$E$6:$E$305&lt;=V$5)*('Leave Register'!$F$6:$F$305&gt;=V$5)*('Leave Register'!$J$6:$J$305="Approved")*(ROW('Leave Register'!$B$6:$B$305)-5))))))</f>
        <v/>
      </c>
      <c r="W13" s="83" t="str">
        <f aca="false">IF(OR($A13="",W$5="",W$7&lt;&gt;"W"),"",IF(SUMPRODUCT(MAX(('Leave Register'!$B$6:$B$305=$A13)*('Leave Register'!$E$6:$E$305&lt;=W$5)*('Leave Register'!$F$6:$F$305&gt;=W$5)*('Leave Register'!$J$6:$J$305="Approved")*(ROW('Leave Register'!$B$6:$B$305)-5)))=0,"",INDEX('Leave Register'!$D$6:$D$305,SUMPRODUCT(MAX(('Leave Register'!$B$6:$B$305=$A13)*('Leave Register'!$E$6:$E$305&lt;=W$5)*('Leave Register'!$F$6:$F$305&gt;=W$5)*('Leave Register'!$J$6:$J$305="Approved")*(ROW('Leave Register'!$B$6:$B$305)-5))))))</f>
        <v/>
      </c>
      <c r="X13" s="83" t="str">
        <f aca="false">IF(OR($A13="",X$5="",X$7&lt;&gt;"W"),"",IF(SUMPRODUCT(MAX(('Leave Register'!$B$6:$B$305=$A13)*('Leave Register'!$E$6:$E$305&lt;=X$5)*('Leave Register'!$F$6:$F$305&gt;=X$5)*('Leave Register'!$J$6:$J$305="Approved")*(ROW('Leave Register'!$B$6:$B$305)-5)))=0,"",INDEX('Leave Register'!$D$6:$D$305,SUMPRODUCT(MAX(('Leave Register'!$B$6:$B$305=$A13)*('Leave Register'!$E$6:$E$305&lt;=X$5)*('Leave Register'!$F$6:$F$305&gt;=X$5)*('Leave Register'!$J$6:$J$305="Approved")*(ROW('Leave Register'!$B$6:$B$305)-5))))))</f>
        <v/>
      </c>
      <c r="Y13" s="83" t="str">
        <f aca="false">IF(OR($A13="",Y$5="",Y$7&lt;&gt;"W"),"",IF(SUMPRODUCT(MAX(('Leave Register'!$B$6:$B$305=$A13)*('Leave Register'!$E$6:$E$305&lt;=Y$5)*('Leave Register'!$F$6:$F$305&gt;=Y$5)*('Leave Register'!$J$6:$J$305="Approved")*(ROW('Leave Register'!$B$6:$B$305)-5)))=0,"",INDEX('Leave Register'!$D$6:$D$305,SUMPRODUCT(MAX(('Leave Register'!$B$6:$B$305=$A13)*('Leave Register'!$E$6:$E$305&lt;=Y$5)*('Leave Register'!$F$6:$F$305&gt;=Y$5)*('Leave Register'!$J$6:$J$305="Approved")*(ROW('Leave Register'!$B$6:$B$305)-5))))))</f>
        <v/>
      </c>
      <c r="Z13" s="83" t="str">
        <f aca="false">IF(OR($A13="",Z$5="",Z$7&lt;&gt;"W"),"",IF(SUMPRODUCT(MAX(('Leave Register'!$B$6:$B$305=$A13)*('Leave Register'!$E$6:$E$305&lt;=Z$5)*('Leave Register'!$F$6:$F$305&gt;=Z$5)*('Leave Register'!$J$6:$J$305="Approved")*(ROW('Leave Register'!$B$6:$B$305)-5)))=0,"",INDEX('Leave Register'!$D$6:$D$305,SUMPRODUCT(MAX(('Leave Register'!$B$6:$B$305=$A13)*('Leave Register'!$E$6:$E$305&lt;=Z$5)*('Leave Register'!$F$6:$F$305&gt;=Z$5)*('Leave Register'!$J$6:$J$305="Approved")*(ROW('Leave Register'!$B$6:$B$305)-5))))))</f>
        <v/>
      </c>
      <c r="AA13" s="83" t="str">
        <f aca="false">IF(OR($A13="",AA$5="",AA$7&lt;&gt;"W"),"",IF(SUMPRODUCT(MAX(('Leave Register'!$B$6:$B$305=$A13)*('Leave Register'!$E$6:$E$305&lt;=AA$5)*('Leave Register'!$F$6:$F$305&gt;=AA$5)*('Leave Register'!$J$6:$J$305="Approved")*(ROW('Leave Register'!$B$6:$B$305)-5)))=0,"",INDEX('Leave Register'!$D$6:$D$305,SUMPRODUCT(MAX(('Leave Register'!$B$6:$B$305=$A13)*('Leave Register'!$E$6:$E$305&lt;=AA$5)*('Leave Register'!$F$6:$F$305&gt;=AA$5)*('Leave Register'!$J$6:$J$305="Approved")*(ROW('Leave Register'!$B$6:$B$305)-5))))))</f>
        <v/>
      </c>
      <c r="AB13" s="83" t="str">
        <f aca="false">IF(OR($A13="",AB$5="",AB$7&lt;&gt;"W"),"",IF(SUMPRODUCT(MAX(('Leave Register'!$B$6:$B$305=$A13)*('Leave Register'!$E$6:$E$305&lt;=AB$5)*('Leave Register'!$F$6:$F$305&gt;=AB$5)*('Leave Register'!$J$6:$J$305="Approved")*(ROW('Leave Register'!$B$6:$B$305)-5)))=0,"",INDEX('Leave Register'!$D$6:$D$305,SUMPRODUCT(MAX(('Leave Register'!$B$6:$B$305=$A13)*('Leave Register'!$E$6:$E$305&lt;=AB$5)*('Leave Register'!$F$6:$F$305&gt;=AB$5)*('Leave Register'!$J$6:$J$305="Approved")*(ROW('Leave Register'!$B$6:$B$305)-5))))))</f>
        <v/>
      </c>
      <c r="AC13" s="83" t="str">
        <f aca="false">IF(OR($A13="",AC$5="",AC$7&lt;&gt;"W"),"",IF(SUMPRODUCT(MAX(('Leave Register'!$B$6:$B$305=$A13)*('Leave Register'!$E$6:$E$305&lt;=AC$5)*('Leave Register'!$F$6:$F$305&gt;=AC$5)*('Leave Register'!$J$6:$J$305="Approved")*(ROW('Leave Register'!$B$6:$B$305)-5)))=0,"",INDEX('Leave Register'!$D$6:$D$305,SUMPRODUCT(MAX(('Leave Register'!$B$6:$B$305=$A13)*('Leave Register'!$E$6:$E$305&lt;=AC$5)*('Leave Register'!$F$6:$F$305&gt;=AC$5)*('Leave Register'!$J$6:$J$305="Approved")*(ROW('Leave Register'!$B$6:$B$305)-5))))))</f>
        <v/>
      </c>
      <c r="AD13" s="83" t="str">
        <f aca="false">IF(OR($A13="",AD$5="",AD$7&lt;&gt;"W"),"",IF(SUMPRODUCT(MAX(('Leave Register'!$B$6:$B$305=$A13)*('Leave Register'!$E$6:$E$305&lt;=AD$5)*('Leave Register'!$F$6:$F$305&gt;=AD$5)*('Leave Register'!$J$6:$J$305="Approved")*(ROW('Leave Register'!$B$6:$B$305)-5)))=0,"",INDEX('Leave Register'!$D$6:$D$305,SUMPRODUCT(MAX(('Leave Register'!$B$6:$B$305=$A13)*('Leave Register'!$E$6:$E$305&lt;=AD$5)*('Leave Register'!$F$6:$F$305&gt;=AD$5)*('Leave Register'!$J$6:$J$305="Approved")*(ROW('Leave Register'!$B$6:$B$305)-5))))))</f>
        <v/>
      </c>
      <c r="AE13" s="83" t="str">
        <f aca="false">IF(OR($A13="",AE$5="",AE$7&lt;&gt;"W"),"",IF(SUMPRODUCT(MAX(('Leave Register'!$B$6:$B$305=$A13)*('Leave Register'!$E$6:$E$305&lt;=AE$5)*('Leave Register'!$F$6:$F$305&gt;=AE$5)*('Leave Register'!$J$6:$J$305="Approved")*(ROW('Leave Register'!$B$6:$B$305)-5)))=0,"",INDEX('Leave Register'!$D$6:$D$305,SUMPRODUCT(MAX(('Leave Register'!$B$6:$B$305=$A13)*('Leave Register'!$E$6:$E$305&lt;=AE$5)*('Leave Register'!$F$6:$F$305&gt;=AE$5)*('Leave Register'!$J$6:$J$305="Approved")*(ROW('Leave Register'!$B$6:$B$305)-5))))))</f>
        <v/>
      </c>
      <c r="AF13" s="83" t="str">
        <f aca="false">IF(OR($A13="",AF$5="",AF$7&lt;&gt;"W"),"",IF(SUMPRODUCT(MAX(('Leave Register'!$B$6:$B$305=$A13)*('Leave Register'!$E$6:$E$305&lt;=AF$5)*('Leave Register'!$F$6:$F$305&gt;=AF$5)*('Leave Register'!$J$6:$J$305="Approved")*(ROW('Leave Register'!$B$6:$B$305)-5)))=0,"",INDEX('Leave Register'!$D$6:$D$305,SUMPRODUCT(MAX(('Leave Register'!$B$6:$B$305=$A13)*('Leave Register'!$E$6:$E$305&lt;=AF$5)*('Leave Register'!$F$6:$F$305&gt;=AF$5)*('Leave Register'!$J$6:$J$305="Approved")*(ROW('Leave Register'!$B$6:$B$305)-5))))))</f>
        <v/>
      </c>
      <c r="AG13" s="83" t="str">
        <f aca="false">IF(OR($A13="",AG$5="",AG$7&lt;&gt;"W"),"",IF(SUMPRODUCT(MAX(('Leave Register'!$B$6:$B$305=$A13)*('Leave Register'!$E$6:$E$305&lt;=AG$5)*('Leave Register'!$F$6:$F$305&gt;=AG$5)*('Leave Register'!$J$6:$J$305="Approved")*(ROW('Leave Register'!$B$6:$B$305)-5)))=0,"",INDEX('Leave Register'!$D$6:$D$305,SUMPRODUCT(MAX(('Leave Register'!$B$6:$B$305=$A13)*('Leave Register'!$E$6:$E$305&lt;=AG$5)*('Leave Register'!$F$6:$F$305&gt;=AG$5)*('Leave Register'!$J$6:$J$305="Approved")*(ROW('Leave Register'!$B$6:$B$305)-5))))))</f>
        <v/>
      </c>
      <c r="AH13" s="84" t="n">
        <f aca="false">IF(A13="","",COUNTIF(C13:AG13,"?*"))</f>
        <v>3</v>
      </c>
    </row>
    <row r="14" customFormat="false" ht="15" hidden="false" customHeight="false" outlineLevel="0" collapsed="false">
      <c r="A14" s="81" t="str">
        <f aca="false">IF(Employees!$B$11="","",Employees!$B$11)</f>
        <v/>
      </c>
      <c r="B14" s="82" t="str">
        <f aca="false">IF(A14="","",Employees!$C$11)</f>
        <v/>
      </c>
      <c r="C14" s="83" t="str">
        <f aca="false">IF(OR($A14="",C$5="",C$7&lt;&gt;"W"),"",IF(SUMPRODUCT(MAX(('Leave Register'!$B$6:$B$305=$A14)*('Leave Register'!$E$6:$E$305&lt;=C$5)*('Leave Register'!$F$6:$F$305&gt;=C$5)*('Leave Register'!$J$6:$J$305="Approved")*(ROW('Leave Register'!$B$6:$B$305)-5)))=0,"",INDEX('Leave Register'!$D$6:$D$305,SUMPRODUCT(MAX(('Leave Register'!$B$6:$B$305=$A14)*('Leave Register'!$E$6:$E$305&lt;=C$5)*('Leave Register'!$F$6:$F$305&gt;=C$5)*('Leave Register'!$J$6:$J$305="Approved")*(ROW('Leave Register'!$B$6:$B$305)-5))))))</f>
        <v/>
      </c>
      <c r="D14" s="83" t="str">
        <f aca="false">IF(OR($A14="",D$5="",D$7&lt;&gt;"W"),"",IF(SUMPRODUCT(MAX(('Leave Register'!$B$6:$B$305=$A14)*('Leave Register'!$E$6:$E$305&lt;=D$5)*('Leave Register'!$F$6:$F$305&gt;=D$5)*('Leave Register'!$J$6:$J$305="Approved")*(ROW('Leave Register'!$B$6:$B$305)-5)))=0,"",INDEX('Leave Register'!$D$6:$D$305,SUMPRODUCT(MAX(('Leave Register'!$B$6:$B$305=$A14)*('Leave Register'!$E$6:$E$305&lt;=D$5)*('Leave Register'!$F$6:$F$305&gt;=D$5)*('Leave Register'!$J$6:$J$305="Approved")*(ROW('Leave Register'!$B$6:$B$305)-5))))))</f>
        <v/>
      </c>
      <c r="E14" s="83" t="str">
        <f aca="false">IF(OR($A14="",E$5="",E$7&lt;&gt;"W"),"",IF(SUMPRODUCT(MAX(('Leave Register'!$B$6:$B$305=$A14)*('Leave Register'!$E$6:$E$305&lt;=E$5)*('Leave Register'!$F$6:$F$305&gt;=E$5)*('Leave Register'!$J$6:$J$305="Approved")*(ROW('Leave Register'!$B$6:$B$305)-5)))=0,"",INDEX('Leave Register'!$D$6:$D$305,SUMPRODUCT(MAX(('Leave Register'!$B$6:$B$305=$A14)*('Leave Register'!$E$6:$E$305&lt;=E$5)*('Leave Register'!$F$6:$F$305&gt;=E$5)*('Leave Register'!$J$6:$J$305="Approved")*(ROW('Leave Register'!$B$6:$B$305)-5))))))</f>
        <v/>
      </c>
      <c r="F14" s="83" t="str">
        <f aca="false">IF(OR($A14="",F$5="",F$7&lt;&gt;"W"),"",IF(SUMPRODUCT(MAX(('Leave Register'!$B$6:$B$305=$A14)*('Leave Register'!$E$6:$E$305&lt;=F$5)*('Leave Register'!$F$6:$F$305&gt;=F$5)*('Leave Register'!$J$6:$J$305="Approved")*(ROW('Leave Register'!$B$6:$B$305)-5)))=0,"",INDEX('Leave Register'!$D$6:$D$305,SUMPRODUCT(MAX(('Leave Register'!$B$6:$B$305=$A14)*('Leave Register'!$E$6:$E$305&lt;=F$5)*('Leave Register'!$F$6:$F$305&gt;=F$5)*('Leave Register'!$J$6:$J$305="Approved")*(ROW('Leave Register'!$B$6:$B$305)-5))))))</f>
        <v/>
      </c>
      <c r="G14" s="83" t="str">
        <f aca="false">IF(OR($A14="",G$5="",G$7&lt;&gt;"W"),"",IF(SUMPRODUCT(MAX(('Leave Register'!$B$6:$B$305=$A14)*('Leave Register'!$E$6:$E$305&lt;=G$5)*('Leave Register'!$F$6:$F$305&gt;=G$5)*('Leave Register'!$J$6:$J$305="Approved")*(ROW('Leave Register'!$B$6:$B$305)-5)))=0,"",INDEX('Leave Register'!$D$6:$D$305,SUMPRODUCT(MAX(('Leave Register'!$B$6:$B$305=$A14)*('Leave Register'!$E$6:$E$305&lt;=G$5)*('Leave Register'!$F$6:$F$305&gt;=G$5)*('Leave Register'!$J$6:$J$305="Approved")*(ROW('Leave Register'!$B$6:$B$305)-5))))))</f>
        <v/>
      </c>
      <c r="H14" s="83" t="str">
        <f aca="false">IF(OR($A14="",H$5="",H$7&lt;&gt;"W"),"",IF(SUMPRODUCT(MAX(('Leave Register'!$B$6:$B$305=$A14)*('Leave Register'!$E$6:$E$305&lt;=H$5)*('Leave Register'!$F$6:$F$305&gt;=H$5)*('Leave Register'!$J$6:$J$305="Approved")*(ROW('Leave Register'!$B$6:$B$305)-5)))=0,"",INDEX('Leave Register'!$D$6:$D$305,SUMPRODUCT(MAX(('Leave Register'!$B$6:$B$305=$A14)*('Leave Register'!$E$6:$E$305&lt;=H$5)*('Leave Register'!$F$6:$F$305&gt;=H$5)*('Leave Register'!$J$6:$J$305="Approved")*(ROW('Leave Register'!$B$6:$B$305)-5))))))</f>
        <v/>
      </c>
      <c r="I14" s="83" t="str">
        <f aca="false">IF(OR($A14="",I$5="",I$7&lt;&gt;"W"),"",IF(SUMPRODUCT(MAX(('Leave Register'!$B$6:$B$305=$A14)*('Leave Register'!$E$6:$E$305&lt;=I$5)*('Leave Register'!$F$6:$F$305&gt;=I$5)*('Leave Register'!$J$6:$J$305="Approved")*(ROW('Leave Register'!$B$6:$B$305)-5)))=0,"",INDEX('Leave Register'!$D$6:$D$305,SUMPRODUCT(MAX(('Leave Register'!$B$6:$B$305=$A14)*('Leave Register'!$E$6:$E$305&lt;=I$5)*('Leave Register'!$F$6:$F$305&gt;=I$5)*('Leave Register'!$J$6:$J$305="Approved")*(ROW('Leave Register'!$B$6:$B$305)-5))))))</f>
        <v/>
      </c>
      <c r="J14" s="83" t="str">
        <f aca="false">IF(OR($A14="",J$5="",J$7&lt;&gt;"W"),"",IF(SUMPRODUCT(MAX(('Leave Register'!$B$6:$B$305=$A14)*('Leave Register'!$E$6:$E$305&lt;=J$5)*('Leave Register'!$F$6:$F$305&gt;=J$5)*('Leave Register'!$J$6:$J$305="Approved")*(ROW('Leave Register'!$B$6:$B$305)-5)))=0,"",INDEX('Leave Register'!$D$6:$D$305,SUMPRODUCT(MAX(('Leave Register'!$B$6:$B$305=$A14)*('Leave Register'!$E$6:$E$305&lt;=J$5)*('Leave Register'!$F$6:$F$305&gt;=J$5)*('Leave Register'!$J$6:$J$305="Approved")*(ROW('Leave Register'!$B$6:$B$305)-5))))))</f>
        <v/>
      </c>
      <c r="K14" s="83" t="str">
        <f aca="false">IF(OR($A14="",K$5="",K$7&lt;&gt;"W"),"",IF(SUMPRODUCT(MAX(('Leave Register'!$B$6:$B$305=$A14)*('Leave Register'!$E$6:$E$305&lt;=K$5)*('Leave Register'!$F$6:$F$305&gt;=K$5)*('Leave Register'!$J$6:$J$305="Approved")*(ROW('Leave Register'!$B$6:$B$305)-5)))=0,"",INDEX('Leave Register'!$D$6:$D$305,SUMPRODUCT(MAX(('Leave Register'!$B$6:$B$305=$A14)*('Leave Register'!$E$6:$E$305&lt;=K$5)*('Leave Register'!$F$6:$F$305&gt;=K$5)*('Leave Register'!$J$6:$J$305="Approved")*(ROW('Leave Register'!$B$6:$B$305)-5))))))</f>
        <v/>
      </c>
      <c r="L14" s="83" t="str">
        <f aca="false">IF(OR($A14="",L$5="",L$7&lt;&gt;"W"),"",IF(SUMPRODUCT(MAX(('Leave Register'!$B$6:$B$305=$A14)*('Leave Register'!$E$6:$E$305&lt;=L$5)*('Leave Register'!$F$6:$F$305&gt;=L$5)*('Leave Register'!$J$6:$J$305="Approved")*(ROW('Leave Register'!$B$6:$B$305)-5)))=0,"",INDEX('Leave Register'!$D$6:$D$305,SUMPRODUCT(MAX(('Leave Register'!$B$6:$B$305=$A14)*('Leave Register'!$E$6:$E$305&lt;=L$5)*('Leave Register'!$F$6:$F$305&gt;=L$5)*('Leave Register'!$J$6:$J$305="Approved")*(ROW('Leave Register'!$B$6:$B$305)-5))))))</f>
        <v/>
      </c>
      <c r="M14" s="83" t="str">
        <f aca="false">IF(OR($A14="",M$5="",M$7&lt;&gt;"W"),"",IF(SUMPRODUCT(MAX(('Leave Register'!$B$6:$B$305=$A14)*('Leave Register'!$E$6:$E$305&lt;=M$5)*('Leave Register'!$F$6:$F$305&gt;=M$5)*('Leave Register'!$J$6:$J$305="Approved")*(ROW('Leave Register'!$B$6:$B$305)-5)))=0,"",INDEX('Leave Register'!$D$6:$D$305,SUMPRODUCT(MAX(('Leave Register'!$B$6:$B$305=$A14)*('Leave Register'!$E$6:$E$305&lt;=M$5)*('Leave Register'!$F$6:$F$305&gt;=M$5)*('Leave Register'!$J$6:$J$305="Approved")*(ROW('Leave Register'!$B$6:$B$305)-5))))))</f>
        <v/>
      </c>
      <c r="N14" s="83" t="str">
        <f aca="false">IF(OR($A14="",N$5="",N$7&lt;&gt;"W"),"",IF(SUMPRODUCT(MAX(('Leave Register'!$B$6:$B$305=$A14)*('Leave Register'!$E$6:$E$305&lt;=N$5)*('Leave Register'!$F$6:$F$305&gt;=N$5)*('Leave Register'!$J$6:$J$305="Approved")*(ROW('Leave Register'!$B$6:$B$305)-5)))=0,"",INDEX('Leave Register'!$D$6:$D$305,SUMPRODUCT(MAX(('Leave Register'!$B$6:$B$305=$A14)*('Leave Register'!$E$6:$E$305&lt;=N$5)*('Leave Register'!$F$6:$F$305&gt;=N$5)*('Leave Register'!$J$6:$J$305="Approved")*(ROW('Leave Register'!$B$6:$B$305)-5))))))</f>
        <v/>
      </c>
      <c r="O14" s="83" t="str">
        <f aca="false">IF(OR($A14="",O$5="",O$7&lt;&gt;"W"),"",IF(SUMPRODUCT(MAX(('Leave Register'!$B$6:$B$305=$A14)*('Leave Register'!$E$6:$E$305&lt;=O$5)*('Leave Register'!$F$6:$F$305&gt;=O$5)*('Leave Register'!$J$6:$J$305="Approved")*(ROW('Leave Register'!$B$6:$B$305)-5)))=0,"",INDEX('Leave Register'!$D$6:$D$305,SUMPRODUCT(MAX(('Leave Register'!$B$6:$B$305=$A14)*('Leave Register'!$E$6:$E$305&lt;=O$5)*('Leave Register'!$F$6:$F$305&gt;=O$5)*('Leave Register'!$J$6:$J$305="Approved")*(ROW('Leave Register'!$B$6:$B$305)-5))))))</f>
        <v/>
      </c>
      <c r="P14" s="83" t="str">
        <f aca="false">IF(OR($A14="",P$5="",P$7&lt;&gt;"W"),"",IF(SUMPRODUCT(MAX(('Leave Register'!$B$6:$B$305=$A14)*('Leave Register'!$E$6:$E$305&lt;=P$5)*('Leave Register'!$F$6:$F$305&gt;=P$5)*('Leave Register'!$J$6:$J$305="Approved")*(ROW('Leave Register'!$B$6:$B$305)-5)))=0,"",INDEX('Leave Register'!$D$6:$D$305,SUMPRODUCT(MAX(('Leave Register'!$B$6:$B$305=$A14)*('Leave Register'!$E$6:$E$305&lt;=P$5)*('Leave Register'!$F$6:$F$305&gt;=P$5)*('Leave Register'!$J$6:$J$305="Approved")*(ROW('Leave Register'!$B$6:$B$305)-5))))))</f>
        <v/>
      </c>
      <c r="Q14" s="83" t="str">
        <f aca="false">IF(OR($A14="",Q$5="",Q$7&lt;&gt;"W"),"",IF(SUMPRODUCT(MAX(('Leave Register'!$B$6:$B$305=$A14)*('Leave Register'!$E$6:$E$305&lt;=Q$5)*('Leave Register'!$F$6:$F$305&gt;=Q$5)*('Leave Register'!$J$6:$J$305="Approved")*(ROW('Leave Register'!$B$6:$B$305)-5)))=0,"",INDEX('Leave Register'!$D$6:$D$305,SUMPRODUCT(MAX(('Leave Register'!$B$6:$B$305=$A14)*('Leave Register'!$E$6:$E$305&lt;=Q$5)*('Leave Register'!$F$6:$F$305&gt;=Q$5)*('Leave Register'!$J$6:$J$305="Approved")*(ROW('Leave Register'!$B$6:$B$305)-5))))))</f>
        <v/>
      </c>
      <c r="R14" s="83" t="str">
        <f aca="false">IF(OR($A14="",R$5="",R$7&lt;&gt;"W"),"",IF(SUMPRODUCT(MAX(('Leave Register'!$B$6:$B$305=$A14)*('Leave Register'!$E$6:$E$305&lt;=R$5)*('Leave Register'!$F$6:$F$305&gt;=R$5)*('Leave Register'!$J$6:$J$305="Approved")*(ROW('Leave Register'!$B$6:$B$305)-5)))=0,"",INDEX('Leave Register'!$D$6:$D$305,SUMPRODUCT(MAX(('Leave Register'!$B$6:$B$305=$A14)*('Leave Register'!$E$6:$E$305&lt;=R$5)*('Leave Register'!$F$6:$F$305&gt;=R$5)*('Leave Register'!$J$6:$J$305="Approved")*(ROW('Leave Register'!$B$6:$B$305)-5))))))</f>
        <v/>
      </c>
      <c r="S14" s="83" t="str">
        <f aca="false">IF(OR($A14="",S$5="",S$7&lt;&gt;"W"),"",IF(SUMPRODUCT(MAX(('Leave Register'!$B$6:$B$305=$A14)*('Leave Register'!$E$6:$E$305&lt;=S$5)*('Leave Register'!$F$6:$F$305&gt;=S$5)*('Leave Register'!$J$6:$J$305="Approved")*(ROW('Leave Register'!$B$6:$B$305)-5)))=0,"",INDEX('Leave Register'!$D$6:$D$305,SUMPRODUCT(MAX(('Leave Register'!$B$6:$B$305=$A14)*('Leave Register'!$E$6:$E$305&lt;=S$5)*('Leave Register'!$F$6:$F$305&gt;=S$5)*('Leave Register'!$J$6:$J$305="Approved")*(ROW('Leave Register'!$B$6:$B$305)-5))))))</f>
        <v/>
      </c>
      <c r="T14" s="83" t="str">
        <f aca="false">IF(OR($A14="",T$5="",T$7&lt;&gt;"W"),"",IF(SUMPRODUCT(MAX(('Leave Register'!$B$6:$B$305=$A14)*('Leave Register'!$E$6:$E$305&lt;=T$5)*('Leave Register'!$F$6:$F$305&gt;=T$5)*('Leave Register'!$J$6:$J$305="Approved")*(ROW('Leave Register'!$B$6:$B$305)-5)))=0,"",INDEX('Leave Register'!$D$6:$D$305,SUMPRODUCT(MAX(('Leave Register'!$B$6:$B$305=$A14)*('Leave Register'!$E$6:$E$305&lt;=T$5)*('Leave Register'!$F$6:$F$305&gt;=T$5)*('Leave Register'!$J$6:$J$305="Approved")*(ROW('Leave Register'!$B$6:$B$305)-5))))))</f>
        <v/>
      </c>
      <c r="U14" s="83" t="str">
        <f aca="false">IF(OR($A14="",U$5="",U$7&lt;&gt;"W"),"",IF(SUMPRODUCT(MAX(('Leave Register'!$B$6:$B$305=$A14)*('Leave Register'!$E$6:$E$305&lt;=U$5)*('Leave Register'!$F$6:$F$305&gt;=U$5)*('Leave Register'!$J$6:$J$305="Approved")*(ROW('Leave Register'!$B$6:$B$305)-5)))=0,"",INDEX('Leave Register'!$D$6:$D$305,SUMPRODUCT(MAX(('Leave Register'!$B$6:$B$305=$A14)*('Leave Register'!$E$6:$E$305&lt;=U$5)*('Leave Register'!$F$6:$F$305&gt;=U$5)*('Leave Register'!$J$6:$J$305="Approved")*(ROW('Leave Register'!$B$6:$B$305)-5))))))</f>
        <v/>
      </c>
      <c r="V14" s="83" t="str">
        <f aca="false">IF(OR($A14="",V$5="",V$7&lt;&gt;"W"),"",IF(SUMPRODUCT(MAX(('Leave Register'!$B$6:$B$305=$A14)*('Leave Register'!$E$6:$E$305&lt;=V$5)*('Leave Register'!$F$6:$F$305&gt;=V$5)*('Leave Register'!$J$6:$J$305="Approved")*(ROW('Leave Register'!$B$6:$B$305)-5)))=0,"",INDEX('Leave Register'!$D$6:$D$305,SUMPRODUCT(MAX(('Leave Register'!$B$6:$B$305=$A14)*('Leave Register'!$E$6:$E$305&lt;=V$5)*('Leave Register'!$F$6:$F$305&gt;=V$5)*('Leave Register'!$J$6:$J$305="Approved")*(ROW('Leave Register'!$B$6:$B$305)-5))))))</f>
        <v/>
      </c>
      <c r="W14" s="83" t="str">
        <f aca="false">IF(OR($A14="",W$5="",W$7&lt;&gt;"W"),"",IF(SUMPRODUCT(MAX(('Leave Register'!$B$6:$B$305=$A14)*('Leave Register'!$E$6:$E$305&lt;=W$5)*('Leave Register'!$F$6:$F$305&gt;=W$5)*('Leave Register'!$J$6:$J$305="Approved")*(ROW('Leave Register'!$B$6:$B$305)-5)))=0,"",INDEX('Leave Register'!$D$6:$D$305,SUMPRODUCT(MAX(('Leave Register'!$B$6:$B$305=$A14)*('Leave Register'!$E$6:$E$305&lt;=W$5)*('Leave Register'!$F$6:$F$305&gt;=W$5)*('Leave Register'!$J$6:$J$305="Approved")*(ROW('Leave Register'!$B$6:$B$305)-5))))))</f>
        <v/>
      </c>
      <c r="X14" s="83" t="str">
        <f aca="false">IF(OR($A14="",X$5="",X$7&lt;&gt;"W"),"",IF(SUMPRODUCT(MAX(('Leave Register'!$B$6:$B$305=$A14)*('Leave Register'!$E$6:$E$305&lt;=X$5)*('Leave Register'!$F$6:$F$305&gt;=X$5)*('Leave Register'!$J$6:$J$305="Approved")*(ROW('Leave Register'!$B$6:$B$305)-5)))=0,"",INDEX('Leave Register'!$D$6:$D$305,SUMPRODUCT(MAX(('Leave Register'!$B$6:$B$305=$A14)*('Leave Register'!$E$6:$E$305&lt;=X$5)*('Leave Register'!$F$6:$F$305&gt;=X$5)*('Leave Register'!$J$6:$J$305="Approved")*(ROW('Leave Register'!$B$6:$B$305)-5))))))</f>
        <v/>
      </c>
      <c r="Y14" s="83" t="str">
        <f aca="false">IF(OR($A14="",Y$5="",Y$7&lt;&gt;"W"),"",IF(SUMPRODUCT(MAX(('Leave Register'!$B$6:$B$305=$A14)*('Leave Register'!$E$6:$E$305&lt;=Y$5)*('Leave Register'!$F$6:$F$305&gt;=Y$5)*('Leave Register'!$J$6:$J$305="Approved")*(ROW('Leave Register'!$B$6:$B$305)-5)))=0,"",INDEX('Leave Register'!$D$6:$D$305,SUMPRODUCT(MAX(('Leave Register'!$B$6:$B$305=$A14)*('Leave Register'!$E$6:$E$305&lt;=Y$5)*('Leave Register'!$F$6:$F$305&gt;=Y$5)*('Leave Register'!$J$6:$J$305="Approved")*(ROW('Leave Register'!$B$6:$B$305)-5))))))</f>
        <v/>
      </c>
      <c r="Z14" s="83" t="str">
        <f aca="false">IF(OR($A14="",Z$5="",Z$7&lt;&gt;"W"),"",IF(SUMPRODUCT(MAX(('Leave Register'!$B$6:$B$305=$A14)*('Leave Register'!$E$6:$E$305&lt;=Z$5)*('Leave Register'!$F$6:$F$305&gt;=Z$5)*('Leave Register'!$J$6:$J$305="Approved")*(ROW('Leave Register'!$B$6:$B$305)-5)))=0,"",INDEX('Leave Register'!$D$6:$D$305,SUMPRODUCT(MAX(('Leave Register'!$B$6:$B$305=$A14)*('Leave Register'!$E$6:$E$305&lt;=Z$5)*('Leave Register'!$F$6:$F$305&gt;=Z$5)*('Leave Register'!$J$6:$J$305="Approved")*(ROW('Leave Register'!$B$6:$B$305)-5))))))</f>
        <v/>
      </c>
      <c r="AA14" s="83" t="str">
        <f aca="false">IF(OR($A14="",AA$5="",AA$7&lt;&gt;"W"),"",IF(SUMPRODUCT(MAX(('Leave Register'!$B$6:$B$305=$A14)*('Leave Register'!$E$6:$E$305&lt;=AA$5)*('Leave Register'!$F$6:$F$305&gt;=AA$5)*('Leave Register'!$J$6:$J$305="Approved")*(ROW('Leave Register'!$B$6:$B$305)-5)))=0,"",INDEX('Leave Register'!$D$6:$D$305,SUMPRODUCT(MAX(('Leave Register'!$B$6:$B$305=$A14)*('Leave Register'!$E$6:$E$305&lt;=AA$5)*('Leave Register'!$F$6:$F$305&gt;=AA$5)*('Leave Register'!$J$6:$J$305="Approved")*(ROW('Leave Register'!$B$6:$B$305)-5))))))</f>
        <v/>
      </c>
      <c r="AB14" s="83" t="str">
        <f aca="false">IF(OR($A14="",AB$5="",AB$7&lt;&gt;"W"),"",IF(SUMPRODUCT(MAX(('Leave Register'!$B$6:$B$305=$A14)*('Leave Register'!$E$6:$E$305&lt;=AB$5)*('Leave Register'!$F$6:$F$305&gt;=AB$5)*('Leave Register'!$J$6:$J$305="Approved")*(ROW('Leave Register'!$B$6:$B$305)-5)))=0,"",INDEX('Leave Register'!$D$6:$D$305,SUMPRODUCT(MAX(('Leave Register'!$B$6:$B$305=$A14)*('Leave Register'!$E$6:$E$305&lt;=AB$5)*('Leave Register'!$F$6:$F$305&gt;=AB$5)*('Leave Register'!$J$6:$J$305="Approved")*(ROW('Leave Register'!$B$6:$B$305)-5))))))</f>
        <v/>
      </c>
      <c r="AC14" s="83" t="str">
        <f aca="false">IF(OR($A14="",AC$5="",AC$7&lt;&gt;"W"),"",IF(SUMPRODUCT(MAX(('Leave Register'!$B$6:$B$305=$A14)*('Leave Register'!$E$6:$E$305&lt;=AC$5)*('Leave Register'!$F$6:$F$305&gt;=AC$5)*('Leave Register'!$J$6:$J$305="Approved")*(ROW('Leave Register'!$B$6:$B$305)-5)))=0,"",INDEX('Leave Register'!$D$6:$D$305,SUMPRODUCT(MAX(('Leave Register'!$B$6:$B$305=$A14)*('Leave Register'!$E$6:$E$305&lt;=AC$5)*('Leave Register'!$F$6:$F$305&gt;=AC$5)*('Leave Register'!$J$6:$J$305="Approved")*(ROW('Leave Register'!$B$6:$B$305)-5))))))</f>
        <v/>
      </c>
      <c r="AD14" s="83" t="str">
        <f aca="false">IF(OR($A14="",AD$5="",AD$7&lt;&gt;"W"),"",IF(SUMPRODUCT(MAX(('Leave Register'!$B$6:$B$305=$A14)*('Leave Register'!$E$6:$E$305&lt;=AD$5)*('Leave Register'!$F$6:$F$305&gt;=AD$5)*('Leave Register'!$J$6:$J$305="Approved")*(ROW('Leave Register'!$B$6:$B$305)-5)))=0,"",INDEX('Leave Register'!$D$6:$D$305,SUMPRODUCT(MAX(('Leave Register'!$B$6:$B$305=$A14)*('Leave Register'!$E$6:$E$305&lt;=AD$5)*('Leave Register'!$F$6:$F$305&gt;=AD$5)*('Leave Register'!$J$6:$J$305="Approved")*(ROW('Leave Register'!$B$6:$B$305)-5))))))</f>
        <v/>
      </c>
      <c r="AE14" s="83" t="str">
        <f aca="false">IF(OR($A14="",AE$5="",AE$7&lt;&gt;"W"),"",IF(SUMPRODUCT(MAX(('Leave Register'!$B$6:$B$305=$A14)*('Leave Register'!$E$6:$E$305&lt;=AE$5)*('Leave Register'!$F$6:$F$305&gt;=AE$5)*('Leave Register'!$J$6:$J$305="Approved")*(ROW('Leave Register'!$B$6:$B$305)-5)))=0,"",INDEX('Leave Register'!$D$6:$D$305,SUMPRODUCT(MAX(('Leave Register'!$B$6:$B$305=$A14)*('Leave Register'!$E$6:$E$305&lt;=AE$5)*('Leave Register'!$F$6:$F$305&gt;=AE$5)*('Leave Register'!$J$6:$J$305="Approved")*(ROW('Leave Register'!$B$6:$B$305)-5))))))</f>
        <v/>
      </c>
      <c r="AF14" s="83" t="str">
        <f aca="false">IF(OR($A14="",AF$5="",AF$7&lt;&gt;"W"),"",IF(SUMPRODUCT(MAX(('Leave Register'!$B$6:$B$305=$A14)*('Leave Register'!$E$6:$E$305&lt;=AF$5)*('Leave Register'!$F$6:$F$305&gt;=AF$5)*('Leave Register'!$J$6:$J$305="Approved")*(ROW('Leave Register'!$B$6:$B$305)-5)))=0,"",INDEX('Leave Register'!$D$6:$D$305,SUMPRODUCT(MAX(('Leave Register'!$B$6:$B$305=$A14)*('Leave Register'!$E$6:$E$305&lt;=AF$5)*('Leave Register'!$F$6:$F$305&gt;=AF$5)*('Leave Register'!$J$6:$J$305="Approved")*(ROW('Leave Register'!$B$6:$B$305)-5))))))</f>
        <v/>
      </c>
      <c r="AG14" s="83" t="str">
        <f aca="false">IF(OR($A14="",AG$5="",AG$7&lt;&gt;"W"),"",IF(SUMPRODUCT(MAX(('Leave Register'!$B$6:$B$305=$A14)*('Leave Register'!$E$6:$E$305&lt;=AG$5)*('Leave Register'!$F$6:$F$305&gt;=AG$5)*('Leave Register'!$J$6:$J$305="Approved")*(ROW('Leave Register'!$B$6:$B$305)-5)))=0,"",INDEX('Leave Register'!$D$6:$D$305,SUMPRODUCT(MAX(('Leave Register'!$B$6:$B$305=$A14)*('Leave Register'!$E$6:$E$305&lt;=AG$5)*('Leave Register'!$F$6:$F$305&gt;=AG$5)*('Leave Register'!$J$6:$J$305="Approved")*(ROW('Leave Register'!$B$6:$B$305)-5))))))</f>
        <v/>
      </c>
      <c r="AH14" s="84" t="str">
        <f aca="false">IF(A14="","",COUNTIF(C14:AG14,"?*"))</f>
        <v/>
      </c>
    </row>
    <row r="15" customFormat="false" ht="15" hidden="false" customHeight="false" outlineLevel="0" collapsed="false">
      <c r="A15" s="81" t="str">
        <f aca="false">IF(Employees!$B$12="","",Employees!$B$12)</f>
        <v/>
      </c>
      <c r="B15" s="82" t="str">
        <f aca="false">IF(A15="","",Employees!$C$12)</f>
        <v/>
      </c>
      <c r="C15" s="83" t="str">
        <f aca="false">IF(OR($A15="",C$5="",C$7&lt;&gt;"W"),"",IF(SUMPRODUCT(MAX(('Leave Register'!$B$6:$B$305=$A15)*('Leave Register'!$E$6:$E$305&lt;=C$5)*('Leave Register'!$F$6:$F$305&gt;=C$5)*('Leave Register'!$J$6:$J$305="Approved")*(ROW('Leave Register'!$B$6:$B$305)-5)))=0,"",INDEX('Leave Register'!$D$6:$D$305,SUMPRODUCT(MAX(('Leave Register'!$B$6:$B$305=$A15)*('Leave Register'!$E$6:$E$305&lt;=C$5)*('Leave Register'!$F$6:$F$305&gt;=C$5)*('Leave Register'!$J$6:$J$305="Approved")*(ROW('Leave Register'!$B$6:$B$305)-5))))))</f>
        <v/>
      </c>
      <c r="D15" s="83" t="str">
        <f aca="false">IF(OR($A15="",D$5="",D$7&lt;&gt;"W"),"",IF(SUMPRODUCT(MAX(('Leave Register'!$B$6:$B$305=$A15)*('Leave Register'!$E$6:$E$305&lt;=D$5)*('Leave Register'!$F$6:$F$305&gt;=D$5)*('Leave Register'!$J$6:$J$305="Approved")*(ROW('Leave Register'!$B$6:$B$305)-5)))=0,"",INDEX('Leave Register'!$D$6:$D$305,SUMPRODUCT(MAX(('Leave Register'!$B$6:$B$305=$A15)*('Leave Register'!$E$6:$E$305&lt;=D$5)*('Leave Register'!$F$6:$F$305&gt;=D$5)*('Leave Register'!$J$6:$J$305="Approved")*(ROW('Leave Register'!$B$6:$B$305)-5))))))</f>
        <v/>
      </c>
      <c r="E15" s="83" t="str">
        <f aca="false">IF(OR($A15="",E$5="",E$7&lt;&gt;"W"),"",IF(SUMPRODUCT(MAX(('Leave Register'!$B$6:$B$305=$A15)*('Leave Register'!$E$6:$E$305&lt;=E$5)*('Leave Register'!$F$6:$F$305&gt;=E$5)*('Leave Register'!$J$6:$J$305="Approved")*(ROW('Leave Register'!$B$6:$B$305)-5)))=0,"",INDEX('Leave Register'!$D$6:$D$305,SUMPRODUCT(MAX(('Leave Register'!$B$6:$B$305=$A15)*('Leave Register'!$E$6:$E$305&lt;=E$5)*('Leave Register'!$F$6:$F$305&gt;=E$5)*('Leave Register'!$J$6:$J$305="Approved")*(ROW('Leave Register'!$B$6:$B$305)-5))))))</f>
        <v/>
      </c>
      <c r="F15" s="83" t="str">
        <f aca="false">IF(OR($A15="",F$5="",F$7&lt;&gt;"W"),"",IF(SUMPRODUCT(MAX(('Leave Register'!$B$6:$B$305=$A15)*('Leave Register'!$E$6:$E$305&lt;=F$5)*('Leave Register'!$F$6:$F$305&gt;=F$5)*('Leave Register'!$J$6:$J$305="Approved")*(ROW('Leave Register'!$B$6:$B$305)-5)))=0,"",INDEX('Leave Register'!$D$6:$D$305,SUMPRODUCT(MAX(('Leave Register'!$B$6:$B$305=$A15)*('Leave Register'!$E$6:$E$305&lt;=F$5)*('Leave Register'!$F$6:$F$305&gt;=F$5)*('Leave Register'!$J$6:$J$305="Approved")*(ROW('Leave Register'!$B$6:$B$305)-5))))))</f>
        <v/>
      </c>
      <c r="G15" s="83" t="str">
        <f aca="false">IF(OR($A15="",G$5="",G$7&lt;&gt;"W"),"",IF(SUMPRODUCT(MAX(('Leave Register'!$B$6:$B$305=$A15)*('Leave Register'!$E$6:$E$305&lt;=G$5)*('Leave Register'!$F$6:$F$305&gt;=G$5)*('Leave Register'!$J$6:$J$305="Approved")*(ROW('Leave Register'!$B$6:$B$305)-5)))=0,"",INDEX('Leave Register'!$D$6:$D$305,SUMPRODUCT(MAX(('Leave Register'!$B$6:$B$305=$A15)*('Leave Register'!$E$6:$E$305&lt;=G$5)*('Leave Register'!$F$6:$F$305&gt;=G$5)*('Leave Register'!$J$6:$J$305="Approved")*(ROW('Leave Register'!$B$6:$B$305)-5))))))</f>
        <v/>
      </c>
      <c r="H15" s="83" t="str">
        <f aca="false">IF(OR($A15="",H$5="",H$7&lt;&gt;"W"),"",IF(SUMPRODUCT(MAX(('Leave Register'!$B$6:$B$305=$A15)*('Leave Register'!$E$6:$E$305&lt;=H$5)*('Leave Register'!$F$6:$F$305&gt;=H$5)*('Leave Register'!$J$6:$J$305="Approved")*(ROW('Leave Register'!$B$6:$B$305)-5)))=0,"",INDEX('Leave Register'!$D$6:$D$305,SUMPRODUCT(MAX(('Leave Register'!$B$6:$B$305=$A15)*('Leave Register'!$E$6:$E$305&lt;=H$5)*('Leave Register'!$F$6:$F$305&gt;=H$5)*('Leave Register'!$J$6:$J$305="Approved")*(ROW('Leave Register'!$B$6:$B$305)-5))))))</f>
        <v/>
      </c>
      <c r="I15" s="83" t="str">
        <f aca="false">IF(OR($A15="",I$5="",I$7&lt;&gt;"W"),"",IF(SUMPRODUCT(MAX(('Leave Register'!$B$6:$B$305=$A15)*('Leave Register'!$E$6:$E$305&lt;=I$5)*('Leave Register'!$F$6:$F$305&gt;=I$5)*('Leave Register'!$J$6:$J$305="Approved")*(ROW('Leave Register'!$B$6:$B$305)-5)))=0,"",INDEX('Leave Register'!$D$6:$D$305,SUMPRODUCT(MAX(('Leave Register'!$B$6:$B$305=$A15)*('Leave Register'!$E$6:$E$305&lt;=I$5)*('Leave Register'!$F$6:$F$305&gt;=I$5)*('Leave Register'!$J$6:$J$305="Approved")*(ROW('Leave Register'!$B$6:$B$305)-5))))))</f>
        <v/>
      </c>
      <c r="J15" s="83" t="str">
        <f aca="false">IF(OR($A15="",J$5="",J$7&lt;&gt;"W"),"",IF(SUMPRODUCT(MAX(('Leave Register'!$B$6:$B$305=$A15)*('Leave Register'!$E$6:$E$305&lt;=J$5)*('Leave Register'!$F$6:$F$305&gt;=J$5)*('Leave Register'!$J$6:$J$305="Approved")*(ROW('Leave Register'!$B$6:$B$305)-5)))=0,"",INDEX('Leave Register'!$D$6:$D$305,SUMPRODUCT(MAX(('Leave Register'!$B$6:$B$305=$A15)*('Leave Register'!$E$6:$E$305&lt;=J$5)*('Leave Register'!$F$6:$F$305&gt;=J$5)*('Leave Register'!$J$6:$J$305="Approved")*(ROW('Leave Register'!$B$6:$B$305)-5))))))</f>
        <v/>
      </c>
      <c r="K15" s="83" t="str">
        <f aca="false">IF(OR($A15="",K$5="",K$7&lt;&gt;"W"),"",IF(SUMPRODUCT(MAX(('Leave Register'!$B$6:$B$305=$A15)*('Leave Register'!$E$6:$E$305&lt;=K$5)*('Leave Register'!$F$6:$F$305&gt;=K$5)*('Leave Register'!$J$6:$J$305="Approved")*(ROW('Leave Register'!$B$6:$B$305)-5)))=0,"",INDEX('Leave Register'!$D$6:$D$305,SUMPRODUCT(MAX(('Leave Register'!$B$6:$B$305=$A15)*('Leave Register'!$E$6:$E$305&lt;=K$5)*('Leave Register'!$F$6:$F$305&gt;=K$5)*('Leave Register'!$J$6:$J$305="Approved")*(ROW('Leave Register'!$B$6:$B$305)-5))))))</f>
        <v/>
      </c>
      <c r="L15" s="83" t="str">
        <f aca="false">IF(OR($A15="",L$5="",L$7&lt;&gt;"W"),"",IF(SUMPRODUCT(MAX(('Leave Register'!$B$6:$B$305=$A15)*('Leave Register'!$E$6:$E$305&lt;=L$5)*('Leave Register'!$F$6:$F$305&gt;=L$5)*('Leave Register'!$J$6:$J$305="Approved")*(ROW('Leave Register'!$B$6:$B$305)-5)))=0,"",INDEX('Leave Register'!$D$6:$D$305,SUMPRODUCT(MAX(('Leave Register'!$B$6:$B$305=$A15)*('Leave Register'!$E$6:$E$305&lt;=L$5)*('Leave Register'!$F$6:$F$305&gt;=L$5)*('Leave Register'!$J$6:$J$305="Approved")*(ROW('Leave Register'!$B$6:$B$305)-5))))))</f>
        <v/>
      </c>
      <c r="M15" s="83" t="str">
        <f aca="false">IF(OR($A15="",M$5="",M$7&lt;&gt;"W"),"",IF(SUMPRODUCT(MAX(('Leave Register'!$B$6:$B$305=$A15)*('Leave Register'!$E$6:$E$305&lt;=M$5)*('Leave Register'!$F$6:$F$305&gt;=M$5)*('Leave Register'!$J$6:$J$305="Approved")*(ROW('Leave Register'!$B$6:$B$305)-5)))=0,"",INDEX('Leave Register'!$D$6:$D$305,SUMPRODUCT(MAX(('Leave Register'!$B$6:$B$305=$A15)*('Leave Register'!$E$6:$E$305&lt;=M$5)*('Leave Register'!$F$6:$F$305&gt;=M$5)*('Leave Register'!$J$6:$J$305="Approved")*(ROW('Leave Register'!$B$6:$B$305)-5))))))</f>
        <v/>
      </c>
      <c r="N15" s="83" t="str">
        <f aca="false">IF(OR($A15="",N$5="",N$7&lt;&gt;"W"),"",IF(SUMPRODUCT(MAX(('Leave Register'!$B$6:$B$305=$A15)*('Leave Register'!$E$6:$E$305&lt;=N$5)*('Leave Register'!$F$6:$F$305&gt;=N$5)*('Leave Register'!$J$6:$J$305="Approved")*(ROW('Leave Register'!$B$6:$B$305)-5)))=0,"",INDEX('Leave Register'!$D$6:$D$305,SUMPRODUCT(MAX(('Leave Register'!$B$6:$B$305=$A15)*('Leave Register'!$E$6:$E$305&lt;=N$5)*('Leave Register'!$F$6:$F$305&gt;=N$5)*('Leave Register'!$J$6:$J$305="Approved")*(ROW('Leave Register'!$B$6:$B$305)-5))))))</f>
        <v/>
      </c>
      <c r="O15" s="83" t="str">
        <f aca="false">IF(OR($A15="",O$5="",O$7&lt;&gt;"W"),"",IF(SUMPRODUCT(MAX(('Leave Register'!$B$6:$B$305=$A15)*('Leave Register'!$E$6:$E$305&lt;=O$5)*('Leave Register'!$F$6:$F$305&gt;=O$5)*('Leave Register'!$J$6:$J$305="Approved")*(ROW('Leave Register'!$B$6:$B$305)-5)))=0,"",INDEX('Leave Register'!$D$6:$D$305,SUMPRODUCT(MAX(('Leave Register'!$B$6:$B$305=$A15)*('Leave Register'!$E$6:$E$305&lt;=O$5)*('Leave Register'!$F$6:$F$305&gt;=O$5)*('Leave Register'!$J$6:$J$305="Approved")*(ROW('Leave Register'!$B$6:$B$305)-5))))))</f>
        <v/>
      </c>
      <c r="P15" s="83" t="str">
        <f aca="false">IF(OR($A15="",P$5="",P$7&lt;&gt;"W"),"",IF(SUMPRODUCT(MAX(('Leave Register'!$B$6:$B$305=$A15)*('Leave Register'!$E$6:$E$305&lt;=P$5)*('Leave Register'!$F$6:$F$305&gt;=P$5)*('Leave Register'!$J$6:$J$305="Approved")*(ROW('Leave Register'!$B$6:$B$305)-5)))=0,"",INDEX('Leave Register'!$D$6:$D$305,SUMPRODUCT(MAX(('Leave Register'!$B$6:$B$305=$A15)*('Leave Register'!$E$6:$E$305&lt;=P$5)*('Leave Register'!$F$6:$F$305&gt;=P$5)*('Leave Register'!$J$6:$J$305="Approved")*(ROW('Leave Register'!$B$6:$B$305)-5))))))</f>
        <v/>
      </c>
      <c r="Q15" s="83" t="str">
        <f aca="false">IF(OR($A15="",Q$5="",Q$7&lt;&gt;"W"),"",IF(SUMPRODUCT(MAX(('Leave Register'!$B$6:$B$305=$A15)*('Leave Register'!$E$6:$E$305&lt;=Q$5)*('Leave Register'!$F$6:$F$305&gt;=Q$5)*('Leave Register'!$J$6:$J$305="Approved")*(ROW('Leave Register'!$B$6:$B$305)-5)))=0,"",INDEX('Leave Register'!$D$6:$D$305,SUMPRODUCT(MAX(('Leave Register'!$B$6:$B$305=$A15)*('Leave Register'!$E$6:$E$305&lt;=Q$5)*('Leave Register'!$F$6:$F$305&gt;=Q$5)*('Leave Register'!$J$6:$J$305="Approved")*(ROW('Leave Register'!$B$6:$B$305)-5))))))</f>
        <v/>
      </c>
      <c r="R15" s="83" t="str">
        <f aca="false">IF(OR($A15="",R$5="",R$7&lt;&gt;"W"),"",IF(SUMPRODUCT(MAX(('Leave Register'!$B$6:$B$305=$A15)*('Leave Register'!$E$6:$E$305&lt;=R$5)*('Leave Register'!$F$6:$F$305&gt;=R$5)*('Leave Register'!$J$6:$J$305="Approved")*(ROW('Leave Register'!$B$6:$B$305)-5)))=0,"",INDEX('Leave Register'!$D$6:$D$305,SUMPRODUCT(MAX(('Leave Register'!$B$6:$B$305=$A15)*('Leave Register'!$E$6:$E$305&lt;=R$5)*('Leave Register'!$F$6:$F$305&gt;=R$5)*('Leave Register'!$J$6:$J$305="Approved")*(ROW('Leave Register'!$B$6:$B$305)-5))))))</f>
        <v/>
      </c>
      <c r="S15" s="83" t="str">
        <f aca="false">IF(OR($A15="",S$5="",S$7&lt;&gt;"W"),"",IF(SUMPRODUCT(MAX(('Leave Register'!$B$6:$B$305=$A15)*('Leave Register'!$E$6:$E$305&lt;=S$5)*('Leave Register'!$F$6:$F$305&gt;=S$5)*('Leave Register'!$J$6:$J$305="Approved")*(ROW('Leave Register'!$B$6:$B$305)-5)))=0,"",INDEX('Leave Register'!$D$6:$D$305,SUMPRODUCT(MAX(('Leave Register'!$B$6:$B$305=$A15)*('Leave Register'!$E$6:$E$305&lt;=S$5)*('Leave Register'!$F$6:$F$305&gt;=S$5)*('Leave Register'!$J$6:$J$305="Approved")*(ROW('Leave Register'!$B$6:$B$305)-5))))))</f>
        <v/>
      </c>
      <c r="T15" s="83" t="str">
        <f aca="false">IF(OR($A15="",T$5="",T$7&lt;&gt;"W"),"",IF(SUMPRODUCT(MAX(('Leave Register'!$B$6:$B$305=$A15)*('Leave Register'!$E$6:$E$305&lt;=T$5)*('Leave Register'!$F$6:$F$305&gt;=T$5)*('Leave Register'!$J$6:$J$305="Approved")*(ROW('Leave Register'!$B$6:$B$305)-5)))=0,"",INDEX('Leave Register'!$D$6:$D$305,SUMPRODUCT(MAX(('Leave Register'!$B$6:$B$305=$A15)*('Leave Register'!$E$6:$E$305&lt;=T$5)*('Leave Register'!$F$6:$F$305&gt;=T$5)*('Leave Register'!$J$6:$J$305="Approved")*(ROW('Leave Register'!$B$6:$B$305)-5))))))</f>
        <v/>
      </c>
      <c r="U15" s="83" t="str">
        <f aca="false">IF(OR($A15="",U$5="",U$7&lt;&gt;"W"),"",IF(SUMPRODUCT(MAX(('Leave Register'!$B$6:$B$305=$A15)*('Leave Register'!$E$6:$E$305&lt;=U$5)*('Leave Register'!$F$6:$F$305&gt;=U$5)*('Leave Register'!$J$6:$J$305="Approved")*(ROW('Leave Register'!$B$6:$B$305)-5)))=0,"",INDEX('Leave Register'!$D$6:$D$305,SUMPRODUCT(MAX(('Leave Register'!$B$6:$B$305=$A15)*('Leave Register'!$E$6:$E$305&lt;=U$5)*('Leave Register'!$F$6:$F$305&gt;=U$5)*('Leave Register'!$J$6:$J$305="Approved")*(ROW('Leave Register'!$B$6:$B$305)-5))))))</f>
        <v/>
      </c>
      <c r="V15" s="83" t="str">
        <f aca="false">IF(OR($A15="",V$5="",V$7&lt;&gt;"W"),"",IF(SUMPRODUCT(MAX(('Leave Register'!$B$6:$B$305=$A15)*('Leave Register'!$E$6:$E$305&lt;=V$5)*('Leave Register'!$F$6:$F$305&gt;=V$5)*('Leave Register'!$J$6:$J$305="Approved")*(ROW('Leave Register'!$B$6:$B$305)-5)))=0,"",INDEX('Leave Register'!$D$6:$D$305,SUMPRODUCT(MAX(('Leave Register'!$B$6:$B$305=$A15)*('Leave Register'!$E$6:$E$305&lt;=V$5)*('Leave Register'!$F$6:$F$305&gt;=V$5)*('Leave Register'!$J$6:$J$305="Approved")*(ROW('Leave Register'!$B$6:$B$305)-5))))))</f>
        <v/>
      </c>
      <c r="W15" s="83" t="str">
        <f aca="false">IF(OR($A15="",W$5="",W$7&lt;&gt;"W"),"",IF(SUMPRODUCT(MAX(('Leave Register'!$B$6:$B$305=$A15)*('Leave Register'!$E$6:$E$305&lt;=W$5)*('Leave Register'!$F$6:$F$305&gt;=W$5)*('Leave Register'!$J$6:$J$305="Approved")*(ROW('Leave Register'!$B$6:$B$305)-5)))=0,"",INDEX('Leave Register'!$D$6:$D$305,SUMPRODUCT(MAX(('Leave Register'!$B$6:$B$305=$A15)*('Leave Register'!$E$6:$E$305&lt;=W$5)*('Leave Register'!$F$6:$F$305&gt;=W$5)*('Leave Register'!$J$6:$J$305="Approved")*(ROW('Leave Register'!$B$6:$B$305)-5))))))</f>
        <v/>
      </c>
      <c r="X15" s="83" t="str">
        <f aca="false">IF(OR($A15="",X$5="",X$7&lt;&gt;"W"),"",IF(SUMPRODUCT(MAX(('Leave Register'!$B$6:$B$305=$A15)*('Leave Register'!$E$6:$E$305&lt;=X$5)*('Leave Register'!$F$6:$F$305&gt;=X$5)*('Leave Register'!$J$6:$J$305="Approved")*(ROW('Leave Register'!$B$6:$B$305)-5)))=0,"",INDEX('Leave Register'!$D$6:$D$305,SUMPRODUCT(MAX(('Leave Register'!$B$6:$B$305=$A15)*('Leave Register'!$E$6:$E$305&lt;=X$5)*('Leave Register'!$F$6:$F$305&gt;=X$5)*('Leave Register'!$J$6:$J$305="Approved")*(ROW('Leave Register'!$B$6:$B$305)-5))))))</f>
        <v/>
      </c>
      <c r="Y15" s="83" t="str">
        <f aca="false">IF(OR($A15="",Y$5="",Y$7&lt;&gt;"W"),"",IF(SUMPRODUCT(MAX(('Leave Register'!$B$6:$B$305=$A15)*('Leave Register'!$E$6:$E$305&lt;=Y$5)*('Leave Register'!$F$6:$F$305&gt;=Y$5)*('Leave Register'!$J$6:$J$305="Approved")*(ROW('Leave Register'!$B$6:$B$305)-5)))=0,"",INDEX('Leave Register'!$D$6:$D$305,SUMPRODUCT(MAX(('Leave Register'!$B$6:$B$305=$A15)*('Leave Register'!$E$6:$E$305&lt;=Y$5)*('Leave Register'!$F$6:$F$305&gt;=Y$5)*('Leave Register'!$J$6:$J$305="Approved")*(ROW('Leave Register'!$B$6:$B$305)-5))))))</f>
        <v/>
      </c>
      <c r="Z15" s="83" t="str">
        <f aca="false">IF(OR($A15="",Z$5="",Z$7&lt;&gt;"W"),"",IF(SUMPRODUCT(MAX(('Leave Register'!$B$6:$B$305=$A15)*('Leave Register'!$E$6:$E$305&lt;=Z$5)*('Leave Register'!$F$6:$F$305&gt;=Z$5)*('Leave Register'!$J$6:$J$305="Approved")*(ROW('Leave Register'!$B$6:$B$305)-5)))=0,"",INDEX('Leave Register'!$D$6:$D$305,SUMPRODUCT(MAX(('Leave Register'!$B$6:$B$305=$A15)*('Leave Register'!$E$6:$E$305&lt;=Z$5)*('Leave Register'!$F$6:$F$305&gt;=Z$5)*('Leave Register'!$J$6:$J$305="Approved")*(ROW('Leave Register'!$B$6:$B$305)-5))))))</f>
        <v/>
      </c>
      <c r="AA15" s="83" t="str">
        <f aca="false">IF(OR($A15="",AA$5="",AA$7&lt;&gt;"W"),"",IF(SUMPRODUCT(MAX(('Leave Register'!$B$6:$B$305=$A15)*('Leave Register'!$E$6:$E$305&lt;=AA$5)*('Leave Register'!$F$6:$F$305&gt;=AA$5)*('Leave Register'!$J$6:$J$305="Approved")*(ROW('Leave Register'!$B$6:$B$305)-5)))=0,"",INDEX('Leave Register'!$D$6:$D$305,SUMPRODUCT(MAX(('Leave Register'!$B$6:$B$305=$A15)*('Leave Register'!$E$6:$E$305&lt;=AA$5)*('Leave Register'!$F$6:$F$305&gt;=AA$5)*('Leave Register'!$J$6:$J$305="Approved")*(ROW('Leave Register'!$B$6:$B$305)-5))))))</f>
        <v/>
      </c>
      <c r="AB15" s="83" t="str">
        <f aca="false">IF(OR($A15="",AB$5="",AB$7&lt;&gt;"W"),"",IF(SUMPRODUCT(MAX(('Leave Register'!$B$6:$B$305=$A15)*('Leave Register'!$E$6:$E$305&lt;=AB$5)*('Leave Register'!$F$6:$F$305&gt;=AB$5)*('Leave Register'!$J$6:$J$305="Approved")*(ROW('Leave Register'!$B$6:$B$305)-5)))=0,"",INDEX('Leave Register'!$D$6:$D$305,SUMPRODUCT(MAX(('Leave Register'!$B$6:$B$305=$A15)*('Leave Register'!$E$6:$E$305&lt;=AB$5)*('Leave Register'!$F$6:$F$305&gt;=AB$5)*('Leave Register'!$J$6:$J$305="Approved")*(ROW('Leave Register'!$B$6:$B$305)-5))))))</f>
        <v/>
      </c>
      <c r="AC15" s="83" t="str">
        <f aca="false">IF(OR($A15="",AC$5="",AC$7&lt;&gt;"W"),"",IF(SUMPRODUCT(MAX(('Leave Register'!$B$6:$B$305=$A15)*('Leave Register'!$E$6:$E$305&lt;=AC$5)*('Leave Register'!$F$6:$F$305&gt;=AC$5)*('Leave Register'!$J$6:$J$305="Approved")*(ROW('Leave Register'!$B$6:$B$305)-5)))=0,"",INDEX('Leave Register'!$D$6:$D$305,SUMPRODUCT(MAX(('Leave Register'!$B$6:$B$305=$A15)*('Leave Register'!$E$6:$E$305&lt;=AC$5)*('Leave Register'!$F$6:$F$305&gt;=AC$5)*('Leave Register'!$J$6:$J$305="Approved")*(ROW('Leave Register'!$B$6:$B$305)-5))))))</f>
        <v/>
      </c>
      <c r="AD15" s="83" t="str">
        <f aca="false">IF(OR($A15="",AD$5="",AD$7&lt;&gt;"W"),"",IF(SUMPRODUCT(MAX(('Leave Register'!$B$6:$B$305=$A15)*('Leave Register'!$E$6:$E$305&lt;=AD$5)*('Leave Register'!$F$6:$F$305&gt;=AD$5)*('Leave Register'!$J$6:$J$305="Approved")*(ROW('Leave Register'!$B$6:$B$305)-5)))=0,"",INDEX('Leave Register'!$D$6:$D$305,SUMPRODUCT(MAX(('Leave Register'!$B$6:$B$305=$A15)*('Leave Register'!$E$6:$E$305&lt;=AD$5)*('Leave Register'!$F$6:$F$305&gt;=AD$5)*('Leave Register'!$J$6:$J$305="Approved")*(ROW('Leave Register'!$B$6:$B$305)-5))))))</f>
        <v/>
      </c>
      <c r="AE15" s="83" t="str">
        <f aca="false">IF(OR($A15="",AE$5="",AE$7&lt;&gt;"W"),"",IF(SUMPRODUCT(MAX(('Leave Register'!$B$6:$B$305=$A15)*('Leave Register'!$E$6:$E$305&lt;=AE$5)*('Leave Register'!$F$6:$F$305&gt;=AE$5)*('Leave Register'!$J$6:$J$305="Approved")*(ROW('Leave Register'!$B$6:$B$305)-5)))=0,"",INDEX('Leave Register'!$D$6:$D$305,SUMPRODUCT(MAX(('Leave Register'!$B$6:$B$305=$A15)*('Leave Register'!$E$6:$E$305&lt;=AE$5)*('Leave Register'!$F$6:$F$305&gt;=AE$5)*('Leave Register'!$J$6:$J$305="Approved")*(ROW('Leave Register'!$B$6:$B$305)-5))))))</f>
        <v/>
      </c>
      <c r="AF15" s="83" t="str">
        <f aca="false">IF(OR($A15="",AF$5="",AF$7&lt;&gt;"W"),"",IF(SUMPRODUCT(MAX(('Leave Register'!$B$6:$B$305=$A15)*('Leave Register'!$E$6:$E$305&lt;=AF$5)*('Leave Register'!$F$6:$F$305&gt;=AF$5)*('Leave Register'!$J$6:$J$305="Approved")*(ROW('Leave Register'!$B$6:$B$305)-5)))=0,"",INDEX('Leave Register'!$D$6:$D$305,SUMPRODUCT(MAX(('Leave Register'!$B$6:$B$305=$A15)*('Leave Register'!$E$6:$E$305&lt;=AF$5)*('Leave Register'!$F$6:$F$305&gt;=AF$5)*('Leave Register'!$J$6:$J$305="Approved")*(ROW('Leave Register'!$B$6:$B$305)-5))))))</f>
        <v/>
      </c>
      <c r="AG15" s="83" t="str">
        <f aca="false">IF(OR($A15="",AG$5="",AG$7&lt;&gt;"W"),"",IF(SUMPRODUCT(MAX(('Leave Register'!$B$6:$B$305=$A15)*('Leave Register'!$E$6:$E$305&lt;=AG$5)*('Leave Register'!$F$6:$F$305&gt;=AG$5)*('Leave Register'!$J$6:$J$305="Approved")*(ROW('Leave Register'!$B$6:$B$305)-5)))=0,"",INDEX('Leave Register'!$D$6:$D$305,SUMPRODUCT(MAX(('Leave Register'!$B$6:$B$305=$A15)*('Leave Register'!$E$6:$E$305&lt;=AG$5)*('Leave Register'!$F$6:$F$305&gt;=AG$5)*('Leave Register'!$J$6:$J$305="Approved")*(ROW('Leave Register'!$B$6:$B$305)-5))))))</f>
        <v/>
      </c>
      <c r="AH15" s="84" t="str">
        <f aca="false">IF(A15="","",COUNTIF(C15:AG15,"?*"))</f>
        <v/>
      </c>
    </row>
    <row r="16" customFormat="false" ht="15" hidden="false" customHeight="false" outlineLevel="0" collapsed="false">
      <c r="A16" s="81" t="str">
        <f aca="false">IF(Employees!$B$13="","",Employees!$B$13)</f>
        <v/>
      </c>
      <c r="B16" s="82" t="str">
        <f aca="false">IF(A16="","",Employees!$C$13)</f>
        <v/>
      </c>
      <c r="C16" s="83" t="str">
        <f aca="false">IF(OR($A16="",C$5="",C$7&lt;&gt;"W"),"",IF(SUMPRODUCT(MAX(('Leave Register'!$B$6:$B$305=$A16)*('Leave Register'!$E$6:$E$305&lt;=C$5)*('Leave Register'!$F$6:$F$305&gt;=C$5)*('Leave Register'!$J$6:$J$305="Approved")*(ROW('Leave Register'!$B$6:$B$305)-5)))=0,"",INDEX('Leave Register'!$D$6:$D$305,SUMPRODUCT(MAX(('Leave Register'!$B$6:$B$305=$A16)*('Leave Register'!$E$6:$E$305&lt;=C$5)*('Leave Register'!$F$6:$F$305&gt;=C$5)*('Leave Register'!$J$6:$J$305="Approved")*(ROW('Leave Register'!$B$6:$B$305)-5))))))</f>
        <v/>
      </c>
      <c r="D16" s="83" t="str">
        <f aca="false">IF(OR($A16="",D$5="",D$7&lt;&gt;"W"),"",IF(SUMPRODUCT(MAX(('Leave Register'!$B$6:$B$305=$A16)*('Leave Register'!$E$6:$E$305&lt;=D$5)*('Leave Register'!$F$6:$F$305&gt;=D$5)*('Leave Register'!$J$6:$J$305="Approved")*(ROW('Leave Register'!$B$6:$B$305)-5)))=0,"",INDEX('Leave Register'!$D$6:$D$305,SUMPRODUCT(MAX(('Leave Register'!$B$6:$B$305=$A16)*('Leave Register'!$E$6:$E$305&lt;=D$5)*('Leave Register'!$F$6:$F$305&gt;=D$5)*('Leave Register'!$J$6:$J$305="Approved")*(ROW('Leave Register'!$B$6:$B$305)-5))))))</f>
        <v/>
      </c>
      <c r="E16" s="83" t="str">
        <f aca="false">IF(OR($A16="",E$5="",E$7&lt;&gt;"W"),"",IF(SUMPRODUCT(MAX(('Leave Register'!$B$6:$B$305=$A16)*('Leave Register'!$E$6:$E$305&lt;=E$5)*('Leave Register'!$F$6:$F$305&gt;=E$5)*('Leave Register'!$J$6:$J$305="Approved")*(ROW('Leave Register'!$B$6:$B$305)-5)))=0,"",INDEX('Leave Register'!$D$6:$D$305,SUMPRODUCT(MAX(('Leave Register'!$B$6:$B$305=$A16)*('Leave Register'!$E$6:$E$305&lt;=E$5)*('Leave Register'!$F$6:$F$305&gt;=E$5)*('Leave Register'!$J$6:$J$305="Approved")*(ROW('Leave Register'!$B$6:$B$305)-5))))))</f>
        <v/>
      </c>
      <c r="F16" s="83" t="str">
        <f aca="false">IF(OR($A16="",F$5="",F$7&lt;&gt;"W"),"",IF(SUMPRODUCT(MAX(('Leave Register'!$B$6:$B$305=$A16)*('Leave Register'!$E$6:$E$305&lt;=F$5)*('Leave Register'!$F$6:$F$305&gt;=F$5)*('Leave Register'!$J$6:$J$305="Approved")*(ROW('Leave Register'!$B$6:$B$305)-5)))=0,"",INDEX('Leave Register'!$D$6:$D$305,SUMPRODUCT(MAX(('Leave Register'!$B$6:$B$305=$A16)*('Leave Register'!$E$6:$E$305&lt;=F$5)*('Leave Register'!$F$6:$F$305&gt;=F$5)*('Leave Register'!$J$6:$J$305="Approved")*(ROW('Leave Register'!$B$6:$B$305)-5))))))</f>
        <v/>
      </c>
      <c r="G16" s="83" t="str">
        <f aca="false">IF(OR($A16="",G$5="",G$7&lt;&gt;"W"),"",IF(SUMPRODUCT(MAX(('Leave Register'!$B$6:$B$305=$A16)*('Leave Register'!$E$6:$E$305&lt;=G$5)*('Leave Register'!$F$6:$F$305&gt;=G$5)*('Leave Register'!$J$6:$J$305="Approved")*(ROW('Leave Register'!$B$6:$B$305)-5)))=0,"",INDEX('Leave Register'!$D$6:$D$305,SUMPRODUCT(MAX(('Leave Register'!$B$6:$B$305=$A16)*('Leave Register'!$E$6:$E$305&lt;=G$5)*('Leave Register'!$F$6:$F$305&gt;=G$5)*('Leave Register'!$J$6:$J$305="Approved")*(ROW('Leave Register'!$B$6:$B$305)-5))))))</f>
        <v/>
      </c>
      <c r="H16" s="83" t="str">
        <f aca="false">IF(OR($A16="",H$5="",H$7&lt;&gt;"W"),"",IF(SUMPRODUCT(MAX(('Leave Register'!$B$6:$B$305=$A16)*('Leave Register'!$E$6:$E$305&lt;=H$5)*('Leave Register'!$F$6:$F$305&gt;=H$5)*('Leave Register'!$J$6:$J$305="Approved")*(ROW('Leave Register'!$B$6:$B$305)-5)))=0,"",INDEX('Leave Register'!$D$6:$D$305,SUMPRODUCT(MAX(('Leave Register'!$B$6:$B$305=$A16)*('Leave Register'!$E$6:$E$305&lt;=H$5)*('Leave Register'!$F$6:$F$305&gt;=H$5)*('Leave Register'!$J$6:$J$305="Approved")*(ROW('Leave Register'!$B$6:$B$305)-5))))))</f>
        <v/>
      </c>
      <c r="I16" s="83" t="str">
        <f aca="false">IF(OR($A16="",I$5="",I$7&lt;&gt;"W"),"",IF(SUMPRODUCT(MAX(('Leave Register'!$B$6:$B$305=$A16)*('Leave Register'!$E$6:$E$305&lt;=I$5)*('Leave Register'!$F$6:$F$305&gt;=I$5)*('Leave Register'!$J$6:$J$305="Approved")*(ROW('Leave Register'!$B$6:$B$305)-5)))=0,"",INDEX('Leave Register'!$D$6:$D$305,SUMPRODUCT(MAX(('Leave Register'!$B$6:$B$305=$A16)*('Leave Register'!$E$6:$E$305&lt;=I$5)*('Leave Register'!$F$6:$F$305&gt;=I$5)*('Leave Register'!$J$6:$J$305="Approved")*(ROW('Leave Register'!$B$6:$B$305)-5))))))</f>
        <v/>
      </c>
      <c r="J16" s="83" t="str">
        <f aca="false">IF(OR($A16="",J$5="",J$7&lt;&gt;"W"),"",IF(SUMPRODUCT(MAX(('Leave Register'!$B$6:$B$305=$A16)*('Leave Register'!$E$6:$E$305&lt;=J$5)*('Leave Register'!$F$6:$F$305&gt;=J$5)*('Leave Register'!$J$6:$J$305="Approved")*(ROW('Leave Register'!$B$6:$B$305)-5)))=0,"",INDEX('Leave Register'!$D$6:$D$305,SUMPRODUCT(MAX(('Leave Register'!$B$6:$B$305=$A16)*('Leave Register'!$E$6:$E$305&lt;=J$5)*('Leave Register'!$F$6:$F$305&gt;=J$5)*('Leave Register'!$J$6:$J$305="Approved")*(ROW('Leave Register'!$B$6:$B$305)-5))))))</f>
        <v/>
      </c>
      <c r="K16" s="83" t="str">
        <f aca="false">IF(OR($A16="",K$5="",K$7&lt;&gt;"W"),"",IF(SUMPRODUCT(MAX(('Leave Register'!$B$6:$B$305=$A16)*('Leave Register'!$E$6:$E$305&lt;=K$5)*('Leave Register'!$F$6:$F$305&gt;=K$5)*('Leave Register'!$J$6:$J$305="Approved")*(ROW('Leave Register'!$B$6:$B$305)-5)))=0,"",INDEX('Leave Register'!$D$6:$D$305,SUMPRODUCT(MAX(('Leave Register'!$B$6:$B$305=$A16)*('Leave Register'!$E$6:$E$305&lt;=K$5)*('Leave Register'!$F$6:$F$305&gt;=K$5)*('Leave Register'!$J$6:$J$305="Approved")*(ROW('Leave Register'!$B$6:$B$305)-5))))))</f>
        <v/>
      </c>
      <c r="L16" s="83" t="str">
        <f aca="false">IF(OR($A16="",L$5="",L$7&lt;&gt;"W"),"",IF(SUMPRODUCT(MAX(('Leave Register'!$B$6:$B$305=$A16)*('Leave Register'!$E$6:$E$305&lt;=L$5)*('Leave Register'!$F$6:$F$305&gt;=L$5)*('Leave Register'!$J$6:$J$305="Approved")*(ROW('Leave Register'!$B$6:$B$305)-5)))=0,"",INDEX('Leave Register'!$D$6:$D$305,SUMPRODUCT(MAX(('Leave Register'!$B$6:$B$305=$A16)*('Leave Register'!$E$6:$E$305&lt;=L$5)*('Leave Register'!$F$6:$F$305&gt;=L$5)*('Leave Register'!$J$6:$J$305="Approved")*(ROW('Leave Register'!$B$6:$B$305)-5))))))</f>
        <v/>
      </c>
      <c r="M16" s="83" t="str">
        <f aca="false">IF(OR($A16="",M$5="",M$7&lt;&gt;"W"),"",IF(SUMPRODUCT(MAX(('Leave Register'!$B$6:$B$305=$A16)*('Leave Register'!$E$6:$E$305&lt;=M$5)*('Leave Register'!$F$6:$F$305&gt;=M$5)*('Leave Register'!$J$6:$J$305="Approved")*(ROW('Leave Register'!$B$6:$B$305)-5)))=0,"",INDEX('Leave Register'!$D$6:$D$305,SUMPRODUCT(MAX(('Leave Register'!$B$6:$B$305=$A16)*('Leave Register'!$E$6:$E$305&lt;=M$5)*('Leave Register'!$F$6:$F$305&gt;=M$5)*('Leave Register'!$J$6:$J$305="Approved")*(ROW('Leave Register'!$B$6:$B$305)-5))))))</f>
        <v/>
      </c>
      <c r="N16" s="83" t="str">
        <f aca="false">IF(OR($A16="",N$5="",N$7&lt;&gt;"W"),"",IF(SUMPRODUCT(MAX(('Leave Register'!$B$6:$B$305=$A16)*('Leave Register'!$E$6:$E$305&lt;=N$5)*('Leave Register'!$F$6:$F$305&gt;=N$5)*('Leave Register'!$J$6:$J$305="Approved")*(ROW('Leave Register'!$B$6:$B$305)-5)))=0,"",INDEX('Leave Register'!$D$6:$D$305,SUMPRODUCT(MAX(('Leave Register'!$B$6:$B$305=$A16)*('Leave Register'!$E$6:$E$305&lt;=N$5)*('Leave Register'!$F$6:$F$305&gt;=N$5)*('Leave Register'!$J$6:$J$305="Approved")*(ROW('Leave Register'!$B$6:$B$305)-5))))))</f>
        <v/>
      </c>
      <c r="O16" s="83" t="str">
        <f aca="false">IF(OR($A16="",O$5="",O$7&lt;&gt;"W"),"",IF(SUMPRODUCT(MAX(('Leave Register'!$B$6:$B$305=$A16)*('Leave Register'!$E$6:$E$305&lt;=O$5)*('Leave Register'!$F$6:$F$305&gt;=O$5)*('Leave Register'!$J$6:$J$305="Approved")*(ROW('Leave Register'!$B$6:$B$305)-5)))=0,"",INDEX('Leave Register'!$D$6:$D$305,SUMPRODUCT(MAX(('Leave Register'!$B$6:$B$305=$A16)*('Leave Register'!$E$6:$E$305&lt;=O$5)*('Leave Register'!$F$6:$F$305&gt;=O$5)*('Leave Register'!$J$6:$J$305="Approved")*(ROW('Leave Register'!$B$6:$B$305)-5))))))</f>
        <v/>
      </c>
      <c r="P16" s="83" t="str">
        <f aca="false">IF(OR($A16="",P$5="",P$7&lt;&gt;"W"),"",IF(SUMPRODUCT(MAX(('Leave Register'!$B$6:$B$305=$A16)*('Leave Register'!$E$6:$E$305&lt;=P$5)*('Leave Register'!$F$6:$F$305&gt;=P$5)*('Leave Register'!$J$6:$J$305="Approved")*(ROW('Leave Register'!$B$6:$B$305)-5)))=0,"",INDEX('Leave Register'!$D$6:$D$305,SUMPRODUCT(MAX(('Leave Register'!$B$6:$B$305=$A16)*('Leave Register'!$E$6:$E$305&lt;=P$5)*('Leave Register'!$F$6:$F$305&gt;=P$5)*('Leave Register'!$J$6:$J$305="Approved")*(ROW('Leave Register'!$B$6:$B$305)-5))))))</f>
        <v/>
      </c>
      <c r="Q16" s="83" t="str">
        <f aca="false">IF(OR($A16="",Q$5="",Q$7&lt;&gt;"W"),"",IF(SUMPRODUCT(MAX(('Leave Register'!$B$6:$B$305=$A16)*('Leave Register'!$E$6:$E$305&lt;=Q$5)*('Leave Register'!$F$6:$F$305&gt;=Q$5)*('Leave Register'!$J$6:$J$305="Approved")*(ROW('Leave Register'!$B$6:$B$305)-5)))=0,"",INDEX('Leave Register'!$D$6:$D$305,SUMPRODUCT(MAX(('Leave Register'!$B$6:$B$305=$A16)*('Leave Register'!$E$6:$E$305&lt;=Q$5)*('Leave Register'!$F$6:$F$305&gt;=Q$5)*('Leave Register'!$J$6:$J$305="Approved")*(ROW('Leave Register'!$B$6:$B$305)-5))))))</f>
        <v/>
      </c>
      <c r="R16" s="83" t="str">
        <f aca="false">IF(OR($A16="",R$5="",R$7&lt;&gt;"W"),"",IF(SUMPRODUCT(MAX(('Leave Register'!$B$6:$B$305=$A16)*('Leave Register'!$E$6:$E$305&lt;=R$5)*('Leave Register'!$F$6:$F$305&gt;=R$5)*('Leave Register'!$J$6:$J$305="Approved")*(ROW('Leave Register'!$B$6:$B$305)-5)))=0,"",INDEX('Leave Register'!$D$6:$D$305,SUMPRODUCT(MAX(('Leave Register'!$B$6:$B$305=$A16)*('Leave Register'!$E$6:$E$305&lt;=R$5)*('Leave Register'!$F$6:$F$305&gt;=R$5)*('Leave Register'!$J$6:$J$305="Approved")*(ROW('Leave Register'!$B$6:$B$305)-5))))))</f>
        <v/>
      </c>
      <c r="S16" s="83" t="str">
        <f aca="false">IF(OR($A16="",S$5="",S$7&lt;&gt;"W"),"",IF(SUMPRODUCT(MAX(('Leave Register'!$B$6:$B$305=$A16)*('Leave Register'!$E$6:$E$305&lt;=S$5)*('Leave Register'!$F$6:$F$305&gt;=S$5)*('Leave Register'!$J$6:$J$305="Approved")*(ROW('Leave Register'!$B$6:$B$305)-5)))=0,"",INDEX('Leave Register'!$D$6:$D$305,SUMPRODUCT(MAX(('Leave Register'!$B$6:$B$305=$A16)*('Leave Register'!$E$6:$E$305&lt;=S$5)*('Leave Register'!$F$6:$F$305&gt;=S$5)*('Leave Register'!$J$6:$J$305="Approved")*(ROW('Leave Register'!$B$6:$B$305)-5))))))</f>
        <v/>
      </c>
      <c r="T16" s="83" t="str">
        <f aca="false">IF(OR($A16="",T$5="",T$7&lt;&gt;"W"),"",IF(SUMPRODUCT(MAX(('Leave Register'!$B$6:$B$305=$A16)*('Leave Register'!$E$6:$E$305&lt;=T$5)*('Leave Register'!$F$6:$F$305&gt;=T$5)*('Leave Register'!$J$6:$J$305="Approved")*(ROW('Leave Register'!$B$6:$B$305)-5)))=0,"",INDEX('Leave Register'!$D$6:$D$305,SUMPRODUCT(MAX(('Leave Register'!$B$6:$B$305=$A16)*('Leave Register'!$E$6:$E$305&lt;=T$5)*('Leave Register'!$F$6:$F$305&gt;=T$5)*('Leave Register'!$J$6:$J$305="Approved")*(ROW('Leave Register'!$B$6:$B$305)-5))))))</f>
        <v/>
      </c>
      <c r="U16" s="83" t="str">
        <f aca="false">IF(OR($A16="",U$5="",U$7&lt;&gt;"W"),"",IF(SUMPRODUCT(MAX(('Leave Register'!$B$6:$B$305=$A16)*('Leave Register'!$E$6:$E$305&lt;=U$5)*('Leave Register'!$F$6:$F$305&gt;=U$5)*('Leave Register'!$J$6:$J$305="Approved")*(ROW('Leave Register'!$B$6:$B$305)-5)))=0,"",INDEX('Leave Register'!$D$6:$D$305,SUMPRODUCT(MAX(('Leave Register'!$B$6:$B$305=$A16)*('Leave Register'!$E$6:$E$305&lt;=U$5)*('Leave Register'!$F$6:$F$305&gt;=U$5)*('Leave Register'!$J$6:$J$305="Approved")*(ROW('Leave Register'!$B$6:$B$305)-5))))))</f>
        <v/>
      </c>
      <c r="V16" s="83" t="str">
        <f aca="false">IF(OR($A16="",V$5="",V$7&lt;&gt;"W"),"",IF(SUMPRODUCT(MAX(('Leave Register'!$B$6:$B$305=$A16)*('Leave Register'!$E$6:$E$305&lt;=V$5)*('Leave Register'!$F$6:$F$305&gt;=V$5)*('Leave Register'!$J$6:$J$305="Approved")*(ROW('Leave Register'!$B$6:$B$305)-5)))=0,"",INDEX('Leave Register'!$D$6:$D$305,SUMPRODUCT(MAX(('Leave Register'!$B$6:$B$305=$A16)*('Leave Register'!$E$6:$E$305&lt;=V$5)*('Leave Register'!$F$6:$F$305&gt;=V$5)*('Leave Register'!$J$6:$J$305="Approved")*(ROW('Leave Register'!$B$6:$B$305)-5))))))</f>
        <v/>
      </c>
      <c r="W16" s="83" t="str">
        <f aca="false">IF(OR($A16="",W$5="",W$7&lt;&gt;"W"),"",IF(SUMPRODUCT(MAX(('Leave Register'!$B$6:$B$305=$A16)*('Leave Register'!$E$6:$E$305&lt;=W$5)*('Leave Register'!$F$6:$F$305&gt;=W$5)*('Leave Register'!$J$6:$J$305="Approved")*(ROW('Leave Register'!$B$6:$B$305)-5)))=0,"",INDEX('Leave Register'!$D$6:$D$305,SUMPRODUCT(MAX(('Leave Register'!$B$6:$B$305=$A16)*('Leave Register'!$E$6:$E$305&lt;=W$5)*('Leave Register'!$F$6:$F$305&gt;=W$5)*('Leave Register'!$J$6:$J$305="Approved")*(ROW('Leave Register'!$B$6:$B$305)-5))))))</f>
        <v/>
      </c>
      <c r="X16" s="83" t="str">
        <f aca="false">IF(OR($A16="",X$5="",X$7&lt;&gt;"W"),"",IF(SUMPRODUCT(MAX(('Leave Register'!$B$6:$B$305=$A16)*('Leave Register'!$E$6:$E$305&lt;=X$5)*('Leave Register'!$F$6:$F$305&gt;=X$5)*('Leave Register'!$J$6:$J$305="Approved")*(ROW('Leave Register'!$B$6:$B$305)-5)))=0,"",INDEX('Leave Register'!$D$6:$D$305,SUMPRODUCT(MAX(('Leave Register'!$B$6:$B$305=$A16)*('Leave Register'!$E$6:$E$305&lt;=X$5)*('Leave Register'!$F$6:$F$305&gt;=X$5)*('Leave Register'!$J$6:$J$305="Approved")*(ROW('Leave Register'!$B$6:$B$305)-5))))))</f>
        <v/>
      </c>
      <c r="Y16" s="83" t="str">
        <f aca="false">IF(OR($A16="",Y$5="",Y$7&lt;&gt;"W"),"",IF(SUMPRODUCT(MAX(('Leave Register'!$B$6:$B$305=$A16)*('Leave Register'!$E$6:$E$305&lt;=Y$5)*('Leave Register'!$F$6:$F$305&gt;=Y$5)*('Leave Register'!$J$6:$J$305="Approved")*(ROW('Leave Register'!$B$6:$B$305)-5)))=0,"",INDEX('Leave Register'!$D$6:$D$305,SUMPRODUCT(MAX(('Leave Register'!$B$6:$B$305=$A16)*('Leave Register'!$E$6:$E$305&lt;=Y$5)*('Leave Register'!$F$6:$F$305&gt;=Y$5)*('Leave Register'!$J$6:$J$305="Approved")*(ROW('Leave Register'!$B$6:$B$305)-5))))))</f>
        <v/>
      </c>
      <c r="Z16" s="83" t="str">
        <f aca="false">IF(OR($A16="",Z$5="",Z$7&lt;&gt;"W"),"",IF(SUMPRODUCT(MAX(('Leave Register'!$B$6:$B$305=$A16)*('Leave Register'!$E$6:$E$305&lt;=Z$5)*('Leave Register'!$F$6:$F$305&gt;=Z$5)*('Leave Register'!$J$6:$J$305="Approved")*(ROW('Leave Register'!$B$6:$B$305)-5)))=0,"",INDEX('Leave Register'!$D$6:$D$305,SUMPRODUCT(MAX(('Leave Register'!$B$6:$B$305=$A16)*('Leave Register'!$E$6:$E$305&lt;=Z$5)*('Leave Register'!$F$6:$F$305&gt;=Z$5)*('Leave Register'!$J$6:$J$305="Approved")*(ROW('Leave Register'!$B$6:$B$305)-5))))))</f>
        <v/>
      </c>
      <c r="AA16" s="83" t="str">
        <f aca="false">IF(OR($A16="",AA$5="",AA$7&lt;&gt;"W"),"",IF(SUMPRODUCT(MAX(('Leave Register'!$B$6:$B$305=$A16)*('Leave Register'!$E$6:$E$305&lt;=AA$5)*('Leave Register'!$F$6:$F$305&gt;=AA$5)*('Leave Register'!$J$6:$J$305="Approved")*(ROW('Leave Register'!$B$6:$B$305)-5)))=0,"",INDEX('Leave Register'!$D$6:$D$305,SUMPRODUCT(MAX(('Leave Register'!$B$6:$B$305=$A16)*('Leave Register'!$E$6:$E$305&lt;=AA$5)*('Leave Register'!$F$6:$F$305&gt;=AA$5)*('Leave Register'!$J$6:$J$305="Approved")*(ROW('Leave Register'!$B$6:$B$305)-5))))))</f>
        <v/>
      </c>
      <c r="AB16" s="83" t="str">
        <f aca="false">IF(OR($A16="",AB$5="",AB$7&lt;&gt;"W"),"",IF(SUMPRODUCT(MAX(('Leave Register'!$B$6:$B$305=$A16)*('Leave Register'!$E$6:$E$305&lt;=AB$5)*('Leave Register'!$F$6:$F$305&gt;=AB$5)*('Leave Register'!$J$6:$J$305="Approved")*(ROW('Leave Register'!$B$6:$B$305)-5)))=0,"",INDEX('Leave Register'!$D$6:$D$305,SUMPRODUCT(MAX(('Leave Register'!$B$6:$B$305=$A16)*('Leave Register'!$E$6:$E$305&lt;=AB$5)*('Leave Register'!$F$6:$F$305&gt;=AB$5)*('Leave Register'!$J$6:$J$305="Approved")*(ROW('Leave Register'!$B$6:$B$305)-5))))))</f>
        <v/>
      </c>
      <c r="AC16" s="83" t="str">
        <f aca="false">IF(OR($A16="",AC$5="",AC$7&lt;&gt;"W"),"",IF(SUMPRODUCT(MAX(('Leave Register'!$B$6:$B$305=$A16)*('Leave Register'!$E$6:$E$305&lt;=AC$5)*('Leave Register'!$F$6:$F$305&gt;=AC$5)*('Leave Register'!$J$6:$J$305="Approved")*(ROW('Leave Register'!$B$6:$B$305)-5)))=0,"",INDEX('Leave Register'!$D$6:$D$305,SUMPRODUCT(MAX(('Leave Register'!$B$6:$B$305=$A16)*('Leave Register'!$E$6:$E$305&lt;=AC$5)*('Leave Register'!$F$6:$F$305&gt;=AC$5)*('Leave Register'!$J$6:$J$305="Approved")*(ROW('Leave Register'!$B$6:$B$305)-5))))))</f>
        <v/>
      </c>
      <c r="AD16" s="83" t="str">
        <f aca="false">IF(OR($A16="",AD$5="",AD$7&lt;&gt;"W"),"",IF(SUMPRODUCT(MAX(('Leave Register'!$B$6:$B$305=$A16)*('Leave Register'!$E$6:$E$305&lt;=AD$5)*('Leave Register'!$F$6:$F$305&gt;=AD$5)*('Leave Register'!$J$6:$J$305="Approved")*(ROW('Leave Register'!$B$6:$B$305)-5)))=0,"",INDEX('Leave Register'!$D$6:$D$305,SUMPRODUCT(MAX(('Leave Register'!$B$6:$B$305=$A16)*('Leave Register'!$E$6:$E$305&lt;=AD$5)*('Leave Register'!$F$6:$F$305&gt;=AD$5)*('Leave Register'!$J$6:$J$305="Approved")*(ROW('Leave Register'!$B$6:$B$305)-5))))))</f>
        <v/>
      </c>
      <c r="AE16" s="83" t="str">
        <f aca="false">IF(OR($A16="",AE$5="",AE$7&lt;&gt;"W"),"",IF(SUMPRODUCT(MAX(('Leave Register'!$B$6:$B$305=$A16)*('Leave Register'!$E$6:$E$305&lt;=AE$5)*('Leave Register'!$F$6:$F$305&gt;=AE$5)*('Leave Register'!$J$6:$J$305="Approved")*(ROW('Leave Register'!$B$6:$B$305)-5)))=0,"",INDEX('Leave Register'!$D$6:$D$305,SUMPRODUCT(MAX(('Leave Register'!$B$6:$B$305=$A16)*('Leave Register'!$E$6:$E$305&lt;=AE$5)*('Leave Register'!$F$6:$F$305&gt;=AE$5)*('Leave Register'!$J$6:$J$305="Approved")*(ROW('Leave Register'!$B$6:$B$305)-5))))))</f>
        <v/>
      </c>
      <c r="AF16" s="83" t="str">
        <f aca="false">IF(OR($A16="",AF$5="",AF$7&lt;&gt;"W"),"",IF(SUMPRODUCT(MAX(('Leave Register'!$B$6:$B$305=$A16)*('Leave Register'!$E$6:$E$305&lt;=AF$5)*('Leave Register'!$F$6:$F$305&gt;=AF$5)*('Leave Register'!$J$6:$J$305="Approved")*(ROW('Leave Register'!$B$6:$B$305)-5)))=0,"",INDEX('Leave Register'!$D$6:$D$305,SUMPRODUCT(MAX(('Leave Register'!$B$6:$B$305=$A16)*('Leave Register'!$E$6:$E$305&lt;=AF$5)*('Leave Register'!$F$6:$F$305&gt;=AF$5)*('Leave Register'!$J$6:$J$305="Approved")*(ROW('Leave Register'!$B$6:$B$305)-5))))))</f>
        <v/>
      </c>
      <c r="AG16" s="83" t="str">
        <f aca="false">IF(OR($A16="",AG$5="",AG$7&lt;&gt;"W"),"",IF(SUMPRODUCT(MAX(('Leave Register'!$B$6:$B$305=$A16)*('Leave Register'!$E$6:$E$305&lt;=AG$5)*('Leave Register'!$F$6:$F$305&gt;=AG$5)*('Leave Register'!$J$6:$J$305="Approved")*(ROW('Leave Register'!$B$6:$B$305)-5)))=0,"",INDEX('Leave Register'!$D$6:$D$305,SUMPRODUCT(MAX(('Leave Register'!$B$6:$B$305=$A16)*('Leave Register'!$E$6:$E$305&lt;=AG$5)*('Leave Register'!$F$6:$F$305&gt;=AG$5)*('Leave Register'!$J$6:$J$305="Approved")*(ROW('Leave Register'!$B$6:$B$305)-5))))))</f>
        <v/>
      </c>
      <c r="AH16" s="84" t="str">
        <f aca="false">IF(A16="","",COUNTIF(C16:AG16,"?*"))</f>
        <v/>
      </c>
    </row>
    <row r="17" customFormat="false" ht="15" hidden="false" customHeight="false" outlineLevel="0" collapsed="false">
      <c r="A17" s="81" t="str">
        <f aca="false">IF(Employees!$B$14="","",Employees!$B$14)</f>
        <v/>
      </c>
      <c r="B17" s="82" t="str">
        <f aca="false">IF(A17="","",Employees!$C$14)</f>
        <v/>
      </c>
      <c r="C17" s="83" t="str">
        <f aca="false">IF(OR($A17="",C$5="",C$7&lt;&gt;"W"),"",IF(SUMPRODUCT(MAX(('Leave Register'!$B$6:$B$305=$A17)*('Leave Register'!$E$6:$E$305&lt;=C$5)*('Leave Register'!$F$6:$F$305&gt;=C$5)*('Leave Register'!$J$6:$J$305="Approved")*(ROW('Leave Register'!$B$6:$B$305)-5)))=0,"",INDEX('Leave Register'!$D$6:$D$305,SUMPRODUCT(MAX(('Leave Register'!$B$6:$B$305=$A17)*('Leave Register'!$E$6:$E$305&lt;=C$5)*('Leave Register'!$F$6:$F$305&gt;=C$5)*('Leave Register'!$J$6:$J$305="Approved")*(ROW('Leave Register'!$B$6:$B$305)-5))))))</f>
        <v/>
      </c>
      <c r="D17" s="83" t="str">
        <f aca="false">IF(OR($A17="",D$5="",D$7&lt;&gt;"W"),"",IF(SUMPRODUCT(MAX(('Leave Register'!$B$6:$B$305=$A17)*('Leave Register'!$E$6:$E$305&lt;=D$5)*('Leave Register'!$F$6:$F$305&gt;=D$5)*('Leave Register'!$J$6:$J$305="Approved")*(ROW('Leave Register'!$B$6:$B$305)-5)))=0,"",INDEX('Leave Register'!$D$6:$D$305,SUMPRODUCT(MAX(('Leave Register'!$B$6:$B$305=$A17)*('Leave Register'!$E$6:$E$305&lt;=D$5)*('Leave Register'!$F$6:$F$305&gt;=D$5)*('Leave Register'!$J$6:$J$305="Approved")*(ROW('Leave Register'!$B$6:$B$305)-5))))))</f>
        <v/>
      </c>
      <c r="E17" s="83" t="str">
        <f aca="false">IF(OR($A17="",E$5="",E$7&lt;&gt;"W"),"",IF(SUMPRODUCT(MAX(('Leave Register'!$B$6:$B$305=$A17)*('Leave Register'!$E$6:$E$305&lt;=E$5)*('Leave Register'!$F$6:$F$305&gt;=E$5)*('Leave Register'!$J$6:$J$305="Approved")*(ROW('Leave Register'!$B$6:$B$305)-5)))=0,"",INDEX('Leave Register'!$D$6:$D$305,SUMPRODUCT(MAX(('Leave Register'!$B$6:$B$305=$A17)*('Leave Register'!$E$6:$E$305&lt;=E$5)*('Leave Register'!$F$6:$F$305&gt;=E$5)*('Leave Register'!$J$6:$J$305="Approved")*(ROW('Leave Register'!$B$6:$B$305)-5))))))</f>
        <v/>
      </c>
      <c r="F17" s="83" t="str">
        <f aca="false">IF(OR($A17="",F$5="",F$7&lt;&gt;"W"),"",IF(SUMPRODUCT(MAX(('Leave Register'!$B$6:$B$305=$A17)*('Leave Register'!$E$6:$E$305&lt;=F$5)*('Leave Register'!$F$6:$F$305&gt;=F$5)*('Leave Register'!$J$6:$J$305="Approved")*(ROW('Leave Register'!$B$6:$B$305)-5)))=0,"",INDEX('Leave Register'!$D$6:$D$305,SUMPRODUCT(MAX(('Leave Register'!$B$6:$B$305=$A17)*('Leave Register'!$E$6:$E$305&lt;=F$5)*('Leave Register'!$F$6:$F$305&gt;=F$5)*('Leave Register'!$J$6:$J$305="Approved")*(ROW('Leave Register'!$B$6:$B$305)-5))))))</f>
        <v/>
      </c>
      <c r="G17" s="83" t="str">
        <f aca="false">IF(OR($A17="",G$5="",G$7&lt;&gt;"W"),"",IF(SUMPRODUCT(MAX(('Leave Register'!$B$6:$B$305=$A17)*('Leave Register'!$E$6:$E$305&lt;=G$5)*('Leave Register'!$F$6:$F$305&gt;=G$5)*('Leave Register'!$J$6:$J$305="Approved")*(ROW('Leave Register'!$B$6:$B$305)-5)))=0,"",INDEX('Leave Register'!$D$6:$D$305,SUMPRODUCT(MAX(('Leave Register'!$B$6:$B$305=$A17)*('Leave Register'!$E$6:$E$305&lt;=G$5)*('Leave Register'!$F$6:$F$305&gt;=G$5)*('Leave Register'!$J$6:$J$305="Approved")*(ROW('Leave Register'!$B$6:$B$305)-5))))))</f>
        <v/>
      </c>
      <c r="H17" s="83" t="str">
        <f aca="false">IF(OR($A17="",H$5="",H$7&lt;&gt;"W"),"",IF(SUMPRODUCT(MAX(('Leave Register'!$B$6:$B$305=$A17)*('Leave Register'!$E$6:$E$305&lt;=H$5)*('Leave Register'!$F$6:$F$305&gt;=H$5)*('Leave Register'!$J$6:$J$305="Approved")*(ROW('Leave Register'!$B$6:$B$305)-5)))=0,"",INDEX('Leave Register'!$D$6:$D$305,SUMPRODUCT(MAX(('Leave Register'!$B$6:$B$305=$A17)*('Leave Register'!$E$6:$E$305&lt;=H$5)*('Leave Register'!$F$6:$F$305&gt;=H$5)*('Leave Register'!$J$6:$J$305="Approved")*(ROW('Leave Register'!$B$6:$B$305)-5))))))</f>
        <v/>
      </c>
      <c r="I17" s="83" t="str">
        <f aca="false">IF(OR($A17="",I$5="",I$7&lt;&gt;"W"),"",IF(SUMPRODUCT(MAX(('Leave Register'!$B$6:$B$305=$A17)*('Leave Register'!$E$6:$E$305&lt;=I$5)*('Leave Register'!$F$6:$F$305&gt;=I$5)*('Leave Register'!$J$6:$J$305="Approved")*(ROW('Leave Register'!$B$6:$B$305)-5)))=0,"",INDEX('Leave Register'!$D$6:$D$305,SUMPRODUCT(MAX(('Leave Register'!$B$6:$B$305=$A17)*('Leave Register'!$E$6:$E$305&lt;=I$5)*('Leave Register'!$F$6:$F$305&gt;=I$5)*('Leave Register'!$J$6:$J$305="Approved")*(ROW('Leave Register'!$B$6:$B$305)-5))))))</f>
        <v/>
      </c>
      <c r="J17" s="83" t="str">
        <f aca="false">IF(OR($A17="",J$5="",J$7&lt;&gt;"W"),"",IF(SUMPRODUCT(MAX(('Leave Register'!$B$6:$B$305=$A17)*('Leave Register'!$E$6:$E$305&lt;=J$5)*('Leave Register'!$F$6:$F$305&gt;=J$5)*('Leave Register'!$J$6:$J$305="Approved")*(ROW('Leave Register'!$B$6:$B$305)-5)))=0,"",INDEX('Leave Register'!$D$6:$D$305,SUMPRODUCT(MAX(('Leave Register'!$B$6:$B$305=$A17)*('Leave Register'!$E$6:$E$305&lt;=J$5)*('Leave Register'!$F$6:$F$305&gt;=J$5)*('Leave Register'!$J$6:$J$305="Approved")*(ROW('Leave Register'!$B$6:$B$305)-5))))))</f>
        <v/>
      </c>
      <c r="K17" s="83" t="str">
        <f aca="false">IF(OR($A17="",K$5="",K$7&lt;&gt;"W"),"",IF(SUMPRODUCT(MAX(('Leave Register'!$B$6:$B$305=$A17)*('Leave Register'!$E$6:$E$305&lt;=K$5)*('Leave Register'!$F$6:$F$305&gt;=K$5)*('Leave Register'!$J$6:$J$305="Approved")*(ROW('Leave Register'!$B$6:$B$305)-5)))=0,"",INDEX('Leave Register'!$D$6:$D$305,SUMPRODUCT(MAX(('Leave Register'!$B$6:$B$305=$A17)*('Leave Register'!$E$6:$E$305&lt;=K$5)*('Leave Register'!$F$6:$F$305&gt;=K$5)*('Leave Register'!$J$6:$J$305="Approved")*(ROW('Leave Register'!$B$6:$B$305)-5))))))</f>
        <v/>
      </c>
      <c r="L17" s="83" t="str">
        <f aca="false">IF(OR($A17="",L$5="",L$7&lt;&gt;"W"),"",IF(SUMPRODUCT(MAX(('Leave Register'!$B$6:$B$305=$A17)*('Leave Register'!$E$6:$E$305&lt;=L$5)*('Leave Register'!$F$6:$F$305&gt;=L$5)*('Leave Register'!$J$6:$J$305="Approved")*(ROW('Leave Register'!$B$6:$B$305)-5)))=0,"",INDEX('Leave Register'!$D$6:$D$305,SUMPRODUCT(MAX(('Leave Register'!$B$6:$B$305=$A17)*('Leave Register'!$E$6:$E$305&lt;=L$5)*('Leave Register'!$F$6:$F$305&gt;=L$5)*('Leave Register'!$J$6:$J$305="Approved")*(ROW('Leave Register'!$B$6:$B$305)-5))))))</f>
        <v/>
      </c>
      <c r="M17" s="83" t="str">
        <f aca="false">IF(OR($A17="",M$5="",M$7&lt;&gt;"W"),"",IF(SUMPRODUCT(MAX(('Leave Register'!$B$6:$B$305=$A17)*('Leave Register'!$E$6:$E$305&lt;=M$5)*('Leave Register'!$F$6:$F$305&gt;=M$5)*('Leave Register'!$J$6:$J$305="Approved")*(ROW('Leave Register'!$B$6:$B$305)-5)))=0,"",INDEX('Leave Register'!$D$6:$D$305,SUMPRODUCT(MAX(('Leave Register'!$B$6:$B$305=$A17)*('Leave Register'!$E$6:$E$305&lt;=M$5)*('Leave Register'!$F$6:$F$305&gt;=M$5)*('Leave Register'!$J$6:$J$305="Approved")*(ROW('Leave Register'!$B$6:$B$305)-5))))))</f>
        <v/>
      </c>
      <c r="N17" s="83" t="str">
        <f aca="false">IF(OR($A17="",N$5="",N$7&lt;&gt;"W"),"",IF(SUMPRODUCT(MAX(('Leave Register'!$B$6:$B$305=$A17)*('Leave Register'!$E$6:$E$305&lt;=N$5)*('Leave Register'!$F$6:$F$305&gt;=N$5)*('Leave Register'!$J$6:$J$305="Approved")*(ROW('Leave Register'!$B$6:$B$305)-5)))=0,"",INDEX('Leave Register'!$D$6:$D$305,SUMPRODUCT(MAX(('Leave Register'!$B$6:$B$305=$A17)*('Leave Register'!$E$6:$E$305&lt;=N$5)*('Leave Register'!$F$6:$F$305&gt;=N$5)*('Leave Register'!$J$6:$J$305="Approved")*(ROW('Leave Register'!$B$6:$B$305)-5))))))</f>
        <v/>
      </c>
      <c r="O17" s="83" t="str">
        <f aca="false">IF(OR($A17="",O$5="",O$7&lt;&gt;"W"),"",IF(SUMPRODUCT(MAX(('Leave Register'!$B$6:$B$305=$A17)*('Leave Register'!$E$6:$E$305&lt;=O$5)*('Leave Register'!$F$6:$F$305&gt;=O$5)*('Leave Register'!$J$6:$J$305="Approved")*(ROW('Leave Register'!$B$6:$B$305)-5)))=0,"",INDEX('Leave Register'!$D$6:$D$305,SUMPRODUCT(MAX(('Leave Register'!$B$6:$B$305=$A17)*('Leave Register'!$E$6:$E$305&lt;=O$5)*('Leave Register'!$F$6:$F$305&gt;=O$5)*('Leave Register'!$J$6:$J$305="Approved")*(ROW('Leave Register'!$B$6:$B$305)-5))))))</f>
        <v/>
      </c>
      <c r="P17" s="83" t="str">
        <f aca="false">IF(OR($A17="",P$5="",P$7&lt;&gt;"W"),"",IF(SUMPRODUCT(MAX(('Leave Register'!$B$6:$B$305=$A17)*('Leave Register'!$E$6:$E$305&lt;=P$5)*('Leave Register'!$F$6:$F$305&gt;=P$5)*('Leave Register'!$J$6:$J$305="Approved")*(ROW('Leave Register'!$B$6:$B$305)-5)))=0,"",INDEX('Leave Register'!$D$6:$D$305,SUMPRODUCT(MAX(('Leave Register'!$B$6:$B$305=$A17)*('Leave Register'!$E$6:$E$305&lt;=P$5)*('Leave Register'!$F$6:$F$305&gt;=P$5)*('Leave Register'!$J$6:$J$305="Approved")*(ROW('Leave Register'!$B$6:$B$305)-5))))))</f>
        <v/>
      </c>
      <c r="Q17" s="83" t="str">
        <f aca="false">IF(OR($A17="",Q$5="",Q$7&lt;&gt;"W"),"",IF(SUMPRODUCT(MAX(('Leave Register'!$B$6:$B$305=$A17)*('Leave Register'!$E$6:$E$305&lt;=Q$5)*('Leave Register'!$F$6:$F$305&gt;=Q$5)*('Leave Register'!$J$6:$J$305="Approved")*(ROW('Leave Register'!$B$6:$B$305)-5)))=0,"",INDEX('Leave Register'!$D$6:$D$305,SUMPRODUCT(MAX(('Leave Register'!$B$6:$B$305=$A17)*('Leave Register'!$E$6:$E$305&lt;=Q$5)*('Leave Register'!$F$6:$F$305&gt;=Q$5)*('Leave Register'!$J$6:$J$305="Approved")*(ROW('Leave Register'!$B$6:$B$305)-5))))))</f>
        <v/>
      </c>
      <c r="R17" s="83" t="str">
        <f aca="false">IF(OR($A17="",R$5="",R$7&lt;&gt;"W"),"",IF(SUMPRODUCT(MAX(('Leave Register'!$B$6:$B$305=$A17)*('Leave Register'!$E$6:$E$305&lt;=R$5)*('Leave Register'!$F$6:$F$305&gt;=R$5)*('Leave Register'!$J$6:$J$305="Approved")*(ROW('Leave Register'!$B$6:$B$305)-5)))=0,"",INDEX('Leave Register'!$D$6:$D$305,SUMPRODUCT(MAX(('Leave Register'!$B$6:$B$305=$A17)*('Leave Register'!$E$6:$E$305&lt;=R$5)*('Leave Register'!$F$6:$F$305&gt;=R$5)*('Leave Register'!$J$6:$J$305="Approved")*(ROW('Leave Register'!$B$6:$B$305)-5))))))</f>
        <v/>
      </c>
      <c r="S17" s="83" t="str">
        <f aca="false">IF(OR($A17="",S$5="",S$7&lt;&gt;"W"),"",IF(SUMPRODUCT(MAX(('Leave Register'!$B$6:$B$305=$A17)*('Leave Register'!$E$6:$E$305&lt;=S$5)*('Leave Register'!$F$6:$F$305&gt;=S$5)*('Leave Register'!$J$6:$J$305="Approved")*(ROW('Leave Register'!$B$6:$B$305)-5)))=0,"",INDEX('Leave Register'!$D$6:$D$305,SUMPRODUCT(MAX(('Leave Register'!$B$6:$B$305=$A17)*('Leave Register'!$E$6:$E$305&lt;=S$5)*('Leave Register'!$F$6:$F$305&gt;=S$5)*('Leave Register'!$J$6:$J$305="Approved")*(ROW('Leave Register'!$B$6:$B$305)-5))))))</f>
        <v/>
      </c>
      <c r="T17" s="83" t="str">
        <f aca="false">IF(OR($A17="",T$5="",T$7&lt;&gt;"W"),"",IF(SUMPRODUCT(MAX(('Leave Register'!$B$6:$B$305=$A17)*('Leave Register'!$E$6:$E$305&lt;=T$5)*('Leave Register'!$F$6:$F$305&gt;=T$5)*('Leave Register'!$J$6:$J$305="Approved")*(ROW('Leave Register'!$B$6:$B$305)-5)))=0,"",INDEX('Leave Register'!$D$6:$D$305,SUMPRODUCT(MAX(('Leave Register'!$B$6:$B$305=$A17)*('Leave Register'!$E$6:$E$305&lt;=T$5)*('Leave Register'!$F$6:$F$305&gt;=T$5)*('Leave Register'!$J$6:$J$305="Approved")*(ROW('Leave Register'!$B$6:$B$305)-5))))))</f>
        <v/>
      </c>
      <c r="U17" s="83" t="str">
        <f aca="false">IF(OR($A17="",U$5="",U$7&lt;&gt;"W"),"",IF(SUMPRODUCT(MAX(('Leave Register'!$B$6:$B$305=$A17)*('Leave Register'!$E$6:$E$305&lt;=U$5)*('Leave Register'!$F$6:$F$305&gt;=U$5)*('Leave Register'!$J$6:$J$305="Approved")*(ROW('Leave Register'!$B$6:$B$305)-5)))=0,"",INDEX('Leave Register'!$D$6:$D$305,SUMPRODUCT(MAX(('Leave Register'!$B$6:$B$305=$A17)*('Leave Register'!$E$6:$E$305&lt;=U$5)*('Leave Register'!$F$6:$F$305&gt;=U$5)*('Leave Register'!$J$6:$J$305="Approved")*(ROW('Leave Register'!$B$6:$B$305)-5))))))</f>
        <v/>
      </c>
      <c r="V17" s="83" t="str">
        <f aca="false">IF(OR($A17="",V$5="",V$7&lt;&gt;"W"),"",IF(SUMPRODUCT(MAX(('Leave Register'!$B$6:$B$305=$A17)*('Leave Register'!$E$6:$E$305&lt;=V$5)*('Leave Register'!$F$6:$F$305&gt;=V$5)*('Leave Register'!$J$6:$J$305="Approved")*(ROW('Leave Register'!$B$6:$B$305)-5)))=0,"",INDEX('Leave Register'!$D$6:$D$305,SUMPRODUCT(MAX(('Leave Register'!$B$6:$B$305=$A17)*('Leave Register'!$E$6:$E$305&lt;=V$5)*('Leave Register'!$F$6:$F$305&gt;=V$5)*('Leave Register'!$J$6:$J$305="Approved")*(ROW('Leave Register'!$B$6:$B$305)-5))))))</f>
        <v/>
      </c>
      <c r="W17" s="83" t="str">
        <f aca="false">IF(OR($A17="",W$5="",W$7&lt;&gt;"W"),"",IF(SUMPRODUCT(MAX(('Leave Register'!$B$6:$B$305=$A17)*('Leave Register'!$E$6:$E$305&lt;=W$5)*('Leave Register'!$F$6:$F$305&gt;=W$5)*('Leave Register'!$J$6:$J$305="Approved")*(ROW('Leave Register'!$B$6:$B$305)-5)))=0,"",INDEX('Leave Register'!$D$6:$D$305,SUMPRODUCT(MAX(('Leave Register'!$B$6:$B$305=$A17)*('Leave Register'!$E$6:$E$305&lt;=W$5)*('Leave Register'!$F$6:$F$305&gt;=W$5)*('Leave Register'!$J$6:$J$305="Approved")*(ROW('Leave Register'!$B$6:$B$305)-5))))))</f>
        <v/>
      </c>
      <c r="X17" s="83" t="str">
        <f aca="false">IF(OR($A17="",X$5="",X$7&lt;&gt;"W"),"",IF(SUMPRODUCT(MAX(('Leave Register'!$B$6:$B$305=$A17)*('Leave Register'!$E$6:$E$305&lt;=X$5)*('Leave Register'!$F$6:$F$305&gt;=X$5)*('Leave Register'!$J$6:$J$305="Approved")*(ROW('Leave Register'!$B$6:$B$305)-5)))=0,"",INDEX('Leave Register'!$D$6:$D$305,SUMPRODUCT(MAX(('Leave Register'!$B$6:$B$305=$A17)*('Leave Register'!$E$6:$E$305&lt;=X$5)*('Leave Register'!$F$6:$F$305&gt;=X$5)*('Leave Register'!$J$6:$J$305="Approved")*(ROW('Leave Register'!$B$6:$B$305)-5))))))</f>
        <v/>
      </c>
      <c r="Y17" s="83" t="str">
        <f aca="false">IF(OR($A17="",Y$5="",Y$7&lt;&gt;"W"),"",IF(SUMPRODUCT(MAX(('Leave Register'!$B$6:$B$305=$A17)*('Leave Register'!$E$6:$E$305&lt;=Y$5)*('Leave Register'!$F$6:$F$305&gt;=Y$5)*('Leave Register'!$J$6:$J$305="Approved")*(ROW('Leave Register'!$B$6:$B$305)-5)))=0,"",INDEX('Leave Register'!$D$6:$D$305,SUMPRODUCT(MAX(('Leave Register'!$B$6:$B$305=$A17)*('Leave Register'!$E$6:$E$305&lt;=Y$5)*('Leave Register'!$F$6:$F$305&gt;=Y$5)*('Leave Register'!$J$6:$J$305="Approved")*(ROW('Leave Register'!$B$6:$B$305)-5))))))</f>
        <v/>
      </c>
      <c r="Z17" s="83" t="str">
        <f aca="false">IF(OR($A17="",Z$5="",Z$7&lt;&gt;"W"),"",IF(SUMPRODUCT(MAX(('Leave Register'!$B$6:$B$305=$A17)*('Leave Register'!$E$6:$E$305&lt;=Z$5)*('Leave Register'!$F$6:$F$305&gt;=Z$5)*('Leave Register'!$J$6:$J$305="Approved")*(ROW('Leave Register'!$B$6:$B$305)-5)))=0,"",INDEX('Leave Register'!$D$6:$D$305,SUMPRODUCT(MAX(('Leave Register'!$B$6:$B$305=$A17)*('Leave Register'!$E$6:$E$305&lt;=Z$5)*('Leave Register'!$F$6:$F$305&gt;=Z$5)*('Leave Register'!$J$6:$J$305="Approved")*(ROW('Leave Register'!$B$6:$B$305)-5))))))</f>
        <v/>
      </c>
      <c r="AA17" s="83" t="str">
        <f aca="false">IF(OR($A17="",AA$5="",AA$7&lt;&gt;"W"),"",IF(SUMPRODUCT(MAX(('Leave Register'!$B$6:$B$305=$A17)*('Leave Register'!$E$6:$E$305&lt;=AA$5)*('Leave Register'!$F$6:$F$305&gt;=AA$5)*('Leave Register'!$J$6:$J$305="Approved")*(ROW('Leave Register'!$B$6:$B$305)-5)))=0,"",INDEX('Leave Register'!$D$6:$D$305,SUMPRODUCT(MAX(('Leave Register'!$B$6:$B$305=$A17)*('Leave Register'!$E$6:$E$305&lt;=AA$5)*('Leave Register'!$F$6:$F$305&gt;=AA$5)*('Leave Register'!$J$6:$J$305="Approved")*(ROW('Leave Register'!$B$6:$B$305)-5))))))</f>
        <v/>
      </c>
      <c r="AB17" s="83" t="str">
        <f aca="false">IF(OR($A17="",AB$5="",AB$7&lt;&gt;"W"),"",IF(SUMPRODUCT(MAX(('Leave Register'!$B$6:$B$305=$A17)*('Leave Register'!$E$6:$E$305&lt;=AB$5)*('Leave Register'!$F$6:$F$305&gt;=AB$5)*('Leave Register'!$J$6:$J$305="Approved")*(ROW('Leave Register'!$B$6:$B$305)-5)))=0,"",INDEX('Leave Register'!$D$6:$D$305,SUMPRODUCT(MAX(('Leave Register'!$B$6:$B$305=$A17)*('Leave Register'!$E$6:$E$305&lt;=AB$5)*('Leave Register'!$F$6:$F$305&gt;=AB$5)*('Leave Register'!$J$6:$J$305="Approved")*(ROW('Leave Register'!$B$6:$B$305)-5))))))</f>
        <v/>
      </c>
      <c r="AC17" s="83" t="str">
        <f aca="false">IF(OR($A17="",AC$5="",AC$7&lt;&gt;"W"),"",IF(SUMPRODUCT(MAX(('Leave Register'!$B$6:$B$305=$A17)*('Leave Register'!$E$6:$E$305&lt;=AC$5)*('Leave Register'!$F$6:$F$305&gt;=AC$5)*('Leave Register'!$J$6:$J$305="Approved")*(ROW('Leave Register'!$B$6:$B$305)-5)))=0,"",INDEX('Leave Register'!$D$6:$D$305,SUMPRODUCT(MAX(('Leave Register'!$B$6:$B$305=$A17)*('Leave Register'!$E$6:$E$305&lt;=AC$5)*('Leave Register'!$F$6:$F$305&gt;=AC$5)*('Leave Register'!$J$6:$J$305="Approved")*(ROW('Leave Register'!$B$6:$B$305)-5))))))</f>
        <v/>
      </c>
      <c r="AD17" s="83" t="str">
        <f aca="false">IF(OR($A17="",AD$5="",AD$7&lt;&gt;"W"),"",IF(SUMPRODUCT(MAX(('Leave Register'!$B$6:$B$305=$A17)*('Leave Register'!$E$6:$E$305&lt;=AD$5)*('Leave Register'!$F$6:$F$305&gt;=AD$5)*('Leave Register'!$J$6:$J$305="Approved")*(ROW('Leave Register'!$B$6:$B$305)-5)))=0,"",INDEX('Leave Register'!$D$6:$D$305,SUMPRODUCT(MAX(('Leave Register'!$B$6:$B$305=$A17)*('Leave Register'!$E$6:$E$305&lt;=AD$5)*('Leave Register'!$F$6:$F$305&gt;=AD$5)*('Leave Register'!$J$6:$J$305="Approved")*(ROW('Leave Register'!$B$6:$B$305)-5))))))</f>
        <v/>
      </c>
      <c r="AE17" s="83" t="str">
        <f aca="false">IF(OR($A17="",AE$5="",AE$7&lt;&gt;"W"),"",IF(SUMPRODUCT(MAX(('Leave Register'!$B$6:$B$305=$A17)*('Leave Register'!$E$6:$E$305&lt;=AE$5)*('Leave Register'!$F$6:$F$305&gt;=AE$5)*('Leave Register'!$J$6:$J$305="Approved")*(ROW('Leave Register'!$B$6:$B$305)-5)))=0,"",INDEX('Leave Register'!$D$6:$D$305,SUMPRODUCT(MAX(('Leave Register'!$B$6:$B$305=$A17)*('Leave Register'!$E$6:$E$305&lt;=AE$5)*('Leave Register'!$F$6:$F$305&gt;=AE$5)*('Leave Register'!$J$6:$J$305="Approved")*(ROW('Leave Register'!$B$6:$B$305)-5))))))</f>
        <v/>
      </c>
      <c r="AF17" s="83" t="str">
        <f aca="false">IF(OR($A17="",AF$5="",AF$7&lt;&gt;"W"),"",IF(SUMPRODUCT(MAX(('Leave Register'!$B$6:$B$305=$A17)*('Leave Register'!$E$6:$E$305&lt;=AF$5)*('Leave Register'!$F$6:$F$305&gt;=AF$5)*('Leave Register'!$J$6:$J$305="Approved")*(ROW('Leave Register'!$B$6:$B$305)-5)))=0,"",INDEX('Leave Register'!$D$6:$D$305,SUMPRODUCT(MAX(('Leave Register'!$B$6:$B$305=$A17)*('Leave Register'!$E$6:$E$305&lt;=AF$5)*('Leave Register'!$F$6:$F$305&gt;=AF$5)*('Leave Register'!$J$6:$J$305="Approved")*(ROW('Leave Register'!$B$6:$B$305)-5))))))</f>
        <v/>
      </c>
      <c r="AG17" s="83" t="str">
        <f aca="false">IF(OR($A17="",AG$5="",AG$7&lt;&gt;"W"),"",IF(SUMPRODUCT(MAX(('Leave Register'!$B$6:$B$305=$A17)*('Leave Register'!$E$6:$E$305&lt;=AG$5)*('Leave Register'!$F$6:$F$305&gt;=AG$5)*('Leave Register'!$J$6:$J$305="Approved")*(ROW('Leave Register'!$B$6:$B$305)-5)))=0,"",INDEX('Leave Register'!$D$6:$D$305,SUMPRODUCT(MAX(('Leave Register'!$B$6:$B$305=$A17)*('Leave Register'!$E$6:$E$305&lt;=AG$5)*('Leave Register'!$F$6:$F$305&gt;=AG$5)*('Leave Register'!$J$6:$J$305="Approved")*(ROW('Leave Register'!$B$6:$B$305)-5))))))</f>
        <v/>
      </c>
      <c r="AH17" s="84" t="str">
        <f aca="false">IF(A17="","",COUNTIF(C17:AG17,"?*"))</f>
        <v/>
      </c>
    </row>
    <row r="18" customFormat="false" ht="15" hidden="false" customHeight="false" outlineLevel="0" collapsed="false">
      <c r="A18" s="81" t="str">
        <f aca="false">IF(Employees!$B$15="","",Employees!$B$15)</f>
        <v/>
      </c>
      <c r="B18" s="82" t="str">
        <f aca="false">IF(A18="","",Employees!$C$15)</f>
        <v/>
      </c>
      <c r="C18" s="83" t="str">
        <f aca="false">IF(OR($A18="",C$5="",C$7&lt;&gt;"W"),"",IF(SUMPRODUCT(MAX(('Leave Register'!$B$6:$B$305=$A18)*('Leave Register'!$E$6:$E$305&lt;=C$5)*('Leave Register'!$F$6:$F$305&gt;=C$5)*('Leave Register'!$J$6:$J$305="Approved")*(ROW('Leave Register'!$B$6:$B$305)-5)))=0,"",INDEX('Leave Register'!$D$6:$D$305,SUMPRODUCT(MAX(('Leave Register'!$B$6:$B$305=$A18)*('Leave Register'!$E$6:$E$305&lt;=C$5)*('Leave Register'!$F$6:$F$305&gt;=C$5)*('Leave Register'!$J$6:$J$305="Approved")*(ROW('Leave Register'!$B$6:$B$305)-5))))))</f>
        <v/>
      </c>
      <c r="D18" s="83" t="str">
        <f aca="false">IF(OR($A18="",D$5="",D$7&lt;&gt;"W"),"",IF(SUMPRODUCT(MAX(('Leave Register'!$B$6:$B$305=$A18)*('Leave Register'!$E$6:$E$305&lt;=D$5)*('Leave Register'!$F$6:$F$305&gt;=D$5)*('Leave Register'!$J$6:$J$305="Approved")*(ROW('Leave Register'!$B$6:$B$305)-5)))=0,"",INDEX('Leave Register'!$D$6:$D$305,SUMPRODUCT(MAX(('Leave Register'!$B$6:$B$305=$A18)*('Leave Register'!$E$6:$E$305&lt;=D$5)*('Leave Register'!$F$6:$F$305&gt;=D$5)*('Leave Register'!$J$6:$J$305="Approved")*(ROW('Leave Register'!$B$6:$B$305)-5))))))</f>
        <v/>
      </c>
      <c r="E18" s="83" t="str">
        <f aca="false">IF(OR($A18="",E$5="",E$7&lt;&gt;"W"),"",IF(SUMPRODUCT(MAX(('Leave Register'!$B$6:$B$305=$A18)*('Leave Register'!$E$6:$E$305&lt;=E$5)*('Leave Register'!$F$6:$F$305&gt;=E$5)*('Leave Register'!$J$6:$J$305="Approved")*(ROW('Leave Register'!$B$6:$B$305)-5)))=0,"",INDEX('Leave Register'!$D$6:$D$305,SUMPRODUCT(MAX(('Leave Register'!$B$6:$B$305=$A18)*('Leave Register'!$E$6:$E$305&lt;=E$5)*('Leave Register'!$F$6:$F$305&gt;=E$5)*('Leave Register'!$J$6:$J$305="Approved")*(ROW('Leave Register'!$B$6:$B$305)-5))))))</f>
        <v/>
      </c>
      <c r="F18" s="83" t="str">
        <f aca="false">IF(OR($A18="",F$5="",F$7&lt;&gt;"W"),"",IF(SUMPRODUCT(MAX(('Leave Register'!$B$6:$B$305=$A18)*('Leave Register'!$E$6:$E$305&lt;=F$5)*('Leave Register'!$F$6:$F$305&gt;=F$5)*('Leave Register'!$J$6:$J$305="Approved")*(ROW('Leave Register'!$B$6:$B$305)-5)))=0,"",INDEX('Leave Register'!$D$6:$D$305,SUMPRODUCT(MAX(('Leave Register'!$B$6:$B$305=$A18)*('Leave Register'!$E$6:$E$305&lt;=F$5)*('Leave Register'!$F$6:$F$305&gt;=F$5)*('Leave Register'!$J$6:$J$305="Approved")*(ROW('Leave Register'!$B$6:$B$305)-5))))))</f>
        <v/>
      </c>
      <c r="G18" s="83" t="str">
        <f aca="false">IF(OR($A18="",G$5="",G$7&lt;&gt;"W"),"",IF(SUMPRODUCT(MAX(('Leave Register'!$B$6:$B$305=$A18)*('Leave Register'!$E$6:$E$305&lt;=G$5)*('Leave Register'!$F$6:$F$305&gt;=G$5)*('Leave Register'!$J$6:$J$305="Approved")*(ROW('Leave Register'!$B$6:$B$305)-5)))=0,"",INDEX('Leave Register'!$D$6:$D$305,SUMPRODUCT(MAX(('Leave Register'!$B$6:$B$305=$A18)*('Leave Register'!$E$6:$E$305&lt;=G$5)*('Leave Register'!$F$6:$F$305&gt;=G$5)*('Leave Register'!$J$6:$J$305="Approved")*(ROW('Leave Register'!$B$6:$B$305)-5))))))</f>
        <v/>
      </c>
      <c r="H18" s="83" t="str">
        <f aca="false">IF(OR($A18="",H$5="",H$7&lt;&gt;"W"),"",IF(SUMPRODUCT(MAX(('Leave Register'!$B$6:$B$305=$A18)*('Leave Register'!$E$6:$E$305&lt;=H$5)*('Leave Register'!$F$6:$F$305&gt;=H$5)*('Leave Register'!$J$6:$J$305="Approved")*(ROW('Leave Register'!$B$6:$B$305)-5)))=0,"",INDEX('Leave Register'!$D$6:$D$305,SUMPRODUCT(MAX(('Leave Register'!$B$6:$B$305=$A18)*('Leave Register'!$E$6:$E$305&lt;=H$5)*('Leave Register'!$F$6:$F$305&gt;=H$5)*('Leave Register'!$J$6:$J$305="Approved")*(ROW('Leave Register'!$B$6:$B$305)-5))))))</f>
        <v/>
      </c>
      <c r="I18" s="83" t="str">
        <f aca="false">IF(OR($A18="",I$5="",I$7&lt;&gt;"W"),"",IF(SUMPRODUCT(MAX(('Leave Register'!$B$6:$B$305=$A18)*('Leave Register'!$E$6:$E$305&lt;=I$5)*('Leave Register'!$F$6:$F$305&gt;=I$5)*('Leave Register'!$J$6:$J$305="Approved")*(ROW('Leave Register'!$B$6:$B$305)-5)))=0,"",INDEX('Leave Register'!$D$6:$D$305,SUMPRODUCT(MAX(('Leave Register'!$B$6:$B$305=$A18)*('Leave Register'!$E$6:$E$305&lt;=I$5)*('Leave Register'!$F$6:$F$305&gt;=I$5)*('Leave Register'!$J$6:$J$305="Approved")*(ROW('Leave Register'!$B$6:$B$305)-5))))))</f>
        <v/>
      </c>
      <c r="J18" s="83" t="str">
        <f aca="false">IF(OR($A18="",J$5="",J$7&lt;&gt;"W"),"",IF(SUMPRODUCT(MAX(('Leave Register'!$B$6:$B$305=$A18)*('Leave Register'!$E$6:$E$305&lt;=J$5)*('Leave Register'!$F$6:$F$305&gt;=J$5)*('Leave Register'!$J$6:$J$305="Approved")*(ROW('Leave Register'!$B$6:$B$305)-5)))=0,"",INDEX('Leave Register'!$D$6:$D$305,SUMPRODUCT(MAX(('Leave Register'!$B$6:$B$305=$A18)*('Leave Register'!$E$6:$E$305&lt;=J$5)*('Leave Register'!$F$6:$F$305&gt;=J$5)*('Leave Register'!$J$6:$J$305="Approved")*(ROW('Leave Register'!$B$6:$B$305)-5))))))</f>
        <v/>
      </c>
      <c r="K18" s="83" t="str">
        <f aca="false">IF(OR($A18="",K$5="",K$7&lt;&gt;"W"),"",IF(SUMPRODUCT(MAX(('Leave Register'!$B$6:$B$305=$A18)*('Leave Register'!$E$6:$E$305&lt;=K$5)*('Leave Register'!$F$6:$F$305&gt;=K$5)*('Leave Register'!$J$6:$J$305="Approved")*(ROW('Leave Register'!$B$6:$B$305)-5)))=0,"",INDEX('Leave Register'!$D$6:$D$305,SUMPRODUCT(MAX(('Leave Register'!$B$6:$B$305=$A18)*('Leave Register'!$E$6:$E$305&lt;=K$5)*('Leave Register'!$F$6:$F$305&gt;=K$5)*('Leave Register'!$J$6:$J$305="Approved")*(ROW('Leave Register'!$B$6:$B$305)-5))))))</f>
        <v/>
      </c>
      <c r="L18" s="83" t="str">
        <f aca="false">IF(OR($A18="",L$5="",L$7&lt;&gt;"W"),"",IF(SUMPRODUCT(MAX(('Leave Register'!$B$6:$B$305=$A18)*('Leave Register'!$E$6:$E$305&lt;=L$5)*('Leave Register'!$F$6:$F$305&gt;=L$5)*('Leave Register'!$J$6:$J$305="Approved")*(ROW('Leave Register'!$B$6:$B$305)-5)))=0,"",INDEX('Leave Register'!$D$6:$D$305,SUMPRODUCT(MAX(('Leave Register'!$B$6:$B$305=$A18)*('Leave Register'!$E$6:$E$305&lt;=L$5)*('Leave Register'!$F$6:$F$305&gt;=L$5)*('Leave Register'!$J$6:$J$305="Approved")*(ROW('Leave Register'!$B$6:$B$305)-5))))))</f>
        <v/>
      </c>
      <c r="M18" s="83" t="str">
        <f aca="false">IF(OR($A18="",M$5="",M$7&lt;&gt;"W"),"",IF(SUMPRODUCT(MAX(('Leave Register'!$B$6:$B$305=$A18)*('Leave Register'!$E$6:$E$305&lt;=M$5)*('Leave Register'!$F$6:$F$305&gt;=M$5)*('Leave Register'!$J$6:$J$305="Approved")*(ROW('Leave Register'!$B$6:$B$305)-5)))=0,"",INDEX('Leave Register'!$D$6:$D$305,SUMPRODUCT(MAX(('Leave Register'!$B$6:$B$305=$A18)*('Leave Register'!$E$6:$E$305&lt;=M$5)*('Leave Register'!$F$6:$F$305&gt;=M$5)*('Leave Register'!$J$6:$J$305="Approved")*(ROW('Leave Register'!$B$6:$B$305)-5))))))</f>
        <v/>
      </c>
      <c r="N18" s="83" t="str">
        <f aca="false">IF(OR($A18="",N$5="",N$7&lt;&gt;"W"),"",IF(SUMPRODUCT(MAX(('Leave Register'!$B$6:$B$305=$A18)*('Leave Register'!$E$6:$E$305&lt;=N$5)*('Leave Register'!$F$6:$F$305&gt;=N$5)*('Leave Register'!$J$6:$J$305="Approved")*(ROW('Leave Register'!$B$6:$B$305)-5)))=0,"",INDEX('Leave Register'!$D$6:$D$305,SUMPRODUCT(MAX(('Leave Register'!$B$6:$B$305=$A18)*('Leave Register'!$E$6:$E$305&lt;=N$5)*('Leave Register'!$F$6:$F$305&gt;=N$5)*('Leave Register'!$J$6:$J$305="Approved")*(ROW('Leave Register'!$B$6:$B$305)-5))))))</f>
        <v/>
      </c>
      <c r="O18" s="83" t="str">
        <f aca="false">IF(OR($A18="",O$5="",O$7&lt;&gt;"W"),"",IF(SUMPRODUCT(MAX(('Leave Register'!$B$6:$B$305=$A18)*('Leave Register'!$E$6:$E$305&lt;=O$5)*('Leave Register'!$F$6:$F$305&gt;=O$5)*('Leave Register'!$J$6:$J$305="Approved")*(ROW('Leave Register'!$B$6:$B$305)-5)))=0,"",INDEX('Leave Register'!$D$6:$D$305,SUMPRODUCT(MAX(('Leave Register'!$B$6:$B$305=$A18)*('Leave Register'!$E$6:$E$305&lt;=O$5)*('Leave Register'!$F$6:$F$305&gt;=O$5)*('Leave Register'!$J$6:$J$305="Approved")*(ROW('Leave Register'!$B$6:$B$305)-5))))))</f>
        <v/>
      </c>
      <c r="P18" s="83" t="str">
        <f aca="false">IF(OR($A18="",P$5="",P$7&lt;&gt;"W"),"",IF(SUMPRODUCT(MAX(('Leave Register'!$B$6:$B$305=$A18)*('Leave Register'!$E$6:$E$305&lt;=P$5)*('Leave Register'!$F$6:$F$305&gt;=P$5)*('Leave Register'!$J$6:$J$305="Approved")*(ROW('Leave Register'!$B$6:$B$305)-5)))=0,"",INDEX('Leave Register'!$D$6:$D$305,SUMPRODUCT(MAX(('Leave Register'!$B$6:$B$305=$A18)*('Leave Register'!$E$6:$E$305&lt;=P$5)*('Leave Register'!$F$6:$F$305&gt;=P$5)*('Leave Register'!$J$6:$J$305="Approved")*(ROW('Leave Register'!$B$6:$B$305)-5))))))</f>
        <v/>
      </c>
      <c r="Q18" s="83" t="str">
        <f aca="false">IF(OR($A18="",Q$5="",Q$7&lt;&gt;"W"),"",IF(SUMPRODUCT(MAX(('Leave Register'!$B$6:$B$305=$A18)*('Leave Register'!$E$6:$E$305&lt;=Q$5)*('Leave Register'!$F$6:$F$305&gt;=Q$5)*('Leave Register'!$J$6:$J$305="Approved")*(ROW('Leave Register'!$B$6:$B$305)-5)))=0,"",INDEX('Leave Register'!$D$6:$D$305,SUMPRODUCT(MAX(('Leave Register'!$B$6:$B$305=$A18)*('Leave Register'!$E$6:$E$305&lt;=Q$5)*('Leave Register'!$F$6:$F$305&gt;=Q$5)*('Leave Register'!$J$6:$J$305="Approved")*(ROW('Leave Register'!$B$6:$B$305)-5))))))</f>
        <v/>
      </c>
      <c r="R18" s="83" t="str">
        <f aca="false">IF(OR($A18="",R$5="",R$7&lt;&gt;"W"),"",IF(SUMPRODUCT(MAX(('Leave Register'!$B$6:$B$305=$A18)*('Leave Register'!$E$6:$E$305&lt;=R$5)*('Leave Register'!$F$6:$F$305&gt;=R$5)*('Leave Register'!$J$6:$J$305="Approved")*(ROW('Leave Register'!$B$6:$B$305)-5)))=0,"",INDEX('Leave Register'!$D$6:$D$305,SUMPRODUCT(MAX(('Leave Register'!$B$6:$B$305=$A18)*('Leave Register'!$E$6:$E$305&lt;=R$5)*('Leave Register'!$F$6:$F$305&gt;=R$5)*('Leave Register'!$J$6:$J$305="Approved")*(ROW('Leave Register'!$B$6:$B$305)-5))))))</f>
        <v/>
      </c>
      <c r="S18" s="83" t="str">
        <f aca="false">IF(OR($A18="",S$5="",S$7&lt;&gt;"W"),"",IF(SUMPRODUCT(MAX(('Leave Register'!$B$6:$B$305=$A18)*('Leave Register'!$E$6:$E$305&lt;=S$5)*('Leave Register'!$F$6:$F$305&gt;=S$5)*('Leave Register'!$J$6:$J$305="Approved")*(ROW('Leave Register'!$B$6:$B$305)-5)))=0,"",INDEX('Leave Register'!$D$6:$D$305,SUMPRODUCT(MAX(('Leave Register'!$B$6:$B$305=$A18)*('Leave Register'!$E$6:$E$305&lt;=S$5)*('Leave Register'!$F$6:$F$305&gt;=S$5)*('Leave Register'!$J$6:$J$305="Approved")*(ROW('Leave Register'!$B$6:$B$305)-5))))))</f>
        <v/>
      </c>
      <c r="T18" s="83" t="str">
        <f aca="false">IF(OR($A18="",T$5="",T$7&lt;&gt;"W"),"",IF(SUMPRODUCT(MAX(('Leave Register'!$B$6:$B$305=$A18)*('Leave Register'!$E$6:$E$305&lt;=T$5)*('Leave Register'!$F$6:$F$305&gt;=T$5)*('Leave Register'!$J$6:$J$305="Approved")*(ROW('Leave Register'!$B$6:$B$305)-5)))=0,"",INDEX('Leave Register'!$D$6:$D$305,SUMPRODUCT(MAX(('Leave Register'!$B$6:$B$305=$A18)*('Leave Register'!$E$6:$E$305&lt;=T$5)*('Leave Register'!$F$6:$F$305&gt;=T$5)*('Leave Register'!$J$6:$J$305="Approved")*(ROW('Leave Register'!$B$6:$B$305)-5))))))</f>
        <v/>
      </c>
      <c r="U18" s="83" t="str">
        <f aca="false">IF(OR($A18="",U$5="",U$7&lt;&gt;"W"),"",IF(SUMPRODUCT(MAX(('Leave Register'!$B$6:$B$305=$A18)*('Leave Register'!$E$6:$E$305&lt;=U$5)*('Leave Register'!$F$6:$F$305&gt;=U$5)*('Leave Register'!$J$6:$J$305="Approved")*(ROW('Leave Register'!$B$6:$B$305)-5)))=0,"",INDEX('Leave Register'!$D$6:$D$305,SUMPRODUCT(MAX(('Leave Register'!$B$6:$B$305=$A18)*('Leave Register'!$E$6:$E$305&lt;=U$5)*('Leave Register'!$F$6:$F$305&gt;=U$5)*('Leave Register'!$J$6:$J$305="Approved")*(ROW('Leave Register'!$B$6:$B$305)-5))))))</f>
        <v/>
      </c>
      <c r="V18" s="83" t="str">
        <f aca="false">IF(OR($A18="",V$5="",V$7&lt;&gt;"W"),"",IF(SUMPRODUCT(MAX(('Leave Register'!$B$6:$B$305=$A18)*('Leave Register'!$E$6:$E$305&lt;=V$5)*('Leave Register'!$F$6:$F$305&gt;=V$5)*('Leave Register'!$J$6:$J$305="Approved")*(ROW('Leave Register'!$B$6:$B$305)-5)))=0,"",INDEX('Leave Register'!$D$6:$D$305,SUMPRODUCT(MAX(('Leave Register'!$B$6:$B$305=$A18)*('Leave Register'!$E$6:$E$305&lt;=V$5)*('Leave Register'!$F$6:$F$305&gt;=V$5)*('Leave Register'!$J$6:$J$305="Approved")*(ROW('Leave Register'!$B$6:$B$305)-5))))))</f>
        <v/>
      </c>
      <c r="W18" s="83" t="str">
        <f aca="false">IF(OR($A18="",W$5="",W$7&lt;&gt;"W"),"",IF(SUMPRODUCT(MAX(('Leave Register'!$B$6:$B$305=$A18)*('Leave Register'!$E$6:$E$305&lt;=W$5)*('Leave Register'!$F$6:$F$305&gt;=W$5)*('Leave Register'!$J$6:$J$305="Approved")*(ROW('Leave Register'!$B$6:$B$305)-5)))=0,"",INDEX('Leave Register'!$D$6:$D$305,SUMPRODUCT(MAX(('Leave Register'!$B$6:$B$305=$A18)*('Leave Register'!$E$6:$E$305&lt;=W$5)*('Leave Register'!$F$6:$F$305&gt;=W$5)*('Leave Register'!$J$6:$J$305="Approved")*(ROW('Leave Register'!$B$6:$B$305)-5))))))</f>
        <v/>
      </c>
      <c r="X18" s="83" t="str">
        <f aca="false">IF(OR($A18="",X$5="",X$7&lt;&gt;"W"),"",IF(SUMPRODUCT(MAX(('Leave Register'!$B$6:$B$305=$A18)*('Leave Register'!$E$6:$E$305&lt;=X$5)*('Leave Register'!$F$6:$F$305&gt;=X$5)*('Leave Register'!$J$6:$J$305="Approved")*(ROW('Leave Register'!$B$6:$B$305)-5)))=0,"",INDEX('Leave Register'!$D$6:$D$305,SUMPRODUCT(MAX(('Leave Register'!$B$6:$B$305=$A18)*('Leave Register'!$E$6:$E$305&lt;=X$5)*('Leave Register'!$F$6:$F$305&gt;=X$5)*('Leave Register'!$J$6:$J$305="Approved")*(ROW('Leave Register'!$B$6:$B$305)-5))))))</f>
        <v/>
      </c>
      <c r="Y18" s="83" t="str">
        <f aca="false">IF(OR($A18="",Y$5="",Y$7&lt;&gt;"W"),"",IF(SUMPRODUCT(MAX(('Leave Register'!$B$6:$B$305=$A18)*('Leave Register'!$E$6:$E$305&lt;=Y$5)*('Leave Register'!$F$6:$F$305&gt;=Y$5)*('Leave Register'!$J$6:$J$305="Approved")*(ROW('Leave Register'!$B$6:$B$305)-5)))=0,"",INDEX('Leave Register'!$D$6:$D$305,SUMPRODUCT(MAX(('Leave Register'!$B$6:$B$305=$A18)*('Leave Register'!$E$6:$E$305&lt;=Y$5)*('Leave Register'!$F$6:$F$305&gt;=Y$5)*('Leave Register'!$J$6:$J$305="Approved")*(ROW('Leave Register'!$B$6:$B$305)-5))))))</f>
        <v/>
      </c>
      <c r="Z18" s="83" t="str">
        <f aca="false">IF(OR($A18="",Z$5="",Z$7&lt;&gt;"W"),"",IF(SUMPRODUCT(MAX(('Leave Register'!$B$6:$B$305=$A18)*('Leave Register'!$E$6:$E$305&lt;=Z$5)*('Leave Register'!$F$6:$F$305&gt;=Z$5)*('Leave Register'!$J$6:$J$305="Approved")*(ROW('Leave Register'!$B$6:$B$305)-5)))=0,"",INDEX('Leave Register'!$D$6:$D$305,SUMPRODUCT(MAX(('Leave Register'!$B$6:$B$305=$A18)*('Leave Register'!$E$6:$E$305&lt;=Z$5)*('Leave Register'!$F$6:$F$305&gt;=Z$5)*('Leave Register'!$J$6:$J$305="Approved")*(ROW('Leave Register'!$B$6:$B$305)-5))))))</f>
        <v/>
      </c>
      <c r="AA18" s="83" t="str">
        <f aca="false">IF(OR($A18="",AA$5="",AA$7&lt;&gt;"W"),"",IF(SUMPRODUCT(MAX(('Leave Register'!$B$6:$B$305=$A18)*('Leave Register'!$E$6:$E$305&lt;=AA$5)*('Leave Register'!$F$6:$F$305&gt;=AA$5)*('Leave Register'!$J$6:$J$305="Approved")*(ROW('Leave Register'!$B$6:$B$305)-5)))=0,"",INDEX('Leave Register'!$D$6:$D$305,SUMPRODUCT(MAX(('Leave Register'!$B$6:$B$305=$A18)*('Leave Register'!$E$6:$E$305&lt;=AA$5)*('Leave Register'!$F$6:$F$305&gt;=AA$5)*('Leave Register'!$J$6:$J$305="Approved")*(ROW('Leave Register'!$B$6:$B$305)-5))))))</f>
        <v/>
      </c>
      <c r="AB18" s="83" t="str">
        <f aca="false">IF(OR($A18="",AB$5="",AB$7&lt;&gt;"W"),"",IF(SUMPRODUCT(MAX(('Leave Register'!$B$6:$B$305=$A18)*('Leave Register'!$E$6:$E$305&lt;=AB$5)*('Leave Register'!$F$6:$F$305&gt;=AB$5)*('Leave Register'!$J$6:$J$305="Approved")*(ROW('Leave Register'!$B$6:$B$305)-5)))=0,"",INDEX('Leave Register'!$D$6:$D$305,SUMPRODUCT(MAX(('Leave Register'!$B$6:$B$305=$A18)*('Leave Register'!$E$6:$E$305&lt;=AB$5)*('Leave Register'!$F$6:$F$305&gt;=AB$5)*('Leave Register'!$J$6:$J$305="Approved")*(ROW('Leave Register'!$B$6:$B$305)-5))))))</f>
        <v/>
      </c>
      <c r="AC18" s="83" t="str">
        <f aca="false">IF(OR($A18="",AC$5="",AC$7&lt;&gt;"W"),"",IF(SUMPRODUCT(MAX(('Leave Register'!$B$6:$B$305=$A18)*('Leave Register'!$E$6:$E$305&lt;=AC$5)*('Leave Register'!$F$6:$F$305&gt;=AC$5)*('Leave Register'!$J$6:$J$305="Approved")*(ROW('Leave Register'!$B$6:$B$305)-5)))=0,"",INDEX('Leave Register'!$D$6:$D$305,SUMPRODUCT(MAX(('Leave Register'!$B$6:$B$305=$A18)*('Leave Register'!$E$6:$E$305&lt;=AC$5)*('Leave Register'!$F$6:$F$305&gt;=AC$5)*('Leave Register'!$J$6:$J$305="Approved")*(ROW('Leave Register'!$B$6:$B$305)-5))))))</f>
        <v/>
      </c>
      <c r="AD18" s="83" t="str">
        <f aca="false">IF(OR($A18="",AD$5="",AD$7&lt;&gt;"W"),"",IF(SUMPRODUCT(MAX(('Leave Register'!$B$6:$B$305=$A18)*('Leave Register'!$E$6:$E$305&lt;=AD$5)*('Leave Register'!$F$6:$F$305&gt;=AD$5)*('Leave Register'!$J$6:$J$305="Approved")*(ROW('Leave Register'!$B$6:$B$305)-5)))=0,"",INDEX('Leave Register'!$D$6:$D$305,SUMPRODUCT(MAX(('Leave Register'!$B$6:$B$305=$A18)*('Leave Register'!$E$6:$E$305&lt;=AD$5)*('Leave Register'!$F$6:$F$305&gt;=AD$5)*('Leave Register'!$J$6:$J$305="Approved")*(ROW('Leave Register'!$B$6:$B$305)-5))))))</f>
        <v/>
      </c>
      <c r="AE18" s="83" t="str">
        <f aca="false">IF(OR($A18="",AE$5="",AE$7&lt;&gt;"W"),"",IF(SUMPRODUCT(MAX(('Leave Register'!$B$6:$B$305=$A18)*('Leave Register'!$E$6:$E$305&lt;=AE$5)*('Leave Register'!$F$6:$F$305&gt;=AE$5)*('Leave Register'!$J$6:$J$305="Approved")*(ROW('Leave Register'!$B$6:$B$305)-5)))=0,"",INDEX('Leave Register'!$D$6:$D$305,SUMPRODUCT(MAX(('Leave Register'!$B$6:$B$305=$A18)*('Leave Register'!$E$6:$E$305&lt;=AE$5)*('Leave Register'!$F$6:$F$305&gt;=AE$5)*('Leave Register'!$J$6:$J$305="Approved")*(ROW('Leave Register'!$B$6:$B$305)-5))))))</f>
        <v/>
      </c>
      <c r="AF18" s="83" t="str">
        <f aca="false">IF(OR($A18="",AF$5="",AF$7&lt;&gt;"W"),"",IF(SUMPRODUCT(MAX(('Leave Register'!$B$6:$B$305=$A18)*('Leave Register'!$E$6:$E$305&lt;=AF$5)*('Leave Register'!$F$6:$F$305&gt;=AF$5)*('Leave Register'!$J$6:$J$305="Approved")*(ROW('Leave Register'!$B$6:$B$305)-5)))=0,"",INDEX('Leave Register'!$D$6:$D$305,SUMPRODUCT(MAX(('Leave Register'!$B$6:$B$305=$A18)*('Leave Register'!$E$6:$E$305&lt;=AF$5)*('Leave Register'!$F$6:$F$305&gt;=AF$5)*('Leave Register'!$J$6:$J$305="Approved")*(ROW('Leave Register'!$B$6:$B$305)-5))))))</f>
        <v/>
      </c>
      <c r="AG18" s="83" t="str">
        <f aca="false">IF(OR($A18="",AG$5="",AG$7&lt;&gt;"W"),"",IF(SUMPRODUCT(MAX(('Leave Register'!$B$6:$B$305=$A18)*('Leave Register'!$E$6:$E$305&lt;=AG$5)*('Leave Register'!$F$6:$F$305&gt;=AG$5)*('Leave Register'!$J$6:$J$305="Approved")*(ROW('Leave Register'!$B$6:$B$305)-5)))=0,"",INDEX('Leave Register'!$D$6:$D$305,SUMPRODUCT(MAX(('Leave Register'!$B$6:$B$305=$A18)*('Leave Register'!$E$6:$E$305&lt;=AG$5)*('Leave Register'!$F$6:$F$305&gt;=AG$5)*('Leave Register'!$J$6:$J$305="Approved")*(ROW('Leave Register'!$B$6:$B$305)-5))))))</f>
        <v/>
      </c>
      <c r="AH18" s="84" t="str">
        <f aca="false">IF(A18="","",COUNTIF(C18:AG18,"?*"))</f>
        <v/>
      </c>
    </row>
    <row r="19" customFormat="false" ht="15" hidden="false" customHeight="false" outlineLevel="0" collapsed="false">
      <c r="A19" s="81" t="str">
        <f aca="false">IF(Employees!$B$16="","",Employees!$B$16)</f>
        <v/>
      </c>
      <c r="B19" s="82" t="str">
        <f aca="false">IF(A19="","",Employees!$C$16)</f>
        <v/>
      </c>
      <c r="C19" s="83" t="str">
        <f aca="false">IF(OR($A19="",C$5="",C$7&lt;&gt;"W"),"",IF(SUMPRODUCT(MAX(('Leave Register'!$B$6:$B$305=$A19)*('Leave Register'!$E$6:$E$305&lt;=C$5)*('Leave Register'!$F$6:$F$305&gt;=C$5)*('Leave Register'!$J$6:$J$305="Approved")*(ROW('Leave Register'!$B$6:$B$305)-5)))=0,"",INDEX('Leave Register'!$D$6:$D$305,SUMPRODUCT(MAX(('Leave Register'!$B$6:$B$305=$A19)*('Leave Register'!$E$6:$E$305&lt;=C$5)*('Leave Register'!$F$6:$F$305&gt;=C$5)*('Leave Register'!$J$6:$J$305="Approved")*(ROW('Leave Register'!$B$6:$B$305)-5))))))</f>
        <v/>
      </c>
      <c r="D19" s="83" t="str">
        <f aca="false">IF(OR($A19="",D$5="",D$7&lt;&gt;"W"),"",IF(SUMPRODUCT(MAX(('Leave Register'!$B$6:$B$305=$A19)*('Leave Register'!$E$6:$E$305&lt;=D$5)*('Leave Register'!$F$6:$F$305&gt;=D$5)*('Leave Register'!$J$6:$J$305="Approved")*(ROW('Leave Register'!$B$6:$B$305)-5)))=0,"",INDEX('Leave Register'!$D$6:$D$305,SUMPRODUCT(MAX(('Leave Register'!$B$6:$B$305=$A19)*('Leave Register'!$E$6:$E$305&lt;=D$5)*('Leave Register'!$F$6:$F$305&gt;=D$5)*('Leave Register'!$J$6:$J$305="Approved")*(ROW('Leave Register'!$B$6:$B$305)-5))))))</f>
        <v/>
      </c>
      <c r="E19" s="83" t="str">
        <f aca="false">IF(OR($A19="",E$5="",E$7&lt;&gt;"W"),"",IF(SUMPRODUCT(MAX(('Leave Register'!$B$6:$B$305=$A19)*('Leave Register'!$E$6:$E$305&lt;=E$5)*('Leave Register'!$F$6:$F$305&gt;=E$5)*('Leave Register'!$J$6:$J$305="Approved")*(ROW('Leave Register'!$B$6:$B$305)-5)))=0,"",INDEX('Leave Register'!$D$6:$D$305,SUMPRODUCT(MAX(('Leave Register'!$B$6:$B$305=$A19)*('Leave Register'!$E$6:$E$305&lt;=E$5)*('Leave Register'!$F$6:$F$305&gt;=E$5)*('Leave Register'!$J$6:$J$305="Approved")*(ROW('Leave Register'!$B$6:$B$305)-5))))))</f>
        <v/>
      </c>
      <c r="F19" s="83" t="str">
        <f aca="false">IF(OR($A19="",F$5="",F$7&lt;&gt;"W"),"",IF(SUMPRODUCT(MAX(('Leave Register'!$B$6:$B$305=$A19)*('Leave Register'!$E$6:$E$305&lt;=F$5)*('Leave Register'!$F$6:$F$305&gt;=F$5)*('Leave Register'!$J$6:$J$305="Approved")*(ROW('Leave Register'!$B$6:$B$305)-5)))=0,"",INDEX('Leave Register'!$D$6:$D$305,SUMPRODUCT(MAX(('Leave Register'!$B$6:$B$305=$A19)*('Leave Register'!$E$6:$E$305&lt;=F$5)*('Leave Register'!$F$6:$F$305&gt;=F$5)*('Leave Register'!$J$6:$J$305="Approved")*(ROW('Leave Register'!$B$6:$B$305)-5))))))</f>
        <v/>
      </c>
      <c r="G19" s="83" t="str">
        <f aca="false">IF(OR($A19="",G$5="",G$7&lt;&gt;"W"),"",IF(SUMPRODUCT(MAX(('Leave Register'!$B$6:$B$305=$A19)*('Leave Register'!$E$6:$E$305&lt;=G$5)*('Leave Register'!$F$6:$F$305&gt;=G$5)*('Leave Register'!$J$6:$J$305="Approved")*(ROW('Leave Register'!$B$6:$B$305)-5)))=0,"",INDEX('Leave Register'!$D$6:$D$305,SUMPRODUCT(MAX(('Leave Register'!$B$6:$B$305=$A19)*('Leave Register'!$E$6:$E$305&lt;=G$5)*('Leave Register'!$F$6:$F$305&gt;=G$5)*('Leave Register'!$J$6:$J$305="Approved")*(ROW('Leave Register'!$B$6:$B$305)-5))))))</f>
        <v/>
      </c>
      <c r="H19" s="83" t="str">
        <f aca="false">IF(OR($A19="",H$5="",H$7&lt;&gt;"W"),"",IF(SUMPRODUCT(MAX(('Leave Register'!$B$6:$B$305=$A19)*('Leave Register'!$E$6:$E$305&lt;=H$5)*('Leave Register'!$F$6:$F$305&gt;=H$5)*('Leave Register'!$J$6:$J$305="Approved")*(ROW('Leave Register'!$B$6:$B$305)-5)))=0,"",INDEX('Leave Register'!$D$6:$D$305,SUMPRODUCT(MAX(('Leave Register'!$B$6:$B$305=$A19)*('Leave Register'!$E$6:$E$305&lt;=H$5)*('Leave Register'!$F$6:$F$305&gt;=H$5)*('Leave Register'!$J$6:$J$305="Approved")*(ROW('Leave Register'!$B$6:$B$305)-5))))))</f>
        <v/>
      </c>
      <c r="I19" s="83" t="str">
        <f aca="false">IF(OR($A19="",I$5="",I$7&lt;&gt;"W"),"",IF(SUMPRODUCT(MAX(('Leave Register'!$B$6:$B$305=$A19)*('Leave Register'!$E$6:$E$305&lt;=I$5)*('Leave Register'!$F$6:$F$305&gt;=I$5)*('Leave Register'!$J$6:$J$305="Approved")*(ROW('Leave Register'!$B$6:$B$305)-5)))=0,"",INDEX('Leave Register'!$D$6:$D$305,SUMPRODUCT(MAX(('Leave Register'!$B$6:$B$305=$A19)*('Leave Register'!$E$6:$E$305&lt;=I$5)*('Leave Register'!$F$6:$F$305&gt;=I$5)*('Leave Register'!$J$6:$J$305="Approved")*(ROW('Leave Register'!$B$6:$B$305)-5))))))</f>
        <v/>
      </c>
      <c r="J19" s="83" t="str">
        <f aca="false">IF(OR($A19="",J$5="",J$7&lt;&gt;"W"),"",IF(SUMPRODUCT(MAX(('Leave Register'!$B$6:$B$305=$A19)*('Leave Register'!$E$6:$E$305&lt;=J$5)*('Leave Register'!$F$6:$F$305&gt;=J$5)*('Leave Register'!$J$6:$J$305="Approved")*(ROW('Leave Register'!$B$6:$B$305)-5)))=0,"",INDEX('Leave Register'!$D$6:$D$305,SUMPRODUCT(MAX(('Leave Register'!$B$6:$B$305=$A19)*('Leave Register'!$E$6:$E$305&lt;=J$5)*('Leave Register'!$F$6:$F$305&gt;=J$5)*('Leave Register'!$J$6:$J$305="Approved")*(ROW('Leave Register'!$B$6:$B$305)-5))))))</f>
        <v/>
      </c>
      <c r="K19" s="83" t="str">
        <f aca="false">IF(OR($A19="",K$5="",K$7&lt;&gt;"W"),"",IF(SUMPRODUCT(MAX(('Leave Register'!$B$6:$B$305=$A19)*('Leave Register'!$E$6:$E$305&lt;=K$5)*('Leave Register'!$F$6:$F$305&gt;=K$5)*('Leave Register'!$J$6:$J$305="Approved")*(ROW('Leave Register'!$B$6:$B$305)-5)))=0,"",INDEX('Leave Register'!$D$6:$D$305,SUMPRODUCT(MAX(('Leave Register'!$B$6:$B$305=$A19)*('Leave Register'!$E$6:$E$305&lt;=K$5)*('Leave Register'!$F$6:$F$305&gt;=K$5)*('Leave Register'!$J$6:$J$305="Approved")*(ROW('Leave Register'!$B$6:$B$305)-5))))))</f>
        <v/>
      </c>
      <c r="L19" s="83" t="str">
        <f aca="false">IF(OR($A19="",L$5="",L$7&lt;&gt;"W"),"",IF(SUMPRODUCT(MAX(('Leave Register'!$B$6:$B$305=$A19)*('Leave Register'!$E$6:$E$305&lt;=L$5)*('Leave Register'!$F$6:$F$305&gt;=L$5)*('Leave Register'!$J$6:$J$305="Approved")*(ROW('Leave Register'!$B$6:$B$305)-5)))=0,"",INDEX('Leave Register'!$D$6:$D$305,SUMPRODUCT(MAX(('Leave Register'!$B$6:$B$305=$A19)*('Leave Register'!$E$6:$E$305&lt;=L$5)*('Leave Register'!$F$6:$F$305&gt;=L$5)*('Leave Register'!$J$6:$J$305="Approved")*(ROW('Leave Register'!$B$6:$B$305)-5))))))</f>
        <v/>
      </c>
      <c r="M19" s="83" t="str">
        <f aca="false">IF(OR($A19="",M$5="",M$7&lt;&gt;"W"),"",IF(SUMPRODUCT(MAX(('Leave Register'!$B$6:$B$305=$A19)*('Leave Register'!$E$6:$E$305&lt;=M$5)*('Leave Register'!$F$6:$F$305&gt;=M$5)*('Leave Register'!$J$6:$J$305="Approved")*(ROW('Leave Register'!$B$6:$B$305)-5)))=0,"",INDEX('Leave Register'!$D$6:$D$305,SUMPRODUCT(MAX(('Leave Register'!$B$6:$B$305=$A19)*('Leave Register'!$E$6:$E$305&lt;=M$5)*('Leave Register'!$F$6:$F$305&gt;=M$5)*('Leave Register'!$J$6:$J$305="Approved")*(ROW('Leave Register'!$B$6:$B$305)-5))))))</f>
        <v/>
      </c>
      <c r="N19" s="83" t="str">
        <f aca="false">IF(OR($A19="",N$5="",N$7&lt;&gt;"W"),"",IF(SUMPRODUCT(MAX(('Leave Register'!$B$6:$B$305=$A19)*('Leave Register'!$E$6:$E$305&lt;=N$5)*('Leave Register'!$F$6:$F$305&gt;=N$5)*('Leave Register'!$J$6:$J$305="Approved")*(ROW('Leave Register'!$B$6:$B$305)-5)))=0,"",INDEX('Leave Register'!$D$6:$D$305,SUMPRODUCT(MAX(('Leave Register'!$B$6:$B$305=$A19)*('Leave Register'!$E$6:$E$305&lt;=N$5)*('Leave Register'!$F$6:$F$305&gt;=N$5)*('Leave Register'!$J$6:$J$305="Approved")*(ROW('Leave Register'!$B$6:$B$305)-5))))))</f>
        <v/>
      </c>
      <c r="O19" s="83" t="str">
        <f aca="false">IF(OR($A19="",O$5="",O$7&lt;&gt;"W"),"",IF(SUMPRODUCT(MAX(('Leave Register'!$B$6:$B$305=$A19)*('Leave Register'!$E$6:$E$305&lt;=O$5)*('Leave Register'!$F$6:$F$305&gt;=O$5)*('Leave Register'!$J$6:$J$305="Approved")*(ROW('Leave Register'!$B$6:$B$305)-5)))=0,"",INDEX('Leave Register'!$D$6:$D$305,SUMPRODUCT(MAX(('Leave Register'!$B$6:$B$305=$A19)*('Leave Register'!$E$6:$E$305&lt;=O$5)*('Leave Register'!$F$6:$F$305&gt;=O$5)*('Leave Register'!$J$6:$J$305="Approved")*(ROW('Leave Register'!$B$6:$B$305)-5))))))</f>
        <v/>
      </c>
      <c r="P19" s="83" t="str">
        <f aca="false">IF(OR($A19="",P$5="",P$7&lt;&gt;"W"),"",IF(SUMPRODUCT(MAX(('Leave Register'!$B$6:$B$305=$A19)*('Leave Register'!$E$6:$E$305&lt;=P$5)*('Leave Register'!$F$6:$F$305&gt;=P$5)*('Leave Register'!$J$6:$J$305="Approved")*(ROW('Leave Register'!$B$6:$B$305)-5)))=0,"",INDEX('Leave Register'!$D$6:$D$305,SUMPRODUCT(MAX(('Leave Register'!$B$6:$B$305=$A19)*('Leave Register'!$E$6:$E$305&lt;=P$5)*('Leave Register'!$F$6:$F$305&gt;=P$5)*('Leave Register'!$J$6:$J$305="Approved")*(ROW('Leave Register'!$B$6:$B$305)-5))))))</f>
        <v/>
      </c>
      <c r="Q19" s="83" t="str">
        <f aca="false">IF(OR($A19="",Q$5="",Q$7&lt;&gt;"W"),"",IF(SUMPRODUCT(MAX(('Leave Register'!$B$6:$B$305=$A19)*('Leave Register'!$E$6:$E$305&lt;=Q$5)*('Leave Register'!$F$6:$F$305&gt;=Q$5)*('Leave Register'!$J$6:$J$305="Approved")*(ROW('Leave Register'!$B$6:$B$305)-5)))=0,"",INDEX('Leave Register'!$D$6:$D$305,SUMPRODUCT(MAX(('Leave Register'!$B$6:$B$305=$A19)*('Leave Register'!$E$6:$E$305&lt;=Q$5)*('Leave Register'!$F$6:$F$305&gt;=Q$5)*('Leave Register'!$J$6:$J$305="Approved")*(ROW('Leave Register'!$B$6:$B$305)-5))))))</f>
        <v/>
      </c>
      <c r="R19" s="83" t="str">
        <f aca="false">IF(OR($A19="",R$5="",R$7&lt;&gt;"W"),"",IF(SUMPRODUCT(MAX(('Leave Register'!$B$6:$B$305=$A19)*('Leave Register'!$E$6:$E$305&lt;=R$5)*('Leave Register'!$F$6:$F$305&gt;=R$5)*('Leave Register'!$J$6:$J$305="Approved")*(ROW('Leave Register'!$B$6:$B$305)-5)))=0,"",INDEX('Leave Register'!$D$6:$D$305,SUMPRODUCT(MAX(('Leave Register'!$B$6:$B$305=$A19)*('Leave Register'!$E$6:$E$305&lt;=R$5)*('Leave Register'!$F$6:$F$305&gt;=R$5)*('Leave Register'!$J$6:$J$305="Approved")*(ROW('Leave Register'!$B$6:$B$305)-5))))))</f>
        <v/>
      </c>
      <c r="S19" s="83" t="str">
        <f aca="false">IF(OR($A19="",S$5="",S$7&lt;&gt;"W"),"",IF(SUMPRODUCT(MAX(('Leave Register'!$B$6:$B$305=$A19)*('Leave Register'!$E$6:$E$305&lt;=S$5)*('Leave Register'!$F$6:$F$305&gt;=S$5)*('Leave Register'!$J$6:$J$305="Approved")*(ROW('Leave Register'!$B$6:$B$305)-5)))=0,"",INDEX('Leave Register'!$D$6:$D$305,SUMPRODUCT(MAX(('Leave Register'!$B$6:$B$305=$A19)*('Leave Register'!$E$6:$E$305&lt;=S$5)*('Leave Register'!$F$6:$F$305&gt;=S$5)*('Leave Register'!$J$6:$J$305="Approved")*(ROW('Leave Register'!$B$6:$B$305)-5))))))</f>
        <v/>
      </c>
      <c r="T19" s="83" t="str">
        <f aca="false">IF(OR($A19="",T$5="",T$7&lt;&gt;"W"),"",IF(SUMPRODUCT(MAX(('Leave Register'!$B$6:$B$305=$A19)*('Leave Register'!$E$6:$E$305&lt;=T$5)*('Leave Register'!$F$6:$F$305&gt;=T$5)*('Leave Register'!$J$6:$J$305="Approved")*(ROW('Leave Register'!$B$6:$B$305)-5)))=0,"",INDEX('Leave Register'!$D$6:$D$305,SUMPRODUCT(MAX(('Leave Register'!$B$6:$B$305=$A19)*('Leave Register'!$E$6:$E$305&lt;=T$5)*('Leave Register'!$F$6:$F$305&gt;=T$5)*('Leave Register'!$J$6:$J$305="Approved")*(ROW('Leave Register'!$B$6:$B$305)-5))))))</f>
        <v/>
      </c>
      <c r="U19" s="83" t="str">
        <f aca="false">IF(OR($A19="",U$5="",U$7&lt;&gt;"W"),"",IF(SUMPRODUCT(MAX(('Leave Register'!$B$6:$B$305=$A19)*('Leave Register'!$E$6:$E$305&lt;=U$5)*('Leave Register'!$F$6:$F$305&gt;=U$5)*('Leave Register'!$J$6:$J$305="Approved")*(ROW('Leave Register'!$B$6:$B$305)-5)))=0,"",INDEX('Leave Register'!$D$6:$D$305,SUMPRODUCT(MAX(('Leave Register'!$B$6:$B$305=$A19)*('Leave Register'!$E$6:$E$305&lt;=U$5)*('Leave Register'!$F$6:$F$305&gt;=U$5)*('Leave Register'!$J$6:$J$305="Approved")*(ROW('Leave Register'!$B$6:$B$305)-5))))))</f>
        <v/>
      </c>
      <c r="V19" s="83" t="str">
        <f aca="false">IF(OR($A19="",V$5="",V$7&lt;&gt;"W"),"",IF(SUMPRODUCT(MAX(('Leave Register'!$B$6:$B$305=$A19)*('Leave Register'!$E$6:$E$305&lt;=V$5)*('Leave Register'!$F$6:$F$305&gt;=V$5)*('Leave Register'!$J$6:$J$305="Approved")*(ROW('Leave Register'!$B$6:$B$305)-5)))=0,"",INDEX('Leave Register'!$D$6:$D$305,SUMPRODUCT(MAX(('Leave Register'!$B$6:$B$305=$A19)*('Leave Register'!$E$6:$E$305&lt;=V$5)*('Leave Register'!$F$6:$F$305&gt;=V$5)*('Leave Register'!$J$6:$J$305="Approved")*(ROW('Leave Register'!$B$6:$B$305)-5))))))</f>
        <v/>
      </c>
      <c r="W19" s="83" t="str">
        <f aca="false">IF(OR($A19="",W$5="",W$7&lt;&gt;"W"),"",IF(SUMPRODUCT(MAX(('Leave Register'!$B$6:$B$305=$A19)*('Leave Register'!$E$6:$E$305&lt;=W$5)*('Leave Register'!$F$6:$F$305&gt;=W$5)*('Leave Register'!$J$6:$J$305="Approved")*(ROW('Leave Register'!$B$6:$B$305)-5)))=0,"",INDEX('Leave Register'!$D$6:$D$305,SUMPRODUCT(MAX(('Leave Register'!$B$6:$B$305=$A19)*('Leave Register'!$E$6:$E$305&lt;=W$5)*('Leave Register'!$F$6:$F$305&gt;=W$5)*('Leave Register'!$J$6:$J$305="Approved")*(ROW('Leave Register'!$B$6:$B$305)-5))))))</f>
        <v/>
      </c>
      <c r="X19" s="83" t="str">
        <f aca="false">IF(OR($A19="",X$5="",X$7&lt;&gt;"W"),"",IF(SUMPRODUCT(MAX(('Leave Register'!$B$6:$B$305=$A19)*('Leave Register'!$E$6:$E$305&lt;=X$5)*('Leave Register'!$F$6:$F$305&gt;=X$5)*('Leave Register'!$J$6:$J$305="Approved")*(ROW('Leave Register'!$B$6:$B$305)-5)))=0,"",INDEX('Leave Register'!$D$6:$D$305,SUMPRODUCT(MAX(('Leave Register'!$B$6:$B$305=$A19)*('Leave Register'!$E$6:$E$305&lt;=X$5)*('Leave Register'!$F$6:$F$305&gt;=X$5)*('Leave Register'!$J$6:$J$305="Approved")*(ROW('Leave Register'!$B$6:$B$305)-5))))))</f>
        <v/>
      </c>
      <c r="Y19" s="83" t="str">
        <f aca="false">IF(OR($A19="",Y$5="",Y$7&lt;&gt;"W"),"",IF(SUMPRODUCT(MAX(('Leave Register'!$B$6:$B$305=$A19)*('Leave Register'!$E$6:$E$305&lt;=Y$5)*('Leave Register'!$F$6:$F$305&gt;=Y$5)*('Leave Register'!$J$6:$J$305="Approved")*(ROW('Leave Register'!$B$6:$B$305)-5)))=0,"",INDEX('Leave Register'!$D$6:$D$305,SUMPRODUCT(MAX(('Leave Register'!$B$6:$B$305=$A19)*('Leave Register'!$E$6:$E$305&lt;=Y$5)*('Leave Register'!$F$6:$F$305&gt;=Y$5)*('Leave Register'!$J$6:$J$305="Approved")*(ROW('Leave Register'!$B$6:$B$305)-5))))))</f>
        <v/>
      </c>
      <c r="Z19" s="83" t="str">
        <f aca="false">IF(OR($A19="",Z$5="",Z$7&lt;&gt;"W"),"",IF(SUMPRODUCT(MAX(('Leave Register'!$B$6:$B$305=$A19)*('Leave Register'!$E$6:$E$305&lt;=Z$5)*('Leave Register'!$F$6:$F$305&gt;=Z$5)*('Leave Register'!$J$6:$J$305="Approved")*(ROW('Leave Register'!$B$6:$B$305)-5)))=0,"",INDEX('Leave Register'!$D$6:$D$305,SUMPRODUCT(MAX(('Leave Register'!$B$6:$B$305=$A19)*('Leave Register'!$E$6:$E$305&lt;=Z$5)*('Leave Register'!$F$6:$F$305&gt;=Z$5)*('Leave Register'!$J$6:$J$305="Approved")*(ROW('Leave Register'!$B$6:$B$305)-5))))))</f>
        <v/>
      </c>
      <c r="AA19" s="83" t="str">
        <f aca="false">IF(OR($A19="",AA$5="",AA$7&lt;&gt;"W"),"",IF(SUMPRODUCT(MAX(('Leave Register'!$B$6:$B$305=$A19)*('Leave Register'!$E$6:$E$305&lt;=AA$5)*('Leave Register'!$F$6:$F$305&gt;=AA$5)*('Leave Register'!$J$6:$J$305="Approved")*(ROW('Leave Register'!$B$6:$B$305)-5)))=0,"",INDEX('Leave Register'!$D$6:$D$305,SUMPRODUCT(MAX(('Leave Register'!$B$6:$B$305=$A19)*('Leave Register'!$E$6:$E$305&lt;=AA$5)*('Leave Register'!$F$6:$F$305&gt;=AA$5)*('Leave Register'!$J$6:$J$305="Approved")*(ROW('Leave Register'!$B$6:$B$305)-5))))))</f>
        <v/>
      </c>
      <c r="AB19" s="83" t="str">
        <f aca="false">IF(OR($A19="",AB$5="",AB$7&lt;&gt;"W"),"",IF(SUMPRODUCT(MAX(('Leave Register'!$B$6:$B$305=$A19)*('Leave Register'!$E$6:$E$305&lt;=AB$5)*('Leave Register'!$F$6:$F$305&gt;=AB$5)*('Leave Register'!$J$6:$J$305="Approved")*(ROW('Leave Register'!$B$6:$B$305)-5)))=0,"",INDEX('Leave Register'!$D$6:$D$305,SUMPRODUCT(MAX(('Leave Register'!$B$6:$B$305=$A19)*('Leave Register'!$E$6:$E$305&lt;=AB$5)*('Leave Register'!$F$6:$F$305&gt;=AB$5)*('Leave Register'!$J$6:$J$305="Approved")*(ROW('Leave Register'!$B$6:$B$305)-5))))))</f>
        <v/>
      </c>
      <c r="AC19" s="83" t="str">
        <f aca="false">IF(OR($A19="",AC$5="",AC$7&lt;&gt;"W"),"",IF(SUMPRODUCT(MAX(('Leave Register'!$B$6:$B$305=$A19)*('Leave Register'!$E$6:$E$305&lt;=AC$5)*('Leave Register'!$F$6:$F$305&gt;=AC$5)*('Leave Register'!$J$6:$J$305="Approved")*(ROW('Leave Register'!$B$6:$B$305)-5)))=0,"",INDEX('Leave Register'!$D$6:$D$305,SUMPRODUCT(MAX(('Leave Register'!$B$6:$B$305=$A19)*('Leave Register'!$E$6:$E$305&lt;=AC$5)*('Leave Register'!$F$6:$F$305&gt;=AC$5)*('Leave Register'!$J$6:$J$305="Approved")*(ROW('Leave Register'!$B$6:$B$305)-5))))))</f>
        <v/>
      </c>
      <c r="AD19" s="83" t="str">
        <f aca="false">IF(OR($A19="",AD$5="",AD$7&lt;&gt;"W"),"",IF(SUMPRODUCT(MAX(('Leave Register'!$B$6:$B$305=$A19)*('Leave Register'!$E$6:$E$305&lt;=AD$5)*('Leave Register'!$F$6:$F$305&gt;=AD$5)*('Leave Register'!$J$6:$J$305="Approved")*(ROW('Leave Register'!$B$6:$B$305)-5)))=0,"",INDEX('Leave Register'!$D$6:$D$305,SUMPRODUCT(MAX(('Leave Register'!$B$6:$B$305=$A19)*('Leave Register'!$E$6:$E$305&lt;=AD$5)*('Leave Register'!$F$6:$F$305&gt;=AD$5)*('Leave Register'!$J$6:$J$305="Approved")*(ROW('Leave Register'!$B$6:$B$305)-5))))))</f>
        <v/>
      </c>
      <c r="AE19" s="83" t="str">
        <f aca="false">IF(OR($A19="",AE$5="",AE$7&lt;&gt;"W"),"",IF(SUMPRODUCT(MAX(('Leave Register'!$B$6:$B$305=$A19)*('Leave Register'!$E$6:$E$305&lt;=AE$5)*('Leave Register'!$F$6:$F$305&gt;=AE$5)*('Leave Register'!$J$6:$J$305="Approved")*(ROW('Leave Register'!$B$6:$B$305)-5)))=0,"",INDEX('Leave Register'!$D$6:$D$305,SUMPRODUCT(MAX(('Leave Register'!$B$6:$B$305=$A19)*('Leave Register'!$E$6:$E$305&lt;=AE$5)*('Leave Register'!$F$6:$F$305&gt;=AE$5)*('Leave Register'!$J$6:$J$305="Approved")*(ROW('Leave Register'!$B$6:$B$305)-5))))))</f>
        <v/>
      </c>
      <c r="AF19" s="83" t="str">
        <f aca="false">IF(OR($A19="",AF$5="",AF$7&lt;&gt;"W"),"",IF(SUMPRODUCT(MAX(('Leave Register'!$B$6:$B$305=$A19)*('Leave Register'!$E$6:$E$305&lt;=AF$5)*('Leave Register'!$F$6:$F$305&gt;=AF$5)*('Leave Register'!$J$6:$J$305="Approved")*(ROW('Leave Register'!$B$6:$B$305)-5)))=0,"",INDEX('Leave Register'!$D$6:$D$305,SUMPRODUCT(MAX(('Leave Register'!$B$6:$B$305=$A19)*('Leave Register'!$E$6:$E$305&lt;=AF$5)*('Leave Register'!$F$6:$F$305&gt;=AF$5)*('Leave Register'!$J$6:$J$305="Approved")*(ROW('Leave Register'!$B$6:$B$305)-5))))))</f>
        <v/>
      </c>
      <c r="AG19" s="83" t="str">
        <f aca="false">IF(OR($A19="",AG$5="",AG$7&lt;&gt;"W"),"",IF(SUMPRODUCT(MAX(('Leave Register'!$B$6:$B$305=$A19)*('Leave Register'!$E$6:$E$305&lt;=AG$5)*('Leave Register'!$F$6:$F$305&gt;=AG$5)*('Leave Register'!$J$6:$J$305="Approved")*(ROW('Leave Register'!$B$6:$B$305)-5)))=0,"",INDEX('Leave Register'!$D$6:$D$305,SUMPRODUCT(MAX(('Leave Register'!$B$6:$B$305=$A19)*('Leave Register'!$E$6:$E$305&lt;=AG$5)*('Leave Register'!$F$6:$F$305&gt;=AG$5)*('Leave Register'!$J$6:$J$305="Approved")*(ROW('Leave Register'!$B$6:$B$305)-5))))))</f>
        <v/>
      </c>
      <c r="AH19" s="84" t="str">
        <f aca="false">IF(A19="","",COUNTIF(C19:AG19,"?*"))</f>
        <v/>
      </c>
    </row>
    <row r="20" customFormat="false" ht="15" hidden="false" customHeight="false" outlineLevel="0" collapsed="false">
      <c r="A20" s="81" t="str">
        <f aca="false">IF(Employees!$B$17="","",Employees!$B$17)</f>
        <v/>
      </c>
      <c r="B20" s="82" t="str">
        <f aca="false">IF(A20="","",Employees!$C$17)</f>
        <v/>
      </c>
      <c r="C20" s="83" t="str">
        <f aca="false">IF(OR($A20="",C$5="",C$7&lt;&gt;"W"),"",IF(SUMPRODUCT(MAX(('Leave Register'!$B$6:$B$305=$A20)*('Leave Register'!$E$6:$E$305&lt;=C$5)*('Leave Register'!$F$6:$F$305&gt;=C$5)*('Leave Register'!$J$6:$J$305="Approved")*(ROW('Leave Register'!$B$6:$B$305)-5)))=0,"",INDEX('Leave Register'!$D$6:$D$305,SUMPRODUCT(MAX(('Leave Register'!$B$6:$B$305=$A20)*('Leave Register'!$E$6:$E$305&lt;=C$5)*('Leave Register'!$F$6:$F$305&gt;=C$5)*('Leave Register'!$J$6:$J$305="Approved")*(ROW('Leave Register'!$B$6:$B$305)-5))))))</f>
        <v/>
      </c>
      <c r="D20" s="83" t="str">
        <f aca="false">IF(OR($A20="",D$5="",D$7&lt;&gt;"W"),"",IF(SUMPRODUCT(MAX(('Leave Register'!$B$6:$B$305=$A20)*('Leave Register'!$E$6:$E$305&lt;=D$5)*('Leave Register'!$F$6:$F$305&gt;=D$5)*('Leave Register'!$J$6:$J$305="Approved")*(ROW('Leave Register'!$B$6:$B$305)-5)))=0,"",INDEX('Leave Register'!$D$6:$D$305,SUMPRODUCT(MAX(('Leave Register'!$B$6:$B$305=$A20)*('Leave Register'!$E$6:$E$305&lt;=D$5)*('Leave Register'!$F$6:$F$305&gt;=D$5)*('Leave Register'!$J$6:$J$305="Approved")*(ROW('Leave Register'!$B$6:$B$305)-5))))))</f>
        <v/>
      </c>
      <c r="E20" s="83" t="str">
        <f aca="false">IF(OR($A20="",E$5="",E$7&lt;&gt;"W"),"",IF(SUMPRODUCT(MAX(('Leave Register'!$B$6:$B$305=$A20)*('Leave Register'!$E$6:$E$305&lt;=E$5)*('Leave Register'!$F$6:$F$305&gt;=E$5)*('Leave Register'!$J$6:$J$305="Approved")*(ROW('Leave Register'!$B$6:$B$305)-5)))=0,"",INDEX('Leave Register'!$D$6:$D$305,SUMPRODUCT(MAX(('Leave Register'!$B$6:$B$305=$A20)*('Leave Register'!$E$6:$E$305&lt;=E$5)*('Leave Register'!$F$6:$F$305&gt;=E$5)*('Leave Register'!$J$6:$J$305="Approved")*(ROW('Leave Register'!$B$6:$B$305)-5))))))</f>
        <v/>
      </c>
      <c r="F20" s="83" t="str">
        <f aca="false">IF(OR($A20="",F$5="",F$7&lt;&gt;"W"),"",IF(SUMPRODUCT(MAX(('Leave Register'!$B$6:$B$305=$A20)*('Leave Register'!$E$6:$E$305&lt;=F$5)*('Leave Register'!$F$6:$F$305&gt;=F$5)*('Leave Register'!$J$6:$J$305="Approved")*(ROW('Leave Register'!$B$6:$B$305)-5)))=0,"",INDEX('Leave Register'!$D$6:$D$305,SUMPRODUCT(MAX(('Leave Register'!$B$6:$B$305=$A20)*('Leave Register'!$E$6:$E$305&lt;=F$5)*('Leave Register'!$F$6:$F$305&gt;=F$5)*('Leave Register'!$J$6:$J$305="Approved")*(ROW('Leave Register'!$B$6:$B$305)-5))))))</f>
        <v/>
      </c>
      <c r="G20" s="83" t="str">
        <f aca="false">IF(OR($A20="",G$5="",G$7&lt;&gt;"W"),"",IF(SUMPRODUCT(MAX(('Leave Register'!$B$6:$B$305=$A20)*('Leave Register'!$E$6:$E$305&lt;=G$5)*('Leave Register'!$F$6:$F$305&gt;=G$5)*('Leave Register'!$J$6:$J$305="Approved")*(ROW('Leave Register'!$B$6:$B$305)-5)))=0,"",INDEX('Leave Register'!$D$6:$D$305,SUMPRODUCT(MAX(('Leave Register'!$B$6:$B$305=$A20)*('Leave Register'!$E$6:$E$305&lt;=G$5)*('Leave Register'!$F$6:$F$305&gt;=G$5)*('Leave Register'!$J$6:$J$305="Approved")*(ROW('Leave Register'!$B$6:$B$305)-5))))))</f>
        <v/>
      </c>
      <c r="H20" s="83" t="str">
        <f aca="false">IF(OR($A20="",H$5="",H$7&lt;&gt;"W"),"",IF(SUMPRODUCT(MAX(('Leave Register'!$B$6:$B$305=$A20)*('Leave Register'!$E$6:$E$305&lt;=H$5)*('Leave Register'!$F$6:$F$305&gt;=H$5)*('Leave Register'!$J$6:$J$305="Approved")*(ROW('Leave Register'!$B$6:$B$305)-5)))=0,"",INDEX('Leave Register'!$D$6:$D$305,SUMPRODUCT(MAX(('Leave Register'!$B$6:$B$305=$A20)*('Leave Register'!$E$6:$E$305&lt;=H$5)*('Leave Register'!$F$6:$F$305&gt;=H$5)*('Leave Register'!$J$6:$J$305="Approved")*(ROW('Leave Register'!$B$6:$B$305)-5))))))</f>
        <v/>
      </c>
      <c r="I20" s="83" t="str">
        <f aca="false">IF(OR($A20="",I$5="",I$7&lt;&gt;"W"),"",IF(SUMPRODUCT(MAX(('Leave Register'!$B$6:$B$305=$A20)*('Leave Register'!$E$6:$E$305&lt;=I$5)*('Leave Register'!$F$6:$F$305&gt;=I$5)*('Leave Register'!$J$6:$J$305="Approved")*(ROW('Leave Register'!$B$6:$B$305)-5)))=0,"",INDEX('Leave Register'!$D$6:$D$305,SUMPRODUCT(MAX(('Leave Register'!$B$6:$B$305=$A20)*('Leave Register'!$E$6:$E$305&lt;=I$5)*('Leave Register'!$F$6:$F$305&gt;=I$5)*('Leave Register'!$J$6:$J$305="Approved")*(ROW('Leave Register'!$B$6:$B$305)-5))))))</f>
        <v/>
      </c>
      <c r="J20" s="83" t="str">
        <f aca="false">IF(OR($A20="",J$5="",J$7&lt;&gt;"W"),"",IF(SUMPRODUCT(MAX(('Leave Register'!$B$6:$B$305=$A20)*('Leave Register'!$E$6:$E$305&lt;=J$5)*('Leave Register'!$F$6:$F$305&gt;=J$5)*('Leave Register'!$J$6:$J$305="Approved")*(ROW('Leave Register'!$B$6:$B$305)-5)))=0,"",INDEX('Leave Register'!$D$6:$D$305,SUMPRODUCT(MAX(('Leave Register'!$B$6:$B$305=$A20)*('Leave Register'!$E$6:$E$305&lt;=J$5)*('Leave Register'!$F$6:$F$305&gt;=J$5)*('Leave Register'!$J$6:$J$305="Approved")*(ROW('Leave Register'!$B$6:$B$305)-5))))))</f>
        <v/>
      </c>
      <c r="K20" s="83" t="str">
        <f aca="false">IF(OR($A20="",K$5="",K$7&lt;&gt;"W"),"",IF(SUMPRODUCT(MAX(('Leave Register'!$B$6:$B$305=$A20)*('Leave Register'!$E$6:$E$305&lt;=K$5)*('Leave Register'!$F$6:$F$305&gt;=K$5)*('Leave Register'!$J$6:$J$305="Approved")*(ROW('Leave Register'!$B$6:$B$305)-5)))=0,"",INDEX('Leave Register'!$D$6:$D$305,SUMPRODUCT(MAX(('Leave Register'!$B$6:$B$305=$A20)*('Leave Register'!$E$6:$E$305&lt;=K$5)*('Leave Register'!$F$6:$F$305&gt;=K$5)*('Leave Register'!$J$6:$J$305="Approved")*(ROW('Leave Register'!$B$6:$B$305)-5))))))</f>
        <v/>
      </c>
      <c r="L20" s="83" t="str">
        <f aca="false">IF(OR($A20="",L$5="",L$7&lt;&gt;"W"),"",IF(SUMPRODUCT(MAX(('Leave Register'!$B$6:$B$305=$A20)*('Leave Register'!$E$6:$E$305&lt;=L$5)*('Leave Register'!$F$6:$F$305&gt;=L$5)*('Leave Register'!$J$6:$J$305="Approved")*(ROW('Leave Register'!$B$6:$B$305)-5)))=0,"",INDEX('Leave Register'!$D$6:$D$305,SUMPRODUCT(MAX(('Leave Register'!$B$6:$B$305=$A20)*('Leave Register'!$E$6:$E$305&lt;=L$5)*('Leave Register'!$F$6:$F$305&gt;=L$5)*('Leave Register'!$J$6:$J$305="Approved")*(ROW('Leave Register'!$B$6:$B$305)-5))))))</f>
        <v/>
      </c>
      <c r="M20" s="83" t="str">
        <f aca="false">IF(OR($A20="",M$5="",M$7&lt;&gt;"W"),"",IF(SUMPRODUCT(MAX(('Leave Register'!$B$6:$B$305=$A20)*('Leave Register'!$E$6:$E$305&lt;=M$5)*('Leave Register'!$F$6:$F$305&gt;=M$5)*('Leave Register'!$J$6:$J$305="Approved")*(ROW('Leave Register'!$B$6:$B$305)-5)))=0,"",INDEX('Leave Register'!$D$6:$D$305,SUMPRODUCT(MAX(('Leave Register'!$B$6:$B$305=$A20)*('Leave Register'!$E$6:$E$305&lt;=M$5)*('Leave Register'!$F$6:$F$305&gt;=M$5)*('Leave Register'!$J$6:$J$305="Approved")*(ROW('Leave Register'!$B$6:$B$305)-5))))))</f>
        <v/>
      </c>
      <c r="N20" s="83" t="str">
        <f aca="false">IF(OR($A20="",N$5="",N$7&lt;&gt;"W"),"",IF(SUMPRODUCT(MAX(('Leave Register'!$B$6:$B$305=$A20)*('Leave Register'!$E$6:$E$305&lt;=N$5)*('Leave Register'!$F$6:$F$305&gt;=N$5)*('Leave Register'!$J$6:$J$305="Approved")*(ROW('Leave Register'!$B$6:$B$305)-5)))=0,"",INDEX('Leave Register'!$D$6:$D$305,SUMPRODUCT(MAX(('Leave Register'!$B$6:$B$305=$A20)*('Leave Register'!$E$6:$E$305&lt;=N$5)*('Leave Register'!$F$6:$F$305&gt;=N$5)*('Leave Register'!$J$6:$J$305="Approved")*(ROW('Leave Register'!$B$6:$B$305)-5))))))</f>
        <v/>
      </c>
      <c r="O20" s="83" t="str">
        <f aca="false">IF(OR($A20="",O$5="",O$7&lt;&gt;"W"),"",IF(SUMPRODUCT(MAX(('Leave Register'!$B$6:$B$305=$A20)*('Leave Register'!$E$6:$E$305&lt;=O$5)*('Leave Register'!$F$6:$F$305&gt;=O$5)*('Leave Register'!$J$6:$J$305="Approved")*(ROW('Leave Register'!$B$6:$B$305)-5)))=0,"",INDEX('Leave Register'!$D$6:$D$305,SUMPRODUCT(MAX(('Leave Register'!$B$6:$B$305=$A20)*('Leave Register'!$E$6:$E$305&lt;=O$5)*('Leave Register'!$F$6:$F$305&gt;=O$5)*('Leave Register'!$J$6:$J$305="Approved")*(ROW('Leave Register'!$B$6:$B$305)-5))))))</f>
        <v/>
      </c>
      <c r="P20" s="83" t="str">
        <f aca="false">IF(OR($A20="",P$5="",P$7&lt;&gt;"W"),"",IF(SUMPRODUCT(MAX(('Leave Register'!$B$6:$B$305=$A20)*('Leave Register'!$E$6:$E$305&lt;=P$5)*('Leave Register'!$F$6:$F$305&gt;=P$5)*('Leave Register'!$J$6:$J$305="Approved")*(ROW('Leave Register'!$B$6:$B$305)-5)))=0,"",INDEX('Leave Register'!$D$6:$D$305,SUMPRODUCT(MAX(('Leave Register'!$B$6:$B$305=$A20)*('Leave Register'!$E$6:$E$305&lt;=P$5)*('Leave Register'!$F$6:$F$305&gt;=P$5)*('Leave Register'!$J$6:$J$305="Approved")*(ROW('Leave Register'!$B$6:$B$305)-5))))))</f>
        <v/>
      </c>
      <c r="Q20" s="83" t="str">
        <f aca="false">IF(OR($A20="",Q$5="",Q$7&lt;&gt;"W"),"",IF(SUMPRODUCT(MAX(('Leave Register'!$B$6:$B$305=$A20)*('Leave Register'!$E$6:$E$305&lt;=Q$5)*('Leave Register'!$F$6:$F$305&gt;=Q$5)*('Leave Register'!$J$6:$J$305="Approved")*(ROW('Leave Register'!$B$6:$B$305)-5)))=0,"",INDEX('Leave Register'!$D$6:$D$305,SUMPRODUCT(MAX(('Leave Register'!$B$6:$B$305=$A20)*('Leave Register'!$E$6:$E$305&lt;=Q$5)*('Leave Register'!$F$6:$F$305&gt;=Q$5)*('Leave Register'!$J$6:$J$305="Approved")*(ROW('Leave Register'!$B$6:$B$305)-5))))))</f>
        <v/>
      </c>
      <c r="R20" s="83" t="str">
        <f aca="false">IF(OR($A20="",R$5="",R$7&lt;&gt;"W"),"",IF(SUMPRODUCT(MAX(('Leave Register'!$B$6:$B$305=$A20)*('Leave Register'!$E$6:$E$305&lt;=R$5)*('Leave Register'!$F$6:$F$305&gt;=R$5)*('Leave Register'!$J$6:$J$305="Approved")*(ROW('Leave Register'!$B$6:$B$305)-5)))=0,"",INDEX('Leave Register'!$D$6:$D$305,SUMPRODUCT(MAX(('Leave Register'!$B$6:$B$305=$A20)*('Leave Register'!$E$6:$E$305&lt;=R$5)*('Leave Register'!$F$6:$F$305&gt;=R$5)*('Leave Register'!$J$6:$J$305="Approved")*(ROW('Leave Register'!$B$6:$B$305)-5))))))</f>
        <v/>
      </c>
      <c r="S20" s="83" t="str">
        <f aca="false">IF(OR($A20="",S$5="",S$7&lt;&gt;"W"),"",IF(SUMPRODUCT(MAX(('Leave Register'!$B$6:$B$305=$A20)*('Leave Register'!$E$6:$E$305&lt;=S$5)*('Leave Register'!$F$6:$F$305&gt;=S$5)*('Leave Register'!$J$6:$J$305="Approved")*(ROW('Leave Register'!$B$6:$B$305)-5)))=0,"",INDEX('Leave Register'!$D$6:$D$305,SUMPRODUCT(MAX(('Leave Register'!$B$6:$B$305=$A20)*('Leave Register'!$E$6:$E$305&lt;=S$5)*('Leave Register'!$F$6:$F$305&gt;=S$5)*('Leave Register'!$J$6:$J$305="Approved")*(ROW('Leave Register'!$B$6:$B$305)-5))))))</f>
        <v/>
      </c>
      <c r="T20" s="83" t="str">
        <f aca="false">IF(OR($A20="",T$5="",T$7&lt;&gt;"W"),"",IF(SUMPRODUCT(MAX(('Leave Register'!$B$6:$B$305=$A20)*('Leave Register'!$E$6:$E$305&lt;=T$5)*('Leave Register'!$F$6:$F$305&gt;=T$5)*('Leave Register'!$J$6:$J$305="Approved")*(ROW('Leave Register'!$B$6:$B$305)-5)))=0,"",INDEX('Leave Register'!$D$6:$D$305,SUMPRODUCT(MAX(('Leave Register'!$B$6:$B$305=$A20)*('Leave Register'!$E$6:$E$305&lt;=T$5)*('Leave Register'!$F$6:$F$305&gt;=T$5)*('Leave Register'!$J$6:$J$305="Approved")*(ROW('Leave Register'!$B$6:$B$305)-5))))))</f>
        <v/>
      </c>
      <c r="U20" s="83" t="str">
        <f aca="false">IF(OR($A20="",U$5="",U$7&lt;&gt;"W"),"",IF(SUMPRODUCT(MAX(('Leave Register'!$B$6:$B$305=$A20)*('Leave Register'!$E$6:$E$305&lt;=U$5)*('Leave Register'!$F$6:$F$305&gt;=U$5)*('Leave Register'!$J$6:$J$305="Approved")*(ROW('Leave Register'!$B$6:$B$305)-5)))=0,"",INDEX('Leave Register'!$D$6:$D$305,SUMPRODUCT(MAX(('Leave Register'!$B$6:$B$305=$A20)*('Leave Register'!$E$6:$E$305&lt;=U$5)*('Leave Register'!$F$6:$F$305&gt;=U$5)*('Leave Register'!$J$6:$J$305="Approved")*(ROW('Leave Register'!$B$6:$B$305)-5))))))</f>
        <v/>
      </c>
      <c r="V20" s="83" t="str">
        <f aca="false">IF(OR($A20="",V$5="",V$7&lt;&gt;"W"),"",IF(SUMPRODUCT(MAX(('Leave Register'!$B$6:$B$305=$A20)*('Leave Register'!$E$6:$E$305&lt;=V$5)*('Leave Register'!$F$6:$F$305&gt;=V$5)*('Leave Register'!$J$6:$J$305="Approved")*(ROW('Leave Register'!$B$6:$B$305)-5)))=0,"",INDEX('Leave Register'!$D$6:$D$305,SUMPRODUCT(MAX(('Leave Register'!$B$6:$B$305=$A20)*('Leave Register'!$E$6:$E$305&lt;=V$5)*('Leave Register'!$F$6:$F$305&gt;=V$5)*('Leave Register'!$J$6:$J$305="Approved")*(ROW('Leave Register'!$B$6:$B$305)-5))))))</f>
        <v/>
      </c>
      <c r="W20" s="83" t="str">
        <f aca="false">IF(OR($A20="",W$5="",W$7&lt;&gt;"W"),"",IF(SUMPRODUCT(MAX(('Leave Register'!$B$6:$B$305=$A20)*('Leave Register'!$E$6:$E$305&lt;=W$5)*('Leave Register'!$F$6:$F$305&gt;=W$5)*('Leave Register'!$J$6:$J$305="Approved")*(ROW('Leave Register'!$B$6:$B$305)-5)))=0,"",INDEX('Leave Register'!$D$6:$D$305,SUMPRODUCT(MAX(('Leave Register'!$B$6:$B$305=$A20)*('Leave Register'!$E$6:$E$305&lt;=W$5)*('Leave Register'!$F$6:$F$305&gt;=W$5)*('Leave Register'!$J$6:$J$305="Approved")*(ROW('Leave Register'!$B$6:$B$305)-5))))))</f>
        <v/>
      </c>
      <c r="X20" s="83" t="str">
        <f aca="false">IF(OR($A20="",X$5="",X$7&lt;&gt;"W"),"",IF(SUMPRODUCT(MAX(('Leave Register'!$B$6:$B$305=$A20)*('Leave Register'!$E$6:$E$305&lt;=X$5)*('Leave Register'!$F$6:$F$305&gt;=X$5)*('Leave Register'!$J$6:$J$305="Approved")*(ROW('Leave Register'!$B$6:$B$305)-5)))=0,"",INDEX('Leave Register'!$D$6:$D$305,SUMPRODUCT(MAX(('Leave Register'!$B$6:$B$305=$A20)*('Leave Register'!$E$6:$E$305&lt;=X$5)*('Leave Register'!$F$6:$F$305&gt;=X$5)*('Leave Register'!$J$6:$J$305="Approved")*(ROW('Leave Register'!$B$6:$B$305)-5))))))</f>
        <v/>
      </c>
      <c r="Y20" s="83" t="str">
        <f aca="false">IF(OR($A20="",Y$5="",Y$7&lt;&gt;"W"),"",IF(SUMPRODUCT(MAX(('Leave Register'!$B$6:$B$305=$A20)*('Leave Register'!$E$6:$E$305&lt;=Y$5)*('Leave Register'!$F$6:$F$305&gt;=Y$5)*('Leave Register'!$J$6:$J$305="Approved")*(ROW('Leave Register'!$B$6:$B$305)-5)))=0,"",INDEX('Leave Register'!$D$6:$D$305,SUMPRODUCT(MAX(('Leave Register'!$B$6:$B$305=$A20)*('Leave Register'!$E$6:$E$305&lt;=Y$5)*('Leave Register'!$F$6:$F$305&gt;=Y$5)*('Leave Register'!$J$6:$J$305="Approved")*(ROW('Leave Register'!$B$6:$B$305)-5))))))</f>
        <v/>
      </c>
      <c r="Z20" s="83" t="str">
        <f aca="false">IF(OR($A20="",Z$5="",Z$7&lt;&gt;"W"),"",IF(SUMPRODUCT(MAX(('Leave Register'!$B$6:$B$305=$A20)*('Leave Register'!$E$6:$E$305&lt;=Z$5)*('Leave Register'!$F$6:$F$305&gt;=Z$5)*('Leave Register'!$J$6:$J$305="Approved")*(ROW('Leave Register'!$B$6:$B$305)-5)))=0,"",INDEX('Leave Register'!$D$6:$D$305,SUMPRODUCT(MAX(('Leave Register'!$B$6:$B$305=$A20)*('Leave Register'!$E$6:$E$305&lt;=Z$5)*('Leave Register'!$F$6:$F$305&gt;=Z$5)*('Leave Register'!$J$6:$J$305="Approved")*(ROW('Leave Register'!$B$6:$B$305)-5))))))</f>
        <v/>
      </c>
      <c r="AA20" s="83" t="str">
        <f aca="false">IF(OR($A20="",AA$5="",AA$7&lt;&gt;"W"),"",IF(SUMPRODUCT(MAX(('Leave Register'!$B$6:$B$305=$A20)*('Leave Register'!$E$6:$E$305&lt;=AA$5)*('Leave Register'!$F$6:$F$305&gt;=AA$5)*('Leave Register'!$J$6:$J$305="Approved")*(ROW('Leave Register'!$B$6:$B$305)-5)))=0,"",INDEX('Leave Register'!$D$6:$D$305,SUMPRODUCT(MAX(('Leave Register'!$B$6:$B$305=$A20)*('Leave Register'!$E$6:$E$305&lt;=AA$5)*('Leave Register'!$F$6:$F$305&gt;=AA$5)*('Leave Register'!$J$6:$J$305="Approved")*(ROW('Leave Register'!$B$6:$B$305)-5))))))</f>
        <v/>
      </c>
      <c r="AB20" s="83" t="str">
        <f aca="false">IF(OR($A20="",AB$5="",AB$7&lt;&gt;"W"),"",IF(SUMPRODUCT(MAX(('Leave Register'!$B$6:$B$305=$A20)*('Leave Register'!$E$6:$E$305&lt;=AB$5)*('Leave Register'!$F$6:$F$305&gt;=AB$5)*('Leave Register'!$J$6:$J$305="Approved")*(ROW('Leave Register'!$B$6:$B$305)-5)))=0,"",INDEX('Leave Register'!$D$6:$D$305,SUMPRODUCT(MAX(('Leave Register'!$B$6:$B$305=$A20)*('Leave Register'!$E$6:$E$305&lt;=AB$5)*('Leave Register'!$F$6:$F$305&gt;=AB$5)*('Leave Register'!$J$6:$J$305="Approved")*(ROW('Leave Register'!$B$6:$B$305)-5))))))</f>
        <v/>
      </c>
      <c r="AC20" s="83" t="str">
        <f aca="false">IF(OR($A20="",AC$5="",AC$7&lt;&gt;"W"),"",IF(SUMPRODUCT(MAX(('Leave Register'!$B$6:$B$305=$A20)*('Leave Register'!$E$6:$E$305&lt;=AC$5)*('Leave Register'!$F$6:$F$305&gt;=AC$5)*('Leave Register'!$J$6:$J$305="Approved")*(ROW('Leave Register'!$B$6:$B$305)-5)))=0,"",INDEX('Leave Register'!$D$6:$D$305,SUMPRODUCT(MAX(('Leave Register'!$B$6:$B$305=$A20)*('Leave Register'!$E$6:$E$305&lt;=AC$5)*('Leave Register'!$F$6:$F$305&gt;=AC$5)*('Leave Register'!$J$6:$J$305="Approved")*(ROW('Leave Register'!$B$6:$B$305)-5))))))</f>
        <v/>
      </c>
      <c r="AD20" s="83" t="str">
        <f aca="false">IF(OR($A20="",AD$5="",AD$7&lt;&gt;"W"),"",IF(SUMPRODUCT(MAX(('Leave Register'!$B$6:$B$305=$A20)*('Leave Register'!$E$6:$E$305&lt;=AD$5)*('Leave Register'!$F$6:$F$305&gt;=AD$5)*('Leave Register'!$J$6:$J$305="Approved")*(ROW('Leave Register'!$B$6:$B$305)-5)))=0,"",INDEX('Leave Register'!$D$6:$D$305,SUMPRODUCT(MAX(('Leave Register'!$B$6:$B$305=$A20)*('Leave Register'!$E$6:$E$305&lt;=AD$5)*('Leave Register'!$F$6:$F$305&gt;=AD$5)*('Leave Register'!$J$6:$J$305="Approved")*(ROW('Leave Register'!$B$6:$B$305)-5))))))</f>
        <v/>
      </c>
      <c r="AE20" s="83" t="str">
        <f aca="false">IF(OR($A20="",AE$5="",AE$7&lt;&gt;"W"),"",IF(SUMPRODUCT(MAX(('Leave Register'!$B$6:$B$305=$A20)*('Leave Register'!$E$6:$E$305&lt;=AE$5)*('Leave Register'!$F$6:$F$305&gt;=AE$5)*('Leave Register'!$J$6:$J$305="Approved")*(ROW('Leave Register'!$B$6:$B$305)-5)))=0,"",INDEX('Leave Register'!$D$6:$D$305,SUMPRODUCT(MAX(('Leave Register'!$B$6:$B$305=$A20)*('Leave Register'!$E$6:$E$305&lt;=AE$5)*('Leave Register'!$F$6:$F$305&gt;=AE$5)*('Leave Register'!$J$6:$J$305="Approved")*(ROW('Leave Register'!$B$6:$B$305)-5))))))</f>
        <v/>
      </c>
      <c r="AF20" s="83" t="str">
        <f aca="false">IF(OR($A20="",AF$5="",AF$7&lt;&gt;"W"),"",IF(SUMPRODUCT(MAX(('Leave Register'!$B$6:$B$305=$A20)*('Leave Register'!$E$6:$E$305&lt;=AF$5)*('Leave Register'!$F$6:$F$305&gt;=AF$5)*('Leave Register'!$J$6:$J$305="Approved")*(ROW('Leave Register'!$B$6:$B$305)-5)))=0,"",INDEX('Leave Register'!$D$6:$D$305,SUMPRODUCT(MAX(('Leave Register'!$B$6:$B$305=$A20)*('Leave Register'!$E$6:$E$305&lt;=AF$5)*('Leave Register'!$F$6:$F$305&gt;=AF$5)*('Leave Register'!$J$6:$J$305="Approved")*(ROW('Leave Register'!$B$6:$B$305)-5))))))</f>
        <v/>
      </c>
      <c r="AG20" s="83" t="str">
        <f aca="false">IF(OR($A20="",AG$5="",AG$7&lt;&gt;"W"),"",IF(SUMPRODUCT(MAX(('Leave Register'!$B$6:$B$305=$A20)*('Leave Register'!$E$6:$E$305&lt;=AG$5)*('Leave Register'!$F$6:$F$305&gt;=AG$5)*('Leave Register'!$J$6:$J$305="Approved")*(ROW('Leave Register'!$B$6:$B$305)-5)))=0,"",INDEX('Leave Register'!$D$6:$D$305,SUMPRODUCT(MAX(('Leave Register'!$B$6:$B$305=$A20)*('Leave Register'!$E$6:$E$305&lt;=AG$5)*('Leave Register'!$F$6:$F$305&gt;=AG$5)*('Leave Register'!$J$6:$J$305="Approved")*(ROW('Leave Register'!$B$6:$B$305)-5))))))</f>
        <v/>
      </c>
      <c r="AH20" s="84" t="str">
        <f aca="false">IF(A20="","",COUNTIF(C20:AG20,"?*"))</f>
        <v/>
      </c>
    </row>
    <row r="21" customFormat="false" ht="15" hidden="false" customHeight="false" outlineLevel="0" collapsed="false">
      <c r="A21" s="81" t="str">
        <f aca="false">IF(Employees!$B$18="","",Employees!$B$18)</f>
        <v/>
      </c>
      <c r="B21" s="82" t="str">
        <f aca="false">IF(A21="","",Employees!$C$18)</f>
        <v/>
      </c>
      <c r="C21" s="83" t="str">
        <f aca="false">IF(OR($A21="",C$5="",C$7&lt;&gt;"W"),"",IF(SUMPRODUCT(MAX(('Leave Register'!$B$6:$B$305=$A21)*('Leave Register'!$E$6:$E$305&lt;=C$5)*('Leave Register'!$F$6:$F$305&gt;=C$5)*('Leave Register'!$J$6:$J$305="Approved")*(ROW('Leave Register'!$B$6:$B$305)-5)))=0,"",INDEX('Leave Register'!$D$6:$D$305,SUMPRODUCT(MAX(('Leave Register'!$B$6:$B$305=$A21)*('Leave Register'!$E$6:$E$305&lt;=C$5)*('Leave Register'!$F$6:$F$305&gt;=C$5)*('Leave Register'!$J$6:$J$305="Approved")*(ROW('Leave Register'!$B$6:$B$305)-5))))))</f>
        <v/>
      </c>
      <c r="D21" s="83" t="str">
        <f aca="false">IF(OR($A21="",D$5="",D$7&lt;&gt;"W"),"",IF(SUMPRODUCT(MAX(('Leave Register'!$B$6:$B$305=$A21)*('Leave Register'!$E$6:$E$305&lt;=D$5)*('Leave Register'!$F$6:$F$305&gt;=D$5)*('Leave Register'!$J$6:$J$305="Approved")*(ROW('Leave Register'!$B$6:$B$305)-5)))=0,"",INDEX('Leave Register'!$D$6:$D$305,SUMPRODUCT(MAX(('Leave Register'!$B$6:$B$305=$A21)*('Leave Register'!$E$6:$E$305&lt;=D$5)*('Leave Register'!$F$6:$F$305&gt;=D$5)*('Leave Register'!$J$6:$J$305="Approved")*(ROW('Leave Register'!$B$6:$B$305)-5))))))</f>
        <v/>
      </c>
      <c r="E21" s="83" t="str">
        <f aca="false">IF(OR($A21="",E$5="",E$7&lt;&gt;"W"),"",IF(SUMPRODUCT(MAX(('Leave Register'!$B$6:$B$305=$A21)*('Leave Register'!$E$6:$E$305&lt;=E$5)*('Leave Register'!$F$6:$F$305&gt;=E$5)*('Leave Register'!$J$6:$J$305="Approved")*(ROW('Leave Register'!$B$6:$B$305)-5)))=0,"",INDEX('Leave Register'!$D$6:$D$305,SUMPRODUCT(MAX(('Leave Register'!$B$6:$B$305=$A21)*('Leave Register'!$E$6:$E$305&lt;=E$5)*('Leave Register'!$F$6:$F$305&gt;=E$5)*('Leave Register'!$J$6:$J$305="Approved")*(ROW('Leave Register'!$B$6:$B$305)-5))))))</f>
        <v/>
      </c>
      <c r="F21" s="83" t="str">
        <f aca="false">IF(OR($A21="",F$5="",F$7&lt;&gt;"W"),"",IF(SUMPRODUCT(MAX(('Leave Register'!$B$6:$B$305=$A21)*('Leave Register'!$E$6:$E$305&lt;=F$5)*('Leave Register'!$F$6:$F$305&gt;=F$5)*('Leave Register'!$J$6:$J$305="Approved")*(ROW('Leave Register'!$B$6:$B$305)-5)))=0,"",INDEX('Leave Register'!$D$6:$D$305,SUMPRODUCT(MAX(('Leave Register'!$B$6:$B$305=$A21)*('Leave Register'!$E$6:$E$305&lt;=F$5)*('Leave Register'!$F$6:$F$305&gt;=F$5)*('Leave Register'!$J$6:$J$305="Approved")*(ROW('Leave Register'!$B$6:$B$305)-5))))))</f>
        <v/>
      </c>
      <c r="G21" s="83" t="str">
        <f aca="false">IF(OR($A21="",G$5="",G$7&lt;&gt;"W"),"",IF(SUMPRODUCT(MAX(('Leave Register'!$B$6:$B$305=$A21)*('Leave Register'!$E$6:$E$305&lt;=G$5)*('Leave Register'!$F$6:$F$305&gt;=G$5)*('Leave Register'!$J$6:$J$305="Approved")*(ROW('Leave Register'!$B$6:$B$305)-5)))=0,"",INDEX('Leave Register'!$D$6:$D$305,SUMPRODUCT(MAX(('Leave Register'!$B$6:$B$305=$A21)*('Leave Register'!$E$6:$E$305&lt;=G$5)*('Leave Register'!$F$6:$F$305&gt;=G$5)*('Leave Register'!$J$6:$J$305="Approved")*(ROW('Leave Register'!$B$6:$B$305)-5))))))</f>
        <v/>
      </c>
      <c r="H21" s="83" t="str">
        <f aca="false">IF(OR($A21="",H$5="",H$7&lt;&gt;"W"),"",IF(SUMPRODUCT(MAX(('Leave Register'!$B$6:$B$305=$A21)*('Leave Register'!$E$6:$E$305&lt;=H$5)*('Leave Register'!$F$6:$F$305&gt;=H$5)*('Leave Register'!$J$6:$J$305="Approved")*(ROW('Leave Register'!$B$6:$B$305)-5)))=0,"",INDEX('Leave Register'!$D$6:$D$305,SUMPRODUCT(MAX(('Leave Register'!$B$6:$B$305=$A21)*('Leave Register'!$E$6:$E$305&lt;=H$5)*('Leave Register'!$F$6:$F$305&gt;=H$5)*('Leave Register'!$J$6:$J$305="Approved")*(ROW('Leave Register'!$B$6:$B$305)-5))))))</f>
        <v/>
      </c>
      <c r="I21" s="83" t="str">
        <f aca="false">IF(OR($A21="",I$5="",I$7&lt;&gt;"W"),"",IF(SUMPRODUCT(MAX(('Leave Register'!$B$6:$B$305=$A21)*('Leave Register'!$E$6:$E$305&lt;=I$5)*('Leave Register'!$F$6:$F$305&gt;=I$5)*('Leave Register'!$J$6:$J$305="Approved")*(ROW('Leave Register'!$B$6:$B$305)-5)))=0,"",INDEX('Leave Register'!$D$6:$D$305,SUMPRODUCT(MAX(('Leave Register'!$B$6:$B$305=$A21)*('Leave Register'!$E$6:$E$305&lt;=I$5)*('Leave Register'!$F$6:$F$305&gt;=I$5)*('Leave Register'!$J$6:$J$305="Approved")*(ROW('Leave Register'!$B$6:$B$305)-5))))))</f>
        <v/>
      </c>
      <c r="J21" s="83" t="str">
        <f aca="false">IF(OR($A21="",J$5="",J$7&lt;&gt;"W"),"",IF(SUMPRODUCT(MAX(('Leave Register'!$B$6:$B$305=$A21)*('Leave Register'!$E$6:$E$305&lt;=J$5)*('Leave Register'!$F$6:$F$305&gt;=J$5)*('Leave Register'!$J$6:$J$305="Approved")*(ROW('Leave Register'!$B$6:$B$305)-5)))=0,"",INDEX('Leave Register'!$D$6:$D$305,SUMPRODUCT(MAX(('Leave Register'!$B$6:$B$305=$A21)*('Leave Register'!$E$6:$E$305&lt;=J$5)*('Leave Register'!$F$6:$F$305&gt;=J$5)*('Leave Register'!$J$6:$J$305="Approved")*(ROW('Leave Register'!$B$6:$B$305)-5))))))</f>
        <v/>
      </c>
      <c r="K21" s="83" t="str">
        <f aca="false">IF(OR($A21="",K$5="",K$7&lt;&gt;"W"),"",IF(SUMPRODUCT(MAX(('Leave Register'!$B$6:$B$305=$A21)*('Leave Register'!$E$6:$E$305&lt;=K$5)*('Leave Register'!$F$6:$F$305&gt;=K$5)*('Leave Register'!$J$6:$J$305="Approved")*(ROW('Leave Register'!$B$6:$B$305)-5)))=0,"",INDEX('Leave Register'!$D$6:$D$305,SUMPRODUCT(MAX(('Leave Register'!$B$6:$B$305=$A21)*('Leave Register'!$E$6:$E$305&lt;=K$5)*('Leave Register'!$F$6:$F$305&gt;=K$5)*('Leave Register'!$J$6:$J$305="Approved")*(ROW('Leave Register'!$B$6:$B$305)-5))))))</f>
        <v/>
      </c>
      <c r="L21" s="83" t="str">
        <f aca="false">IF(OR($A21="",L$5="",L$7&lt;&gt;"W"),"",IF(SUMPRODUCT(MAX(('Leave Register'!$B$6:$B$305=$A21)*('Leave Register'!$E$6:$E$305&lt;=L$5)*('Leave Register'!$F$6:$F$305&gt;=L$5)*('Leave Register'!$J$6:$J$305="Approved")*(ROW('Leave Register'!$B$6:$B$305)-5)))=0,"",INDEX('Leave Register'!$D$6:$D$305,SUMPRODUCT(MAX(('Leave Register'!$B$6:$B$305=$A21)*('Leave Register'!$E$6:$E$305&lt;=L$5)*('Leave Register'!$F$6:$F$305&gt;=L$5)*('Leave Register'!$J$6:$J$305="Approved")*(ROW('Leave Register'!$B$6:$B$305)-5))))))</f>
        <v/>
      </c>
      <c r="M21" s="83" t="str">
        <f aca="false">IF(OR($A21="",M$5="",M$7&lt;&gt;"W"),"",IF(SUMPRODUCT(MAX(('Leave Register'!$B$6:$B$305=$A21)*('Leave Register'!$E$6:$E$305&lt;=M$5)*('Leave Register'!$F$6:$F$305&gt;=M$5)*('Leave Register'!$J$6:$J$305="Approved")*(ROW('Leave Register'!$B$6:$B$305)-5)))=0,"",INDEX('Leave Register'!$D$6:$D$305,SUMPRODUCT(MAX(('Leave Register'!$B$6:$B$305=$A21)*('Leave Register'!$E$6:$E$305&lt;=M$5)*('Leave Register'!$F$6:$F$305&gt;=M$5)*('Leave Register'!$J$6:$J$305="Approved")*(ROW('Leave Register'!$B$6:$B$305)-5))))))</f>
        <v/>
      </c>
      <c r="N21" s="83" t="str">
        <f aca="false">IF(OR($A21="",N$5="",N$7&lt;&gt;"W"),"",IF(SUMPRODUCT(MAX(('Leave Register'!$B$6:$B$305=$A21)*('Leave Register'!$E$6:$E$305&lt;=N$5)*('Leave Register'!$F$6:$F$305&gt;=N$5)*('Leave Register'!$J$6:$J$305="Approved")*(ROW('Leave Register'!$B$6:$B$305)-5)))=0,"",INDEX('Leave Register'!$D$6:$D$305,SUMPRODUCT(MAX(('Leave Register'!$B$6:$B$305=$A21)*('Leave Register'!$E$6:$E$305&lt;=N$5)*('Leave Register'!$F$6:$F$305&gt;=N$5)*('Leave Register'!$J$6:$J$305="Approved")*(ROW('Leave Register'!$B$6:$B$305)-5))))))</f>
        <v/>
      </c>
      <c r="O21" s="83" t="str">
        <f aca="false">IF(OR($A21="",O$5="",O$7&lt;&gt;"W"),"",IF(SUMPRODUCT(MAX(('Leave Register'!$B$6:$B$305=$A21)*('Leave Register'!$E$6:$E$305&lt;=O$5)*('Leave Register'!$F$6:$F$305&gt;=O$5)*('Leave Register'!$J$6:$J$305="Approved")*(ROW('Leave Register'!$B$6:$B$305)-5)))=0,"",INDEX('Leave Register'!$D$6:$D$305,SUMPRODUCT(MAX(('Leave Register'!$B$6:$B$305=$A21)*('Leave Register'!$E$6:$E$305&lt;=O$5)*('Leave Register'!$F$6:$F$305&gt;=O$5)*('Leave Register'!$J$6:$J$305="Approved")*(ROW('Leave Register'!$B$6:$B$305)-5))))))</f>
        <v/>
      </c>
      <c r="P21" s="83" t="str">
        <f aca="false">IF(OR($A21="",P$5="",P$7&lt;&gt;"W"),"",IF(SUMPRODUCT(MAX(('Leave Register'!$B$6:$B$305=$A21)*('Leave Register'!$E$6:$E$305&lt;=P$5)*('Leave Register'!$F$6:$F$305&gt;=P$5)*('Leave Register'!$J$6:$J$305="Approved")*(ROW('Leave Register'!$B$6:$B$305)-5)))=0,"",INDEX('Leave Register'!$D$6:$D$305,SUMPRODUCT(MAX(('Leave Register'!$B$6:$B$305=$A21)*('Leave Register'!$E$6:$E$305&lt;=P$5)*('Leave Register'!$F$6:$F$305&gt;=P$5)*('Leave Register'!$J$6:$J$305="Approved")*(ROW('Leave Register'!$B$6:$B$305)-5))))))</f>
        <v/>
      </c>
      <c r="Q21" s="83" t="str">
        <f aca="false">IF(OR($A21="",Q$5="",Q$7&lt;&gt;"W"),"",IF(SUMPRODUCT(MAX(('Leave Register'!$B$6:$B$305=$A21)*('Leave Register'!$E$6:$E$305&lt;=Q$5)*('Leave Register'!$F$6:$F$305&gt;=Q$5)*('Leave Register'!$J$6:$J$305="Approved")*(ROW('Leave Register'!$B$6:$B$305)-5)))=0,"",INDEX('Leave Register'!$D$6:$D$305,SUMPRODUCT(MAX(('Leave Register'!$B$6:$B$305=$A21)*('Leave Register'!$E$6:$E$305&lt;=Q$5)*('Leave Register'!$F$6:$F$305&gt;=Q$5)*('Leave Register'!$J$6:$J$305="Approved")*(ROW('Leave Register'!$B$6:$B$305)-5))))))</f>
        <v/>
      </c>
      <c r="R21" s="83" t="str">
        <f aca="false">IF(OR($A21="",R$5="",R$7&lt;&gt;"W"),"",IF(SUMPRODUCT(MAX(('Leave Register'!$B$6:$B$305=$A21)*('Leave Register'!$E$6:$E$305&lt;=R$5)*('Leave Register'!$F$6:$F$305&gt;=R$5)*('Leave Register'!$J$6:$J$305="Approved")*(ROW('Leave Register'!$B$6:$B$305)-5)))=0,"",INDEX('Leave Register'!$D$6:$D$305,SUMPRODUCT(MAX(('Leave Register'!$B$6:$B$305=$A21)*('Leave Register'!$E$6:$E$305&lt;=R$5)*('Leave Register'!$F$6:$F$305&gt;=R$5)*('Leave Register'!$J$6:$J$305="Approved")*(ROW('Leave Register'!$B$6:$B$305)-5))))))</f>
        <v/>
      </c>
      <c r="S21" s="83" t="str">
        <f aca="false">IF(OR($A21="",S$5="",S$7&lt;&gt;"W"),"",IF(SUMPRODUCT(MAX(('Leave Register'!$B$6:$B$305=$A21)*('Leave Register'!$E$6:$E$305&lt;=S$5)*('Leave Register'!$F$6:$F$305&gt;=S$5)*('Leave Register'!$J$6:$J$305="Approved")*(ROW('Leave Register'!$B$6:$B$305)-5)))=0,"",INDEX('Leave Register'!$D$6:$D$305,SUMPRODUCT(MAX(('Leave Register'!$B$6:$B$305=$A21)*('Leave Register'!$E$6:$E$305&lt;=S$5)*('Leave Register'!$F$6:$F$305&gt;=S$5)*('Leave Register'!$J$6:$J$305="Approved")*(ROW('Leave Register'!$B$6:$B$305)-5))))))</f>
        <v/>
      </c>
      <c r="T21" s="83" t="str">
        <f aca="false">IF(OR($A21="",T$5="",T$7&lt;&gt;"W"),"",IF(SUMPRODUCT(MAX(('Leave Register'!$B$6:$B$305=$A21)*('Leave Register'!$E$6:$E$305&lt;=T$5)*('Leave Register'!$F$6:$F$305&gt;=T$5)*('Leave Register'!$J$6:$J$305="Approved")*(ROW('Leave Register'!$B$6:$B$305)-5)))=0,"",INDEX('Leave Register'!$D$6:$D$305,SUMPRODUCT(MAX(('Leave Register'!$B$6:$B$305=$A21)*('Leave Register'!$E$6:$E$305&lt;=T$5)*('Leave Register'!$F$6:$F$305&gt;=T$5)*('Leave Register'!$J$6:$J$305="Approved")*(ROW('Leave Register'!$B$6:$B$305)-5))))))</f>
        <v/>
      </c>
      <c r="U21" s="83" t="str">
        <f aca="false">IF(OR($A21="",U$5="",U$7&lt;&gt;"W"),"",IF(SUMPRODUCT(MAX(('Leave Register'!$B$6:$B$305=$A21)*('Leave Register'!$E$6:$E$305&lt;=U$5)*('Leave Register'!$F$6:$F$305&gt;=U$5)*('Leave Register'!$J$6:$J$305="Approved")*(ROW('Leave Register'!$B$6:$B$305)-5)))=0,"",INDEX('Leave Register'!$D$6:$D$305,SUMPRODUCT(MAX(('Leave Register'!$B$6:$B$305=$A21)*('Leave Register'!$E$6:$E$305&lt;=U$5)*('Leave Register'!$F$6:$F$305&gt;=U$5)*('Leave Register'!$J$6:$J$305="Approved")*(ROW('Leave Register'!$B$6:$B$305)-5))))))</f>
        <v/>
      </c>
      <c r="V21" s="83" t="str">
        <f aca="false">IF(OR($A21="",V$5="",V$7&lt;&gt;"W"),"",IF(SUMPRODUCT(MAX(('Leave Register'!$B$6:$B$305=$A21)*('Leave Register'!$E$6:$E$305&lt;=V$5)*('Leave Register'!$F$6:$F$305&gt;=V$5)*('Leave Register'!$J$6:$J$305="Approved")*(ROW('Leave Register'!$B$6:$B$305)-5)))=0,"",INDEX('Leave Register'!$D$6:$D$305,SUMPRODUCT(MAX(('Leave Register'!$B$6:$B$305=$A21)*('Leave Register'!$E$6:$E$305&lt;=V$5)*('Leave Register'!$F$6:$F$305&gt;=V$5)*('Leave Register'!$J$6:$J$305="Approved")*(ROW('Leave Register'!$B$6:$B$305)-5))))))</f>
        <v/>
      </c>
      <c r="W21" s="83" t="str">
        <f aca="false">IF(OR($A21="",W$5="",W$7&lt;&gt;"W"),"",IF(SUMPRODUCT(MAX(('Leave Register'!$B$6:$B$305=$A21)*('Leave Register'!$E$6:$E$305&lt;=W$5)*('Leave Register'!$F$6:$F$305&gt;=W$5)*('Leave Register'!$J$6:$J$305="Approved")*(ROW('Leave Register'!$B$6:$B$305)-5)))=0,"",INDEX('Leave Register'!$D$6:$D$305,SUMPRODUCT(MAX(('Leave Register'!$B$6:$B$305=$A21)*('Leave Register'!$E$6:$E$305&lt;=W$5)*('Leave Register'!$F$6:$F$305&gt;=W$5)*('Leave Register'!$J$6:$J$305="Approved")*(ROW('Leave Register'!$B$6:$B$305)-5))))))</f>
        <v/>
      </c>
      <c r="X21" s="83" t="str">
        <f aca="false">IF(OR($A21="",X$5="",X$7&lt;&gt;"W"),"",IF(SUMPRODUCT(MAX(('Leave Register'!$B$6:$B$305=$A21)*('Leave Register'!$E$6:$E$305&lt;=X$5)*('Leave Register'!$F$6:$F$305&gt;=X$5)*('Leave Register'!$J$6:$J$305="Approved")*(ROW('Leave Register'!$B$6:$B$305)-5)))=0,"",INDEX('Leave Register'!$D$6:$D$305,SUMPRODUCT(MAX(('Leave Register'!$B$6:$B$305=$A21)*('Leave Register'!$E$6:$E$305&lt;=X$5)*('Leave Register'!$F$6:$F$305&gt;=X$5)*('Leave Register'!$J$6:$J$305="Approved")*(ROW('Leave Register'!$B$6:$B$305)-5))))))</f>
        <v/>
      </c>
      <c r="Y21" s="83" t="str">
        <f aca="false">IF(OR($A21="",Y$5="",Y$7&lt;&gt;"W"),"",IF(SUMPRODUCT(MAX(('Leave Register'!$B$6:$B$305=$A21)*('Leave Register'!$E$6:$E$305&lt;=Y$5)*('Leave Register'!$F$6:$F$305&gt;=Y$5)*('Leave Register'!$J$6:$J$305="Approved")*(ROW('Leave Register'!$B$6:$B$305)-5)))=0,"",INDEX('Leave Register'!$D$6:$D$305,SUMPRODUCT(MAX(('Leave Register'!$B$6:$B$305=$A21)*('Leave Register'!$E$6:$E$305&lt;=Y$5)*('Leave Register'!$F$6:$F$305&gt;=Y$5)*('Leave Register'!$J$6:$J$305="Approved")*(ROW('Leave Register'!$B$6:$B$305)-5))))))</f>
        <v/>
      </c>
      <c r="Z21" s="83" t="str">
        <f aca="false">IF(OR($A21="",Z$5="",Z$7&lt;&gt;"W"),"",IF(SUMPRODUCT(MAX(('Leave Register'!$B$6:$B$305=$A21)*('Leave Register'!$E$6:$E$305&lt;=Z$5)*('Leave Register'!$F$6:$F$305&gt;=Z$5)*('Leave Register'!$J$6:$J$305="Approved")*(ROW('Leave Register'!$B$6:$B$305)-5)))=0,"",INDEX('Leave Register'!$D$6:$D$305,SUMPRODUCT(MAX(('Leave Register'!$B$6:$B$305=$A21)*('Leave Register'!$E$6:$E$305&lt;=Z$5)*('Leave Register'!$F$6:$F$305&gt;=Z$5)*('Leave Register'!$J$6:$J$305="Approved")*(ROW('Leave Register'!$B$6:$B$305)-5))))))</f>
        <v/>
      </c>
      <c r="AA21" s="83" t="str">
        <f aca="false">IF(OR($A21="",AA$5="",AA$7&lt;&gt;"W"),"",IF(SUMPRODUCT(MAX(('Leave Register'!$B$6:$B$305=$A21)*('Leave Register'!$E$6:$E$305&lt;=AA$5)*('Leave Register'!$F$6:$F$305&gt;=AA$5)*('Leave Register'!$J$6:$J$305="Approved")*(ROW('Leave Register'!$B$6:$B$305)-5)))=0,"",INDEX('Leave Register'!$D$6:$D$305,SUMPRODUCT(MAX(('Leave Register'!$B$6:$B$305=$A21)*('Leave Register'!$E$6:$E$305&lt;=AA$5)*('Leave Register'!$F$6:$F$305&gt;=AA$5)*('Leave Register'!$J$6:$J$305="Approved")*(ROW('Leave Register'!$B$6:$B$305)-5))))))</f>
        <v/>
      </c>
      <c r="AB21" s="83" t="str">
        <f aca="false">IF(OR($A21="",AB$5="",AB$7&lt;&gt;"W"),"",IF(SUMPRODUCT(MAX(('Leave Register'!$B$6:$B$305=$A21)*('Leave Register'!$E$6:$E$305&lt;=AB$5)*('Leave Register'!$F$6:$F$305&gt;=AB$5)*('Leave Register'!$J$6:$J$305="Approved")*(ROW('Leave Register'!$B$6:$B$305)-5)))=0,"",INDEX('Leave Register'!$D$6:$D$305,SUMPRODUCT(MAX(('Leave Register'!$B$6:$B$305=$A21)*('Leave Register'!$E$6:$E$305&lt;=AB$5)*('Leave Register'!$F$6:$F$305&gt;=AB$5)*('Leave Register'!$J$6:$J$305="Approved")*(ROW('Leave Register'!$B$6:$B$305)-5))))))</f>
        <v/>
      </c>
      <c r="AC21" s="83" t="str">
        <f aca="false">IF(OR($A21="",AC$5="",AC$7&lt;&gt;"W"),"",IF(SUMPRODUCT(MAX(('Leave Register'!$B$6:$B$305=$A21)*('Leave Register'!$E$6:$E$305&lt;=AC$5)*('Leave Register'!$F$6:$F$305&gt;=AC$5)*('Leave Register'!$J$6:$J$305="Approved")*(ROW('Leave Register'!$B$6:$B$305)-5)))=0,"",INDEX('Leave Register'!$D$6:$D$305,SUMPRODUCT(MAX(('Leave Register'!$B$6:$B$305=$A21)*('Leave Register'!$E$6:$E$305&lt;=AC$5)*('Leave Register'!$F$6:$F$305&gt;=AC$5)*('Leave Register'!$J$6:$J$305="Approved")*(ROW('Leave Register'!$B$6:$B$305)-5))))))</f>
        <v/>
      </c>
      <c r="AD21" s="83" t="str">
        <f aca="false">IF(OR($A21="",AD$5="",AD$7&lt;&gt;"W"),"",IF(SUMPRODUCT(MAX(('Leave Register'!$B$6:$B$305=$A21)*('Leave Register'!$E$6:$E$305&lt;=AD$5)*('Leave Register'!$F$6:$F$305&gt;=AD$5)*('Leave Register'!$J$6:$J$305="Approved")*(ROW('Leave Register'!$B$6:$B$305)-5)))=0,"",INDEX('Leave Register'!$D$6:$D$305,SUMPRODUCT(MAX(('Leave Register'!$B$6:$B$305=$A21)*('Leave Register'!$E$6:$E$305&lt;=AD$5)*('Leave Register'!$F$6:$F$305&gt;=AD$5)*('Leave Register'!$J$6:$J$305="Approved")*(ROW('Leave Register'!$B$6:$B$305)-5))))))</f>
        <v/>
      </c>
      <c r="AE21" s="83" t="str">
        <f aca="false">IF(OR($A21="",AE$5="",AE$7&lt;&gt;"W"),"",IF(SUMPRODUCT(MAX(('Leave Register'!$B$6:$B$305=$A21)*('Leave Register'!$E$6:$E$305&lt;=AE$5)*('Leave Register'!$F$6:$F$305&gt;=AE$5)*('Leave Register'!$J$6:$J$305="Approved")*(ROW('Leave Register'!$B$6:$B$305)-5)))=0,"",INDEX('Leave Register'!$D$6:$D$305,SUMPRODUCT(MAX(('Leave Register'!$B$6:$B$305=$A21)*('Leave Register'!$E$6:$E$305&lt;=AE$5)*('Leave Register'!$F$6:$F$305&gt;=AE$5)*('Leave Register'!$J$6:$J$305="Approved")*(ROW('Leave Register'!$B$6:$B$305)-5))))))</f>
        <v/>
      </c>
      <c r="AF21" s="83" t="str">
        <f aca="false">IF(OR($A21="",AF$5="",AF$7&lt;&gt;"W"),"",IF(SUMPRODUCT(MAX(('Leave Register'!$B$6:$B$305=$A21)*('Leave Register'!$E$6:$E$305&lt;=AF$5)*('Leave Register'!$F$6:$F$305&gt;=AF$5)*('Leave Register'!$J$6:$J$305="Approved")*(ROW('Leave Register'!$B$6:$B$305)-5)))=0,"",INDEX('Leave Register'!$D$6:$D$305,SUMPRODUCT(MAX(('Leave Register'!$B$6:$B$305=$A21)*('Leave Register'!$E$6:$E$305&lt;=AF$5)*('Leave Register'!$F$6:$F$305&gt;=AF$5)*('Leave Register'!$J$6:$J$305="Approved")*(ROW('Leave Register'!$B$6:$B$305)-5))))))</f>
        <v/>
      </c>
      <c r="AG21" s="83" t="str">
        <f aca="false">IF(OR($A21="",AG$5="",AG$7&lt;&gt;"W"),"",IF(SUMPRODUCT(MAX(('Leave Register'!$B$6:$B$305=$A21)*('Leave Register'!$E$6:$E$305&lt;=AG$5)*('Leave Register'!$F$6:$F$305&gt;=AG$5)*('Leave Register'!$J$6:$J$305="Approved")*(ROW('Leave Register'!$B$6:$B$305)-5)))=0,"",INDEX('Leave Register'!$D$6:$D$305,SUMPRODUCT(MAX(('Leave Register'!$B$6:$B$305=$A21)*('Leave Register'!$E$6:$E$305&lt;=AG$5)*('Leave Register'!$F$6:$F$305&gt;=AG$5)*('Leave Register'!$J$6:$J$305="Approved")*(ROW('Leave Register'!$B$6:$B$305)-5))))))</f>
        <v/>
      </c>
      <c r="AH21" s="84" t="str">
        <f aca="false">IF(A21="","",COUNTIF(C21:AG21,"?*"))</f>
        <v/>
      </c>
    </row>
    <row r="22" customFormat="false" ht="15" hidden="false" customHeight="false" outlineLevel="0" collapsed="false">
      <c r="A22" s="81" t="str">
        <f aca="false">IF(Employees!$B$19="","",Employees!$B$19)</f>
        <v/>
      </c>
      <c r="B22" s="82" t="str">
        <f aca="false">IF(A22="","",Employees!$C$19)</f>
        <v/>
      </c>
      <c r="C22" s="83" t="str">
        <f aca="false">IF(OR($A22="",C$5="",C$7&lt;&gt;"W"),"",IF(SUMPRODUCT(MAX(('Leave Register'!$B$6:$B$305=$A22)*('Leave Register'!$E$6:$E$305&lt;=C$5)*('Leave Register'!$F$6:$F$305&gt;=C$5)*('Leave Register'!$J$6:$J$305="Approved")*(ROW('Leave Register'!$B$6:$B$305)-5)))=0,"",INDEX('Leave Register'!$D$6:$D$305,SUMPRODUCT(MAX(('Leave Register'!$B$6:$B$305=$A22)*('Leave Register'!$E$6:$E$305&lt;=C$5)*('Leave Register'!$F$6:$F$305&gt;=C$5)*('Leave Register'!$J$6:$J$305="Approved")*(ROW('Leave Register'!$B$6:$B$305)-5))))))</f>
        <v/>
      </c>
      <c r="D22" s="83" t="str">
        <f aca="false">IF(OR($A22="",D$5="",D$7&lt;&gt;"W"),"",IF(SUMPRODUCT(MAX(('Leave Register'!$B$6:$B$305=$A22)*('Leave Register'!$E$6:$E$305&lt;=D$5)*('Leave Register'!$F$6:$F$305&gt;=D$5)*('Leave Register'!$J$6:$J$305="Approved")*(ROW('Leave Register'!$B$6:$B$305)-5)))=0,"",INDEX('Leave Register'!$D$6:$D$305,SUMPRODUCT(MAX(('Leave Register'!$B$6:$B$305=$A22)*('Leave Register'!$E$6:$E$305&lt;=D$5)*('Leave Register'!$F$6:$F$305&gt;=D$5)*('Leave Register'!$J$6:$J$305="Approved")*(ROW('Leave Register'!$B$6:$B$305)-5))))))</f>
        <v/>
      </c>
      <c r="E22" s="83" t="str">
        <f aca="false">IF(OR($A22="",E$5="",E$7&lt;&gt;"W"),"",IF(SUMPRODUCT(MAX(('Leave Register'!$B$6:$B$305=$A22)*('Leave Register'!$E$6:$E$305&lt;=E$5)*('Leave Register'!$F$6:$F$305&gt;=E$5)*('Leave Register'!$J$6:$J$305="Approved")*(ROW('Leave Register'!$B$6:$B$305)-5)))=0,"",INDEX('Leave Register'!$D$6:$D$305,SUMPRODUCT(MAX(('Leave Register'!$B$6:$B$305=$A22)*('Leave Register'!$E$6:$E$305&lt;=E$5)*('Leave Register'!$F$6:$F$305&gt;=E$5)*('Leave Register'!$J$6:$J$305="Approved")*(ROW('Leave Register'!$B$6:$B$305)-5))))))</f>
        <v/>
      </c>
      <c r="F22" s="83" t="str">
        <f aca="false">IF(OR($A22="",F$5="",F$7&lt;&gt;"W"),"",IF(SUMPRODUCT(MAX(('Leave Register'!$B$6:$B$305=$A22)*('Leave Register'!$E$6:$E$305&lt;=F$5)*('Leave Register'!$F$6:$F$305&gt;=F$5)*('Leave Register'!$J$6:$J$305="Approved")*(ROW('Leave Register'!$B$6:$B$305)-5)))=0,"",INDEX('Leave Register'!$D$6:$D$305,SUMPRODUCT(MAX(('Leave Register'!$B$6:$B$305=$A22)*('Leave Register'!$E$6:$E$305&lt;=F$5)*('Leave Register'!$F$6:$F$305&gt;=F$5)*('Leave Register'!$J$6:$J$305="Approved")*(ROW('Leave Register'!$B$6:$B$305)-5))))))</f>
        <v/>
      </c>
      <c r="G22" s="83" t="str">
        <f aca="false">IF(OR($A22="",G$5="",G$7&lt;&gt;"W"),"",IF(SUMPRODUCT(MAX(('Leave Register'!$B$6:$B$305=$A22)*('Leave Register'!$E$6:$E$305&lt;=G$5)*('Leave Register'!$F$6:$F$305&gt;=G$5)*('Leave Register'!$J$6:$J$305="Approved")*(ROW('Leave Register'!$B$6:$B$305)-5)))=0,"",INDEX('Leave Register'!$D$6:$D$305,SUMPRODUCT(MAX(('Leave Register'!$B$6:$B$305=$A22)*('Leave Register'!$E$6:$E$305&lt;=G$5)*('Leave Register'!$F$6:$F$305&gt;=G$5)*('Leave Register'!$J$6:$J$305="Approved")*(ROW('Leave Register'!$B$6:$B$305)-5))))))</f>
        <v/>
      </c>
      <c r="H22" s="83" t="str">
        <f aca="false">IF(OR($A22="",H$5="",H$7&lt;&gt;"W"),"",IF(SUMPRODUCT(MAX(('Leave Register'!$B$6:$B$305=$A22)*('Leave Register'!$E$6:$E$305&lt;=H$5)*('Leave Register'!$F$6:$F$305&gt;=H$5)*('Leave Register'!$J$6:$J$305="Approved")*(ROW('Leave Register'!$B$6:$B$305)-5)))=0,"",INDEX('Leave Register'!$D$6:$D$305,SUMPRODUCT(MAX(('Leave Register'!$B$6:$B$305=$A22)*('Leave Register'!$E$6:$E$305&lt;=H$5)*('Leave Register'!$F$6:$F$305&gt;=H$5)*('Leave Register'!$J$6:$J$305="Approved")*(ROW('Leave Register'!$B$6:$B$305)-5))))))</f>
        <v/>
      </c>
      <c r="I22" s="83" t="str">
        <f aca="false">IF(OR($A22="",I$5="",I$7&lt;&gt;"W"),"",IF(SUMPRODUCT(MAX(('Leave Register'!$B$6:$B$305=$A22)*('Leave Register'!$E$6:$E$305&lt;=I$5)*('Leave Register'!$F$6:$F$305&gt;=I$5)*('Leave Register'!$J$6:$J$305="Approved")*(ROW('Leave Register'!$B$6:$B$305)-5)))=0,"",INDEX('Leave Register'!$D$6:$D$305,SUMPRODUCT(MAX(('Leave Register'!$B$6:$B$305=$A22)*('Leave Register'!$E$6:$E$305&lt;=I$5)*('Leave Register'!$F$6:$F$305&gt;=I$5)*('Leave Register'!$J$6:$J$305="Approved")*(ROW('Leave Register'!$B$6:$B$305)-5))))))</f>
        <v/>
      </c>
      <c r="J22" s="83" t="str">
        <f aca="false">IF(OR($A22="",J$5="",J$7&lt;&gt;"W"),"",IF(SUMPRODUCT(MAX(('Leave Register'!$B$6:$B$305=$A22)*('Leave Register'!$E$6:$E$305&lt;=J$5)*('Leave Register'!$F$6:$F$305&gt;=J$5)*('Leave Register'!$J$6:$J$305="Approved")*(ROW('Leave Register'!$B$6:$B$305)-5)))=0,"",INDEX('Leave Register'!$D$6:$D$305,SUMPRODUCT(MAX(('Leave Register'!$B$6:$B$305=$A22)*('Leave Register'!$E$6:$E$305&lt;=J$5)*('Leave Register'!$F$6:$F$305&gt;=J$5)*('Leave Register'!$J$6:$J$305="Approved")*(ROW('Leave Register'!$B$6:$B$305)-5))))))</f>
        <v/>
      </c>
      <c r="K22" s="83" t="str">
        <f aca="false">IF(OR($A22="",K$5="",K$7&lt;&gt;"W"),"",IF(SUMPRODUCT(MAX(('Leave Register'!$B$6:$B$305=$A22)*('Leave Register'!$E$6:$E$305&lt;=K$5)*('Leave Register'!$F$6:$F$305&gt;=K$5)*('Leave Register'!$J$6:$J$305="Approved")*(ROW('Leave Register'!$B$6:$B$305)-5)))=0,"",INDEX('Leave Register'!$D$6:$D$305,SUMPRODUCT(MAX(('Leave Register'!$B$6:$B$305=$A22)*('Leave Register'!$E$6:$E$305&lt;=K$5)*('Leave Register'!$F$6:$F$305&gt;=K$5)*('Leave Register'!$J$6:$J$305="Approved")*(ROW('Leave Register'!$B$6:$B$305)-5))))))</f>
        <v/>
      </c>
      <c r="L22" s="83" t="str">
        <f aca="false">IF(OR($A22="",L$5="",L$7&lt;&gt;"W"),"",IF(SUMPRODUCT(MAX(('Leave Register'!$B$6:$B$305=$A22)*('Leave Register'!$E$6:$E$305&lt;=L$5)*('Leave Register'!$F$6:$F$305&gt;=L$5)*('Leave Register'!$J$6:$J$305="Approved")*(ROW('Leave Register'!$B$6:$B$305)-5)))=0,"",INDEX('Leave Register'!$D$6:$D$305,SUMPRODUCT(MAX(('Leave Register'!$B$6:$B$305=$A22)*('Leave Register'!$E$6:$E$305&lt;=L$5)*('Leave Register'!$F$6:$F$305&gt;=L$5)*('Leave Register'!$J$6:$J$305="Approved")*(ROW('Leave Register'!$B$6:$B$305)-5))))))</f>
        <v/>
      </c>
      <c r="M22" s="83" t="str">
        <f aca="false">IF(OR($A22="",M$5="",M$7&lt;&gt;"W"),"",IF(SUMPRODUCT(MAX(('Leave Register'!$B$6:$B$305=$A22)*('Leave Register'!$E$6:$E$305&lt;=M$5)*('Leave Register'!$F$6:$F$305&gt;=M$5)*('Leave Register'!$J$6:$J$305="Approved")*(ROW('Leave Register'!$B$6:$B$305)-5)))=0,"",INDEX('Leave Register'!$D$6:$D$305,SUMPRODUCT(MAX(('Leave Register'!$B$6:$B$305=$A22)*('Leave Register'!$E$6:$E$305&lt;=M$5)*('Leave Register'!$F$6:$F$305&gt;=M$5)*('Leave Register'!$J$6:$J$305="Approved")*(ROW('Leave Register'!$B$6:$B$305)-5))))))</f>
        <v/>
      </c>
      <c r="N22" s="83" t="str">
        <f aca="false">IF(OR($A22="",N$5="",N$7&lt;&gt;"W"),"",IF(SUMPRODUCT(MAX(('Leave Register'!$B$6:$B$305=$A22)*('Leave Register'!$E$6:$E$305&lt;=N$5)*('Leave Register'!$F$6:$F$305&gt;=N$5)*('Leave Register'!$J$6:$J$305="Approved")*(ROW('Leave Register'!$B$6:$B$305)-5)))=0,"",INDEX('Leave Register'!$D$6:$D$305,SUMPRODUCT(MAX(('Leave Register'!$B$6:$B$305=$A22)*('Leave Register'!$E$6:$E$305&lt;=N$5)*('Leave Register'!$F$6:$F$305&gt;=N$5)*('Leave Register'!$J$6:$J$305="Approved")*(ROW('Leave Register'!$B$6:$B$305)-5))))))</f>
        <v/>
      </c>
      <c r="O22" s="83" t="str">
        <f aca="false">IF(OR($A22="",O$5="",O$7&lt;&gt;"W"),"",IF(SUMPRODUCT(MAX(('Leave Register'!$B$6:$B$305=$A22)*('Leave Register'!$E$6:$E$305&lt;=O$5)*('Leave Register'!$F$6:$F$305&gt;=O$5)*('Leave Register'!$J$6:$J$305="Approved")*(ROW('Leave Register'!$B$6:$B$305)-5)))=0,"",INDEX('Leave Register'!$D$6:$D$305,SUMPRODUCT(MAX(('Leave Register'!$B$6:$B$305=$A22)*('Leave Register'!$E$6:$E$305&lt;=O$5)*('Leave Register'!$F$6:$F$305&gt;=O$5)*('Leave Register'!$J$6:$J$305="Approved")*(ROW('Leave Register'!$B$6:$B$305)-5))))))</f>
        <v/>
      </c>
      <c r="P22" s="83" t="str">
        <f aca="false">IF(OR($A22="",P$5="",P$7&lt;&gt;"W"),"",IF(SUMPRODUCT(MAX(('Leave Register'!$B$6:$B$305=$A22)*('Leave Register'!$E$6:$E$305&lt;=P$5)*('Leave Register'!$F$6:$F$305&gt;=P$5)*('Leave Register'!$J$6:$J$305="Approved")*(ROW('Leave Register'!$B$6:$B$305)-5)))=0,"",INDEX('Leave Register'!$D$6:$D$305,SUMPRODUCT(MAX(('Leave Register'!$B$6:$B$305=$A22)*('Leave Register'!$E$6:$E$305&lt;=P$5)*('Leave Register'!$F$6:$F$305&gt;=P$5)*('Leave Register'!$J$6:$J$305="Approved")*(ROW('Leave Register'!$B$6:$B$305)-5))))))</f>
        <v/>
      </c>
      <c r="Q22" s="83" t="str">
        <f aca="false">IF(OR($A22="",Q$5="",Q$7&lt;&gt;"W"),"",IF(SUMPRODUCT(MAX(('Leave Register'!$B$6:$B$305=$A22)*('Leave Register'!$E$6:$E$305&lt;=Q$5)*('Leave Register'!$F$6:$F$305&gt;=Q$5)*('Leave Register'!$J$6:$J$305="Approved")*(ROW('Leave Register'!$B$6:$B$305)-5)))=0,"",INDEX('Leave Register'!$D$6:$D$305,SUMPRODUCT(MAX(('Leave Register'!$B$6:$B$305=$A22)*('Leave Register'!$E$6:$E$305&lt;=Q$5)*('Leave Register'!$F$6:$F$305&gt;=Q$5)*('Leave Register'!$J$6:$J$305="Approved")*(ROW('Leave Register'!$B$6:$B$305)-5))))))</f>
        <v/>
      </c>
      <c r="R22" s="83" t="str">
        <f aca="false">IF(OR($A22="",R$5="",R$7&lt;&gt;"W"),"",IF(SUMPRODUCT(MAX(('Leave Register'!$B$6:$B$305=$A22)*('Leave Register'!$E$6:$E$305&lt;=R$5)*('Leave Register'!$F$6:$F$305&gt;=R$5)*('Leave Register'!$J$6:$J$305="Approved")*(ROW('Leave Register'!$B$6:$B$305)-5)))=0,"",INDEX('Leave Register'!$D$6:$D$305,SUMPRODUCT(MAX(('Leave Register'!$B$6:$B$305=$A22)*('Leave Register'!$E$6:$E$305&lt;=R$5)*('Leave Register'!$F$6:$F$305&gt;=R$5)*('Leave Register'!$J$6:$J$305="Approved")*(ROW('Leave Register'!$B$6:$B$305)-5))))))</f>
        <v/>
      </c>
      <c r="S22" s="83" t="str">
        <f aca="false">IF(OR($A22="",S$5="",S$7&lt;&gt;"W"),"",IF(SUMPRODUCT(MAX(('Leave Register'!$B$6:$B$305=$A22)*('Leave Register'!$E$6:$E$305&lt;=S$5)*('Leave Register'!$F$6:$F$305&gt;=S$5)*('Leave Register'!$J$6:$J$305="Approved")*(ROW('Leave Register'!$B$6:$B$305)-5)))=0,"",INDEX('Leave Register'!$D$6:$D$305,SUMPRODUCT(MAX(('Leave Register'!$B$6:$B$305=$A22)*('Leave Register'!$E$6:$E$305&lt;=S$5)*('Leave Register'!$F$6:$F$305&gt;=S$5)*('Leave Register'!$J$6:$J$305="Approved")*(ROW('Leave Register'!$B$6:$B$305)-5))))))</f>
        <v/>
      </c>
      <c r="T22" s="83" t="str">
        <f aca="false">IF(OR($A22="",T$5="",T$7&lt;&gt;"W"),"",IF(SUMPRODUCT(MAX(('Leave Register'!$B$6:$B$305=$A22)*('Leave Register'!$E$6:$E$305&lt;=T$5)*('Leave Register'!$F$6:$F$305&gt;=T$5)*('Leave Register'!$J$6:$J$305="Approved")*(ROW('Leave Register'!$B$6:$B$305)-5)))=0,"",INDEX('Leave Register'!$D$6:$D$305,SUMPRODUCT(MAX(('Leave Register'!$B$6:$B$305=$A22)*('Leave Register'!$E$6:$E$305&lt;=T$5)*('Leave Register'!$F$6:$F$305&gt;=T$5)*('Leave Register'!$J$6:$J$305="Approved")*(ROW('Leave Register'!$B$6:$B$305)-5))))))</f>
        <v/>
      </c>
      <c r="U22" s="83" t="str">
        <f aca="false">IF(OR($A22="",U$5="",U$7&lt;&gt;"W"),"",IF(SUMPRODUCT(MAX(('Leave Register'!$B$6:$B$305=$A22)*('Leave Register'!$E$6:$E$305&lt;=U$5)*('Leave Register'!$F$6:$F$305&gt;=U$5)*('Leave Register'!$J$6:$J$305="Approved")*(ROW('Leave Register'!$B$6:$B$305)-5)))=0,"",INDEX('Leave Register'!$D$6:$D$305,SUMPRODUCT(MAX(('Leave Register'!$B$6:$B$305=$A22)*('Leave Register'!$E$6:$E$305&lt;=U$5)*('Leave Register'!$F$6:$F$305&gt;=U$5)*('Leave Register'!$J$6:$J$305="Approved")*(ROW('Leave Register'!$B$6:$B$305)-5))))))</f>
        <v/>
      </c>
      <c r="V22" s="83" t="str">
        <f aca="false">IF(OR($A22="",V$5="",V$7&lt;&gt;"W"),"",IF(SUMPRODUCT(MAX(('Leave Register'!$B$6:$B$305=$A22)*('Leave Register'!$E$6:$E$305&lt;=V$5)*('Leave Register'!$F$6:$F$305&gt;=V$5)*('Leave Register'!$J$6:$J$305="Approved")*(ROW('Leave Register'!$B$6:$B$305)-5)))=0,"",INDEX('Leave Register'!$D$6:$D$305,SUMPRODUCT(MAX(('Leave Register'!$B$6:$B$305=$A22)*('Leave Register'!$E$6:$E$305&lt;=V$5)*('Leave Register'!$F$6:$F$305&gt;=V$5)*('Leave Register'!$J$6:$J$305="Approved")*(ROW('Leave Register'!$B$6:$B$305)-5))))))</f>
        <v/>
      </c>
      <c r="W22" s="83" t="str">
        <f aca="false">IF(OR($A22="",W$5="",W$7&lt;&gt;"W"),"",IF(SUMPRODUCT(MAX(('Leave Register'!$B$6:$B$305=$A22)*('Leave Register'!$E$6:$E$305&lt;=W$5)*('Leave Register'!$F$6:$F$305&gt;=W$5)*('Leave Register'!$J$6:$J$305="Approved")*(ROW('Leave Register'!$B$6:$B$305)-5)))=0,"",INDEX('Leave Register'!$D$6:$D$305,SUMPRODUCT(MAX(('Leave Register'!$B$6:$B$305=$A22)*('Leave Register'!$E$6:$E$305&lt;=W$5)*('Leave Register'!$F$6:$F$305&gt;=W$5)*('Leave Register'!$J$6:$J$305="Approved")*(ROW('Leave Register'!$B$6:$B$305)-5))))))</f>
        <v/>
      </c>
      <c r="X22" s="83" t="str">
        <f aca="false">IF(OR($A22="",X$5="",X$7&lt;&gt;"W"),"",IF(SUMPRODUCT(MAX(('Leave Register'!$B$6:$B$305=$A22)*('Leave Register'!$E$6:$E$305&lt;=X$5)*('Leave Register'!$F$6:$F$305&gt;=X$5)*('Leave Register'!$J$6:$J$305="Approved")*(ROW('Leave Register'!$B$6:$B$305)-5)))=0,"",INDEX('Leave Register'!$D$6:$D$305,SUMPRODUCT(MAX(('Leave Register'!$B$6:$B$305=$A22)*('Leave Register'!$E$6:$E$305&lt;=X$5)*('Leave Register'!$F$6:$F$305&gt;=X$5)*('Leave Register'!$J$6:$J$305="Approved")*(ROW('Leave Register'!$B$6:$B$305)-5))))))</f>
        <v/>
      </c>
      <c r="Y22" s="83" t="str">
        <f aca="false">IF(OR($A22="",Y$5="",Y$7&lt;&gt;"W"),"",IF(SUMPRODUCT(MAX(('Leave Register'!$B$6:$B$305=$A22)*('Leave Register'!$E$6:$E$305&lt;=Y$5)*('Leave Register'!$F$6:$F$305&gt;=Y$5)*('Leave Register'!$J$6:$J$305="Approved")*(ROW('Leave Register'!$B$6:$B$305)-5)))=0,"",INDEX('Leave Register'!$D$6:$D$305,SUMPRODUCT(MAX(('Leave Register'!$B$6:$B$305=$A22)*('Leave Register'!$E$6:$E$305&lt;=Y$5)*('Leave Register'!$F$6:$F$305&gt;=Y$5)*('Leave Register'!$J$6:$J$305="Approved")*(ROW('Leave Register'!$B$6:$B$305)-5))))))</f>
        <v/>
      </c>
      <c r="Z22" s="83" t="str">
        <f aca="false">IF(OR($A22="",Z$5="",Z$7&lt;&gt;"W"),"",IF(SUMPRODUCT(MAX(('Leave Register'!$B$6:$B$305=$A22)*('Leave Register'!$E$6:$E$305&lt;=Z$5)*('Leave Register'!$F$6:$F$305&gt;=Z$5)*('Leave Register'!$J$6:$J$305="Approved")*(ROW('Leave Register'!$B$6:$B$305)-5)))=0,"",INDEX('Leave Register'!$D$6:$D$305,SUMPRODUCT(MAX(('Leave Register'!$B$6:$B$305=$A22)*('Leave Register'!$E$6:$E$305&lt;=Z$5)*('Leave Register'!$F$6:$F$305&gt;=Z$5)*('Leave Register'!$J$6:$J$305="Approved")*(ROW('Leave Register'!$B$6:$B$305)-5))))))</f>
        <v/>
      </c>
      <c r="AA22" s="83" t="str">
        <f aca="false">IF(OR($A22="",AA$5="",AA$7&lt;&gt;"W"),"",IF(SUMPRODUCT(MAX(('Leave Register'!$B$6:$B$305=$A22)*('Leave Register'!$E$6:$E$305&lt;=AA$5)*('Leave Register'!$F$6:$F$305&gt;=AA$5)*('Leave Register'!$J$6:$J$305="Approved")*(ROW('Leave Register'!$B$6:$B$305)-5)))=0,"",INDEX('Leave Register'!$D$6:$D$305,SUMPRODUCT(MAX(('Leave Register'!$B$6:$B$305=$A22)*('Leave Register'!$E$6:$E$305&lt;=AA$5)*('Leave Register'!$F$6:$F$305&gt;=AA$5)*('Leave Register'!$J$6:$J$305="Approved")*(ROW('Leave Register'!$B$6:$B$305)-5))))))</f>
        <v/>
      </c>
      <c r="AB22" s="83" t="str">
        <f aca="false">IF(OR($A22="",AB$5="",AB$7&lt;&gt;"W"),"",IF(SUMPRODUCT(MAX(('Leave Register'!$B$6:$B$305=$A22)*('Leave Register'!$E$6:$E$305&lt;=AB$5)*('Leave Register'!$F$6:$F$305&gt;=AB$5)*('Leave Register'!$J$6:$J$305="Approved")*(ROW('Leave Register'!$B$6:$B$305)-5)))=0,"",INDEX('Leave Register'!$D$6:$D$305,SUMPRODUCT(MAX(('Leave Register'!$B$6:$B$305=$A22)*('Leave Register'!$E$6:$E$305&lt;=AB$5)*('Leave Register'!$F$6:$F$305&gt;=AB$5)*('Leave Register'!$J$6:$J$305="Approved")*(ROW('Leave Register'!$B$6:$B$305)-5))))))</f>
        <v/>
      </c>
      <c r="AC22" s="83" t="str">
        <f aca="false">IF(OR($A22="",AC$5="",AC$7&lt;&gt;"W"),"",IF(SUMPRODUCT(MAX(('Leave Register'!$B$6:$B$305=$A22)*('Leave Register'!$E$6:$E$305&lt;=AC$5)*('Leave Register'!$F$6:$F$305&gt;=AC$5)*('Leave Register'!$J$6:$J$305="Approved")*(ROW('Leave Register'!$B$6:$B$305)-5)))=0,"",INDEX('Leave Register'!$D$6:$D$305,SUMPRODUCT(MAX(('Leave Register'!$B$6:$B$305=$A22)*('Leave Register'!$E$6:$E$305&lt;=AC$5)*('Leave Register'!$F$6:$F$305&gt;=AC$5)*('Leave Register'!$J$6:$J$305="Approved")*(ROW('Leave Register'!$B$6:$B$305)-5))))))</f>
        <v/>
      </c>
      <c r="AD22" s="83" t="str">
        <f aca="false">IF(OR($A22="",AD$5="",AD$7&lt;&gt;"W"),"",IF(SUMPRODUCT(MAX(('Leave Register'!$B$6:$B$305=$A22)*('Leave Register'!$E$6:$E$305&lt;=AD$5)*('Leave Register'!$F$6:$F$305&gt;=AD$5)*('Leave Register'!$J$6:$J$305="Approved")*(ROW('Leave Register'!$B$6:$B$305)-5)))=0,"",INDEX('Leave Register'!$D$6:$D$305,SUMPRODUCT(MAX(('Leave Register'!$B$6:$B$305=$A22)*('Leave Register'!$E$6:$E$305&lt;=AD$5)*('Leave Register'!$F$6:$F$305&gt;=AD$5)*('Leave Register'!$J$6:$J$305="Approved")*(ROW('Leave Register'!$B$6:$B$305)-5))))))</f>
        <v/>
      </c>
      <c r="AE22" s="83" t="str">
        <f aca="false">IF(OR($A22="",AE$5="",AE$7&lt;&gt;"W"),"",IF(SUMPRODUCT(MAX(('Leave Register'!$B$6:$B$305=$A22)*('Leave Register'!$E$6:$E$305&lt;=AE$5)*('Leave Register'!$F$6:$F$305&gt;=AE$5)*('Leave Register'!$J$6:$J$305="Approved")*(ROW('Leave Register'!$B$6:$B$305)-5)))=0,"",INDEX('Leave Register'!$D$6:$D$305,SUMPRODUCT(MAX(('Leave Register'!$B$6:$B$305=$A22)*('Leave Register'!$E$6:$E$305&lt;=AE$5)*('Leave Register'!$F$6:$F$305&gt;=AE$5)*('Leave Register'!$J$6:$J$305="Approved")*(ROW('Leave Register'!$B$6:$B$305)-5))))))</f>
        <v/>
      </c>
      <c r="AF22" s="83" t="str">
        <f aca="false">IF(OR($A22="",AF$5="",AF$7&lt;&gt;"W"),"",IF(SUMPRODUCT(MAX(('Leave Register'!$B$6:$B$305=$A22)*('Leave Register'!$E$6:$E$305&lt;=AF$5)*('Leave Register'!$F$6:$F$305&gt;=AF$5)*('Leave Register'!$J$6:$J$305="Approved")*(ROW('Leave Register'!$B$6:$B$305)-5)))=0,"",INDEX('Leave Register'!$D$6:$D$305,SUMPRODUCT(MAX(('Leave Register'!$B$6:$B$305=$A22)*('Leave Register'!$E$6:$E$305&lt;=AF$5)*('Leave Register'!$F$6:$F$305&gt;=AF$5)*('Leave Register'!$J$6:$J$305="Approved")*(ROW('Leave Register'!$B$6:$B$305)-5))))))</f>
        <v/>
      </c>
      <c r="AG22" s="83" t="str">
        <f aca="false">IF(OR($A22="",AG$5="",AG$7&lt;&gt;"W"),"",IF(SUMPRODUCT(MAX(('Leave Register'!$B$6:$B$305=$A22)*('Leave Register'!$E$6:$E$305&lt;=AG$5)*('Leave Register'!$F$6:$F$305&gt;=AG$5)*('Leave Register'!$J$6:$J$305="Approved")*(ROW('Leave Register'!$B$6:$B$305)-5)))=0,"",INDEX('Leave Register'!$D$6:$D$305,SUMPRODUCT(MAX(('Leave Register'!$B$6:$B$305=$A22)*('Leave Register'!$E$6:$E$305&lt;=AG$5)*('Leave Register'!$F$6:$F$305&gt;=AG$5)*('Leave Register'!$J$6:$J$305="Approved")*(ROW('Leave Register'!$B$6:$B$305)-5))))))</f>
        <v/>
      </c>
      <c r="AH22" s="84" t="str">
        <f aca="false">IF(A22="","",COUNTIF(C22:AG22,"?*"))</f>
        <v/>
      </c>
    </row>
    <row r="23" customFormat="false" ht="15" hidden="false" customHeight="false" outlineLevel="0" collapsed="false">
      <c r="A23" s="81" t="str">
        <f aca="false">IF(Employees!$B$20="","",Employees!$B$20)</f>
        <v/>
      </c>
      <c r="B23" s="82" t="str">
        <f aca="false">IF(A23="","",Employees!$C$20)</f>
        <v/>
      </c>
      <c r="C23" s="83" t="str">
        <f aca="false">IF(OR($A23="",C$5="",C$7&lt;&gt;"W"),"",IF(SUMPRODUCT(MAX(('Leave Register'!$B$6:$B$305=$A23)*('Leave Register'!$E$6:$E$305&lt;=C$5)*('Leave Register'!$F$6:$F$305&gt;=C$5)*('Leave Register'!$J$6:$J$305="Approved")*(ROW('Leave Register'!$B$6:$B$305)-5)))=0,"",INDEX('Leave Register'!$D$6:$D$305,SUMPRODUCT(MAX(('Leave Register'!$B$6:$B$305=$A23)*('Leave Register'!$E$6:$E$305&lt;=C$5)*('Leave Register'!$F$6:$F$305&gt;=C$5)*('Leave Register'!$J$6:$J$305="Approved")*(ROW('Leave Register'!$B$6:$B$305)-5))))))</f>
        <v/>
      </c>
      <c r="D23" s="83" t="str">
        <f aca="false">IF(OR($A23="",D$5="",D$7&lt;&gt;"W"),"",IF(SUMPRODUCT(MAX(('Leave Register'!$B$6:$B$305=$A23)*('Leave Register'!$E$6:$E$305&lt;=D$5)*('Leave Register'!$F$6:$F$305&gt;=D$5)*('Leave Register'!$J$6:$J$305="Approved")*(ROW('Leave Register'!$B$6:$B$305)-5)))=0,"",INDEX('Leave Register'!$D$6:$D$305,SUMPRODUCT(MAX(('Leave Register'!$B$6:$B$305=$A23)*('Leave Register'!$E$6:$E$305&lt;=D$5)*('Leave Register'!$F$6:$F$305&gt;=D$5)*('Leave Register'!$J$6:$J$305="Approved")*(ROW('Leave Register'!$B$6:$B$305)-5))))))</f>
        <v/>
      </c>
      <c r="E23" s="83" t="str">
        <f aca="false">IF(OR($A23="",E$5="",E$7&lt;&gt;"W"),"",IF(SUMPRODUCT(MAX(('Leave Register'!$B$6:$B$305=$A23)*('Leave Register'!$E$6:$E$305&lt;=E$5)*('Leave Register'!$F$6:$F$305&gt;=E$5)*('Leave Register'!$J$6:$J$305="Approved")*(ROW('Leave Register'!$B$6:$B$305)-5)))=0,"",INDEX('Leave Register'!$D$6:$D$305,SUMPRODUCT(MAX(('Leave Register'!$B$6:$B$305=$A23)*('Leave Register'!$E$6:$E$305&lt;=E$5)*('Leave Register'!$F$6:$F$305&gt;=E$5)*('Leave Register'!$J$6:$J$305="Approved")*(ROW('Leave Register'!$B$6:$B$305)-5))))))</f>
        <v/>
      </c>
      <c r="F23" s="83" t="str">
        <f aca="false">IF(OR($A23="",F$5="",F$7&lt;&gt;"W"),"",IF(SUMPRODUCT(MAX(('Leave Register'!$B$6:$B$305=$A23)*('Leave Register'!$E$6:$E$305&lt;=F$5)*('Leave Register'!$F$6:$F$305&gt;=F$5)*('Leave Register'!$J$6:$J$305="Approved")*(ROW('Leave Register'!$B$6:$B$305)-5)))=0,"",INDEX('Leave Register'!$D$6:$D$305,SUMPRODUCT(MAX(('Leave Register'!$B$6:$B$305=$A23)*('Leave Register'!$E$6:$E$305&lt;=F$5)*('Leave Register'!$F$6:$F$305&gt;=F$5)*('Leave Register'!$J$6:$J$305="Approved")*(ROW('Leave Register'!$B$6:$B$305)-5))))))</f>
        <v/>
      </c>
      <c r="G23" s="83" t="str">
        <f aca="false">IF(OR($A23="",G$5="",G$7&lt;&gt;"W"),"",IF(SUMPRODUCT(MAX(('Leave Register'!$B$6:$B$305=$A23)*('Leave Register'!$E$6:$E$305&lt;=G$5)*('Leave Register'!$F$6:$F$305&gt;=G$5)*('Leave Register'!$J$6:$J$305="Approved")*(ROW('Leave Register'!$B$6:$B$305)-5)))=0,"",INDEX('Leave Register'!$D$6:$D$305,SUMPRODUCT(MAX(('Leave Register'!$B$6:$B$305=$A23)*('Leave Register'!$E$6:$E$305&lt;=G$5)*('Leave Register'!$F$6:$F$305&gt;=G$5)*('Leave Register'!$J$6:$J$305="Approved")*(ROW('Leave Register'!$B$6:$B$305)-5))))))</f>
        <v/>
      </c>
      <c r="H23" s="83" t="str">
        <f aca="false">IF(OR($A23="",H$5="",H$7&lt;&gt;"W"),"",IF(SUMPRODUCT(MAX(('Leave Register'!$B$6:$B$305=$A23)*('Leave Register'!$E$6:$E$305&lt;=H$5)*('Leave Register'!$F$6:$F$305&gt;=H$5)*('Leave Register'!$J$6:$J$305="Approved")*(ROW('Leave Register'!$B$6:$B$305)-5)))=0,"",INDEX('Leave Register'!$D$6:$D$305,SUMPRODUCT(MAX(('Leave Register'!$B$6:$B$305=$A23)*('Leave Register'!$E$6:$E$305&lt;=H$5)*('Leave Register'!$F$6:$F$305&gt;=H$5)*('Leave Register'!$J$6:$J$305="Approved")*(ROW('Leave Register'!$B$6:$B$305)-5))))))</f>
        <v/>
      </c>
      <c r="I23" s="83" t="str">
        <f aca="false">IF(OR($A23="",I$5="",I$7&lt;&gt;"W"),"",IF(SUMPRODUCT(MAX(('Leave Register'!$B$6:$B$305=$A23)*('Leave Register'!$E$6:$E$305&lt;=I$5)*('Leave Register'!$F$6:$F$305&gt;=I$5)*('Leave Register'!$J$6:$J$305="Approved")*(ROW('Leave Register'!$B$6:$B$305)-5)))=0,"",INDEX('Leave Register'!$D$6:$D$305,SUMPRODUCT(MAX(('Leave Register'!$B$6:$B$305=$A23)*('Leave Register'!$E$6:$E$305&lt;=I$5)*('Leave Register'!$F$6:$F$305&gt;=I$5)*('Leave Register'!$J$6:$J$305="Approved")*(ROW('Leave Register'!$B$6:$B$305)-5))))))</f>
        <v/>
      </c>
      <c r="J23" s="83" t="str">
        <f aca="false">IF(OR($A23="",J$5="",J$7&lt;&gt;"W"),"",IF(SUMPRODUCT(MAX(('Leave Register'!$B$6:$B$305=$A23)*('Leave Register'!$E$6:$E$305&lt;=J$5)*('Leave Register'!$F$6:$F$305&gt;=J$5)*('Leave Register'!$J$6:$J$305="Approved")*(ROW('Leave Register'!$B$6:$B$305)-5)))=0,"",INDEX('Leave Register'!$D$6:$D$305,SUMPRODUCT(MAX(('Leave Register'!$B$6:$B$305=$A23)*('Leave Register'!$E$6:$E$305&lt;=J$5)*('Leave Register'!$F$6:$F$305&gt;=J$5)*('Leave Register'!$J$6:$J$305="Approved")*(ROW('Leave Register'!$B$6:$B$305)-5))))))</f>
        <v/>
      </c>
      <c r="K23" s="83" t="str">
        <f aca="false">IF(OR($A23="",K$5="",K$7&lt;&gt;"W"),"",IF(SUMPRODUCT(MAX(('Leave Register'!$B$6:$B$305=$A23)*('Leave Register'!$E$6:$E$305&lt;=K$5)*('Leave Register'!$F$6:$F$305&gt;=K$5)*('Leave Register'!$J$6:$J$305="Approved")*(ROW('Leave Register'!$B$6:$B$305)-5)))=0,"",INDEX('Leave Register'!$D$6:$D$305,SUMPRODUCT(MAX(('Leave Register'!$B$6:$B$305=$A23)*('Leave Register'!$E$6:$E$305&lt;=K$5)*('Leave Register'!$F$6:$F$305&gt;=K$5)*('Leave Register'!$J$6:$J$305="Approved")*(ROW('Leave Register'!$B$6:$B$305)-5))))))</f>
        <v/>
      </c>
      <c r="L23" s="83" t="str">
        <f aca="false">IF(OR($A23="",L$5="",L$7&lt;&gt;"W"),"",IF(SUMPRODUCT(MAX(('Leave Register'!$B$6:$B$305=$A23)*('Leave Register'!$E$6:$E$305&lt;=L$5)*('Leave Register'!$F$6:$F$305&gt;=L$5)*('Leave Register'!$J$6:$J$305="Approved")*(ROW('Leave Register'!$B$6:$B$305)-5)))=0,"",INDEX('Leave Register'!$D$6:$D$305,SUMPRODUCT(MAX(('Leave Register'!$B$6:$B$305=$A23)*('Leave Register'!$E$6:$E$305&lt;=L$5)*('Leave Register'!$F$6:$F$305&gt;=L$5)*('Leave Register'!$J$6:$J$305="Approved")*(ROW('Leave Register'!$B$6:$B$305)-5))))))</f>
        <v/>
      </c>
      <c r="M23" s="83" t="str">
        <f aca="false">IF(OR($A23="",M$5="",M$7&lt;&gt;"W"),"",IF(SUMPRODUCT(MAX(('Leave Register'!$B$6:$B$305=$A23)*('Leave Register'!$E$6:$E$305&lt;=M$5)*('Leave Register'!$F$6:$F$305&gt;=M$5)*('Leave Register'!$J$6:$J$305="Approved")*(ROW('Leave Register'!$B$6:$B$305)-5)))=0,"",INDEX('Leave Register'!$D$6:$D$305,SUMPRODUCT(MAX(('Leave Register'!$B$6:$B$305=$A23)*('Leave Register'!$E$6:$E$305&lt;=M$5)*('Leave Register'!$F$6:$F$305&gt;=M$5)*('Leave Register'!$J$6:$J$305="Approved")*(ROW('Leave Register'!$B$6:$B$305)-5))))))</f>
        <v/>
      </c>
      <c r="N23" s="83" t="str">
        <f aca="false">IF(OR($A23="",N$5="",N$7&lt;&gt;"W"),"",IF(SUMPRODUCT(MAX(('Leave Register'!$B$6:$B$305=$A23)*('Leave Register'!$E$6:$E$305&lt;=N$5)*('Leave Register'!$F$6:$F$305&gt;=N$5)*('Leave Register'!$J$6:$J$305="Approved")*(ROW('Leave Register'!$B$6:$B$305)-5)))=0,"",INDEX('Leave Register'!$D$6:$D$305,SUMPRODUCT(MAX(('Leave Register'!$B$6:$B$305=$A23)*('Leave Register'!$E$6:$E$305&lt;=N$5)*('Leave Register'!$F$6:$F$305&gt;=N$5)*('Leave Register'!$J$6:$J$305="Approved")*(ROW('Leave Register'!$B$6:$B$305)-5))))))</f>
        <v/>
      </c>
      <c r="O23" s="83" t="str">
        <f aca="false">IF(OR($A23="",O$5="",O$7&lt;&gt;"W"),"",IF(SUMPRODUCT(MAX(('Leave Register'!$B$6:$B$305=$A23)*('Leave Register'!$E$6:$E$305&lt;=O$5)*('Leave Register'!$F$6:$F$305&gt;=O$5)*('Leave Register'!$J$6:$J$305="Approved")*(ROW('Leave Register'!$B$6:$B$305)-5)))=0,"",INDEX('Leave Register'!$D$6:$D$305,SUMPRODUCT(MAX(('Leave Register'!$B$6:$B$305=$A23)*('Leave Register'!$E$6:$E$305&lt;=O$5)*('Leave Register'!$F$6:$F$305&gt;=O$5)*('Leave Register'!$J$6:$J$305="Approved")*(ROW('Leave Register'!$B$6:$B$305)-5))))))</f>
        <v/>
      </c>
      <c r="P23" s="83" t="str">
        <f aca="false">IF(OR($A23="",P$5="",P$7&lt;&gt;"W"),"",IF(SUMPRODUCT(MAX(('Leave Register'!$B$6:$B$305=$A23)*('Leave Register'!$E$6:$E$305&lt;=P$5)*('Leave Register'!$F$6:$F$305&gt;=P$5)*('Leave Register'!$J$6:$J$305="Approved")*(ROW('Leave Register'!$B$6:$B$305)-5)))=0,"",INDEX('Leave Register'!$D$6:$D$305,SUMPRODUCT(MAX(('Leave Register'!$B$6:$B$305=$A23)*('Leave Register'!$E$6:$E$305&lt;=P$5)*('Leave Register'!$F$6:$F$305&gt;=P$5)*('Leave Register'!$J$6:$J$305="Approved")*(ROW('Leave Register'!$B$6:$B$305)-5))))))</f>
        <v/>
      </c>
      <c r="Q23" s="83" t="str">
        <f aca="false">IF(OR($A23="",Q$5="",Q$7&lt;&gt;"W"),"",IF(SUMPRODUCT(MAX(('Leave Register'!$B$6:$B$305=$A23)*('Leave Register'!$E$6:$E$305&lt;=Q$5)*('Leave Register'!$F$6:$F$305&gt;=Q$5)*('Leave Register'!$J$6:$J$305="Approved")*(ROW('Leave Register'!$B$6:$B$305)-5)))=0,"",INDEX('Leave Register'!$D$6:$D$305,SUMPRODUCT(MAX(('Leave Register'!$B$6:$B$305=$A23)*('Leave Register'!$E$6:$E$305&lt;=Q$5)*('Leave Register'!$F$6:$F$305&gt;=Q$5)*('Leave Register'!$J$6:$J$305="Approved")*(ROW('Leave Register'!$B$6:$B$305)-5))))))</f>
        <v/>
      </c>
      <c r="R23" s="83" t="str">
        <f aca="false">IF(OR($A23="",R$5="",R$7&lt;&gt;"W"),"",IF(SUMPRODUCT(MAX(('Leave Register'!$B$6:$B$305=$A23)*('Leave Register'!$E$6:$E$305&lt;=R$5)*('Leave Register'!$F$6:$F$305&gt;=R$5)*('Leave Register'!$J$6:$J$305="Approved")*(ROW('Leave Register'!$B$6:$B$305)-5)))=0,"",INDEX('Leave Register'!$D$6:$D$305,SUMPRODUCT(MAX(('Leave Register'!$B$6:$B$305=$A23)*('Leave Register'!$E$6:$E$305&lt;=R$5)*('Leave Register'!$F$6:$F$305&gt;=R$5)*('Leave Register'!$J$6:$J$305="Approved")*(ROW('Leave Register'!$B$6:$B$305)-5))))))</f>
        <v/>
      </c>
      <c r="S23" s="83" t="str">
        <f aca="false">IF(OR($A23="",S$5="",S$7&lt;&gt;"W"),"",IF(SUMPRODUCT(MAX(('Leave Register'!$B$6:$B$305=$A23)*('Leave Register'!$E$6:$E$305&lt;=S$5)*('Leave Register'!$F$6:$F$305&gt;=S$5)*('Leave Register'!$J$6:$J$305="Approved")*(ROW('Leave Register'!$B$6:$B$305)-5)))=0,"",INDEX('Leave Register'!$D$6:$D$305,SUMPRODUCT(MAX(('Leave Register'!$B$6:$B$305=$A23)*('Leave Register'!$E$6:$E$305&lt;=S$5)*('Leave Register'!$F$6:$F$305&gt;=S$5)*('Leave Register'!$J$6:$J$305="Approved")*(ROW('Leave Register'!$B$6:$B$305)-5))))))</f>
        <v/>
      </c>
      <c r="T23" s="83" t="str">
        <f aca="false">IF(OR($A23="",T$5="",T$7&lt;&gt;"W"),"",IF(SUMPRODUCT(MAX(('Leave Register'!$B$6:$B$305=$A23)*('Leave Register'!$E$6:$E$305&lt;=T$5)*('Leave Register'!$F$6:$F$305&gt;=T$5)*('Leave Register'!$J$6:$J$305="Approved")*(ROW('Leave Register'!$B$6:$B$305)-5)))=0,"",INDEX('Leave Register'!$D$6:$D$305,SUMPRODUCT(MAX(('Leave Register'!$B$6:$B$305=$A23)*('Leave Register'!$E$6:$E$305&lt;=T$5)*('Leave Register'!$F$6:$F$305&gt;=T$5)*('Leave Register'!$J$6:$J$305="Approved")*(ROW('Leave Register'!$B$6:$B$305)-5))))))</f>
        <v/>
      </c>
      <c r="U23" s="83" t="str">
        <f aca="false">IF(OR($A23="",U$5="",U$7&lt;&gt;"W"),"",IF(SUMPRODUCT(MAX(('Leave Register'!$B$6:$B$305=$A23)*('Leave Register'!$E$6:$E$305&lt;=U$5)*('Leave Register'!$F$6:$F$305&gt;=U$5)*('Leave Register'!$J$6:$J$305="Approved")*(ROW('Leave Register'!$B$6:$B$305)-5)))=0,"",INDEX('Leave Register'!$D$6:$D$305,SUMPRODUCT(MAX(('Leave Register'!$B$6:$B$305=$A23)*('Leave Register'!$E$6:$E$305&lt;=U$5)*('Leave Register'!$F$6:$F$305&gt;=U$5)*('Leave Register'!$J$6:$J$305="Approved")*(ROW('Leave Register'!$B$6:$B$305)-5))))))</f>
        <v/>
      </c>
      <c r="V23" s="83" t="str">
        <f aca="false">IF(OR($A23="",V$5="",V$7&lt;&gt;"W"),"",IF(SUMPRODUCT(MAX(('Leave Register'!$B$6:$B$305=$A23)*('Leave Register'!$E$6:$E$305&lt;=V$5)*('Leave Register'!$F$6:$F$305&gt;=V$5)*('Leave Register'!$J$6:$J$305="Approved")*(ROW('Leave Register'!$B$6:$B$305)-5)))=0,"",INDEX('Leave Register'!$D$6:$D$305,SUMPRODUCT(MAX(('Leave Register'!$B$6:$B$305=$A23)*('Leave Register'!$E$6:$E$305&lt;=V$5)*('Leave Register'!$F$6:$F$305&gt;=V$5)*('Leave Register'!$J$6:$J$305="Approved")*(ROW('Leave Register'!$B$6:$B$305)-5))))))</f>
        <v/>
      </c>
      <c r="W23" s="83" t="str">
        <f aca="false">IF(OR($A23="",W$5="",W$7&lt;&gt;"W"),"",IF(SUMPRODUCT(MAX(('Leave Register'!$B$6:$B$305=$A23)*('Leave Register'!$E$6:$E$305&lt;=W$5)*('Leave Register'!$F$6:$F$305&gt;=W$5)*('Leave Register'!$J$6:$J$305="Approved")*(ROW('Leave Register'!$B$6:$B$305)-5)))=0,"",INDEX('Leave Register'!$D$6:$D$305,SUMPRODUCT(MAX(('Leave Register'!$B$6:$B$305=$A23)*('Leave Register'!$E$6:$E$305&lt;=W$5)*('Leave Register'!$F$6:$F$305&gt;=W$5)*('Leave Register'!$J$6:$J$305="Approved")*(ROW('Leave Register'!$B$6:$B$305)-5))))))</f>
        <v/>
      </c>
      <c r="X23" s="83" t="str">
        <f aca="false">IF(OR($A23="",X$5="",X$7&lt;&gt;"W"),"",IF(SUMPRODUCT(MAX(('Leave Register'!$B$6:$B$305=$A23)*('Leave Register'!$E$6:$E$305&lt;=X$5)*('Leave Register'!$F$6:$F$305&gt;=X$5)*('Leave Register'!$J$6:$J$305="Approved")*(ROW('Leave Register'!$B$6:$B$305)-5)))=0,"",INDEX('Leave Register'!$D$6:$D$305,SUMPRODUCT(MAX(('Leave Register'!$B$6:$B$305=$A23)*('Leave Register'!$E$6:$E$305&lt;=X$5)*('Leave Register'!$F$6:$F$305&gt;=X$5)*('Leave Register'!$J$6:$J$305="Approved")*(ROW('Leave Register'!$B$6:$B$305)-5))))))</f>
        <v/>
      </c>
      <c r="Y23" s="83" t="str">
        <f aca="false">IF(OR($A23="",Y$5="",Y$7&lt;&gt;"W"),"",IF(SUMPRODUCT(MAX(('Leave Register'!$B$6:$B$305=$A23)*('Leave Register'!$E$6:$E$305&lt;=Y$5)*('Leave Register'!$F$6:$F$305&gt;=Y$5)*('Leave Register'!$J$6:$J$305="Approved")*(ROW('Leave Register'!$B$6:$B$305)-5)))=0,"",INDEX('Leave Register'!$D$6:$D$305,SUMPRODUCT(MAX(('Leave Register'!$B$6:$B$305=$A23)*('Leave Register'!$E$6:$E$305&lt;=Y$5)*('Leave Register'!$F$6:$F$305&gt;=Y$5)*('Leave Register'!$J$6:$J$305="Approved")*(ROW('Leave Register'!$B$6:$B$305)-5))))))</f>
        <v/>
      </c>
      <c r="Z23" s="83" t="str">
        <f aca="false">IF(OR($A23="",Z$5="",Z$7&lt;&gt;"W"),"",IF(SUMPRODUCT(MAX(('Leave Register'!$B$6:$B$305=$A23)*('Leave Register'!$E$6:$E$305&lt;=Z$5)*('Leave Register'!$F$6:$F$305&gt;=Z$5)*('Leave Register'!$J$6:$J$305="Approved")*(ROW('Leave Register'!$B$6:$B$305)-5)))=0,"",INDEX('Leave Register'!$D$6:$D$305,SUMPRODUCT(MAX(('Leave Register'!$B$6:$B$305=$A23)*('Leave Register'!$E$6:$E$305&lt;=Z$5)*('Leave Register'!$F$6:$F$305&gt;=Z$5)*('Leave Register'!$J$6:$J$305="Approved")*(ROW('Leave Register'!$B$6:$B$305)-5))))))</f>
        <v/>
      </c>
      <c r="AA23" s="83" t="str">
        <f aca="false">IF(OR($A23="",AA$5="",AA$7&lt;&gt;"W"),"",IF(SUMPRODUCT(MAX(('Leave Register'!$B$6:$B$305=$A23)*('Leave Register'!$E$6:$E$305&lt;=AA$5)*('Leave Register'!$F$6:$F$305&gt;=AA$5)*('Leave Register'!$J$6:$J$305="Approved")*(ROW('Leave Register'!$B$6:$B$305)-5)))=0,"",INDEX('Leave Register'!$D$6:$D$305,SUMPRODUCT(MAX(('Leave Register'!$B$6:$B$305=$A23)*('Leave Register'!$E$6:$E$305&lt;=AA$5)*('Leave Register'!$F$6:$F$305&gt;=AA$5)*('Leave Register'!$J$6:$J$305="Approved")*(ROW('Leave Register'!$B$6:$B$305)-5))))))</f>
        <v/>
      </c>
      <c r="AB23" s="83" t="str">
        <f aca="false">IF(OR($A23="",AB$5="",AB$7&lt;&gt;"W"),"",IF(SUMPRODUCT(MAX(('Leave Register'!$B$6:$B$305=$A23)*('Leave Register'!$E$6:$E$305&lt;=AB$5)*('Leave Register'!$F$6:$F$305&gt;=AB$5)*('Leave Register'!$J$6:$J$305="Approved")*(ROW('Leave Register'!$B$6:$B$305)-5)))=0,"",INDEX('Leave Register'!$D$6:$D$305,SUMPRODUCT(MAX(('Leave Register'!$B$6:$B$305=$A23)*('Leave Register'!$E$6:$E$305&lt;=AB$5)*('Leave Register'!$F$6:$F$305&gt;=AB$5)*('Leave Register'!$J$6:$J$305="Approved")*(ROW('Leave Register'!$B$6:$B$305)-5))))))</f>
        <v/>
      </c>
      <c r="AC23" s="83" t="str">
        <f aca="false">IF(OR($A23="",AC$5="",AC$7&lt;&gt;"W"),"",IF(SUMPRODUCT(MAX(('Leave Register'!$B$6:$B$305=$A23)*('Leave Register'!$E$6:$E$305&lt;=AC$5)*('Leave Register'!$F$6:$F$305&gt;=AC$5)*('Leave Register'!$J$6:$J$305="Approved")*(ROW('Leave Register'!$B$6:$B$305)-5)))=0,"",INDEX('Leave Register'!$D$6:$D$305,SUMPRODUCT(MAX(('Leave Register'!$B$6:$B$305=$A23)*('Leave Register'!$E$6:$E$305&lt;=AC$5)*('Leave Register'!$F$6:$F$305&gt;=AC$5)*('Leave Register'!$J$6:$J$305="Approved")*(ROW('Leave Register'!$B$6:$B$305)-5))))))</f>
        <v/>
      </c>
      <c r="AD23" s="83" t="str">
        <f aca="false">IF(OR($A23="",AD$5="",AD$7&lt;&gt;"W"),"",IF(SUMPRODUCT(MAX(('Leave Register'!$B$6:$B$305=$A23)*('Leave Register'!$E$6:$E$305&lt;=AD$5)*('Leave Register'!$F$6:$F$305&gt;=AD$5)*('Leave Register'!$J$6:$J$305="Approved")*(ROW('Leave Register'!$B$6:$B$305)-5)))=0,"",INDEX('Leave Register'!$D$6:$D$305,SUMPRODUCT(MAX(('Leave Register'!$B$6:$B$305=$A23)*('Leave Register'!$E$6:$E$305&lt;=AD$5)*('Leave Register'!$F$6:$F$305&gt;=AD$5)*('Leave Register'!$J$6:$J$305="Approved")*(ROW('Leave Register'!$B$6:$B$305)-5))))))</f>
        <v/>
      </c>
      <c r="AE23" s="83" t="str">
        <f aca="false">IF(OR($A23="",AE$5="",AE$7&lt;&gt;"W"),"",IF(SUMPRODUCT(MAX(('Leave Register'!$B$6:$B$305=$A23)*('Leave Register'!$E$6:$E$305&lt;=AE$5)*('Leave Register'!$F$6:$F$305&gt;=AE$5)*('Leave Register'!$J$6:$J$305="Approved")*(ROW('Leave Register'!$B$6:$B$305)-5)))=0,"",INDEX('Leave Register'!$D$6:$D$305,SUMPRODUCT(MAX(('Leave Register'!$B$6:$B$305=$A23)*('Leave Register'!$E$6:$E$305&lt;=AE$5)*('Leave Register'!$F$6:$F$305&gt;=AE$5)*('Leave Register'!$J$6:$J$305="Approved")*(ROW('Leave Register'!$B$6:$B$305)-5))))))</f>
        <v/>
      </c>
      <c r="AF23" s="83" t="str">
        <f aca="false">IF(OR($A23="",AF$5="",AF$7&lt;&gt;"W"),"",IF(SUMPRODUCT(MAX(('Leave Register'!$B$6:$B$305=$A23)*('Leave Register'!$E$6:$E$305&lt;=AF$5)*('Leave Register'!$F$6:$F$305&gt;=AF$5)*('Leave Register'!$J$6:$J$305="Approved")*(ROW('Leave Register'!$B$6:$B$305)-5)))=0,"",INDEX('Leave Register'!$D$6:$D$305,SUMPRODUCT(MAX(('Leave Register'!$B$6:$B$305=$A23)*('Leave Register'!$E$6:$E$305&lt;=AF$5)*('Leave Register'!$F$6:$F$305&gt;=AF$5)*('Leave Register'!$J$6:$J$305="Approved")*(ROW('Leave Register'!$B$6:$B$305)-5))))))</f>
        <v/>
      </c>
      <c r="AG23" s="83" t="str">
        <f aca="false">IF(OR($A23="",AG$5="",AG$7&lt;&gt;"W"),"",IF(SUMPRODUCT(MAX(('Leave Register'!$B$6:$B$305=$A23)*('Leave Register'!$E$6:$E$305&lt;=AG$5)*('Leave Register'!$F$6:$F$305&gt;=AG$5)*('Leave Register'!$J$6:$J$305="Approved")*(ROW('Leave Register'!$B$6:$B$305)-5)))=0,"",INDEX('Leave Register'!$D$6:$D$305,SUMPRODUCT(MAX(('Leave Register'!$B$6:$B$305=$A23)*('Leave Register'!$E$6:$E$305&lt;=AG$5)*('Leave Register'!$F$6:$F$305&gt;=AG$5)*('Leave Register'!$J$6:$J$305="Approved")*(ROW('Leave Register'!$B$6:$B$305)-5))))))</f>
        <v/>
      </c>
      <c r="AH23" s="84" t="str">
        <f aca="false">IF(A23="","",COUNTIF(C23:AG23,"?*"))</f>
        <v/>
      </c>
    </row>
    <row r="24" customFormat="false" ht="15" hidden="false" customHeight="false" outlineLevel="0" collapsed="false">
      <c r="A24" s="81" t="str">
        <f aca="false">IF(Employees!$B$21="","",Employees!$B$21)</f>
        <v/>
      </c>
      <c r="B24" s="82" t="str">
        <f aca="false">IF(A24="","",Employees!$C$21)</f>
        <v/>
      </c>
      <c r="C24" s="83" t="str">
        <f aca="false">IF(OR($A24="",C$5="",C$7&lt;&gt;"W"),"",IF(SUMPRODUCT(MAX(('Leave Register'!$B$6:$B$305=$A24)*('Leave Register'!$E$6:$E$305&lt;=C$5)*('Leave Register'!$F$6:$F$305&gt;=C$5)*('Leave Register'!$J$6:$J$305="Approved")*(ROW('Leave Register'!$B$6:$B$305)-5)))=0,"",INDEX('Leave Register'!$D$6:$D$305,SUMPRODUCT(MAX(('Leave Register'!$B$6:$B$305=$A24)*('Leave Register'!$E$6:$E$305&lt;=C$5)*('Leave Register'!$F$6:$F$305&gt;=C$5)*('Leave Register'!$J$6:$J$305="Approved")*(ROW('Leave Register'!$B$6:$B$305)-5))))))</f>
        <v/>
      </c>
      <c r="D24" s="83" t="str">
        <f aca="false">IF(OR($A24="",D$5="",D$7&lt;&gt;"W"),"",IF(SUMPRODUCT(MAX(('Leave Register'!$B$6:$B$305=$A24)*('Leave Register'!$E$6:$E$305&lt;=D$5)*('Leave Register'!$F$6:$F$305&gt;=D$5)*('Leave Register'!$J$6:$J$305="Approved")*(ROW('Leave Register'!$B$6:$B$305)-5)))=0,"",INDEX('Leave Register'!$D$6:$D$305,SUMPRODUCT(MAX(('Leave Register'!$B$6:$B$305=$A24)*('Leave Register'!$E$6:$E$305&lt;=D$5)*('Leave Register'!$F$6:$F$305&gt;=D$5)*('Leave Register'!$J$6:$J$305="Approved")*(ROW('Leave Register'!$B$6:$B$305)-5))))))</f>
        <v/>
      </c>
      <c r="E24" s="83" t="str">
        <f aca="false">IF(OR($A24="",E$5="",E$7&lt;&gt;"W"),"",IF(SUMPRODUCT(MAX(('Leave Register'!$B$6:$B$305=$A24)*('Leave Register'!$E$6:$E$305&lt;=E$5)*('Leave Register'!$F$6:$F$305&gt;=E$5)*('Leave Register'!$J$6:$J$305="Approved")*(ROW('Leave Register'!$B$6:$B$305)-5)))=0,"",INDEX('Leave Register'!$D$6:$D$305,SUMPRODUCT(MAX(('Leave Register'!$B$6:$B$305=$A24)*('Leave Register'!$E$6:$E$305&lt;=E$5)*('Leave Register'!$F$6:$F$305&gt;=E$5)*('Leave Register'!$J$6:$J$305="Approved")*(ROW('Leave Register'!$B$6:$B$305)-5))))))</f>
        <v/>
      </c>
      <c r="F24" s="83" t="str">
        <f aca="false">IF(OR($A24="",F$5="",F$7&lt;&gt;"W"),"",IF(SUMPRODUCT(MAX(('Leave Register'!$B$6:$B$305=$A24)*('Leave Register'!$E$6:$E$305&lt;=F$5)*('Leave Register'!$F$6:$F$305&gt;=F$5)*('Leave Register'!$J$6:$J$305="Approved")*(ROW('Leave Register'!$B$6:$B$305)-5)))=0,"",INDEX('Leave Register'!$D$6:$D$305,SUMPRODUCT(MAX(('Leave Register'!$B$6:$B$305=$A24)*('Leave Register'!$E$6:$E$305&lt;=F$5)*('Leave Register'!$F$6:$F$305&gt;=F$5)*('Leave Register'!$J$6:$J$305="Approved")*(ROW('Leave Register'!$B$6:$B$305)-5))))))</f>
        <v/>
      </c>
      <c r="G24" s="83" t="str">
        <f aca="false">IF(OR($A24="",G$5="",G$7&lt;&gt;"W"),"",IF(SUMPRODUCT(MAX(('Leave Register'!$B$6:$B$305=$A24)*('Leave Register'!$E$6:$E$305&lt;=G$5)*('Leave Register'!$F$6:$F$305&gt;=G$5)*('Leave Register'!$J$6:$J$305="Approved")*(ROW('Leave Register'!$B$6:$B$305)-5)))=0,"",INDEX('Leave Register'!$D$6:$D$305,SUMPRODUCT(MAX(('Leave Register'!$B$6:$B$305=$A24)*('Leave Register'!$E$6:$E$305&lt;=G$5)*('Leave Register'!$F$6:$F$305&gt;=G$5)*('Leave Register'!$J$6:$J$305="Approved")*(ROW('Leave Register'!$B$6:$B$305)-5))))))</f>
        <v/>
      </c>
      <c r="H24" s="83" t="str">
        <f aca="false">IF(OR($A24="",H$5="",H$7&lt;&gt;"W"),"",IF(SUMPRODUCT(MAX(('Leave Register'!$B$6:$B$305=$A24)*('Leave Register'!$E$6:$E$305&lt;=H$5)*('Leave Register'!$F$6:$F$305&gt;=H$5)*('Leave Register'!$J$6:$J$305="Approved")*(ROW('Leave Register'!$B$6:$B$305)-5)))=0,"",INDEX('Leave Register'!$D$6:$D$305,SUMPRODUCT(MAX(('Leave Register'!$B$6:$B$305=$A24)*('Leave Register'!$E$6:$E$305&lt;=H$5)*('Leave Register'!$F$6:$F$305&gt;=H$5)*('Leave Register'!$J$6:$J$305="Approved")*(ROW('Leave Register'!$B$6:$B$305)-5))))))</f>
        <v/>
      </c>
      <c r="I24" s="83" t="str">
        <f aca="false">IF(OR($A24="",I$5="",I$7&lt;&gt;"W"),"",IF(SUMPRODUCT(MAX(('Leave Register'!$B$6:$B$305=$A24)*('Leave Register'!$E$6:$E$305&lt;=I$5)*('Leave Register'!$F$6:$F$305&gt;=I$5)*('Leave Register'!$J$6:$J$305="Approved")*(ROW('Leave Register'!$B$6:$B$305)-5)))=0,"",INDEX('Leave Register'!$D$6:$D$305,SUMPRODUCT(MAX(('Leave Register'!$B$6:$B$305=$A24)*('Leave Register'!$E$6:$E$305&lt;=I$5)*('Leave Register'!$F$6:$F$305&gt;=I$5)*('Leave Register'!$J$6:$J$305="Approved")*(ROW('Leave Register'!$B$6:$B$305)-5))))))</f>
        <v/>
      </c>
      <c r="J24" s="83" t="str">
        <f aca="false">IF(OR($A24="",J$5="",J$7&lt;&gt;"W"),"",IF(SUMPRODUCT(MAX(('Leave Register'!$B$6:$B$305=$A24)*('Leave Register'!$E$6:$E$305&lt;=J$5)*('Leave Register'!$F$6:$F$305&gt;=J$5)*('Leave Register'!$J$6:$J$305="Approved")*(ROW('Leave Register'!$B$6:$B$305)-5)))=0,"",INDEX('Leave Register'!$D$6:$D$305,SUMPRODUCT(MAX(('Leave Register'!$B$6:$B$305=$A24)*('Leave Register'!$E$6:$E$305&lt;=J$5)*('Leave Register'!$F$6:$F$305&gt;=J$5)*('Leave Register'!$J$6:$J$305="Approved")*(ROW('Leave Register'!$B$6:$B$305)-5))))))</f>
        <v/>
      </c>
      <c r="K24" s="83" t="str">
        <f aca="false">IF(OR($A24="",K$5="",K$7&lt;&gt;"W"),"",IF(SUMPRODUCT(MAX(('Leave Register'!$B$6:$B$305=$A24)*('Leave Register'!$E$6:$E$305&lt;=K$5)*('Leave Register'!$F$6:$F$305&gt;=K$5)*('Leave Register'!$J$6:$J$305="Approved")*(ROW('Leave Register'!$B$6:$B$305)-5)))=0,"",INDEX('Leave Register'!$D$6:$D$305,SUMPRODUCT(MAX(('Leave Register'!$B$6:$B$305=$A24)*('Leave Register'!$E$6:$E$305&lt;=K$5)*('Leave Register'!$F$6:$F$305&gt;=K$5)*('Leave Register'!$J$6:$J$305="Approved")*(ROW('Leave Register'!$B$6:$B$305)-5))))))</f>
        <v/>
      </c>
      <c r="L24" s="83" t="str">
        <f aca="false">IF(OR($A24="",L$5="",L$7&lt;&gt;"W"),"",IF(SUMPRODUCT(MAX(('Leave Register'!$B$6:$B$305=$A24)*('Leave Register'!$E$6:$E$305&lt;=L$5)*('Leave Register'!$F$6:$F$305&gt;=L$5)*('Leave Register'!$J$6:$J$305="Approved")*(ROW('Leave Register'!$B$6:$B$305)-5)))=0,"",INDEX('Leave Register'!$D$6:$D$305,SUMPRODUCT(MAX(('Leave Register'!$B$6:$B$305=$A24)*('Leave Register'!$E$6:$E$305&lt;=L$5)*('Leave Register'!$F$6:$F$305&gt;=L$5)*('Leave Register'!$J$6:$J$305="Approved")*(ROW('Leave Register'!$B$6:$B$305)-5))))))</f>
        <v/>
      </c>
      <c r="M24" s="83" t="str">
        <f aca="false">IF(OR($A24="",M$5="",M$7&lt;&gt;"W"),"",IF(SUMPRODUCT(MAX(('Leave Register'!$B$6:$B$305=$A24)*('Leave Register'!$E$6:$E$305&lt;=M$5)*('Leave Register'!$F$6:$F$305&gt;=M$5)*('Leave Register'!$J$6:$J$305="Approved")*(ROW('Leave Register'!$B$6:$B$305)-5)))=0,"",INDEX('Leave Register'!$D$6:$D$305,SUMPRODUCT(MAX(('Leave Register'!$B$6:$B$305=$A24)*('Leave Register'!$E$6:$E$305&lt;=M$5)*('Leave Register'!$F$6:$F$305&gt;=M$5)*('Leave Register'!$J$6:$J$305="Approved")*(ROW('Leave Register'!$B$6:$B$305)-5))))))</f>
        <v/>
      </c>
      <c r="N24" s="83" t="str">
        <f aca="false">IF(OR($A24="",N$5="",N$7&lt;&gt;"W"),"",IF(SUMPRODUCT(MAX(('Leave Register'!$B$6:$B$305=$A24)*('Leave Register'!$E$6:$E$305&lt;=N$5)*('Leave Register'!$F$6:$F$305&gt;=N$5)*('Leave Register'!$J$6:$J$305="Approved")*(ROW('Leave Register'!$B$6:$B$305)-5)))=0,"",INDEX('Leave Register'!$D$6:$D$305,SUMPRODUCT(MAX(('Leave Register'!$B$6:$B$305=$A24)*('Leave Register'!$E$6:$E$305&lt;=N$5)*('Leave Register'!$F$6:$F$305&gt;=N$5)*('Leave Register'!$J$6:$J$305="Approved")*(ROW('Leave Register'!$B$6:$B$305)-5))))))</f>
        <v/>
      </c>
      <c r="O24" s="83" t="str">
        <f aca="false">IF(OR($A24="",O$5="",O$7&lt;&gt;"W"),"",IF(SUMPRODUCT(MAX(('Leave Register'!$B$6:$B$305=$A24)*('Leave Register'!$E$6:$E$305&lt;=O$5)*('Leave Register'!$F$6:$F$305&gt;=O$5)*('Leave Register'!$J$6:$J$305="Approved")*(ROW('Leave Register'!$B$6:$B$305)-5)))=0,"",INDEX('Leave Register'!$D$6:$D$305,SUMPRODUCT(MAX(('Leave Register'!$B$6:$B$305=$A24)*('Leave Register'!$E$6:$E$305&lt;=O$5)*('Leave Register'!$F$6:$F$305&gt;=O$5)*('Leave Register'!$J$6:$J$305="Approved")*(ROW('Leave Register'!$B$6:$B$305)-5))))))</f>
        <v/>
      </c>
      <c r="P24" s="83" t="str">
        <f aca="false">IF(OR($A24="",P$5="",P$7&lt;&gt;"W"),"",IF(SUMPRODUCT(MAX(('Leave Register'!$B$6:$B$305=$A24)*('Leave Register'!$E$6:$E$305&lt;=P$5)*('Leave Register'!$F$6:$F$305&gt;=P$5)*('Leave Register'!$J$6:$J$305="Approved")*(ROW('Leave Register'!$B$6:$B$305)-5)))=0,"",INDEX('Leave Register'!$D$6:$D$305,SUMPRODUCT(MAX(('Leave Register'!$B$6:$B$305=$A24)*('Leave Register'!$E$6:$E$305&lt;=P$5)*('Leave Register'!$F$6:$F$305&gt;=P$5)*('Leave Register'!$J$6:$J$305="Approved")*(ROW('Leave Register'!$B$6:$B$305)-5))))))</f>
        <v/>
      </c>
      <c r="Q24" s="83" t="str">
        <f aca="false">IF(OR($A24="",Q$5="",Q$7&lt;&gt;"W"),"",IF(SUMPRODUCT(MAX(('Leave Register'!$B$6:$B$305=$A24)*('Leave Register'!$E$6:$E$305&lt;=Q$5)*('Leave Register'!$F$6:$F$305&gt;=Q$5)*('Leave Register'!$J$6:$J$305="Approved")*(ROW('Leave Register'!$B$6:$B$305)-5)))=0,"",INDEX('Leave Register'!$D$6:$D$305,SUMPRODUCT(MAX(('Leave Register'!$B$6:$B$305=$A24)*('Leave Register'!$E$6:$E$305&lt;=Q$5)*('Leave Register'!$F$6:$F$305&gt;=Q$5)*('Leave Register'!$J$6:$J$305="Approved")*(ROW('Leave Register'!$B$6:$B$305)-5))))))</f>
        <v/>
      </c>
      <c r="R24" s="83" t="str">
        <f aca="false">IF(OR($A24="",R$5="",R$7&lt;&gt;"W"),"",IF(SUMPRODUCT(MAX(('Leave Register'!$B$6:$B$305=$A24)*('Leave Register'!$E$6:$E$305&lt;=R$5)*('Leave Register'!$F$6:$F$305&gt;=R$5)*('Leave Register'!$J$6:$J$305="Approved")*(ROW('Leave Register'!$B$6:$B$305)-5)))=0,"",INDEX('Leave Register'!$D$6:$D$305,SUMPRODUCT(MAX(('Leave Register'!$B$6:$B$305=$A24)*('Leave Register'!$E$6:$E$305&lt;=R$5)*('Leave Register'!$F$6:$F$305&gt;=R$5)*('Leave Register'!$J$6:$J$305="Approved")*(ROW('Leave Register'!$B$6:$B$305)-5))))))</f>
        <v/>
      </c>
      <c r="S24" s="83" t="str">
        <f aca="false">IF(OR($A24="",S$5="",S$7&lt;&gt;"W"),"",IF(SUMPRODUCT(MAX(('Leave Register'!$B$6:$B$305=$A24)*('Leave Register'!$E$6:$E$305&lt;=S$5)*('Leave Register'!$F$6:$F$305&gt;=S$5)*('Leave Register'!$J$6:$J$305="Approved")*(ROW('Leave Register'!$B$6:$B$305)-5)))=0,"",INDEX('Leave Register'!$D$6:$D$305,SUMPRODUCT(MAX(('Leave Register'!$B$6:$B$305=$A24)*('Leave Register'!$E$6:$E$305&lt;=S$5)*('Leave Register'!$F$6:$F$305&gt;=S$5)*('Leave Register'!$J$6:$J$305="Approved")*(ROW('Leave Register'!$B$6:$B$305)-5))))))</f>
        <v/>
      </c>
      <c r="T24" s="83" t="str">
        <f aca="false">IF(OR($A24="",T$5="",T$7&lt;&gt;"W"),"",IF(SUMPRODUCT(MAX(('Leave Register'!$B$6:$B$305=$A24)*('Leave Register'!$E$6:$E$305&lt;=T$5)*('Leave Register'!$F$6:$F$305&gt;=T$5)*('Leave Register'!$J$6:$J$305="Approved")*(ROW('Leave Register'!$B$6:$B$305)-5)))=0,"",INDEX('Leave Register'!$D$6:$D$305,SUMPRODUCT(MAX(('Leave Register'!$B$6:$B$305=$A24)*('Leave Register'!$E$6:$E$305&lt;=T$5)*('Leave Register'!$F$6:$F$305&gt;=T$5)*('Leave Register'!$J$6:$J$305="Approved")*(ROW('Leave Register'!$B$6:$B$305)-5))))))</f>
        <v/>
      </c>
      <c r="U24" s="83" t="str">
        <f aca="false">IF(OR($A24="",U$5="",U$7&lt;&gt;"W"),"",IF(SUMPRODUCT(MAX(('Leave Register'!$B$6:$B$305=$A24)*('Leave Register'!$E$6:$E$305&lt;=U$5)*('Leave Register'!$F$6:$F$305&gt;=U$5)*('Leave Register'!$J$6:$J$305="Approved")*(ROW('Leave Register'!$B$6:$B$305)-5)))=0,"",INDEX('Leave Register'!$D$6:$D$305,SUMPRODUCT(MAX(('Leave Register'!$B$6:$B$305=$A24)*('Leave Register'!$E$6:$E$305&lt;=U$5)*('Leave Register'!$F$6:$F$305&gt;=U$5)*('Leave Register'!$J$6:$J$305="Approved")*(ROW('Leave Register'!$B$6:$B$305)-5))))))</f>
        <v/>
      </c>
      <c r="V24" s="83" t="str">
        <f aca="false">IF(OR($A24="",V$5="",V$7&lt;&gt;"W"),"",IF(SUMPRODUCT(MAX(('Leave Register'!$B$6:$B$305=$A24)*('Leave Register'!$E$6:$E$305&lt;=V$5)*('Leave Register'!$F$6:$F$305&gt;=V$5)*('Leave Register'!$J$6:$J$305="Approved")*(ROW('Leave Register'!$B$6:$B$305)-5)))=0,"",INDEX('Leave Register'!$D$6:$D$305,SUMPRODUCT(MAX(('Leave Register'!$B$6:$B$305=$A24)*('Leave Register'!$E$6:$E$305&lt;=V$5)*('Leave Register'!$F$6:$F$305&gt;=V$5)*('Leave Register'!$J$6:$J$305="Approved")*(ROW('Leave Register'!$B$6:$B$305)-5))))))</f>
        <v/>
      </c>
      <c r="W24" s="83" t="str">
        <f aca="false">IF(OR($A24="",W$5="",W$7&lt;&gt;"W"),"",IF(SUMPRODUCT(MAX(('Leave Register'!$B$6:$B$305=$A24)*('Leave Register'!$E$6:$E$305&lt;=W$5)*('Leave Register'!$F$6:$F$305&gt;=W$5)*('Leave Register'!$J$6:$J$305="Approved")*(ROW('Leave Register'!$B$6:$B$305)-5)))=0,"",INDEX('Leave Register'!$D$6:$D$305,SUMPRODUCT(MAX(('Leave Register'!$B$6:$B$305=$A24)*('Leave Register'!$E$6:$E$305&lt;=W$5)*('Leave Register'!$F$6:$F$305&gt;=W$5)*('Leave Register'!$J$6:$J$305="Approved")*(ROW('Leave Register'!$B$6:$B$305)-5))))))</f>
        <v/>
      </c>
      <c r="X24" s="83" t="str">
        <f aca="false">IF(OR($A24="",X$5="",X$7&lt;&gt;"W"),"",IF(SUMPRODUCT(MAX(('Leave Register'!$B$6:$B$305=$A24)*('Leave Register'!$E$6:$E$305&lt;=X$5)*('Leave Register'!$F$6:$F$305&gt;=X$5)*('Leave Register'!$J$6:$J$305="Approved")*(ROW('Leave Register'!$B$6:$B$305)-5)))=0,"",INDEX('Leave Register'!$D$6:$D$305,SUMPRODUCT(MAX(('Leave Register'!$B$6:$B$305=$A24)*('Leave Register'!$E$6:$E$305&lt;=X$5)*('Leave Register'!$F$6:$F$305&gt;=X$5)*('Leave Register'!$J$6:$J$305="Approved")*(ROW('Leave Register'!$B$6:$B$305)-5))))))</f>
        <v/>
      </c>
      <c r="Y24" s="83" t="str">
        <f aca="false">IF(OR($A24="",Y$5="",Y$7&lt;&gt;"W"),"",IF(SUMPRODUCT(MAX(('Leave Register'!$B$6:$B$305=$A24)*('Leave Register'!$E$6:$E$305&lt;=Y$5)*('Leave Register'!$F$6:$F$305&gt;=Y$5)*('Leave Register'!$J$6:$J$305="Approved")*(ROW('Leave Register'!$B$6:$B$305)-5)))=0,"",INDEX('Leave Register'!$D$6:$D$305,SUMPRODUCT(MAX(('Leave Register'!$B$6:$B$305=$A24)*('Leave Register'!$E$6:$E$305&lt;=Y$5)*('Leave Register'!$F$6:$F$305&gt;=Y$5)*('Leave Register'!$J$6:$J$305="Approved")*(ROW('Leave Register'!$B$6:$B$305)-5))))))</f>
        <v/>
      </c>
      <c r="Z24" s="83" t="str">
        <f aca="false">IF(OR($A24="",Z$5="",Z$7&lt;&gt;"W"),"",IF(SUMPRODUCT(MAX(('Leave Register'!$B$6:$B$305=$A24)*('Leave Register'!$E$6:$E$305&lt;=Z$5)*('Leave Register'!$F$6:$F$305&gt;=Z$5)*('Leave Register'!$J$6:$J$305="Approved")*(ROW('Leave Register'!$B$6:$B$305)-5)))=0,"",INDEX('Leave Register'!$D$6:$D$305,SUMPRODUCT(MAX(('Leave Register'!$B$6:$B$305=$A24)*('Leave Register'!$E$6:$E$305&lt;=Z$5)*('Leave Register'!$F$6:$F$305&gt;=Z$5)*('Leave Register'!$J$6:$J$305="Approved")*(ROW('Leave Register'!$B$6:$B$305)-5))))))</f>
        <v/>
      </c>
      <c r="AA24" s="83" t="str">
        <f aca="false">IF(OR($A24="",AA$5="",AA$7&lt;&gt;"W"),"",IF(SUMPRODUCT(MAX(('Leave Register'!$B$6:$B$305=$A24)*('Leave Register'!$E$6:$E$305&lt;=AA$5)*('Leave Register'!$F$6:$F$305&gt;=AA$5)*('Leave Register'!$J$6:$J$305="Approved")*(ROW('Leave Register'!$B$6:$B$305)-5)))=0,"",INDEX('Leave Register'!$D$6:$D$305,SUMPRODUCT(MAX(('Leave Register'!$B$6:$B$305=$A24)*('Leave Register'!$E$6:$E$305&lt;=AA$5)*('Leave Register'!$F$6:$F$305&gt;=AA$5)*('Leave Register'!$J$6:$J$305="Approved")*(ROW('Leave Register'!$B$6:$B$305)-5))))))</f>
        <v/>
      </c>
      <c r="AB24" s="83" t="str">
        <f aca="false">IF(OR($A24="",AB$5="",AB$7&lt;&gt;"W"),"",IF(SUMPRODUCT(MAX(('Leave Register'!$B$6:$B$305=$A24)*('Leave Register'!$E$6:$E$305&lt;=AB$5)*('Leave Register'!$F$6:$F$305&gt;=AB$5)*('Leave Register'!$J$6:$J$305="Approved")*(ROW('Leave Register'!$B$6:$B$305)-5)))=0,"",INDEX('Leave Register'!$D$6:$D$305,SUMPRODUCT(MAX(('Leave Register'!$B$6:$B$305=$A24)*('Leave Register'!$E$6:$E$305&lt;=AB$5)*('Leave Register'!$F$6:$F$305&gt;=AB$5)*('Leave Register'!$J$6:$J$305="Approved")*(ROW('Leave Register'!$B$6:$B$305)-5))))))</f>
        <v/>
      </c>
      <c r="AC24" s="83" t="str">
        <f aca="false">IF(OR($A24="",AC$5="",AC$7&lt;&gt;"W"),"",IF(SUMPRODUCT(MAX(('Leave Register'!$B$6:$B$305=$A24)*('Leave Register'!$E$6:$E$305&lt;=AC$5)*('Leave Register'!$F$6:$F$305&gt;=AC$5)*('Leave Register'!$J$6:$J$305="Approved")*(ROW('Leave Register'!$B$6:$B$305)-5)))=0,"",INDEX('Leave Register'!$D$6:$D$305,SUMPRODUCT(MAX(('Leave Register'!$B$6:$B$305=$A24)*('Leave Register'!$E$6:$E$305&lt;=AC$5)*('Leave Register'!$F$6:$F$305&gt;=AC$5)*('Leave Register'!$J$6:$J$305="Approved")*(ROW('Leave Register'!$B$6:$B$305)-5))))))</f>
        <v/>
      </c>
      <c r="AD24" s="83" t="str">
        <f aca="false">IF(OR($A24="",AD$5="",AD$7&lt;&gt;"W"),"",IF(SUMPRODUCT(MAX(('Leave Register'!$B$6:$B$305=$A24)*('Leave Register'!$E$6:$E$305&lt;=AD$5)*('Leave Register'!$F$6:$F$305&gt;=AD$5)*('Leave Register'!$J$6:$J$305="Approved")*(ROW('Leave Register'!$B$6:$B$305)-5)))=0,"",INDEX('Leave Register'!$D$6:$D$305,SUMPRODUCT(MAX(('Leave Register'!$B$6:$B$305=$A24)*('Leave Register'!$E$6:$E$305&lt;=AD$5)*('Leave Register'!$F$6:$F$305&gt;=AD$5)*('Leave Register'!$J$6:$J$305="Approved")*(ROW('Leave Register'!$B$6:$B$305)-5))))))</f>
        <v/>
      </c>
      <c r="AE24" s="83" t="str">
        <f aca="false">IF(OR($A24="",AE$5="",AE$7&lt;&gt;"W"),"",IF(SUMPRODUCT(MAX(('Leave Register'!$B$6:$B$305=$A24)*('Leave Register'!$E$6:$E$305&lt;=AE$5)*('Leave Register'!$F$6:$F$305&gt;=AE$5)*('Leave Register'!$J$6:$J$305="Approved")*(ROW('Leave Register'!$B$6:$B$305)-5)))=0,"",INDEX('Leave Register'!$D$6:$D$305,SUMPRODUCT(MAX(('Leave Register'!$B$6:$B$305=$A24)*('Leave Register'!$E$6:$E$305&lt;=AE$5)*('Leave Register'!$F$6:$F$305&gt;=AE$5)*('Leave Register'!$J$6:$J$305="Approved")*(ROW('Leave Register'!$B$6:$B$305)-5))))))</f>
        <v/>
      </c>
      <c r="AF24" s="83" t="str">
        <f aca="false">IF(OR($A24="",AF$5="",AF$7&lt;&gt;"W"),"",IF(SUMPRODUCT(MAX(('Leave Register'!$B$6:$B$305=$A24)*('Leave Register'!$E$6:$E$305&lt;=AF$5)*('Leave Register'!$F$6:$F$305&gt;=AF$5)*('Leave Register'!$J$6:$J$305="Approved")*(ROW('Leave Register'!$B$6:$B$305)-5)))=0,"",INDEX('Leave Register'!$D$6:$D$305,SUMPRODUCT(MAX(('Leave Register'!$B$6:$B$305=$A24)*('Leave Register'!$E$6:$E$305&lt;=AF$5)*('Leave Register'!$F$6:$F$305&gt;=AF$5)*('Leave Register'!$J$6:$J$305="Approved")*(ROW('Leave Register'!$B$6:$B$305)-5))))))</f>
        <v/>
      </c>
      <c r="AG24" s="83" t="str">
        <f aca="false">IF(OR($A24="",AG$5="",AG$7&lt;&gt;"W"),"",IF(SUMPRODUCT(MAX(('Leave Register'!$B$6:$B$305=$A24)*('Leave Register'!$E$6:$E$305&lt;=AG$5)*('Leave Register'!$F$6:$F$305&gt;=AG$5)*('Leave Register'!$J$6:$J$305="Approved")*(ROW('Leave Register'!$B$6:$B$305)-5)))=0,"",INDEX('Leave Register'!$D$6:$D$305,SUMPRODUCT(MAX(('Leave Register'!$B$6:$B$305=$A24)*('Leave Register'!$E$6:$E$305&lt;=AG$5)*('Leave Register'!$F$6:$F$305&gt;=AG$5)*('Leave Register'!$J$6:$J$305="Approved")*(ROW('Leave Register'!$B$6:$B$305)-5))))))</f>
        <v/>
      </c>
      <c r="AH24" s="84" t="str">
        <f aca="false">IF(A24="","",COUNTIF(C24:AG24,"?*"))</f>
        <v/>
      </c>
    </row>
    <row r="25" customFormat="false" ht="15" hidden="false" customHeight="false" outlineLevel="0" collapsed="false">
      <c r="A25" s="81" t="str">
        <f aca="false">IF(Employees!$B$22="","",Employees!$B$22)</f>
        <v/>
      </c>
      <c r="B25" s="82" t="str">
        <f aca="false">IF(A25="","",Employees!$C$22)</f>
        <v/>
      </c>
      <c r="C25" s="83" t="str">
        <f aca="false">IF(OR($A25="",C$5="",C$7&lt;&gt;"W"),"",IF(SUMPRODUCT(MAX(('Leave Register'!$B$6:$B$305=$A25)*('Leave Register'!$E$6:$E$305&lt;=C$5)*('Leave Register'!$F$6:$F$305&gt;=C$5)*('Leave Register'!$J$6:$J$305="Approved")*(ROW('Leave Register'!$B$6:$B$305)-5)))=0,"",INDEX('Leave Register'!$D$6:$D$305,SUMPRODUCT(MAX(('Leave Register'!$B$6:$B$305=$A25)*('Leave Register'!$E$6:$E$305&lt;=C$5)*('Leave Register'!$F$6:$F$305&gt;=C$5)*('Leave Register'!$J$6:$J$305="Approved")*(ROW('Leave Register'!$B$6:$B$305)-5))))))</f>
        <v/>
      </c>
      <c r="D25" s="83" t="str">
        <f aca="false">IF(OR($A25="",D$5="",D$7&lt;&gt;"W"),"",IF(SUMPRODUCT(MAX(('Leave Register'!$B$6:$B$305=$A25)*('Leave Register'!$E$6:$E$305&lt;=D$5)*('Leave Register'!$F$6:$F$305&gt;=D$5)*('Leave Register'!$J$6:$J$305="Approved")*(ROW('Leave Register'!$B$6:$B$305)-5)))=0,"",INDEX('Leave Register'!$D$6:$D$305,SUMPRODUCT(MAX(('Leave Register'!$B$6:$B$305=$A25)*('Leave Register'!$E$6:$E$305&lt;=D$5)*('Leave Register'!$F$6:$F$305&gt;=D$5)*('Leave Register'!$J$6:$J$305="Approved")*(ROW('Leave Register'!$B$6:$B$305)-5))))))</f>
        <v/>
      </c>
      <c r="E25" s="83" t="str">
        <f aca="false">IF(OR($A25="",E$5="",E$7&lt;&gt;"W"),"",IF(SUMPRODUCT(MAX(('Leave Register'!$B$6:$B$305=$A25)*('Leave Register'!$E$6:$E$305&lt;=E$5)*('Leave Register'!$F$6:$F$305&gt;=E$5)*('Leave Register'!$J$6:$J$305="Approved")*(ROW('Leave Register'!$B$6:$B$305)-5)))=0,"",INDEX('Leave Register'!$D$6:$D$305,SUMPRODUCT(MAX(('Leave Register'!$B$6:$B$305=$A25)*('Leave Register'!$E$6:$E$305&lt;=E$5)*('Leave Register'!$F$6:$F$305&gt;=E$5)*('Leave Register'!$J$6:$J$305="Approved")*(ROW('Leave Register'!$B$6:$B$305)-5))))))</f>
        <v/>
      </c>
      <c r="F25" s="83" t="str">
        <f aca="false">IF(OR($A25="",F$5="",F$7&lt;&gt;"W"),"",IF(SUMPRODUCT(MAX(('Leave Register'!$B$6:$B$305=$A25)*('Leave Register'!$E$6:$E$305&lt;=F$5)*('Leave Register'!$F$6:$F$305&gt;=F$5)*('Leave Register'!$J$6:$J$305="Approved")*(ROW('Leave Register'!$B$6:$B$305)-5)))=0,"",INDEX('Leave Register'!$D$6:$D$305,SUMPRODUCT(MAX(('Leave Register'!$B$6:$B$305=$A25)*('Leave Register'!$E$6:$E$305&lt;=F$5)*('Leave Register'!$F$6:$F$305&gt;=F$5)*('Leave Register'!$J$6:$J$305="Approved")*(ROW('Leave Register'!$B$6:$B$305)-5))))))</f>
        <v/>
      </c>
      <c r="G25" s="83" t="str">
        <f aca="false">IF(OR($A25="",G$5="",G$7&lt;&gt;"W"),"",IF(SUMPRODUCT(MAX(('Leave Register'!$B$6:$B$305=$A25)*('Leave Register'!$E$6:$E$305&lt;=G$5)*('Leave Register'!$F$6:$F$305&gt;=G$5)*('Leave Register'!$J$6:$J$305="Approved")*(ROW('Leave Register'!$B$6:$B$305)-5)))=0,"",INDEX('Leave Register'!$D$6:$D$305,SUMPRODUCT(MAX(('Leave Register'!$B$6:$B$305=$A25)*('Leave Register'!$E$6:$E$305&lt;=G$5)*('Leave Register'!$F$6:$F$305&gt;=G$5)*('Leave Register'!$J$6:$J$305="Approved")*(ROW('Leave Register'!$B$6:$B$305)-5))))))</f>
        <v/>
      </c>
      <c r="H25" s="83" t="str">
        <f aca="false">IF(OR($A25="",H$5="",H$7&lt;&gt;"W"),"",IF(SUMPRODUCT(MAX(('Leave Register'!$B$6:$B$305=$A25)*('Leave Register'!$E$6:$E$305&lt;=H$5)*('Leave Register'!$F$6:$F$305&gt;=H$5)*('Leave Register'!$J$6:$J$305="Approved")*(ROW('Leave Register'!$B$6:$B$305)-5)))=0,"",INDEX('Leave Register'!$D$6:$D$305,SUMPRODUCT(MAX(('Leave Register'!$B$6:$B$305=$A25)*('Leave Register'!$E$6:$E$305&lt;=H$5)*('Leave Register'!$F$6:$F$305&gt;=H$5)*('Leave Register'!$J$6:$J$305="Approved")*(ROW('Leave Register'!$B$6:$B$305)-5))))))</f>
        <v/>
      </c>
      <c r="I25" s="83" t="str">
        <f aca="false">IF(OR($A25="",I$5="",I$7&lt;&gt;"W"),"",IF(SUMPRODUCT(MAX(('Leave Register'!$B$6:$B$305=$A25)*('Leave Register'!$E$6:$E$305&lt;=I$5)*('Leave Register'!$F$6:$F$305&gt;=I$5)*('Leave Register'!$J$6:$J$305="Approved")*(ROW('Leave Register'!$B$6:$B$305)-5)))=0,"",INDEX('Leave Register'!$D$6:$D$305,SUMPRODUCT(MAX(('Leave Register'!$B$6:$B$305=$A25)*('Leave Register'!$E$6:$E$305&lt;=I$5)*('Leave Register'!$F$6:$F$305&gt;=I$5)*('Leave Register'!$J$6:$J$305="Approved")*(ROW('Leave Register'!$B$6:$B$305)-5))))))</f>
        <v/>
      </c>
      <c r="J25" s="83" t="str">
        <f aca="false">IF(OR($A25="",J$5="",J$7&lt;&gt;"W"),"",IF(SUMPRODUCT(MAX(('Leave Register'!$B$6:$B$305=$A25)*('Leave Register'!$E$6:$E$305&lt;=J$5)*('Leave Register'!$F$6:$F$305&gt;=J$5)*('Leave Register'!$J$6:$J$305="Approved")*(ROW('Leave Register'!$B$6:$B$305)-5)))=0,"",INDEX('Leave Register'!$D$6:$D$305,SUMPRODUCT(MAX(('Leave Register'!$B$6:$B$305=$A25)*('Leave Register'!$E$6:$E$305&lt;=J$5)*('Leave Register'!$F$6:$F$305&gt;=J$5)*('Leave Register'!$J$6:$J$305="Approved")*(ROW('Leave Register'!$B$6:$B$305)-5))))))</f>
        <v/>
      </c>
      <c r="K25" s="83" t="str">
        <f aca="false">IF(OR($A25="",K$5="",K$7&lt;&gt;"W"),"",IF(SUMPRODUCT(MAX(('Leave Register'!$B$6:$B$305=$A25)*('Leave Register'!$E$6:$E$305&lt;=K$5)*('Leave Register'!$F$6:$F$305&gt;=K$5)*('Leave Register'!$J$6:$J$305="Approved")*(ROW('Leave Register'!$B$6:$B$305)-5)))=0,"",INDEX('Leave Register'!$D$6:$D$305,SUMPRODUCT(MAX(('Leave Register'!$B$6:$B$305=$A25)*('Leave Register'!$E$6:$E$305&lt;=K$5)*('Leave Register'!$F$6:$F$305&gt;=K$5)*('Leave Register'!$J$6:$J$305="Approved")*(ROW('Leave Register'!$B$6:$B$305)-5))))))</f>
        <v/>
      </c>
      <c r="L25" s="83" t="str">
        <f aca="false">IF(OR($A25="",L$5="",L$7&lt;&gt;"W"),"",IF(SUMPRODUCT(MAX(('Leave Register'!$B$6:$B$305=$A25)*('Leave Register'!$E$6:$E$305&lt;=L$5)*('Leave Register'!$F$6:$F$305&gt;=L$5)*('Leave Register'!$J$6:$J$305="Approved")*(ROW('Leave Register'!$B$6:$B$305)-5)))=0,"",INDEX('Leave Register'!$D$6:$D$305,SUMPRODUCT(MAX(('Leave Register'!$B$6:$B$305=$A25)*('Leave Register'!$E$6:$E$305&lt;=L$5)*('Leave Register'!$F$6:$F$305&gt;=L$5)*('Leave Register'!$J$6:$J$305="Approved")*(ROW('Leave Register'!$B$6:$B$305)-5))))))</f>
        <v/>
      </c>
      <c r="M25" s="83" t="str">
        <f aca="false">IF(OR($A25="",M$5="",M$7&lt;&gt;"W"),"",IF(SUMPRODUCT(MAX(('Leave Register'!$B$6:$B$305=$A25)*('Leave Register'!$E$6:$E$305&lt;=M$5)*('Leave Register'!$F$6:$F$305&gt;=M$5)*('Leave Register'!$J$6:$J$305="Approved")*(ROW('Leave Register'!$B$6:$B$305)-5)))=0,"",INDEX('Leave Register'!$D$6:$D$305,SUMPRODUCT(MAX(('Leave Register'!$B$6:$B$305=$A25)*('Leave Register'!$E$6:$E$305&lt;=M$5)*('Leave Register'!$F$6:$F$305&gt;=M$5)*('Leave Register'!$J$6:$J$305="Approved")*(ROW('Leave Register'!$B$6:$B$305)-5))))))</f>
        <v/>
      </c>
      <c r="N25" s="83" t="str">
        <f aca="false">IF(OR($A25="",N$5="",N$7&lt;&gt;"W"),"",IF(SUMPRODUCT(MAX(('Leave Register'!$B$6:$B$305=$A25)*('Leave Register'!$E$6:$E$305&lt;=N$5)*('Leave Register'!$F$6:$F$305&gt;=N$5)*('Leave Register'!$J$6:$J$305="Approved")*(ROW('Leave Register'!$B$6:$B$305)-5)))=0,"",INDEX('Leave Register'!$D$6:$D$305,SUMPRODUCT(MAX(('Leave Register'!$B$6:$B$305=$A25)*('Leave Register'!$E$6:$E$305&lt;=N$5)*('Leave Register'!$F$6:$F$305&gt;=N$5)*('Leave Register'!$J$6:$J$305="Approved")*(ROW('Leave Register'!$B$6:$B$305)-5))))))</f>
        <v/>
      </c>
      <c r="O25" s="83" t="str">
        <f aca="false">IF(OR($A25="",O$5="",O$7&lt;&gt;"W"),"",IF(SUMPRODUCT(MAX(('Leave Register'!$B$6:$B$305=$A25)*('Leave Register'!$E$6:$E$305&lt;=O$5)*('Leave Register'!$F$6:$F$305&gt;=O$5)*('Leave Register'!$J$6:$J$305="Approved")*(ROW('Leave Register'!$B$6:$B$305)-5)))=0,"",INDEX('Leave Register'!$D$6:$D$305,SUMPRODUCT(MAX(('Leave Register'!$B$6:$B$305=$A25)*('Leave Register'!$E$6:$E$305&lt;=O$5)*('Leave Register'!$F$6:$F$305&gt;=O$5)*('Leave Register'!$J$6:$J$305="Approved")*(ROW('Leave Register'!$B$6:$B$305)-5))))))</f>
        <v/>
      </c>
      <c r="P25" s="83" t="str">
        <f aca="false">IF(OR($A25="",P$5="",P$7&lt;&gt;"W"),"",IF(SUMPRODUCT(MAX(('Leave Register'!$B$6:$B$305=$A25)*('Leave Register'!$E$6:$E$305&lt;=P$5)*('Leave Register'!$F$6:$F$305&gt;=P$5)*('Leave Register'!$J$6:$J$305="Approved")*(ROW('Leave Register'!$B$6:$B$305)-5)))=0,"",INDEX('Leave Register'!$D$6:$D$305,SUMPRODUCT(MAX(('Leave Register'!$B$6:$B$305=$A25)*('Leave Register'!$E$6:$E$305&lt;=P$5)*('Leave Register'!$F$6:$F$305&gt;=P$5)*('Leave Register'!$J$6:$J$305="Approved")*(ROW('Leave Register'!$B$6:$B$305)-5))))))</f>
        <v/>
      </c>
      <c r="Q25" s="83" t="str">
        <f aca="false">IF(OR($A25="",Q$5="",Q$7&lt;&gt;"W"),"",IF(SUMPRODUCT(MAX(('Leave Register'!$B$6:$B$305=$A25)*('Leave Register'!$E$6:$E$305&lt;=Q$5)*('Leave Register'!$F$6:$F$305&gt;=Q$5)*('Leave Register'!$J$6:$J$305="Approved")*(ROW('Leave Register'!$B$6:$B$305)-5)))=0,"",INDEX('Leave Register'!$D$6:$D$305,SUMPRODUCT(MAX(('Leave Register'!$B$6:$B$305=$A25)*('Leave Register'!$E$6:$E$305&lt;=Q$5)*('Leave Register'!$F$6:$F$305&gt;=Q$5)*('Leave Register'!$J$6:$J$305="Approved")*(ROW('Leave Register'!$B$6:$B$305)-5))))))</f>
        <v/>
      </c>
      <c r="R25" s="83" t="str">
        <f aca="false">IF(OR($A25="",R$5="",R$7&lt;&gt;"W"),"",IF(SUMPRODUCT(MAX(('Leave Register'!$B$6:$B$305=$A25)*('Leave Register'!$E$6:$E$305&lt;=R$5)*('Leave Register'!$F$6:$F$305&gt;=R$5)*('Leave Register'!$J$6:$J$305="Approved")*(ROW('Leave Register'!$B$6:$B$305)-5)))=0,"",INDEX('Leave Register'!$D$6:$D$305,SUMPRODUCT(MAX(('Leave Register'!$B$6:$B$305=$A25)*('Leave Register'!$E$6:$E$305&lt;=R$5)*('Leave Register'!$F$6:$F$305&gt;=R$5)*('Leave Register'!$J$6:$J$305="Approved")*(ROW('Leave Register'!$B$6:$B$305)-5))))))</f>
        <v/>
      </c>
      <c r="S25" s="83" t="str">
        <f aca="false">IF(OR($A25="",S$5="",S$7&lt;&gt;"W"),"",IF(SUMPRODUCT(MAX(('Leave Register'!$B$6:$B$305=$A25)*('Leave Register'!$E$6:$E$305&lt;=S$5)*('Leave Register'!$F$6:$F$305&gt;=S$5)*('Leave Register'!$J$6:$J$305="Approved")*(ROW('Leave Register'!$B$6:$B$305)-5)))=0,"",INDEX('Leave Register'!$D$6:$D$305,SUMPRODUCT(MAX(('Leave Register'!$B$6:$B$305=$A25)*('Leave Register'!$E$6:$E$305&lt;=S$5)*('Leave Register'!$F$6:$F$305&gt;=S$5)*('Leave Register'!$J$6:$J$305="Approved")*(ROW('Leave Register'!$B$6:$B$305)-5))))))</f>
        <v/>
      </c>
      <c r="T25" s="83" t="str">
        <f aca="false">IF(OR($A25="",T$5="",T$7&lt;&gt;"W"),"",IF(SUMPRODUCT(MAX(('Leave Register'!$B$6:$B$305=$A25)*('Leave Register'!$E$6:$E$305&lt;=T$5)*('Leave Register'!$F$6:$F$305&gt;=T$5)*('Leave Register'!$J$6:$J$305="Approved")*(ROW('Leave Register'!$B$6:$B$305)-5)))=0,"",INDEX('Leave Register'!$D$6:$D$305,SUMPRODUCT(MAX(('Leave Register'!$B$6:$B$305=$A25)*('Leave Register'!$E$6:$E$305&lt;=T$5)*('Leave Register'!$F$6:$F$305&gt;=T$5)*('Leave Register'!$J$6:$J$305="Approved")*(ROW('Leave Register'!$B$6:$B$305)-5))))))</f>
        <v/>
      </c>
      <c r="U25" s="83" t="str">
        <f aca="false">IF(OR($A25="",U$5="",U$7&lt;&gt;"W"),"",IF(SUMPRODUCT(MAX(('Leave Register'!$B$6:$B$305=$A25)*('Leave Register'!$E$6:$E$305&lt;=U$5)*('Leave Register'!$F$6:$F$305&gt;=U$5)*('Leave Register'!$J$6:$J$305="Approved")*(ROW('Leave Register'!$B$6:$B$305)-5)))=0,"",INDEX('Leave Register'!$D$6:$D$305,SUMPRODUCT(MAX(('Leave Register'!$B$6:$B$305=$A25)*('Leave Register'!$E$6:$E$305&lt;=U$5)*('Leave Register'!$F$6:$F$305&gt;=U$5)*('Leave Register'!$J$6:$J$305="Approved")*(ROW('Leave Register'!$B$6:$B$305)-5))))))</f>
        <v/>
      </c>
      <c r="V25" s="83" t="str">
        <f aca="false">IF(OR($A25="",V$5="",V$7&lt;&gt;"W"),"",IF(SUMPRODUCT(MAX(('Leave Register'!$B$6:$B$305=$A25)*('Leave Register'!$E$6:$E$305&lt;=V$5)*('Leave Register'!$F$6:$F$305&gt;=V$5)*('Leave Register'!$J$6:$J$305="Approved")*(ROW('Leave Register'!$B$6:$B$305)-5)))=0,"",INDEX('Leave Register'!$D$6:$D$305,SUMPRODUCT(MAX(('Leave Register'!$B$6:$B$305=$A25)*('Leave Register'!$E$6:$E$305&lt;=V$5)*('Leave Register'!$F$6:$F$305&gt;=V$5)*('Leave Register'!$J$6:$J$305="Approved")*(ROW('Leave Register'!$B$6:$B$305)-5))))))</f>
        <v/>
      </c>
      <c r="W25" s="83" t="str">
        <f aca="false">IF(OR($A25="",W$5="",W$7&lt;&gt;"W"),"",IF(SUMPRODUCT(MAX(('Leave Register'!$B$6:$B$305=$A25)*('Leave Register'!$E$6:$E$305&lt;=W$5)*('Leave Register'!$F$6:$F$305&gt;=W$5)*('Leave Register'!$J$6:$J$305="Approved")*(ROW('Leave Register'!$B$6:$B$305)-5)))=0,"",INDEX('Leave Register'!$D$6:$D$305,SUMPRODUCT(MAX(('Leave Register'!$B$6:$B$305=$A25)*('Leave Register'!$E$6:$E$305&lt;=W$5)*('Leave Register'!$F$6:$F$305&gt;=W$5)*('Leave Register'!$J$6:$J$305="Approved")*(ROW('Leave Register'!$B$6:$B$305)-5))))))</f>
        <v/>
      </c>
      <c r="X25" s="83" t="str">
        <f aca="false">IF(OR($A25="",X$5="",X$7&lt;&gt;"W"),"",IF(SUMPRODUCT(MAX(('Leave Register'!$B$6:$B$305=$A25)*('Leave Register'!$E$6:$E$305&lt;=X$5)*('Leave Register'!$F$6:$F$305&gt;=X$5)*('Leave Register'!$J$6:$J$305="Approved")*(ROW('Leave Register'!$B$6:$B$305)-5)))=0,"",INDEX('Leave Register'!$D$6:$D$305,SUMPRODUCT(MAX(('Leave Register'!$B$6:$B$305=$A25)*('Leave Register'!$E$6:$E$305&lt;=X$5)*('Leave Register'!$F$6:$F$305&gt;=X$5)*('Leave Register'!$J$6:$J$305="Approved")*(ROW('Leave Register'!$B$6:$B$305)-5))))))</f>
        <v/>
      </c>
      <c r="Y25" s="83" t="str">
        <f aca="false">IF(OR($A25="",Y$5="",Y$7&lt;&gt;"W"),"",IF(SUMPRODUCT(MAX(('Leave Register'!$B$6:$B$305=$A25)*('Leave Register'!$E$6:$E$305&lt;=Y$5)*('Leave Register'!$F$6:$F$305&gt;=Y$5)*('Leave Register'!$J$6:$J$305="Approved")*(ROW('Leave Register'!$B$6:$B$305)-5)))=0,"",INDEX('Leave Register'!$D$6:$D$305,SUMPRODUCT(MAX(('Leave Register'!$B$6:$B$305=$A25)*('Leave Register'!$E$6:$E$305&lt;=Y$5)*('Leave Register'!$F$6:$F$305&gt;=Y$5)*('Leave Register'!$J$6:$J$305="Approved")*(ROW('Leave Register'!$B$6:$B$305)-5))))))</f>
        <v/>
      </c>
      <c r="Z25" s="83" t="str">
        <f aca="false">IF(OR($A25="",Z$5="",Z$7&lt;&gt;"W"),"",IF(SUMPRODUCT(MAX(('Leave Register'!$B$6:$B$305=$A25)*('Leave Register'!$E$6:$E$305&lt;=Z$5)*('Leave Register'!$F$6:$F$305&gt;=Z$5)*('Leave Register'!$J$6:$J$305="Approved")*(ROW('Leave Register'!$B$6:$B$305)-5)))=0,"",INDEX('Leave Register'!$D$6:$D$305,SUMPRODUCT(MAX(('Leave Register'!$B$6:$B$305=$A25)*('Leave Register'!$E$6:$E$305&lt;=Z$5)*('Leave Register'!$F$6:$F$305&gt;=Z$5)*('Leave Register'!$J$6:$J$305="Approved")*(ROW('Leave Register'!$B$6:$B$305)-5))))))</f>
        <v/>
      </c>
      <c r="AA25" s="83" t="str">
        <f aca="false">IF(OR($A25="",AA$5="",AA$7&lt;&gt;"W"),"",IF(SUMPRODUCT(MAX(('Leave Register'!$B$6:$B$305=$A25)*('Leave Register'!$E$6:$E$305&lt;=AA$5)*('Leave Register'!$F$6:$F$305&gt;=AA$5)*('Leave Register'!$J$6:$J$305="Approved")*(ROW('Leave Register'!$B$6:$B$305)-5)))=0,"",INDEX('Leave Register'!$D$6:$D$305,SUMPRODUCT(MAX(('Leave Register'!$B$6:$B$305=$A25)*('Leave Register'!$E$6:$E$305&lt;=AA$5)*('Leave Register'!$F$6:$F$305&gt;=AA$5)*('Leave Register'!$J$6:$J$305="Approved")*(ROW('Leave Register'!$B$6:$B$305)-5))))))</f>
        <v/>
      </c>
      <c r="AB25" s="83" t="str">
        <f aca="false">IF(OR($A25="",AB$5="",AB$7&lt;&gt;"W"),"",IF(SUMPRODUCT(MAX(('Leave Register'!$B$6:$B$305=$A25)*('Leave Register'!$E$6:$E$305&lt;=AB$5)*('Leave Register'!$F$6:$F$305&gt;=AB$5)*('Leave Register'!$J$6:$J$305="Approved")*(ROW('Leave Register'!$B$6:$B$305)-5)))=0,"",INDEX('Leave Register'!$D$6:$D$305,SUMPRODUCT(MAX(('Leave Register'!$B$6:$B$305=$A25)*('Leave Register'!$E$6:$E$305&lt;=AB$5)*('Leave Register'!$F$6:$F$305&gt;=AB$5)*('Leave Register'!$J$6:$J$305="Approved")*(ROW('Leave Register'!$B$6:$B$305)-5))))))</f>
        <v/>
      </c>
      <c r="AC25" s="83" t="str">
        <f aca="false">IF(OR($A25="",AC$5="",AC$7&lt;&gt;"W"),"",IF(SUMPRODUCT(MAX(('Leave Register'!$B$6:$B$305=$A25)*('Leave Register'!$E$6:$E$305&lt;=AC$5)*('Leave Register'!$F$6:$F$305&gt;=AC$5)*('Leave Register'!$J$6:$J$305="Approved")*(ROW('Leave Register'!$B$6:$B$305)-5)))=0,"",INDEX('Leave Register'!$D$6:$D$305,SUMPRODUCT(MAX(('Leave Register'!$B$6:$B$305=$A25)*('Leave Register'!$E$6:$E$305&lt;=AC$5)*('Leave Register'!$F$6:$F$305&gt;=AC$5)*('Leave Register'!$J$6:$J$305="Approved")*(ROW('Leave Register'!$B$6:$B$305)-5))))))</f>
        <v/>
      </c>
      <c r="AD25" s="83" t="str">
        <f aca="false">IF(OR($A25="",AD$5="",AD$7&lt;&gt;"W"),"",IF(SUMPRODUCT(MAX(('Leave Register'!$B$6:$B$305=$A25)*('Leave Register'!$E$6:$E$305&lt;=AD$5)*('Leave Register'!$F$6:$F$305&gt;=AD$5)*('Leave Register'!$J$6:$J$305="Approved")*(ROW('Leave Register'!$B$6:$B$305)-5)))=0,"",INDEX('Leave Register'!$D$6:$D$305,SUMPRODUCT(MAX(('Leave Register'!$B$6:$B$305=$A25)*('Leave Register'!$E$6:$E$305&lt;=AD$5)*('Leave Register'!$F$6:$F$305&gt;=AD$5)*('Leave Register'!$J$6:$J$305="Approved")*(ROW('Leave Register'!$B$6:$B$305)-5))))))</f>
        <v/>
      </c>
      <c r="AE25" s="83" t="str">
        <f aca="false">IF(OR($A25="",AE$5="",AE$7&lt;&gt;"W"),"",IF(SUMPRODUCT(MAX(('Leave Register'!$B$6:$B$305=$A25)*('Leave Register'!$E$6:$E$305&lt;=AE$5)*('Leave Register'!$F$6:$F$305&gt;=AE$5)*('Leave Register'!$J$6:$J$305="Approved")*(ROW('Leave Register'!$B$6:$B$305)-5)))=0,"",INDEX('Leave Register'!$D$6:$D$305,SUMPRODUCT(MAX(('Leave Register'!$B$6:$B$305=$A25)*('Leave Register'!$E$6:$E$305&lt;=AE$5)*('Leave Register'!$F$6:$F$305&gt;=AE$5)*('Leave Register'!$J$6:$J$305="Approved")*(ROW('Leave Register'!$B$6:$B$305)-5))))))</f>
        <v/>
      </c>
      <c r="AF25" s="83" t="str">
        <f aca="false">IF(OR($A25="",AF$5="",AF$7&lt;&gt;"W"),"",IF(SUMPRODUCT(MAX(('Leave Register'!$B$6:$B$305=$A25)*('Leave Register'!$E$6:$E$305&lt;=AF$5)*('Leave Register'!$F$6:$F$305&gt;=AF$5)*('Leave Register'!$J$6:$J$305="Approved")*(ROW('Leave Register'!$B$6:$B$305)-5)))=0,"",INDEX('Leave Register'!$D$6:$D$305,SUMPRODUCT(MAX(('Leave Register'!$B$6:$B$305=$A25)*('Leave Register'!$E$6:$E$305&lt;=AF$5)*('Leave Register'!$F$6:$F$305&gt;=AF$5)*('Leave Register'!$J$6:$J$305="Approved")*(ROW('Leave Register'!$B$6:$B$305)-5))))))</f>
        <v/>
      </c>
      <c r="AG25" s="83" t="str">
        <f aca="false">IF(OR($A25="",AG$5="",AG$7&lt;&gt;"W"),"",IF(SUMPRODUCT(MAX(('Leave Register'!$B$6:$B$305=$A25)*('Leave Register'!$E$6:$E$305&lt;=AG$5)*('Leave Register'!$F$6:$F$305&gt;=AG$5)*('Leave Register'!$J$6:$J$305="Approved")*(ROW('Leave Register'!$B$6:$B$305)-5)))=0,"",INDEX('Leave Register'!$D$6:$D$305,SUMPRODUCT(MAX(('Leave Register'!$B$6:$B$305=$A25)*('Leave Register'!$E$6:$E$305&lt;=AG$5)*('Leave Register'!$F$6:$F$305&gt;=AG$5)*('Leave Register'!$J$6:$J$305="Approved")*(ROW('Leave Register'!$B$6:$B$305)-5))))))</f>
        <v/>
      </c>
      <c r="AH25" s="84" t="str">
        <f aca="false">IF(A25="","",COUNTIF(C25:AG25,"?*"))</f>
        <v/>
      </c>
    </row>
    <row r="26" customFormat="false" ht="15" hidden="false" customHeight="false" outlineLevel="0" collapsed="false">
      <c r="A26" s="81" t="str">
        <f aca="false">IF(Employees!$B$23="","",Employees!$B$23)</f>
        <v/>
      </c>
      <c r="B26" s="82" t="str">
        <f aca="false">IF(A26="","",Employees!$C$23)</f>
        <v/>
      </c>
      <c r="C26" s="83" t="str">
        <f aca="false">IF(OR($A26="",C$5="",C$7&lt;&gt;"W"),"",IF(SUMPRODUCT(MAX(('Leave Register'!$B$6:$B$305=$A26)*('Leave Register'!$E$6:$E$305&lt;=C$5)*('Leave Register'!$F$6:$F$305&gt;=C$5)*('Leave Register'!$J$6:$J$305="Approved")*(ROW('Leave Register'!$B$6:$B$305)-5)))=0,"",INDEX('Leave Register'!$D$6:$D$305,SUMPRODUCT(MAX(('Leave Register'!$B$6:$B$305=$A26)*('Leave Register'!$E$6:$E$305&lt;=C$5)*('Leave Register'!$F$6:$F$305&gt;=C$5)*('Leave Register'!$J$6:$J$305="Approved")*(ROW('Leave Register'!$B$6:$B$305)-5))))))</f>
        <v/>
      </c>
      <c r="D26" s="83" t="str">
        <f aca="false">IF(OR($A26="",D$5="",D$7&lt;&gt;"W"),"",IF(SUMPRODUCT(MAX(('Leave Register'!$B$6:$B$305=$A26)*('Leave Register'!$E$6:$E$305&lt;=D$5)*('Leave Register'!$F$6:$F$305&gt;=D$5)*('Leave Register'!$J$6:$J$305="Approved")*(ROW('Leave Register'!$B$6:$B$305)-5)))=0,"",INDEX('Leave Register'!$D$6:$D$305,SUMPRODUCT(MAX(('Leave Register'!$B$6:$B$305=$A26)*('Leave Register'!$E$6:$E$305&lt;=D$5)*('Leave Register'!$F$6:$F$305&gt;=D$5)*('Leave Register'!$J$6:$J$305="Approved")*(ROW('Leave Register'!$B$6:$B$305)-5))))))</f>
        <v/>
      </c>
      <c r="E26" s="83" t="str">
        <f aca="false">IF(OR($A26="",E$5="",E$7&lt;&gt;"W"),"",IF(SUMPRODUCT(MAX(('Leave Register'!$B$6:$B$305=$A26)*('Leave Register'!$E$6:$E$305&lt;=E$5)*('Leave Register'!$F$6:$F$305&gt;=E$5)*('Leave Register'!$J$6:$J$305="Approved")*(ROW('Leave Register'!$B$6:$B$305)-5)))=0,"",INDEX('Leave Register'!$D$6:$D$305,SUMPRODUCT(MAX(('Leave Register'!$B$6:$B$305=$A26)*('Leave Register'!$E$6:$E$305&lt;=E$5)*('Leave Register'!$F$6:$F$305&gt;=E$5)*('Leave Register'!$J$6:$J$305="Approved")*(ROW('Leave Register'!$B$6:$B$305)-5))))))</f>
        <v/>
      </c>
      <c r="F26" s="83" t="str">
        <f aca="false">IF(OR($A26="",F$5="",F$7&lt;&gt;"W"),"",IF(SUMPRODUCT(MAX(('Leave Register'!$B$6:$B$305=$A26)*('Leave Register'!$E$6:$E$305&lt;=F$5)*('Leave Register'!$F$6:$F$305&gt;=F$5)*('Leave Register'!$J$6:$J$305="Approved")*(ROW('Leave Register'!$B$6:$B$305)-5)))=0,"",INDEX('Leave Register'!$D$6:$D$305,SUMPRODUCT(MAX(('Leave Register'!$B$6:$B$305=$A26)*('Leave Register'!$E$6:$E$305&lt;=F$5)*('Leave Register'!$F$6:$F$305&gt;=F$5)*('Leave Register'!$J$6:$J$305="Approved")*(ROW('Leave Register'!$B$6:$B$305)-5))))))</f>
        <v/>
      </c>
      <c r="G26" s="83" t="str">
        <f aca="false">IF(OR($A26="",G$5="",G$7&lt;&gt;"W"),"",IF(SUMPRODUCT(MAX(('Leave Register'!$B$6:$B$305=$A26)*('Leave Register'!$E$6:$E$305&lt;=G$5)*('Leave Register'!$F$6:$F$305&gt;=G$5)*('Leave Register'!$J$6:$J$305="Approved")*(ROW('Leave Register'!$B$6:$B$305)-5)))=0,"",INDEX('Leave Register'!$D$6:$D$305,SUMPRODUCT(MAX(('Leave Register'!$B$6:$B$305=$A26)*('Leave Register'!$E$6:$E$305&lt;=G$5)*('Leave Register'!$F$6:$F$305&gt;=G$5)*('Leave Register'!$J$6:$J$305="Approved")*(ROW('Leave Register'!$B$6:$B$305)-5))))))</f>
        <v/>
      </c>
      <c r="H26" s="83" t="str">
        <f aca="false">IF(OR($A26="",H$5="",H$7&lt;&gt;"W"),"",IF(SUMPRODUCT(MAX(('Leave Register'!$B$6:$B$305=$A26)*('Leave Register'!$E$6:$E$305&lt;=H$5)*('Leave Register'!$F$6:$F$305&gt;=H$5)*('Leave Register'!$J$6:$J$305="Approved")*(ROW('Leave Register'!$B$6:$B$305)-5)))=0,"",INDEX('Leave Register'!$D$6:$D$305,SUMPRODUCT(MAX(('Leave Register'!$B$6:$B$305=$A26)*('Leave Register'!$E$6:$E$305&lt;=H$5)*('Leave Register'!$F$6:$F$305&gt;=H$5)*('Leave Register'!$J$6:$J$305="Approved")*(ROW('Leave Register'!$B$6:$B$305)-5))))))</f>
        <v/>
      </c>
      <c r="I26" s="83" t="str">
        <f aca="false">IF(OR($A26="",I$5="",I$7&lt;&gt;"W"),"",IF(SUMPRODUCT(MAX(('Leave Register'!$B$6:$B$305=$A26)*('Leave Register'!$E$6:$E$305&lt;=I$5)*('Leave Register'!$F$6:$F$305&gt;=I$5)*('Leave Register'!$J$6:$J$305="Approved")*(ROW('Leave Register'!$B$6:$B$305)-5)))=0,"",INDEX('Leave Register'!$D$6:$D$305,SUMPRODUCT(MAX(('Leave Register'!$B$6:$B$305=$A26)*('Leave Register'!$E$6:$E$305&lt;=I$5)*('Leave Register'!$F$6:$F$305&gt;=I$5)*('Leave Register'!$J$6:$J$305="Approved")*(ROW('Leave Register'!$B$6:$B$305)-5))))))</f>
        <v/>
      </c>
      <c r="J26" s="83" t="str">
        <f aca="false">IF(OR($A26="",J$5="",J$7&lt;&gt;"W"),"",IF(SUMPRODUCT(MAX(('Leave Register'!$B$6:$B$305=$A26)*('Leave Register'!$E$6:$E$305&lt;=J$5)*('Leave Register'!$F$6:$F$305&gt;=J$5)*('Leave Register'!$J$6:$J$305="Approved")*(ROW('Leave Register'!$B$6:$B$305)-5)))=0,"",INDEX('Leave Register'!$D$6:$D$305,SUMPRODUCT(MAX(('Leave Register'!$B$6:$B$305=$A26)*('Leave Register'!$E$6:$E$305&lt;=J$5)*('Leave Register'!$F$6:$F$305&gt;=J$5)*('Leave Register'!$J$6:$J$305="Approved")*(ROW('Leave Register'!$B$6:$B$305)-5))))))</f>
        <v/>
      </c>
      <c r="K26" s="83" t="str">
        <f aca="false">IF(OR($A26="",K$5="",K$7&lt;&gt;"W"),"",IF(SUMPRODUCT(MAX(('Leave Register'!$B$6:$B$305=$A26)*('Leave Register'!$E$6:$E$305&lt;=K$5)*('Leave Register'!$F$6:$F$305&gt;=K$5)*('Leave Register'!$J$6:$J$305="Approved")*(ROW('Leave Register'!$B$6:$B$305)-5)))=0,"",INDEX('Leave Register'!$D$6:$D$305,SUMPRODUCT(MAX(('Leave Register'!$B$6:$B$305=$A26)*('Leave Register'!$E$6:$E$305&lt;=K$5)*('Leave Register'!$F$6:$F$305&gt;=K$5)*('Leave Register'!$J$6:$J$305="Approved")*(ROW('Leave Register'!$B$6:$B$305)-5))))))</f>
        <v/>
      </c>
      <c r="L26" s="83" t="str">
        <f aca="false">IF(OR($A26="",L$5="",L$7&lt;&gt;"W"),"",IF(SUMPRODUCT(MAX(('Leave Register'!$B$6:$B$305=$A26)*('Leave Register'!$E$6:$E$305&lt;=L$5)*('Leave Register'!$F$6:$F$305&gt;=L$5)*('Leave Register'!$J$6:$J$305="Approved")*(ROW('Leave Register'!$B$6:$B$305)-5)))=0,"",INDEX('Leave Register'!$D$6:$D$305,SUMPRODUCT(MAX(('Leave Register'!$B$6:$B$305=$A26)*('Leave Register'!$E$6:$E$305&lt;=L$5)*('Leave Register'!$F$6:$F$305&gt;=L$5)*('Leave Register'!$J$6:$J$305="Approved")*(ROW('Leave Register'!$B$6:$B$305)-5))))))</f>
        <v/>
      </c>
      <c r="M26" s="83" t="str">
        <f aca="false">IF(OR($A26="",M$5="",M$7&lt;&gt;"W"),"",IF(SUMPRODUCT(MAX(('Leave Register'!$B$6:$B$305=$A26)*('Leave Register'!$E$6:$E$305&lt;=M$5)*('Leave Register'!$F$6:$F$305&gt;=M$5)*('Leave Register'!$J$6:$J$305="Approved")*(ROW('Leave Register'!$B$6:$B$305)-5)))=0,"",INDEX('Leave Register'!$D$6:$D$305,SUMPRODUCT(MAX(('Leave Register'!$B$6:$B$305=$A26)*('Leave Register'!$E$6:$E$305&lt;=M$5)*('Leave Register'!$F$6:$F$305&gt;=M$5)*('Leave Register'!$J$6:$J$305="Approved")*(ROW('Leave Register'!$B$6:$B$305)-5))))))</f>
        <v/>
      </c>
      <c r="N26" s="83" t="str">
        <f aca="false">IF(OR($A26="",N$5="",N$7&lt;&gt;"W"),"",IF(SUMPRODUCT(MAX(('Leave Register'!$B$6:$B$305=$A26)*('Leave Register'!$E$6:$E$305&lt;=N$5)*('Leave Register'!$F$6:$F$305&gt;=N$5)*('Leave Register'!$J$6:$J$305="Approved")*(ROW('Leave Register'!$B$6:$B$305)-5)))=0,"",INDEX('Leave Register'!$D$6:$D$305,SUMPRODUCT(MAX(('Leave Register'!$B$6:$B$305=$A26)*('Leave Register'!$E$6:$E$305&lt;=N$5)*('Leave Register'!$F$6:$F$305&gt;=N$5)*('Leave Register'!$J$6:$J$305="Approved")*(ROW('Leave Register'!$B$6:$B$305)-5))))))</f>
        <v/>
      </c>
      <c r="O26" s="83" t="str">
        <f aca="false">IF(OR($A26="",O$5="",O$7&lt;&gt;"W"),"",IF(SUMPRODUCT(MAX(('Leave Register'!$B$6:$B$305=$A26)*('Leave Register'!$E$6:$E$305&lt;=O$5)*('Leave Register'!$F$6:$F$305&gt;=O$5)*('Leave Register'!$J$6:$J$305="Approved")*(ROW('Leave Register'!$B$6:$B$305)-5)))=0,"",INDEX('Leave Register'!$D$6:$D$305,SUMPRODUCT(MAX(('Leave Register'!$B$6:$B$305=$A26)*('Leave Register'!$E$6:$E$305&lt;=O$5)*('Leave Register'!$F$6:$F$305&gt;=O$5)*('Leave Register'!$J$6:$J$305="Approved")*(ROW('Leave Register'!$B$6:$B$305)-5))))))</f>
        <v/>
      </c>
      <c r="P26" s="83" t="str">
        <f aca="false">IF(OR($A26="",P$5="",P$7&lt;&gt;"W"),"",IF(SUMPRODUCT(MAX(('Leave Register'!$B$6:$B$305=$A26)*('Leave Register'!$E$6:$E$305&lt;=P$5)*('Leave Register'!$F$6:$F$305&gt;=P$5)*('Leave Register'!$J$6:$J$305="Approved")*(ROW('Leave Register'!$B$6:$B$305)-5)))=0,"",INDEX('Leave Register'!$D$6:$D$305,SUMPRODUCT(MAX(('Leave Register'!$B$6:$B$305=$A26)*('Leave Register'!$E$6:$E$305&lt;=P$5)*('Leave Register'!$F$6:$F$305&gt;=P$5)*('Leave Register'!$J$6:$J$305="Approved")*(ROW('Leave Register'!$B$6:$B$305)-5))))))</f>
        <v/>
      </c>
      <c r="Q26" s="83" t="str">
        <f aca="false">IF(OR($A26="",Q$5="",Q$7&lt;&gt;"W"),"",IF(SUMPRODUCT(MAX(('Leave Register'!$B$6:$B$305=$A26)*('Leave Register'!$E$6:$E$305&lt;=Q$5)*('Leave Register'!$F$6:$F$305&gt;=Q$5)*('Leave Register'!$J$6:$J$305="Approved")*(ROW('Leave Register'!$B$6:$B$305)-5)))=0,"",INDEX('Leave Register'!$D$6:$D$305,SUMPRODUCT(MAX(('Leave Register'!$B$6:$B$305=$A26)*('Leave Register'!$E$6:$E$305&lt;=Q$5)*('Leave Register'!$F$6:$F$305&gt;=Q$5)*('Leave Register'!$J$6:$J$305="Approved")*(ROW('Leave Register'!$B$6:$B$305)-5))))))</f>
        <v/>
      </c>
      <c r="R26" s="83" t="str">
        <f aca="false">IF(OR($A26="",R$5="",R$7&lt;&gt;"W"),"",IF(SUMPRODUCT(MAX(('Leave Register'!$B$6:$B$305=$A26)*('Leave Register'!$E$6:$E$305&lt;=R$5)*('Leave Register'!$F$6:$F$305&gt;=R$5)*('Leave Register'!$J$6:$J$305="Approved")*(ROW('Leave Register'!$B$6:$B$305)-5)))=0,"",INDEX('Leave Register'!$D$6:$D$305,SUMPRODUCT(MAX(('Leave Register'!$B$6:$B$305=$A26)*('Leave Register'!$E$6:$E$305&lt;=R$5)*('Leave Register'!$F$6:$F$305&gt;=R$5)*('Leave Register'!$J$6:$J$305="Approved")*(ROW('Leave Register'!$B$6:$B$305)-5))))))</f>
        <v/>
      </c>
      <c r="S26" s="83" t="str">
        <f aca="false">IF(OR($A26="",S$5="",S$7&lt;&gt;"W"),"",IF(SUMPRODUCT(MAX(('Leave Register'!$B$6:$B$305=$A26)*('Leave Register'!$E$6:$E$305&lt;=S$5)*('Leave Register'!$F$6:$F$305&gt;=S$5)*('Leave Register'!$J$6:$J$305="Approved")*(ROW('Leave Register'!$B$6:$B$305)-5)))=0,"",INDEX('Leave Register'!$D$6:$D$305,SUMPRODUCT(MAX(('Leave Register'!$B$6:$B$305=$A26)*('Leave Register'!$E$6:$E$305&lt;=S$5)*('Leave Register'!$F$6:$F$305&gt;=S$5)*('Leave Register'!$J$6:$J$305="Approved")*(ROW('Leave Register'!$B$6:$B$305)-5))))))</f>
        <v/>
      </c>
      <c r="T26" s="83" t="str">
        <f aca="false">IF(OR($A26="",T$5="",T$7&lt;&gt;"W"),"",IF(SUMPRODUCT(MAX(('Leave Register'!$B$6:$B$305=$A26)*('Leave Register'!$E$6:$E$305&lt;=T$5)*('Leave Register'!$F$6:$F$305&gt;=T$5)*('Leave Register'!$J$6:$J$305="Approved")*(ROW('Leave Register'!$B$6:$B$305)-5)))=0,"",INDEX('Leave Register'!$D$6:$D$305,SUMPRODUCT(MAX(('Leave Register'!$B$6:$B$305=$A26)*('Leave Register'!$E$6:$E$305&lt;=T$5)*('Leave Register'!$F$6:$F$305&gt;=T$5)*('Leave Register'!$J$6:$J$305="Approved")*(ROW('Leave Register'!$B$6:$B$305)-5))))))</f>
        <v/>
      </c>
      <c r="U26" s="83" t="str">
        <f aca="false">IF(OR($A26="",U$5="",U$7&lt;&gt;"W"),"",IF(SUMPRODUCT(MAX(('Leave Register'!$B$6:$B$305=$A26)*('Leave Register'!$E$6:$E$305&lt;=U$5)*('Leave Register'!$F$6:$F$305&gt;=U$5)*('Leave Register'!$J$6:$J$305="Approved")*(ROW('Leave Register'!$B$6:$B$305)-5)))=0,"",INDEX('Leave Register'!$D$6:$D$305,SUMPRODUCT(MAX(('Leave Register'!$B$6:$B$305=$A26)*('Leave Register'!$E$6:$E$305&lt;=U$5)*('Leave Register'!$F$6:$F$305&gt;=U$5)*('Leave Register'!$J$6:$J$305="Approved")*(ROW('Leave Register'!$B$6:$B$305)-5))))))</f>
        <v/>
      </c>
      <c r="V26" s="83" t="str">
        <f aca="false">IF(OR($A26="",V$5="",V$7&lt;&gt;"W"),"",IF(SUMPRODUCT(MAX(('Leave Register'!$B$6:$B$305=$A26)*('Leave Register'!$E$6:$E$305&lt;=V$5)*('Leave Register'!$F$6:$F$305&gt;=V$5)*('Leave Register'!$J$6:$J$305="Approved")*(ROW('Leave Register'!$B$6:$B$305)-5)))=0,"",INDEX('Leave Register'!$D$6:$D$305,SUMPRODUCT(MAX(('Leave Register'!$B$6:$B$305=$A26)*('Leave Register'!$E$6:$E$305&lt;=V$5)*('Leave Register'!$F$6:$F$305&gt;=V$5)*('Leave Register'!$J$6:$J$305="Approved")*(ROW('Leave Register'!$B$6:$B$305)-5))))))</f>
        <v/>
      </c>
      <c r="W26" s="83" t="str">
        <f aca="false">IF(OR($A26="",W$5="",W$7&lt;&gt;"W"),"",IF(SUMPRODUCT(MAX(('Leave Register'!$B$6:$B$305=$A26)*('Leave Register'!$E$6:$E$305&lt;=W$5)*('Leave Register'!$F$6:$F$305&gt;=W$5)*('Leave Register'!$J$6:$J$305="Approved")*(ROW('Leave Register'!$B$6:$B$305)-5)))=0,"",INDEX('Leave Register'!$D$6:$D$305,SUMPRODUCT(MAX(('Leave Register'!$B$6:$B$305=$A26)*('Leave Register'!$E$6:$E$305&lt;=W$5)*('Leave Register'!$F$6:$F$305&gt;=W$5)*('Leave Register'!$J$6:$J$305="Approved")*(ROW('Leave Register'!$B$6:$B$305)-5))))))</f>
        <v/>
      </c>
      <c r="X26" s="83" t="str">
        <f aca="false">IF(OR($A26="",X$5="",X$7&lt;&gt;"W"),"",IF(SUMPRODUCT(MAX(('Leave Register'!$B$6:$B$305=$A26)*('Leave Register'!$E$6:$E$305&lt;=X$5)*('Leave Register'!$F$6:$F$305&gt;=X$5)*('Leave Register'!$J$6:$J$305="Approved")*(ROW('Leave Register'!$B$6:$B$305)-5)))=0,"",INDEX('Leave Register'!$D$6:$D$305,SUMPRODUCT(MAX(('Leave Register'!$B$6:$B$305=$A26)*('Leave Register'!$E$6:$E$305&lt;=X$5)*('Leave Register'!$F$6:$F$305&gt;=X$5)*('Leave Register'!$J$6:$J$305="Approved")*(ROW('Leave Register'!$B$6:$B$305)-5))))))</f>
        <v/>
      </c>
      <c r="Y26" s="83" t="str">
        <f aca="false">IF(OR($A26="",Y$5="",Y$7&lt;&gt;"W"),"",IF(SUMPRODUCT(MAX(('Leave Register'!$B$6:$B$305=$A26)*('Leave Register'!$E$6:$E$305&lt;=Y$5)*('Leave Register'!$F$6:$F$305&gt;=Y$5)*('Leave Register'!$J$6:$J$305="Approved")*(ROW('Leave Register'!$B$6:$B$305)-5)))=0,"",INDEX('Leave Register'!$D$6:$D$305,SUMPRODUCT(MAX(('Leave Register'!$B$6:$B$305=$A26)*('Leave Register'!$E$6:$E$305&lt;=Y$5)*('Leave Register'!$F$6:$F$305&gt;=Y$5)*('Leave Register'!$J$6:$J$305="Approved")*(ROW('Leave Register'!$B$6:$B$305)-5))))))</f>
        <v/>
      </c>
      <c r="Z26" s="83" t="str">
        <f aca="false">IF(OR($A26="",Z$5="",Z$7&lt;&gt;"W"),"",IF(SUMPRODUCT(MAX(('Leave Register'!$B$6:$B$305=$A26)*('Leave Register'!$E$6:$E$305&lt;=Z$5)*('Leave Register'!$F$6:$F$305&gt;=Z$5)*('Leave Register'!$J$6:$J$305="Approved")*(ROW('Leave Register'!$B$6:$B$305)-5)))=0,"",INDEX('Leave Register'!$D$6:$D$305,SUMPRODUCT(MAX(('Leave Register'!$B$6:$B$305=$A26)*('Leave Register'!$E$6:$E$305&lt;=Z$5)*('Leave Register'!$F$6:$F$305&gt;=Z$5)*('Leave Register'!$J$6:$J$305="Approved")*(ROW('Leave Register'!$B$6:$B$305)-5))))))</f>
        <v/>
      </c>
      <c r="AA26" s="83" t="str">
        <f aca="false">IF(OR($A26="",AA$5="",AA$7&lt;&gt;"W"),"",IF(SUMPRODUCT(MAX(('Leave Register'!$B$6:$B$305=$A26)*('Leave Register'!$E$6:$E$305&lt;=AA$5)*('Leave Register'!$F$6:$F$305&gt;=AA$5)*('Leave Register'!$J$6:$J$305="Approved")*(ROW('Leave Register'!$B$6:$B$305)-5)))=0,"",INDEX('Leave Register'!$D$6:$D$305,SUMPRODUCT(MAX(('Leave Register'!$B$6:$B$305=$A26)*('Leave Register'!$E$6:$E$305&lt;=AA$5)*('Leave Register'!$F$6:$F$305&gt;=AA$5)*('Leave Register'!$J$6:$J$305="Approved")*(ROW('Leave Register'!$B$6:$B$305)-5))))))</f>
        <v/>
      </c>
      <c r="AB26" s="83" t="str">
        <f aca="false">IF(OR($A26="",AB$5="",AB$7&lt;&gt;"W"),"",IF(SUMPRODUCT(MAX(('Leave Register'!$B$6:$B$305=$A26)*('Leave Register'!$E$6:$E$305&lt;=AB$5)*('Leave Register'!$F$6:$F$305&gt;=AB$5)*('Leave Register'!$J$6:$J$305="Approved")*(ROW('Leave Register'!$B$6:$B$305)-5)))=0,"",INDEX('Leave Register'!$D$6:$D$305,SUMPRODUCT(MAX(('Leave Register'!$B$6:$B$305=$A26)*('Leave Register'!$E$6:$E$305&lt;=AB$5)*('Leave Register'!$F$6:$F$305&gt;=AB$5)*('Leave Register'!$J$6:$J$305="Approved")*(ROW('Leave Register'!$B$6:$B$305)-5))))))</f>
        <v/>
      </c>
      <c r="AC26" s="83" t="str">
        <f aca="false">IF(OR($A26="",AC$5="",AC$7&lt;&gt;"W"),"",IF(SUMPRODUCT(MAX(('Leave Register'!$B$6:$B$305=$A26)*('Leave Register'!$E$6:$E$305&lt;=AC$5)*('Leave Register'!$F$6:$F$305&gt;=AC$5)*('Leave Register'!$J$6:$J$305="Approved")*(ROW('Leave Register'!$B$6:$B$305)-5)))=0,"",INDEX('Leave Register'!$D$6:$D$305,SUMPRODUCT(MAX(('Leave Register'!$B$6:$B$305=$A26)*('Leave Register'!$E$6:$E$305&lt;=AC$5)*('Leave Register'!$F$6:$F$305&gt;=AC$5)*('Leave Register'!$J$6:$J$305="Approved")*(ROW('Leave Register'!$B$6:$B$305)-5))))))</f>
        <v/>
      </c>
      <c r="AD26" s="83" t="str">
        <f aca="false">IF(OR($A26="",AD$5="",AD$7&lt;&gt;"W"),"",IF(SUMPRODUCT(MAX(('Leave Register'!$B$6:$B$305=$A26)*('Leave Register'!$E$6:$E$305&lt;=AD$5)*('Leave Register'!$F$6:$F$305&gt;=AD$5)*('Leave Register'!$J$6:$J$305="Approved")*(ROW('Leave Register'!$B$6:$B$305)-5)))=0,"",INDEX('Leave Register'!$D$6:$D$305,SUMPRODUCT(MAX(('Leave Register'!$B$6:$B$305=$A26)*('Leave Register'!$E$6:$E$305&lt;=AD$5)*('Leave Register'!$F$6:$F$305&gt;=AD$5)*('Leave Register'!$J$6:$J$305="Approved")*(ROW('Leave Register'!$B$6:$B$305)-5))))))</f>
        <v/>
      </c>
      <c r="AE26" s="83" t="str">
        <f aca="false">IF(OR($A26="",AE$5="",AE$7&lt;&gt;"W"),"",IF(SUMPRODUCT(MAX(('Leave Register'!$B$6:$B$305=$A26)*('Leave Register'!$E$6:$E$305&lt;=AE$5)*('Leave Register'!$F$6:$F$305&gt;=AE$5)*('Leave Register'!$J$6:$J$305="Approved")*(ROW('Leave Register'!$B$6:$B$305)-5)))=0,"",INDEX('Leave Register'!$D$6:$D$305,SUMPRODUCT(MAX(('Leave Register'!$B$6:$B$305=$A26)*('Leave Register'!$E$6:$E$305&lt;=AE$5)*('Leave Register'!$F$6:$F$305&gt;=AE$5)*('Leave Register'!$J$6:$J$305="Approved")*(ROW('Leave Register'!$B$6:$B$305)-5))))))</f>
        <v/>
      </c>
      <c r="AF26" s="83" t="str">
        <f aca="false">IF(OR($A26="",AF$5="",AF$7&lt;&gt;"W"),"",IF(SUMPRODUCT(MAX(('Leave Register'!$B$6:$B$305=$A26)*('Leave Register'!$E$6:$E$305&lt;=AF$5)*('Leave Register'!$F$6:$F$305&gt;=AF$5)*('Leave Register'!$J$6:$J$305="Approved")*(ROW('Leave Register'!$B$6:$B$305)-5)))=0,"",INDEX('Leave Register'!$D$6:$D$305,SUMPRODUCT(MAX(('Leave Register'!$B$6:$B$305=$A26)*('Leave Register'!$E$6:$E$305&lt;=AF$5)*('Leave Register'!$F$6:$F$305&gt;=AF$5)*('Leave Register'!$J$6:$J$305="Approved")*(ROW('Leave Register'!$B$6:$B$305)-5))))))</f>
        <v/>
      </c>
      <c r="AG26" s="83" t="str">
        <f aca="false">IF(OR($A26="",AG$5="",AG$7&lt;&gt;"W"),"",IF(SUMPRODUCT(MAX(('Leave Register'!$B$6:$B$305=$A26)*('Leave Register'!$E$6:$E$305&lt;=AG$5)*('Leave Register'!$F$6:$F$305&gt;=AG$5)*('Leave Register'!$J$6:$J$305="Approved")*(ROW('Leave Register'!$B$6:$B$305)-5)))=0,"",INDEX('Leave Register'!$D$6:$D$305,SUMPRODUCT(MAX(('Leave Register'!$B$6:$B$305=$A26)*('Leave Register'!$E$6:$E$305&lt;=AG$5)*('Leave Register'!$F$6:$F$305&gt;=AG$5)*('Leave Register'!$J$6:$J$305="Approved")*(ROW('Leave Register'!$B$6:$B$305)-5))))))</f>
        <v/>
      </c>
      <c r="AH26" s="84" t="str">
        <f aca="false">IF(A26="","",COUNTIF(C26:AG26,"?*"))</f>
        <v/>
      </c>
    </row>
    <row r="27" customFormat="false" ht="15" hidden="false" customHeight="false" outlineLevel="0" collapsed="false">
      <c r="A27" s="81" t="str">
        <f aca="false">IF(Employees!$B$24="","",Employees!$B$24)</f>
        <v/>
      </c>
      <c r="B27" s="82" t="str">
        <f aca="false">IF(A27="","",Employees!$C$24)</f>
        <v/>
      </c>
      <c r="C27" s="83" t="str">
        <f aca="false">IF(OR($A27="",C$5="",C$7&lt;&gt;"W"),"",IF(SUMPRODUCT(MAX(('Leave Register'!$B$6:$B$305=$A27)*('Leave Register'!$E$6:$E$305&lt;=C$5)*('Leave Register'!$F$6:$F$305&gt;=C$5)*('Leave Register'!$J$6:$J$305="Approved")*(ROW('Leave Register'!$B$6:$B$305)-5)))=0,"",INDEX('Leave Register'!$D$6:$D$305,SUMPRODUCT(MAX(('Leave Register'!$B$6:$B$305=$A27)*('Leave Register'!$E$6:$E$305&lt;=C$5)*('Leave Register'!$F$6:$F$305&gt;=C$5)*('Leave Register'!$J$6:$J$305="Approved")*(ROW('Leave Register'!$B$6:$B$305)-5))))))</f>
        <v/>
      </c>
      <c r="D27" s="83" t="str">
        <f aca="false">IF(OR($A27="",D$5="",D$7&lt;&gt;"W"),"",IF(SUMPRODUCT(MAX(('Leave Register'!$B$6:$B$305=$A27)*('Leave Register'!$E$6:$E$305&lt;=D$5)*('Leave Register'!$F$6:$F$305&gt;=D$5)*('Leave Register'!$J$6:$J$305="Approved")*(ROW('Leave Register'!$B$6:$B$305)-5)))=0,"",INDEX('Leave Register'!$D$6:$D$305,SUMPRODUCT(MAX(('Leave Register'!$B$6:$B$305=$A27)*('Leave Register'!$E$6:$E$305&lt;=D$5)*('Leave Register'!$F$6:$F$305&gt;=D$5)*('Leave Register'!$J$6:$J$305="Approved")*(ROW('Leave Register'!$B$6:$B$305)-5))))))</f>
        <v/>
      </c>
      <c r="E27" s="83" t="str">
        <f aca="false">IF(OR($A27="",E$5="",E$7&lt;&gt;"W"),"",IF(SUMPRODUCT(MAX(('Leave Register'!$B$6:$B$305=$A27)*('Leave Register'!$E$6:$E$305&lt;=E$5)*('Leave Register'!$F$6:$F$305&gt;=E$5)*('Leave Register'!$J$6:$J$305="Approved")*(ROW('Leave Register'!$B$6:$B$305)-5)))=0,"",INDEX('Leave Register'!$D$6:$D$305,SUMPRODUCT(MAX(('Leave Register'!$B$6:$B$305=$A27)*('Leave Register'!$E$6:$E$305&lt;=E$5)*('Leave Register'!$F$6:$F$305&gt;=E$5)*('Leave Register'!$J$6:$J$305="Approved")*(ROW('Leave Register'!$B$6:$B$305)-5))))))</f>
        <v/>
      </c>
      <c r="F27" s="83" t="str">
        <f aca="false">IF(OR($A27="",F$5="",F$7&lt;&gt;"W"),"",IF(SUMPRODUCT(MAX(('Leave Register'!$B$6:$B$305=$A27)*('Leave Register'!$E$6:$E$305&lt;=F$5)*('Leave Register'!$F$6:$F$305&gt;=F$5)*('Leave Register'!$J$6:$J$305="Approved")*(ROW('Leave Register'!$B$6:$B$305)-5)))=0,"",INDEX('Leave Register'!$D$6:$D$305,SUMPRODUCT(MAX(('Leave Register'!$B$6:$B$305=$A27)*('Leave Register'!$E$6:$E$305&lt;=F$5)*('Leave Register'!$F$6:$F$305&gt;=F$5)*('Leave Register'!$J$6:$J$305="Approved")*(ROW('Leave Register'!$B$6:$B$305)-5))))))</f>
        <v/>
      </c>
      <c r="G27" s="83" t="str">
        <f aca="false">IF(OR($A27="",G$5="",G$7&lt;&gt;"W"),"",IF(SUMPRODUCT(MAX(('Leave Register'!$B$6:$B$305=$A27)*('Leave Register'!$E$6:$E$305&lt;=G$5)*('Leave Register'!$F$6:$F$305&gt;=G$5)*('Leave Register'!$J$6:$J$305="Approved")*(ROW('Leave Register'!$B$6:$B$305)-5)))=0,"",INDEX('Leave Register'!$D$6:$D$305,SUMPRODUCT(MAX(('Leave Register'!$B$6:$B$305=$A27)*('Leave Register'!$E$6:$E$305&lt;=G$5)*('Leave Register'!$F$6:$F$305&gt;=G$5)*('Leave Register'!$J$6:$J$305="Approved")*(ROW('Leave Register'!$B$6:$B$305)-5))))))</f>
        <v/>
      </c>
      <c r="H27" s="83" t="str">
        <f aca="false">IF(OR($A27="",H$5="",H$7&lt;&gt;"W"),"",IF(SUMPRODUCT(MAX(('Leave Register'!$B$6:$B$305=$A27)*('Leave Register'!$E$6:$E$305&lt;=H$5)*('Leave Register'!$F$6:$F$305&gt;=H$5)*('Leave Register'!$J$6:$J$305="Approved")*(ROW('Leave Register'!$B$6:$B$305)-5)))=0,"",INDEX('Leave Register'!$D$6:$D$305,SUMPRODUCT(MAX(('Leave Register'!$B$6:$B$305=$A27)*('Leave Register'!$E$6:$E$305&lt;=H$5)*('Leave Register'!$F$6:$F$305&gt;=H$5)*('Leave Register'!$J$6:$J$305="Approved")*(ROW('Leave Register'!$B$6:$B$305)-5))))))</f>
        <v/>
      </c>
      <c r="I27" s="83" t="str">
        <f aca="false">IF(OR($A27="",I$5="",I$7&lt;&gt;"W"),"",IF(SUMPRODUCT(MAX(('Leave Register'!$B$6:$B$305=$A27)*('Leave Register'!$E$6:$E$305&lt;=I$5)*('Leave Register'!$F$6:$F$305&gt;=I$5)*('Leave Register'!$J$6:$J$305="Approved")*(ROW('Leave Register'!$B$6:$B$305)-5)))=0,"",INDEX('Leave Register'!$D$6:$D$305,SUMPRODUCT(MAX(('Leave Register'!$B$6:$B$305=$A27)*('Leave Register'!$E$6:$E$305&lt;=I$5)*('Leave Register'!$F$6:$F$305&gt;=I$5)*('Leave Register'!$J$6:$J$305="Approved")*(ROW('Leave Register'!$B$6:$B$305)-5))))))</f>
        <v/>
      </c>
      <c r="J27" s="83" t="str">
        <f aca="false">IF(OR($A27="",J$5="",J$7&lt;&gt;"W"),"",IF(SUMPRODUCT(MAX(('Leave Register'!$B$6:$B$305=$A27)*('Leave Register'!$E$6:$E$305&lt;=J$5)*('Leave Register'!$F$6:$F$305&gt;=J$5)*('Leave Register'!$J$6:$J$305="Approved")*(ROW('Leave Register'!$B$6:$B$305)-5)))=0,"",INDEX('Leave Register'!$D$6:$D$305,SUMPRODUCT(MAX(('Leave Register'!$B$6:$B$305=$A27)*('Leave Register'!$E$6:$E$305&lt;=J$5)*('Leave Register'!$F$6:$F$305&gt;=J$5)*('Leave Register'!$J$6:$J$305="Approved")*(ROW('Leave Register'!$B$6:$B$305)-5))))))</f>
        <v/>
      </c>
      <c r="K27" s="83" t="str">
        <f aca="false">IF(OR($A27="",K$5="",K$7&lt;&gt;"W"),"",IF(SUMPRODUCT(MAX(('Leave Register'!$B$6:$B$305=$A27)*('Leave Register'!$E$6:$E$305&lt;=K$5)*('Leave Register'!$F$6:$F$305&gt;=K$5)*('Leave Register'!$J$6:$J$305="Approved")*(ROW('Leave Register'!$B$6:$B$305)-5)))=0,"",INDEX('Leave Register'!$D$6:$D$305,SUMPRODUCT(MAX(('Leave Register'!$B$6:$B$305=$A27)*('Leave Register'!$E$6:$E$305&lt;=K$5)*('Leave Register'!$F$6:$F$305&gt;=K$5)*('Leave Register'!$J$6:$J$305="Approved")*(ROW('Leave Register'!$B$6:$B$305)-5))))))</f>
        <v/>
      </c>
      <c r="L27" s="83" t="str">
        <f aca="false">IF(OR($A27="",L$5="",L$7&lt;&gt;"W"),"",IF(SUMPRODUCT(MAX(('Leave Register'!$B$6:$B$305=$A27)*('Leave Register'!$E$6:$E$305&lt;=L$5)*('Leave Register'!$F$6:$F$305&gt;=L$5)*('Leave Register'!$J$6:$J$305="Approved")*(ROW('Leave Register'!$B$6:$B$305)-5)))=0,"",INDEX('Leave Register'!$D$6:$D$305,SUMPRODUCT(MAX(('Leave Register'!$B$6:$B$305=$A27)*('Leave Register'!$E$6:$E$305&lt;=L$5)*('Leave Register'!$F$6:$F$305&gt;=L$5)*('Leave Register'!$J$6:$J$305="Approved")*(ROW('Leave Register'!$B$6:$B$305)-5))))))</f>
        <v/>
      </c>
      <c r="M27" s="83" t="str">
        <f aca="false">IF(OR($A27="",M$5="",M$7&lt;&gt;"W"),"",IF(SUMPRODUCT(MAX(('Leave Register'!$B$6:$B$305=$A27)*('Leave Register'!$E$6:$E$305&lt;=M$5)*('Leave Register'!$F$6:$F$305&gt;=M$5)*('Leave Register'!$J$6:$J$305="Approved")*(ROW('Leave Register'!$B$6:$B$305)-5)))=0,"",INDEX('Leave Register'!$D$6:$D$305,SUMPRODUCT(MAX(('Leave Register'!$B$6:$B$305=$A27)*('Leave Register'!$E$6:$E$305&lt;=M$5)*('Leave Register'!$F$6:$F$305&gt;=M$5)*('Leave Register'!$J$6:$J$305="Approved")*(ROW('Leave Register'!$B$6:$B$305)-5))))))</f>
        <v/>
      </c>
      <c r="N27" s="83" t="str">
        <f aca="false">IF(OR($A27="",N$5="",N$7&lt;&gt;"W"),"",IF(SUMPRODUCT(MAX(('Leave Register'!$B$6:$B$305=$A27)*('Leave Register'!$E$6:$E$305&lt;=N$5)*('Leave Register'!$F$6:$F$305&gt;=N$5)*('Leave Register'!$J$6:$J$305="Approved")*(ROW('Leave Register'!$B$6:$B$305)-5)))=0,"",INDEX('Leave Register'!$D$6:$D$305,SUMPRODUCT(MAX(('Leave Register'!$B$6:$B$305=$A27)*('Leave Register'!$E$6:$E$305&lt;=N$5)*('Leave Register'!$F$6:$F$305&gt;=N$5)*('Leave Register'!$J$6:$J$305="Approved")*(ROW('Leave Register'!$B$6:$B$305)-5))))))</f>
        <v/>
      </c>
      <c r="O27" s="83" t="str">
        <f aca="false">IF(OR($A27="",O$5="",O$7&lt;&gt;"W"),"",IF(SUMPRODUCT(MAX(('Leave Register'!$B$6:$B$305=$A27)*('Leave Register'!$E$6:$E$305&lt;=O$5)*('Leave Register'!$F$6:$F$305&gt;=O$5)*('Leave Register'!$J$6:$J$305="Approved")*(ROW('Leave Register'!$B$6:$B$305)-5)))=0,"",INDEX('Leave Register'!$D$6:$D$305,SUMPRODUCT(MAX(('Leave Register'!$B$6:$B$305=$A27)*('Leave Register'!$E$6:$E$305&lt;=O$5)*('Leave Register'!$F$6:$F$305&gt;=O$5)*('Leave Register'!$J$6:$J$305="Approved")*(ROW('Leave Register'!$B$6:$B$305)-5))))))</f>
        <v/>
      </c>
      <c r="P27" s="83" t="str">
        <f aca="false">IF(OR($A27="",P$5="",P$7&lt;&gt;"W"),"",IF(SUMPRODUCT(MAX(('Leave Register'!$B$6:$B$305=$A27)*('Leave Register'!$E$6:$E$305&lt;=P$5)*('Leave Register'!$F$6:$F$305&gt;=P$5)*('Leave Register'!$J$6:$J$305="Approved")*(ROW('Leave Register'!$B$6:$B$305)-5)))=0,"",INDEX('Leave Register'!$D$6:$D$305,SUMPRODUCT(MAX(('Leave Register'!$B$6:$B$305=$A27)*('Leave Register'!$E$6:$E$305&lt;=P$5)*('Leave Register'!$F$6:$F$305&gt;=P$5)*('Leave Register'!$J$6:$J$305="Approved")*(ROW('Leave Register'!$B$6:$B$305)-5))))))</f>
        <v/>
      </c>
      <c r="Q27" s="83" t="str">
        <f aca="false">IF(OR($A27="",Q$5="",Q$7&lt;&gt;"W"),"",IF(SUMPRODUCT(MAX(('Leave Register'!$B$6:$B$305=$A27)*('Leave Register'!$E$6:$E$305&lt;=Q$5)*('Leave Register'!$F$6:$F$305&gt;=Q$5)*('Leave Register'!$J$6:$J$305="Approved")*(ROW('Leave Register'!$B$6:$B$305)-5)))=0,"",INDEX('Leave Register'!$D$6:$D$305,SUMPRODUCT(MAX(('Leave Register'!$B$6:$B$305=$A27)*('Leave Register'!$E$6:$E$305&lt;=Q$5)*('Leave Register'!$F$6:$F$305&gt;=Q$5)*('Leave Register'!$J$6:$J$305="Approved")*(ROW('Leave Register'!$B$6:$B$305)-5))))))</f>
        <v/>
      </c>
      <c r="R27" s="83" t="str">
        <f aca="false">IF(OR($A27="",R$5="",R$7&lt;&gt;"W"),"",IF(SUMPRODUCT(MAX(('Leave Register'!$B$6:$B$305=$A27)*('Leave Register'!$E$6:$E$305&lt;=R$5)*('Leave Register'!$F$6:$F$305&gt;=R$5)*('Leave Register'!$J$6:$J$305="Approved")*(ROW('Leave Register'!$B$6:$B$305)-5)))=0,"",INDEX('Leave Register'!$D$6:$D$305,SUMPRODUCT(MAX(('Leave Register'!$B$6:$B$305=$A27)*('Leave Register'!$E$6:$E$305&lt;=R$5)*('Leave Register'!$F$6:$F$305&gt;=R$5)*('Leave Register'!$J$6:$J$305="Approved")*(ROW('Leave Register'!$B$6:$B$305)-5))))))</f>
        <v/>
      </c>
      <c r="S27" s="83" t="str">
        <f aca="false">IF(OR($A27="",S$5="",S$7&lt;&gt;"W"),"",IF(SUMPRODUCT(MAX(('Leave Register'!$B$6:$B$305=$A27)*('Leave Register'!$E$6:$E$305&lt;=S$5)*('Leave Register'!$F$6:$F$305&gt;=S$5)*('Leave Register'!$J$6:$J$305="Approved")*(ROW('Leave Register'!$B$6:$B$305)-5)))=0,"",INDEX('Leave Register'!$D$6:$D$305,SUMPRODUCT(MAX(('Leave Register'!$B$6:$B$305=$A27)*('Leave Register'!$E$6:$E$305&lt;=S$5)*('Leave Register'!$F$6:$F$305&gt;=S$5)*('Leave Register'!$J$6:$J$305="Approved")*(ROW('Leave Register'!$B$6:$B$305)-5))))))</f>
        <v/>
      </c>
      <c r="T27" s="83" t="str">
        <f aca="false">IF(OR($A27="",T$5="",T$7&lt;&gt;"W"),"",IF(SUMPRODUCT(MAX(('Leave Register'!$B$6:$B$305=$A27)*('Leave Register'!$E$6:$E$305&lt;=T$5)*('Leave Register'!$F$6:$F$305&gt;=T$5)*('Leave Register'!$J$6:$J$305="Approved")*(ROW('Leave Register'!$B$6:$B$305)-5)))=0,"",INDEX('Leave Register'!$D$6:$D$305,SUMPRODUCT(MAX(('Leave Register'!$B$6:$B$305=$A27)*('Leave Register'!$E$6:$E$305&lt;=T$5)*('Leave Register'!$F$6:$F$305&gt;=T$5)*('Leave Register'!$J$6:$J$305="Approved")*(ROW('Leave Register'!$B$6:$B$305)-5))))))</f>
        <v/>
      </c>
      <c r="U27" s="83" t="str">
        <f aca="false">IF(OR($A27="",U$5="",U$7&lt;&gt;"W"),"",IF(SUMPRODUCT(MAX(('Leave Register'!$B$6:$B$305=$A27)*('Leave Register'!$E$6:$E$305&lt;=U$5)*('Leave Register'!$F$6:$F$305&gt;=U$5)*('Leave Register'!$J$6:$J$305="Approved")*(ROW('Leave Register'!$B$6:$B$305)-5)))=0,"",INDEX('Leave Register'!$D$6:$D$305,SUMPRODUCT(MAX(('Leave Register'!$B$6:$B$305=$A27)*('Leave Register'!$E$6:$E$305&lt;=U$5)*('Leave Register'!$F$6:$F$305&gt;=U$5)*('Leave Register'!$J$6:$J$305="Approved")*(ROW('Leave Register'!$B$6:$B$305)-5))))))</f>
        <v/>
      </c>
      <c r="V27" s="83" t="str">
        <f aca="false">IF(OR($A27="",V$5="",V$7&lt;&gt;"W"),"",IF(SUMPRODUCT(MAX(('Leave Register'!$B$6:$B$305=$A27)*('Leave Register'!$E$6:$E$305&lt;=V$5)*('Leave Register'!$F$6:$F$305&gt;=V$5)*('Leave Register'!$J$6:$J$305="Approved")*(ROW('Leave Register'!$B$6:$B$305)-5)))=0,"",INDEX('Leave Register'!$D$6:$D$305,SUMPRODUCT(MAX(('Leave Register'!$B$6:$B$305=$A27)*('Leave Register'!$E$6:$E$305&lt;=V$5)*('Leave Register'!$F$6:$F$305&gt;=V$5)*('Leave Register'!$J$6:$J$305="Approved")*(ROW('Leave Register'!$B$6:$B$305)-5))))))</f>
        <v/>
      </c>
      <c r="W27" s="83" t="str">
        <f aca="false">IF(OR($A27="",W$5="",W$7&lt;&gt;"W"),"",IF(SUMPRODUCT(MAX(('Leave Register'!$B$6:$B$305=$A27)*('Leave Register'!$E$6:$E$305&lt;=W$5)*('Leave Register'!$F$6:$F$305&gt;=W$5)*('Leave Register'!$J$6:$J$305="Approved")*(ROW('Leave Register'!$B$6:$B$305)-5)))=0,"",INDEX('Leave Register'!$D$6:$D$305,SUMPRODUCT(MAX(('Leave Register'!$B$6:$B$305=$A27)*('Leave Register'!$E$6:$E$305&lt;=W$5)*('Leave Register'!$F$6:$F$305&gt;=W$5)*('Leave Register'!$J$6:$J$305="Approved")*(ROW('Leave Register'!$B$6:$B$305)-5))))))</f>
        <v/>
      </c>
      <c r="X27" s="83" t="str">
        <f aca="false">IF(OR($A27="",X$5="",X$7&lt;&gt;"W"),"",IF(SUMPRODUCT(MAX(('Leave Register'!$B$6:$B$305=$A27)*('Leave Register'!$E$6:$E$305&lt;=X$5)*('Leave Register'!$F$6:$F$305&gt;=X$5)*('Leave Register'!$J$6:$J$305="Approved")*(ROW('Leave Register'!$B$6:$B$305)-5)))=0,"",INDEX('Leave Register'!$D$6:$D$305,SUMPRODUCT(MAX(('Leave Register'!$B$6:$B$305=$A27)*('Leave Register'!$E$6:$E$305&lt;=X$5)*('Leave Register'!$F$6:$F$305&gt;=X$5)*('Leave Register'!$J$6:$J$305="Approved")*(ROW('Leave Register'!$B$6:$B$305)-5))))))</f>
        <v/>
      </c>
      <c r="Y27" s="83" t="str">
        <f aca="false">IF(OR($A27="",Y$5="",Y$7&lt;&gt;"W"),"",IF(SUMPRODUCT(MAX(('Leave Register'!$B$6:$B$305=$A27)*('Leave Register'!$E$6:$E$305&lt;=Y$5)*('Leave Register'!$F$6:$F$305&gt;=Y$5)*('Leave Register'!$J$6:$J$305="Approved")*(ROW('Leave Register'!$B$6:$B$305)-5)))=0,"",INDEX('Leave Register'!$D$6:$D$305,SUMPRODUCT(MAX(('Leave Register'!$B$6:$B$305=$A27)*('Leave Register'!$E$6:$E$305&lt;=Y$5)*('Leave Register'!$F$6:$F$305&gt;=Y$5)*('Leave Register'!$J$6:$J$305="Approved")*(ROW('Leave Register'!$B$6:$B$305)-5))))))</f>
        <v/>
      </c>
      <c r="Z27" s="83" t="str">
        <f aca="false">IF(OR($A27="",Z$5="",Z$7&lt;&gt;"W"),"",IF(SUMPRODUCT(MAX(('Leave Register'!$B$6:$B$305=$A27)*('Leave Register'!$E$6:$E$305&lt;=Z$5)*('Leave Register'!$F$6:$F$305&gt;=Z$5)*('Leave Register'!$J$6:$J$305="Approved")*(ROW('Leave Register'!$B$6:$B$305)-5)))=0,"",INDEX('Leave Register'!$D$6:$D$305,SUMPRODUCT(MAX(('Leave Register'!$B$6:$B$305=$A27)*('Leave Register'!$E$6:$E$305&lt;=Z$5)*('Leave Register'!$F$6:$F$305&gt;=Z$5)*('Leave Register'!$J$6:$J$305="Approved")*(ROW('Leave Register'!$B$6:$B$305)-5))))))</f>
        <v/>
      </c>
      <c r="AA27" s="83" t="str">
        <f aca="false">IF(OR($A27="",AA$5="",AA$7&lt;&gt;"W"),"",IF(SUMPRODUCT(MAX(('Leave Register'!$B$6:$B$305=$A27)*('Leave Register'!$E$6:$E$305&lt;=AA$5)*('Leave Register'!$F$6:$F$305&gt;=AA$5)*('Leave Register'!$J$6:$J$305="Approved")*(ROW('Leave Register'!$B$6:$B$305)-5)))=0,"",INDEX('Leave Register'!$D$6:$D$305,SUMPRODUCT(MAX(('Leave Register'!$B$6:$B$305=$A27)*('Leave Register'!$E$6:$E$305&lt;=AA$5)*('Leave Register'!$F$6:$F$305&gt;=AA$5)*('Leave Register'!$J$6:$J$305="Approved")*(ROW('Leave Register'!$B$6:$B$305)-5))))))</f>
        <v/>
      </c>
      <c r="AB27" s="83" t="str">
        <f aca="false">IF(OR($A27="",AB$5="",AB$7&lt;&gt;"W"),"",IF(SUMPRODUCT(MAX(('Leave Register'!$B$6:$B$305=$A27)*('Leave Register'!$E$6:$E$305&lt;=AB$5)*('Leave Register'!$F$6:$F$305&gt;=AB$5)*('Leave Register'!$J$6:$J$305="Approved")*(ROW('Leave Register'!$B$6:$B$305)-5)))=0,"",INDEX('Leave Register'!$D$6:$D$305,SUMPRODUCT(MAX(('Leave Register'!$B$6:$B$305=$A27)*('Leave Register'!$E$6:$E$305&lt;=AB$5)*('Leave Register'!$F$6:$F$305&gt;=AB$5)*('Leave Register'!$J$6:$J$305="Approved")*(ROW('Leave Register'!$B$6:$B$305)-5))))))</f>
        <v/>
      </c>
      <c r="AC27" s="83" t="str">
        <f aca="false">IF(OR($A27="",AC$5="",AC$7&lt;&gt;"W"),"",IF(SUMPRODUCT(MAX(('Leave Register'!$B$6:$B$305=$A27)*('Leave Register'!$E$6:$E$305&lt;=AC$5)*('Leave Register'!$F$6:$F$305&gt;=AC$5)*('Leave Register'!$J$6:$J$305="Approved")*(ROW('Leave Register'!$B$6:$B$305)-5)))=0,"",INDEX('Leave Register'!$D$6:$D$305,SUMPRODUCT(MAX(('Leave Register'!$B$6:$B$305=$A27)*('Leave Register'!$E$6:$E$305&lt;=AC$5)*('Leave Register'!$F$6:$F$305&gt;=AC$5)*('Leave Register'!$J$6:$J$305="Approved")*(ROW('Leave Register'!$B$6:$B$305)-5))))))</f>
        <v/>
      </c>
      <c r="AD27" s="83" t="str">
        <f aca="false">IF(OR($A27="",AD$5="",AD$7&lt;&gt;"W"),"",IF(SUMPRODUCT(MAX(('Leave Register'!$B$6:$B$305=$A27)*('Leave Register'!$E$6:$E$305&lt;=AD$5)*('Leave Register'!$F$6:$F$305&gt;=AD$5)*('Leave Register'!$J$6:$J$305="Approved")*(ROW('Leave Register'!$B$6:$B$305)-5)))=0,"",INDEX('Leave Register'!$D$6:$D$305,SUMPRODUCT(MAX(('Leave Register'!$B$6:$B$305=$A27)*('Leave Register'!$E$6:$E$305&lt;=AD$5)*('Leave Register'!$F$6:$F$305&gt;=AD$5)*('Leave Register'!$J$6:$J$305="Approved")*(ROW('Leave Register'!$B$6:$B$305)-5))))))</f>
        <v/>
      </c>
      <c r="AE27" s="83" t="str">
        <f aca="false">IF(OR($A27="",AE$5="",AE$7&lt;&gt;"W"),"",IF(SUMPRODUCT(MAX(('Leave Register'!$B$6:$B$305=$A27)*('Leave Register'!$E$6:$E$305&lt;=AE$5)*('Leave Register'!$F$6:$F$305&gt;=AE$5)*('Leave Register'!$J$6:$J$305="Approved")*(ROW('Leave Register'!$B$6:$B$305)-5)))=0,"",INDEX('Leave Register'!$D$6:$D$305,SUMPRODUCT(MAX(('Leave Register'!$B$6:$B$305=$A27)*('Leave Register'!$E$6:$E$305&lt;=AE$5)*('Leave Register'!$F$6:$F$305&gt;=AE$5)*('Leave Register'!$J$6:$J$305="Approved")*(ROW('Leave Register'!$B$6:$B$305)-5))))))</f>
        <v/>
      </c>
      <c r="AF27" s="83" t="str">
        <f aca="false">IF(OR($A27="",AF$5="",AF$7&lt;&gt;"W"),"",IF(SUMPRODUCT(MAX(('Leave Register'!$B$6:$B$305=$A27)*('Leave Register'!$E$6:$E$305&lt;=AF$5)*('Leave Register'!$F$6:$F$305&gt;=AF$5)*('Leave Register'!$J$6:$J$305="Approved")*(ROW('Leave Register'!$B$6:$B$305)-5)))=0,"",INDEX('Leave Register'!$D$6:$D$305,SUMPRODUCT(MAX(('Leave Register'!$B$6:$B$305=$A27)*('Leave Register'!$E$6:$E$305&lt;=AF$5)*('Leave Register'!$F$6:$F$305&gt;=AF$5)*('Leave Register'!$J$6:$J$305="Approved")*(ROW('Leave Register'!$B$6:$B$305)-5))))))</f>
        <v/>
      </c>
      <c r="AG27" s="83" t="str">
        <f aca="false">IF(OR($A27="",AG$5="",AG$7&lt;&gt;"W"),"",IF(SUMPRODUCT(MAX(('Leave Register'!$B$6:$B$305=$A27)*('Leave Register'!$E$6:$E$305&lt;=AG$5)*('Leave Register'!$F$6:$F$305&gt;=AG$5)*('Leave Register'!$J$6:$J$305="Approved")*(ROW('Leave Register'!$B$6:$B$305)-5)))=0,"",INDEX('Leave Register'!$D$6:$D$305,SUMPRODUCT(MAX(('Leave Register'!$B$6:$B$305=$A27)*('Leave Register'!$E$6:$E$305&lt;=AG$5)*('Leave Register'!$F$6:$F$305&gt;=AG$5)*('Leave Register'!$J$6:$J$305="Approved")*(ROW('Leave Register'!$B$6:$B$305)-5))))))</f>
        <v/>
      </c>
      <c r="AH27" s="84" t="str">
        <f aca="false">IF(A27="","",COUNTIF(C27:AG27,"?*"))</f>
        <v/>
      </c>
    </row>
    <row r="28" customFormat="false" ht="15" hidden="false" customHeight="false" outlineLevel="0" collapsed="false">
      <c r="A28" s="81" t="str">
        <f aca="false">IF(Employees!$B$25="","",Employees!$B$25)</f>
        <v/>
      </c>
      <c r="B28" s="82" t="str">
        <f aca="false">IF(A28="","",Employees!$C$25)</f>
        <v/>
      </c>
      <c r="C28" s="83" t="str">
        <f aca="false">IF(OR($A28="",C$5="",C$7&lt;&gt;"W"),"",IF(SUMPRODUCT(MAX(('Leave Register'!$B$6:$B$305=$A28)*('Leave Register'!$E$6:$E$305&lt;=C$5)*('Leave Register'!$F$6:$F$305&gt;=C$5)*('Leave Register'!$J$6:$J$305="Approved")*(ROW('Leave Register'!$B$6:$B$305)-5)))=0,"",INDEX('Leave Register'!$D$6:$D$305,SUMPRODUCT(MAX(('Leave Register'!$B$6:$B$305=$A28)*('Leave Register'!$E$6:$E$305&lt;=C$5)*('Leave Register'!$F$6:$F$305&gt;=C$5)*('Leave Register'!$J$6:$J$305="Approved")*(ROW('Leave Register'!$B$6:$B$305)-5))))))</f>
        <v/>
      </c>
      <c r="D28" s="83" t="str">
        <f aca="false">IF(OR($A28="",D$5="",D$7&lt;&gt;"W"),"",IF(SUMPRODUCT(MAX(('Leave Register'!$B$6:$B$305=$A28)*('Leave Register'!$E$6:$E$305&lt;=D$5)*('Leave Register'!$F$6:$F$305&gt;=D$5)*('Leave Register'!$J$6:$J$305="Approved")*(ROW('Leave Register'!$B$6:$B$305)-5)))=0,"",INDEX('Leave Register'!$D$6:$D$305,SUMPRODUCT(MAX(('Leave Register'!$B$6:$B$305=$A28)*('Leave Register'!$E$6:$E$305&lt;=D$5)*('Leave Register'!$F$6:$F$305&gt;=D$5)*('Leave Register'!$J$6:$J$305="Approved")*(ROW('Leave Register'!$B$6:$B$305)-5))))))</f>
        <v/>
      </c>
      <c r="E28" s="83" t="str">
        <f aca="false">IF(OR($A28="",E$5="",E$7&lt;&gt;"W"),"",IF(SUMPRODUCT(MAX(('Leave Register'!$B$6:$B$305=$A28)*('Leave Register'!$E$6:$E$305&lt;=E$5)*('Leave Register'!$F$6:$F$305&gt;=E$5)*('Leave Register'!$J$6:$J$305="Approved")*(ROW('Leave Register'!$B$6:$B$305)-5)))=0,"",INDEX('Leave Register'!$D$6:$D$305,SUMPRODUCT(MAX(('Leave Register'!$B$6:$B$305=$A28)*('Leave Register'!$E$6:$E$305&lt;=E$5)*('Leave Register'!$F$6:$F$305&gt;=E$5)*('Leave Register'!$J$6:$J$305="Approved")*(ROW('Leave Register'!$B$6:$B$305)-5))))))</f>
        <v/>
      </c>
      <c r="F28" s="83" t="str">
        <f aca="false">IF(OR($A28="",F$5="",F$7&lt;&gt;"W"),"",IF(SUMPRODUCT(MAX(('Leave Register'!$B$6:$B$305=$A28)*('Leave Register'!$E$6:$E$305&lt;=F$5)*('Leave Register'!$F$6:$F$305&gt;=F$5)*('Leave Register'!$J$6:$J$305="Approved")*(ROW('Leave Register'!$B$6:$B$305)-5)))=0,"",INDEX('Leave Register'!$D$6:$D$305,SUMPRODUCT(MAX(('Leave Register'!$B$6:$B$305=$A28)*('Leave Register'!$E$6:$E$305&lt;=F$5)*('Leave Register'!$F$6:$F$305&gt;=F$5)*('Leave Register'!$J$6:$J$305="Approved")*(ROW('Leave Register'!$B$6:$B$305)-5))))))</f>
        <v/>
      </c>
      <c r="G28" s="83" t="str">
        <f aca="false">IF(OR($A28="",G$5="",G$7&lt;&gt;"W"),"",IF(SUMPRODUCT(MAX(('Leave Register'!$B$6:$B$305=$A28)*('Leave Register'!$E$6:$E$305&lt;=G$5)*('Leave Register'!$F$6:$F$305&gt;=G$5)*('Leave Register'!$J$6:$J$305="Approved")*(ROW('Leave Register'!$B$6:$B$305)-5)))=0,"",INDEX('Leave Register'!$D$6:$D$305,SUMPRODUCT(MAX(('Leave Register'!$B$6:$B$305=$A28)*('Leave Register'!$E$6:$E$305&lt;=G$5)*('Leave Register'!$F$6:$F$305&gt;=G$5)*('Leave Register'!$J$6:$J$305="Approved")*(ROW('Leave Register'!$B$6:$B$305)-5))))))</f>
        <v/>
      </c>
      <c r="H28" s="83" t="str">
        <f aca="false">IF(OR($A28="",H$5="",H$7&lt;&gt;"W"),"",IF(SUMPRODUCT(MAX(('Leave Register'!$B$6:$B$305=$A28)*('Leave Register'!$E$6:$E$305&lt;=H$5)*('Leave Register'!$F$6:$F$305&gt;=H$5)*('Leave Register'!$J$6:$J$305="Approved")*(ROW('Leave Register'!$B$6:$B$305)-5)))=0,"",INDEX('Leave Register'!$D$6:$D$305,SUMPRODUCT(MAX(('Leave Register'!$B$6:$B$305=$A28)*('Leave Register'!$E$6:$E$305&lt;=H$5)*('Leave Register'!$F$6:$F$305&gt;=H$5)*('Leave Register'!$J$6:$J$305="Approved")*(ROW('Leave Register'!$B$6:$B$305)-5))))))</f>
        <v/>
      </c>
      <c r="I28" s="83" t="str">
        <f aca="false">IF(OR($A28="",I$5="",I$7&lt;&gt;"W"),"",IF(SUMPRODUCT(MAX(('Leave Register'!$B$6:$B$305=$A28)*('Leave Register'!$E$6:$E$305&lt;=I$5)*('Leave Register'!$F$6:$F$305&gt;=I$5)*('Leave Register'!$J$6:$J$305="Approved")*(ROW('Leave Register'!$B$6:$B$305)-5)))=0,"",INDEX('Leave Register'!$D$6:$D$305,SUMPRODUCT(MAX(('Leave Register'!$B$6:$B$305=$A28)*('Leave Register'!$E$6:$E$305&lt;=I$5)*('Leave Register'!$F$6:$F$305&gt;=I$5)*('Leave Register'!$J$6:$J$305="Approved")*(ROW('Leave Register'!$B$6:$B$305)-5))))))</f>
        <v/>
      </c>
      <c r="J28" s="83" t="str">
        <f aca="false">IF(OR($A28="",J$5="",J$7&lt;&gt;"W"),"",IF(SUMPRODUCT(MAX(('Leave Register'!$B$6:$B$305=$A28)*('Leave Register'!$E$6:$E$305&lt;=J$5)*('Leave Register'!$F$6:$F$305&gt;=J$5)*('Leave Register'!$J$6:$J$305="Approved")*(ROW('Leave Register'!$B$6:$B$305)-5)))=0,"",INDEX('Leave Register'!$D$6:$D$305,SUMPRODUCT(MAX(('Leave Register'!$B$6:$B$305=$A28)*('Leave Register'!$E$6:$E$305&lt;=J$5)*('Leave Register'!$F$6:$F$305&gt;=J$5)*('Leave Register'!$J$6:$J$305="Approved")*(ROW('Leave Register'!$B$6:$B$305)-5))))))</f>
        <v/>
      </c>
      <c r="K28" s="83" t="str">
        <f aca="false">IF(OR($A28="",K$5="",K$7&lt;&gt;"W"),"",IF(SUMPRODUCT(MAX(('Leave Register'!$B$6:$B$305=$A28)*('Leave Register'!$E$6:$E$305&lt;=K$5)*('Leave Register'!$F$6:$F$305&gt;=K$5)*('Leave Register'!$J$6:$J$305="Approved")*(ROW('Leave Register'!$B$6:$B$305)-5)))=0,"",INDEX('Leave Register'!$D$6:$D$305,SUMPRODUCT(MAX(('Leave Register'!$B$6:$B$305=$A28)*('Leave Register'!$E$6:$E$305&lt;=K$5)*('Leave Register'!$F$6:$F$305&gt;=K$5)*('Leave Register'!$J$6:$J$305="Approved")*(ROW('Leave Register'!$B$6:$B$305)-5))))))</f>
        <v/>
      </c>
      <c r="L28" s="83" t="str">
        <f aca="false">IF(OR($A28="",L$5="",L$7&lt;&gt;"W"),"",IF(SUMPRODUCT(MAX(('Leave Register'!$B$6:$B$305=$A28)*('Leave Register'!$E$6:$E$305&lt;=L$5)*('Leave Register'!$F$6:$F$305&gt;=L$5)*('Leave Register'!$J$6:$J$305="Approved")*(ROW('Leave Register'!$B$6:$B$305)-5)))=0,"",INDEX('Leave Register'!$D$6:$D$305,SUMPRODUCT(MAX(('Leave Register'!$B$6:$B$305=$A28)*('Leave Register'!$E$6:$E$305&lt;=L$5)*('Leave Register'!$F$6:$F$305&gt;=L$5)*('Leave Register'!$J$6:$J$305="Approved")*(ROW('Leave Register'!$B$6:$B$305)-5))))))</f>
        <v/>
      </c>
      <c r="M28" s="83" t="str">
        <f aca="false">IF(OR($A28="",M$5="",M$7&lt;&gt;"W"),"",IF(SUMPRODUCT(MAX(('Leave Register'!$B$6:$B$305=$A28)*('Leave Register'!$E$6:$E$305&lt;=M$5)*('Leave Register'!$F$6:$F$305&gt;=M$5)*('Leave Register'!$J$6:$J$305="Approved")*(ROW('Leave Register'!$B$6:$B$305)-5)))=0,"",INDEX('Leave Register'!$D$6:$D$305,SUMPRODUCT(MAX(('Leave Register'!$B$6:$B$305=$A28)*('Leave Register'!$E$6:$E$305&lt;=M$5)*('Leave Register'!$F$6:$F$305&gt;=M$5)*('Leave Register'!$J$6:$J$305="Approved")*(ROW('Leave Register'!$B$6:$B$305)-5))))))</f>
        <v/>
      </c>
      <c r="N28" s="83" t="str">
        <f aca="false">IF(OR($A28="",N$5="",N$7&lt;&gt;"W"),"",IF(SUMPRODUCT(MAX(('Leave Register'!$B$6:$B$305=$A28)*('Leave Register'!$E$6:$E$305&lt;=N$5)*('Leave Register'!$F$6:$F$305&gt;=N$5)*('Leave Register'!$J$6:$J$305="Approved")*(ROW('Leave Register'!$B$6:$B$305)-5)))=0,"",INDEX('Leave Register'!$D$6:$D$305,SUMPRODUCT(MAX(('Leave Register'!$B$6:$B$305=$A28)*('Leave Register'!$E$6:$E$305&lt;=N$5)*('Leave Register'!$F$6:$F$305&gt;=N$5)*('Leave Register'!$J$6:$J$305="Approved")*(ROW('Leave Register'!$B$6:$B$305)-5))))))</f>
        <v/>
      </c>
      <c r="O28" s="83" t="str">
        <f aca="false">IF(OR($A28="",O$5="",O$7&lt;&gt;"W"),"",IF(SUMPRODUCT(MAX(('Leave Register'!$B$6:$B$305=$A28)*('Leave Register'!$E$6:$E$305&lt;=O$5)*('Leave Register'!$F$6:$F$305&gt;=O$5)*('Leave Register'!$J$6:$J$305="Approved")*(ROW('Leave Register'!$B$6:$B$305)-5)))=0,"",INDEX('Leave Register'!$D$6:$D$305,SUMPRODUCT(MAX(('Leave Register'!$B$6:$B$305=$A28)*('Leave Register'!$E$6:$E$305&lt;=O$5)*('Leave Register'!$F$6:$F$305&gt;=O$5)*('Leave Register'!$J$6:$J$305="Approved")*(ROW('Leave Register'!$B$6:$B$305)-5))))))</f>
        <v/>
      </c>
      <c r="P28" s="83" t="str">
        <f aca="false">IF(OR($A28="",P$5="",P$7&lt;&gt;"W"),"",IF(SUMPRODUCT(MAX(('Leave Register'!$B$6:$B$305=$A28)*('Leave Register'!$E$6:$E$305&lt;=P$5)*('Leave Register'!$F$6:$F$305&gt;=P$5)*('Leave Register'!$J$6:$J$305="Approved")*(ROW('Leave Register'!$B$6:$B$305)-5)))=0,"",INDEX('Leave Register'!$D$6:$D$305,SUMPRODUCT(MAX(('Leave Register'!$B$6:$B$305=$A28)*('Leave Register'!$E$6:$E$305&lt;=P$5)*('Leave Register'!$F$6:$F$305&gt;=P$5)*('Leave Register'!$J$6:$J$305="Approved")*(ROW('Leave Register'!$B$6:$B$305)-5))))))</f>
        <v/>
      </c>
      <c r="Q28" s="83" t="str">
        <f aca="false">IF(OR($A28="",Q$5="",Q$7&lt;&gt;"W"),"",IF(SUMPRODUCT(MAX(('Leave Register'!$B$6:$B$305=$A28)*('Leave Register'!$E$6:$E$305&lt;=Q$5)*('Leave Register'!$F$6:$F$305&gt;=Q$5)*('Leave Register'!$J$6:$J$305="Approved")*(ROW('Leave Register'!$B$6:$B$305)-5)))=0,"",INDEX('Leave Register'!$D$6:$D$305,SUMPRODUCT(MAX(('Leave Register'!$B$6:$B$305=$A28)*('Leave Register'!$E$6:$E$305&lt;=Q$5)*('Leave Register'!$F$6:$F$305&gt;=Q$5)*('Leave Register'!$J$6:$J$305="Approved")*(ROW('Leave Register'!$B$6:$B$305)-5))))))</f>
        <v/>
      </c>
      <c r="R28" s="83" t="str">
        <f aca="false">IF(OR($A28="",R$5="",R$7&lt;&gt;"W"),"",IF(SUMPRODUCT(MAX(('Leave Register'!$B$6:$B$305=$A28)*('Leave Register'!$E$6:$E$305&lt;=R$5)*('Leave Register'!$F$6:$F$305&gt;=R$5)*('Leave Register'!$J$6:$J$305="Approved")*(ROW('Leave Register'!$B$6:$B$305)-5)))=0,"",INDEX('Leave Register'!$D$6:$D$305,SUMPRODUCT(MAX(('Leave Register'!$B$6:$B$305=$A28)*('Leave Register'!$E$6:$E$305&lt;=R$5)*('Leave Register'!$F$6:$F$305&gt;=R$5)*('Leave Register'!$J$6:$J$305="Approved")*(ROW('Leave Register'!$B$6:$B$305)-5))))))</f>
        <v/>
      </c>
      <c r="S28" s="83" t="str">
        <f aca="false">IF(OR($A28="",S$5="",S$7&lt;&gt;"W"),"",IF(SUMPRODUCT(MAX(('Leave Register'!$B$6:$B$305=$A28)*('Leave Register'!$E$6:$E$305&lt;=S$5)*('Leave Register'!$F$6:$F$305&gt;=S$5)*('Leave Register'!$J$6:$J$305="Approved")*(ROW('Leave Register'!$B$6:$B$305)-5)))=0,"",INDEX('Leave Register'!$D$6:$D$305,SUMPRODUCT(MAX(('Leave Register'!$B$6:$B$305=$A28)*('Leave Register'!$E$6:$E$305&lt;=S$5)*('Leave Register'!$F$6:$F$305&gt;=S$5)*('Leave Register'!$J$6:$J$305="Approved")*(ROW('Leave Register'!$B$6:$B$305)-5))))))</f>
        <v/>
      </c>
      <c r="T28" s="83" t="str">
        <f aca="false">IF(OR($A28="",T$5="",T$7&lt;&gt;"W"),"",IF(SUMPRODUCT(MAX(('Leave Register'!$B$6:$B$305=$A28)*('Leave Register'!$E$6:$E$305&lt;=T$5)*('Leave Register'!$F$6:$F$305&gt;=T$5)*('Leave Register'!$J$6:$J$305="Approved")*(ROW('Leave Register'!$B$6:$B$305)-5)))=0,"",INDEX('Leave Register'!$D$6:$D$305,SUMPRODUCT(MAX(('Leave Register'!$B$6:$B$305=$A28)*('Leave Register'!$E$6:$E$305&lt;=T$5)*('Leave Register'!$F$6:$F$305&gt;=T$5)*('Leave Register'!$J$6:$J$305="Approved")*(ROW('Leave Register'!$B$6:$B$305)-5))))))</f>
        <v/>
      </c>
      <c r="U28" s="83" t="str">
        <f aca="false">IF(OR($A28="",U$5="",U$7&lt;&gt;"W"),"",IF(SUMPRODUCT(MAX(('Leave Register'!$B$6:$B$305=$A28)*('Leave Register'!$E$6:$E$305&lt;=U$5)*('Leave Register'!$F$6:$F$305&gt;=U$5)*('Leave Register'!$J$6:$J$305="Approved")*(ROW('Leave Register'!$B$6:$B$305)-5)))=0,"",INDEX('Leave Register'!$D$6:$D$305,SUMPRODUCT(MAX(('Leave Register'!$B$6:$B$305=$A28)*('Leave Register'!$E$6:$E$305&lt;=U$5)*('Leave Register'!$F$6:$F$305&gt;=U$5)*('Leave Register'!$J$6:$J$305="Approved")*(ROW('Leave Register'!$B$6:$B$305)-5))))))</f>
        <v/>
      </c>
      <c r="V28" s="83" t="str">
        <f aca="false">IF(OR($A28="",V$5="",V$7&lt;&gt;"W"),"",IF(SUMPRODUCT(MAX(('Leave Register'!$B$6:$B$305=$A28)*('Leave Register'!$E$6:$E$305&lt;=V$5)*('Leave Register'!$F$6:$F$305&gt;=V$5)*('Leave Register'!$J$6:$J$305="Approved")*(ROW('Leave Register'!$B$6:$B$305)-5)))=0,"",INDEX('Leave Register'!$D$6:$D$305,SUMPRODUCT(MAX(('Leave Register'!$B$6:$B$305=$A28)*('Leave Register'!$E$6:$E$305&lt;=V$5)*('Leave Register'!$F$6:$F$305&gt;=V$5)*('Leave Register'!$J$6:$J$305="Approved")*(ROW('Leave Register'!$B$6:$B$305)-5))))))</f>
        <v/>
      </c>
      <c r="W28" s="83" t="str">
        <f aca="false">IF(OR($A28="",W$5="",W$7&lt;&gt;"W"),"",IF(SUMPRODUCT(MAX(('Leave Register'!$B$6:$B$305=$A28)*('Leave Register'!$E$6:$E$305&lt;=W$5)*('Leave Register'!$F$6:$F$305&gt;=W$5)*('Leave Register'!$J$6:$J$305="Approved")*(ROW('Leave Register'!$B$6:$B$305)-5)))=0,"",INDEX('Leave Register'!$D$6:$D$305,SUMPRODUCT(MAX(('Leave Register'!$B$6:$B$305=$A28)*('Leave Register'!$E$6:$E$305&lt;=W$5)*('Leave Register'!$F$6:$F$305&gt;=W$5)*('Leave Register'!$J$6:$J$305="Approved")*(ROW('Leave Register'!$B$6:$B$305)-5))))))</f>
        <v/>
      </c>
      <c r="X28" s="83" t="str">
        <f aca="false">IF(OR($A28="",X$5="",X$7&lt;&gt;"W"),"",IF(SUMPRODUCT(MAX(('Leave Register'!$B$6:$B$305=$A28)*('Leave Register'!$E$6:$E$305&lt;=X$5)*('Leave Register'!$F$6:$F$305&gt;=X$5)*('Leave Register'!$J$6:$J$305="Approved")*(ROW('Leave Register'!$B$6:$B$305)-5)))=0,"",INDEX('Leave Register'!$D$6:$D$305,SUMPRODUCT(MAX(('Leave Register'!$B$6:$B$305=$A28)*('Leave Register'!$E$6:$E$305&lt;=X$5)*('Leave Register'!$F$6:$F$305&gt;=X$5)*('Leave Register'!$J$6:$J$305="Approved")*(ROW('Leave Register'!$B$6:$B$305)-5))))))</f>
        <v/>
      </c>
      <c r="Y28" s="83" t="str">
        <f aca="false">IF(OR($A28="",Y$5="",Y$7&lt;&gt;"W"),"",IF(SUMPRODUCT(MAX(('Leave Register'!$B$6:$B$305=$A28)*('Leave Register'!$E$6:$E$305&lt;=Y$5)*('Leave Register'!$F$6:$F$305&gt;=Y$5)*('Leave Register'!$J$6:$J$305="Approved")*(ROW('Leave Register'!$B$6:$B$305)-5)))=0,"",INDEX('Leave Register'!$D$6:$D$305,SUMPRODUCT(MAX(('Leave Register'!$B$6:$B$305=$A28)*('Leave Register'!$E$6:$E$305&lt;=Y$5)*('Leave Register'!$F$6:$F$305&gt;=Y$5)*('Leave Register'!$J$6:$J$305="Approved")*(ROW('Leave Register'!$B$6:$B$305)-5))))))</f>
        <v/>
      </c>
      <c r="Z28" s="83" t="str">
        <f aca="false">IF(OR($A28="",Z$5="",Z$7&lt;&gt;"W"),"",IF(SUMPRODUCT(MAX(('Leave Register'!$B$6:$B$305=$A28)*('Leave Register'!$E$6:$E$305&lt;=Z$5)*('Leave Register'!$F$6:$F$305&gt;=Z$5)*('Leave Register'!$J$6:$J$305="Approved")*(ROW('Leave Register'!$B$6:$B$305)-5)))=0,"",INDEX('Leave Register'!$D$6:$D$305,SUMPRODUCT(MAX(('Leave Register'!$B$6:$B$305=$A28)*('Leave Register'!$E$6:$E$305&lt;=Z$5)*('Leave Register'!$F$6:$F$305&gt;=Z$5)*('Leave Register'!$J$6:$J$305="Approved")*(ROW('Leave Register'!$B$6:$B$305)-5))))))</f>
        <v/>
      </c>
      <c r="AA28" s="83" t="str">
        <f aca="false">IF(OR($A28="",AA$5="",AA$7&lt;&gt;"W"),"",IF(SUMPRODUCT(MAX(('Leave Register'!$B$6:$B$305=$A28)*('Leave Register'!$E$6:$E$305&lt;=AA$5)*('Leave Register'!$F$6:$F$305&gt;=AA$5)*('Leave Register'!$J$6:$J$305="Approved")*(ROW('Leave Register'!$B$6:$B$305)-5)))=0,"",INDEX('Leave Register'!$D$6:$D$305,SUMPRODUCT(MAX(('Leave Register'!$B$6:$B$305=$A28)*('Leave Register'!$E$6:$E$305&lt;=AA$5)*('Leave Register'!$F$6:$F$305&gt;=AA$5)*('Leave Register'!$J$6:$J$305="Approved")*(ROW('Leave Register'!$B$6:$B$305)-5))))))</f>
        <v/>
      </c>
      <c r="AB28" s="83" t="str">
        <f aca="false">IF(OR($A28="",AB$5="",AB$7&lt;&gt;"W"),"",IF(SUMPRODUCT(MAX(('Leave Register'!$B$6:$B$305=$A28)*('Leave Register'!$E$6:$E$305&lt;=AB$5)*('Leave Register'!$F$6:$F$305&gt;=AB$5)*('Leave Register'!$J$6:$J$305="Approved")*(ROW('Leave Register'!$B$6:$B$305)-5)))=0,"",INDEX('Leave Register'!$D$6:$D$305,SUMPRODUCT(MAX(('Leave Register'!$B$6:$B$305=$A28)*('Leave Register'!$E$6:$E$305&lt;=AB$5)*('Leave Register'!$F$6:$F$305&gt;=AB$5)*('Leave Register'!$J$6:$J$305="Approved")*(ROW('Leave Register'!$B$6:$B$305)-5))))))</f>
        <v/>
      </c>
      <c r="AC28" s="83" t="str">
        <f aca="false">IF(OR($A28="",AC$5="",AC$7&lt;&gt;"W"),"",IF(SUMPRODUCT(MAX(('Leave Register'!$B$6:$B$305=$A28)*('Leave Register'!$E$6:$E$305&lt;=AC$5)*('Leave Register'!$F$6:$F$305&gt;=AC$5)*('Leave Register'!$J$6:$J$305="Approved")*(ROW('Leave Register'!$B$6:$B$305)-5)))=0,"",INDEX('Leave Register'!$D$6:$D$305,SUMPRODUCT(MAX(('Leave Register'!$B$6:$B$305=$A28)*('Leave Register'!$E$6:$E$305&lt;=AC$5)*('Leave Register'!$F$6:$F$305&gt;=AC$5)*('Leave Register'!$J$6:$J$305="Approved")*(ROW('Leave Register'!$B$6:$B$305)-5))))))</f>
        <v/>
      </c>
      <c r="AD28" s="83" t="str">
        <f aca="false">IF(OR($A28="",AD$5="",AD$7&lt;&gt;"W"),"",IF(SUMPRODUCT(MAX(('Leave Register'!$B$6:$B$305=$A28)*('Leave Register'!$E$6:$E$305&lt;=AD$5)*('Leave Register'!$F$6:$F$305&gt;=AD$5)*('Leave Register'!$J$6:$J$305="Approved")*(ROW('Leave Register'!$B$6:$B$305)-5)))=0,"",INDEX('Leave Register'!$D$6:$D$305,SUMPRODUCT(MAX(('Leave Register'!$B$6:$B$305=$A28)*('Leave Register'!$E$6:$E$305&lt;=AD$5)*('Leave Register'!$F$6:$F$305&gt;=AD$5)*('Leave Register'!$J$6:$J$305="Approved")*(ROW('Leave Register'!$B$6:$B$305)-5))))))</f>
        <v/>
      </c>
      <c r="AE28" s="83" t="str">
        <f aca="false">IF(OR($A28="",AE$5="",AE$7&lt;&gt;"W"),"",IF(SUMPRODUCT(MAX(('Leave Register'!$B$6:$B$305=$A28)*('Leave Register'!$E$6:$E$305&lt;=AE$5)*('Leave Register'!$F$6:$F$305&gt;=AE$5)*('Leave Register'!$J$6:$J$305="Approved")*(ROW('Leave Register'!$B$6:$B$305)-5)))=0,"",INDEX('Leave Register'!$D$6:$D$305,SUMPRODUCT(MAX(('Leave Register'!$B$6:$B$305=$A28)*('Leave Register'!$E$6:$E$305&lt;=AE$5)*('Leave Register'!$F$6:$F$305&gt;=AE$5)*('Leave Register'!$J$6:$J$305="Approved")*(ROW('Leave Register'!$B$6:$B$305)-5))))))</f>
        <v/>
      </c>
      <c r="AF28" s="83" t="str">
        <f aca="false">IF(OR($A28="",AF$5="",AF$7&lt;&gt;"W"),"",IF(SUMPRODUCT(MAX(('Leave Register'!$B$6:$B$305=$A28)*('Leave Register'!$E$6:$E$305&lt;=AF$5)*('Leave Register'!$F$6:$F$305&gt;=AF$5)*('Leave Register'!$J$6:$J$305="Approved")*(ROW('Leave Register'!$B$6:$B$305)-5)))=0,"",INDEX('Leave Register'!$D$6:$D$305,SUMPRODUCT(MAX(('Leave Register'!$B$6:$B$305=$A28)*('Leave Register'!$E$6:$E$305&lt;=AF$5)*('Leave Register'!$F$6:$F$305&gt;=AF$5)*('Leave Register'!$J$6:$J$305="Approved")*(ROW('Leave Register'!$B$6:$B$305)-5))))))</f>
        <v/>
      </c>
      <c r="AG28" s="83" t="str">
        <f aca="false">IF(OR($A28="",AG$5="",AG$7&lt;&gt;"W"),"",IF(SUMPRODUCT(MAX(('Leave Register'!$B$6:$B$305=$A28)*('Leave Register'!$E$6:$E$305&lt;=AG$5)*('Leave Register'!$F$6:$F$305&gt;=AG$5)*('Leave Register'!$J$6:$J$305="Approved")*(ROW('Leave Register'!$B$6:$B$305)-5)))=0,"",INDEX('Leave Register'!$D$6:$D$305,SUMPRODUCT(MAX(('Leave Register'!$B$6:$B$305=$A28)*('Leave Register'!$E$6:$E$305&lt;=AG$5)*('Leave Register'!$F$6:$F$305&gt;=AG$5)*('Leave Register'!$J$6:$J$305="Approved")*(ROW('Leave Register'!$B$6:$B$305)-5))))))</f>
        <v/>
      </c>
      <c r="AH28" s="84" t="str">
        <f aca="false">IF(A28="","",COUNTIF(C28:AG28,"?*"))</f>
        <v/>
      </c>
    </row>
    <row r="29" customFormat="false" ht="15" hidden="false" customHeight="false" outlineLevel="0" collapsed="false">
      <c r="A29" s="81" t="str">
        <f aca="false">IF(Employees!$B$26="","",Employees!$B$26)</f>
        <v/>
      </c>
      <c r="B29" s="82" t="str">
        <f aca="false">IF(A29="","",Employees!$C$26)</f>
        <v/>
      </c>
      <c r="C29" s="83" t="str">
        <f aca="false">IF(OR($A29="",C$5="",C$7&lt;&gt;"W"),"",IF(SUMPRODUCT(MAX(('Leave Register'!$B$6:$B$305=$A29)*('Leave Register'!$E$6:$E$305&lt;=C$5)*('Leave Register'!$F$6:$F$305&gt;=C$5)*('Leave Register'!$J$6:$J$305="Approved")*(ROW('Leave Register'!$B$6:$B$305)-5)))=0,"",INDEX('Leave Register'!$D$6:$D$305,SUMPRODUCT(MAX(('Leave Register'!$B$6:$B$305=$A29)*('Leave Register'!$E$6:$E$305&lt;=C$5)*('Leave Register'!$F$6:$F$305&gt;=C$5)*('Leave Register'!$J$6:$J$305="Approved")*(ROW('Leave Register'!$B$6:$B$305)-5))))))</f>
        <v/>
      </c>
      <c r="D29" s="83" t="str">
        <f aca="false">IF(OR($A29="",D$5="",D$7&lt;&gt;"W"),"",IF(SUMPRODUCT(MAX(('Leave Register'!$B$6:$B$305=$A29)*('Leave Register'!$E$6:$E$305&lt;=D$5)*('Leave Register'!$F$6:$F$305&gt;=D$5)*('Leave Register'!$J$6:$J$305="Approved")*(ROW('Leave Register'!$B$6:$B$305)-5)))=0,"",INDEX('Leave Register'!$D$6:$D$305,SUMPRODUCT(MAX(('Leave Register'!$B$6:$B$305=$A29)*('Leave Register'!$E$6:$E$305&lt;=D$5)*('Leave Register'!$F$6:$F$305&gt;=D$5)*('Leave Register'!$J$6:$J$305="Approved")*(ROW('Leave Register'!$B$6:$B$305)-5))))))</f>
        <v/>
      </c>
      <c r="E29" s="83" t="str">
        <f aca="false">IF(OR($A29="",E$5="",E$7&lt;&gt;"W"),"",IF(SUMPRODUCT(MAX(('Leave Register'!$B$6:$B$305=$A29)*('Leave Register'!$E$6:$E$305&lt;=E$5)*('Leave Register'!$F$6:$F$305&gt;=E$5)*('Leave Register'!$J$6:$J$305="Approved")*(ROW('Leave Register'!$B$6:$B$305)-5)))=0,"",INDEX('Leave Register'!$D$6:$D$305,SUMPRODUCT(MAX(('Leave Register'!$B$6:$B$305=$A29)*('Leave Register'!$E$6:$E$305&lt;=E$5)*('Leave Register'!$F$6:$F$305&gt;=E$5)*('Leave Register'!$J$6:$J$305="Approved")*(ROW('Leave Register'!$B$6:$B$305)-5))))))</f>
        <v/>
      </c>
      <c r="F29" s="83" t="str">
        <f aca="false">IF(OR($A29="",F$5="",F$7&lt;&gt;"W"),"",IF(SUMPRODUCT(MAX(('Leave Register'!$B$6:$B$305=$A29)*('Leave Register'!$E$6:$E$305&lt;=F$5)*('Leave Register'!$F$6:$F$305&gt;=F$5)*('Leave Register'!$J$6:$J$305="Approved")*(ROW('Leave Register'!$B$6:$B$305)-5)))=0,"",INDEX('Leave Register'!$D$6:$D$305,SUMPRODUCT(MAX(('Leave Register'!$B$6:$B$305=$A29)*('Leave Register'!$E$6:$E$305&lt;=F$5)*('Leave Register'!$F$6:$F$305&gt;=F$5)*('Leave Register'!$J$6:$J$305="Approved")*(ROW('Leave Register'!$B$6:$B$305)-5))))))</f>
        <v/>
      </c>
      <c r="G29" s="83" t="str">
        <f aca="false">IF(OR($A29="",G$5="",G$7&lt;&gt;"W"),"",IF(SUMPRODUCT(MAX(('Leave Register'!$B$6:$B$305=$A29)*('Leave Register'!$E$6:$E$305&lt;=G$5)*('Leave Register'!$F$6:$F$305&gt;=G$5)*('Leave Register'!$J$6:$J$305="Approved")*(ROW('Leave Register'!$B$6:$B$305)-5)))=0,"",INDEX('Leave Register'!$D$6:$D$305,SUMPRODUCT(MAX(('Leave Register'!$B$6:$B$305=$A29)*('Leave Register'!$E$6:$E$305&lt;=G$5)*('Leave Register'!$F$6:$F$305&gt;=G$5)*('Leave Register'!$J$6:$J$305="Approved")*(ROW('Leave Register'!$B$6:$B$305)-5))))))</f>
        <v/>
      </c>
      <c r="H29" s="83" t="str">
        <f aca="false">IF(OR($A29="",H$5="",H$7&lt;&gt;"W"),"",IF(SUMPRODUCT(MAX(('Leave Register'!$B$6:$B$305=$A29)*('Leave Register'!$E$6:$E$305&lt;=H$5)*('Leave Register'!$F$6:$F$305&gt;=H$5)*('Leave Register'!$J$6:$J$305="Approved")*(ROW('Leave Register'!$B$6:$B$305)-5)))=0,"",INDEX('Leave Register'!$D$6:$D$305,SUMPRODUCT(MAX(('Leave Register'!$B$6:$B$305=$A29)*('Leave Register'!$E$6:$E$305&lt;=H$5)*('Leave Register'!$F$6:$F$305&gt;=H$5)*('Leave Register'!$J$6:$J$305="Approved")*(ROW('Leave Register'!$B$6:$B$305)-5))))))</f>
        <v/>
      </c>
      <c r="I29" s="83" t="str">
        <f aca="false">IF(OR($A29="",I$5="",I$7&lt;&gt;"W"),"",IF(SUMPRODUCT(MAX(('Leave Register'!$B$6:$B$305=$A29)*('Leave Register'!$E$6:$E$305&lt;=I$5)*('Leave Register'!$F$6:$F$305&gt;=I$5)*('Leave Register'!$J$6:$J$305="Approved")*(ROW('Leave Register'!$B$6:$B$305)-5)))=0,"",INDEX('Leave Register'!$D$6:$D$305,SUMPRODUCT(MAX(('Leave Register'!$B$6:$B$305=$A29)*('Leave Register'!$E$6:$E$305&lt;=I$5)*('Leave Register'!$F$6:$F$305&gt;=I$5)*('Leave Register'!$J$6:$J$305="Approved")*(ROW('Leave Register'!$B$6:$B$305)-5))))))</f>
        <v/>
      </c>
      <c r="J29" s="83" t="str">
        <f aca="false">IF(OR($A29="",J$5="",J$7&lt;&gt;"W"),"",IF(SUMPRODUCT(MAX(('Leave Register'!$B$6:$B$305=$A29)*('Leave Register'!$E$6:$E$305&lt;=J$5)*('Leave Register'!$F$6:$F$305&gt;=J$5)*('Leave Register'!$J$6:$J$305="Approved")*(ROW('Leave Register'!$B$6:$B$305)-5)))=0,"",INDEX('Leave Register'!$D$6:$D$305,SUMPRODUCT(MAX(('Leave Register'!$B$6:$B$305=$A29)*('Leave Register'!$E$6:$E$305&lt;=J$5)*('Leave Register'!$F$6:$F$305&gt;=J$5)*('Leave Register'!$J$6:$J$305="Approved")*(ROW('Leave Register'!$B$6:$B$305)-5))))))</f>
        <v/>
      </c>
      <c r="K29" s="83" t="str">
        <f aca="false">IF(OR($A29="",K$5="",K$7&lt;&gt;"W"),"",IF(SUMPRODUCT(MAX(('Leave Register'!$B$6:$B$305=$A29)*('Leave Register'!$E$6:$E$305&lt;=K$5)*('Leave Register'!$F$6:$F$305&gt;=K$5)*('Leave Register'!$J$6:$J$305="Approved")*(ROW('Leave Register'!$B$6:$B$305)-5)))=0,"",INDEX('Leave Register'!$D$6:$D$305,SUMPRODUCT(MAX(('Leave Register'!$B$6:$B$305=$A29)*('Leave Register'!$E$6:$E$305&lt;=K$5)*('Leave Register'!$F$6:$F$305&gt;=K$5)*('Leave Register'!$J$6:$J$305="Approved")*(ROW('Leave Register'!$B$6:$B$305)-5))))))</f>
        <v/>
      </c>
      <c r="L29" s="83" t="str">
        <f aca="false">IF(OR($A29="",L$5="",L$7&lt;&gt;"W"),"",IF(SUMPRODUCT(MAX(('Leave Register'!$B$6:$B$305=$A29)*('Leave Register'!$E$6:$E$305&lt;=L$5)*('Leave Register'!$F$6:$F$305&gt;=L$5)*('Leave Register'!$J$6:$J$305="Approved")*(ROW('Leave Register'!$B$6:$B$305)-5)))=0,"",INDEX('Leave Register'!$D$6:$D$305,SUMPRODUCT(MAX(('Leave Register'!$B$6:$B$305=$A29)*('Leave Register'!$E$6:$E$305&lt;=L$5)*('Leave Register'!$F$6:$F$305&gt;=L$5)*('Leave Register'!$J$6:$J$305="Approved")*(ROW('Leave Register'!$B$6:$B$305)-5))))))</f>
        <v/>
      </c>
      <c r="M29" s="83" t="str">
        <f aca="false">IF(OR($A29="",M$5="",M$7&lt;&gt;"W"),"",IF(SUMPRODUCT(MAX(('Leave Register'!$B$6:$B$305=$A29)*('Leave Register'!$E$6:$E$305&lt;=M$5)*('Leave Register'!$F$6:$F$305&gt;=M$5)*('Leave Register'!$J$6:$J$305="Approved")*(ROW('Leave Register'!$B$6:$B$305)-5)))=0,"",INDEX('Leave Register'!$D$6:$D$305,SUMPRODUCT(MAX(('Leave Register'!$B$6:$B$305=$A29)*('Leave Register'!$E$6:$E$305&lt;=M$5)*('Leave Register'!$F$6:$F$305&gt;=M$5)*('Leave Register'!$J$6:$J$305="Approved")*(ROW('Leave Register'!$B$6:$B$305)-5))))))</f>
        <v/>
      </c>
      <c r="N29" s="83" t="str">
        <f aca="false">IF(OR($A29="",N$5="",N$7&lt;&gt;"W"),"",IF(SUMPRODUCT(MAX(('Leave Register'!$B$6:$B$305=$A29)*('Leave Register'!$E$6:$E$305&lt;=N$5)*('Leave Register'!$F$6:$F$305&gt;=N$5)*('Leave Register'!$J$6:$J$305="Approved")*(ROW('Leave Register'!$B$6:$B$305)-5)))=0,"",INDEX('Leave Register'!$D$6:$D$305,SUMPRODUCT(MAX(('Leave Register'!$B$6:$B$305=$A29)*('Leave Register'!$E$6:$E$305&lt;=N$5)*('Leave Register'!$F$6:$F$305&gt;=N$5)*('Leave Register'!$J$6:$J$305="Approved")*(ROW('Leave Register'!$B$6:$B$305)-5))))))</f>
        <v/>
      </c>
      <c r="O29" s="83" t="str">
        <f aca="false">IF(OR($A29="",O$5="",O$7&lt;&gt;"W"),"",IF(SUMPRODUCT(MAX(('Leave Register'!$B$6:$B$305=$A29)*('Leave Register'!$E$6:$E$305&lt;=O$5)*('Leave Register'!$F$6:$F$305&gt;=O$5)*('Leave Register'!$J$6:$J$305="Approved")*(ROW('Leave Register'!$B$6:$B$305)-5)))=0,"",INDEX('Leave Register'!$D$6:$D$305,SUMPRODUCT(MAX(('Leave Register'!$B$6:$B$305=$A29)*('Leave Register'!$E$6:$E$305&lt;=O$5)*('Leave Register'!$F$6:$F$305&gt;=O$5)*('Leave Register'!$J$6:$J$305="Approved")*(ROW('Leave Register'!$B$6:$B$305)-5))))))</f>
        <v/>
      </c>
      <c r="P29" s="83" t="str">
        <f aca="false">IF(OR($A29="",P$5="",P$7&lt;&gt;"W"),"",IF(SUMPRODUCT(MAX(('Leave Register'!$B$6:$B$305=$A29)*('Leave Register'!$E$6:$E$305&lt;=P$5)*('Leave Register'!$F$6:$F$305&gt;=P$5)*('Leave Register'!$J$6:$J$305="Approved")*(ROW('Leave Register'!$B$6:$B$305)-5)))=0,"",INDEX('Leave Register'!$D$6:$D$305,SUMPRODUCT(MAX(('Leave Register'!$B$6:$B$305=$A29)*('Leave Register'!$E$6:$E$305&lt;=P$5)*('Leave Register'!$F$6:$F$305&gt;=P$5)*('Leave Register'!$J$6:$J$305="Approved")*(ROW('Leave Register'!$B$6:$B$305)-5))))))</f>
        <v/>
      </c>
      <c r="Q29" s="83" t="str">
        <f aca="false">IF(OR($A29="",Q$5="",Q$7&lt;&gt;"W"),"",IF(SUMPRODUCT(MAX(('Leave Register'!$B$6:$B$305=$A29)*('Leave Register'!$E$6:$E$305&lt;=Q$5)*('Leave Register'!$F$6:$F$305&gt;=Q$5)*('Leave Register'!$J$6:$J$305="Approved")*(ROW('Leave Register'!$B$6:$B$305)-5)))=0,"",INDEX('Leave Register'!$D$6:$D$305,SUMPRODUCT(MAX(('Leave Register'!$B$6:$B$305=$A29)*('Leave Register'!$E$6:$E$305&lt;=Q$5)*('Leave Register'!$F$6:$F$305&gt;=Q$5)*('Leave Register'!$J$6:$J$305="Approved")*(ROW('Leave Register'!$B$6:$B$305)-5))))))</f>
        <v/>
      </c>
      <c r="R29" s="83" t="str">
        <f aca="false">IF(OR($A29="",R$5="",R$7&lt;&gt;"W"),"",IF(SUMPRODUCT(MAX(('Leave Register'!$B$6:$B$305=$A29)*('Leave Register'!$E$6:$E$305&lt;=R$5)*('Leave Register'!$F$6:$F$305&gt;=R$5)*('Leave Register'!$J$6:$J$305="Approved")*(ROW('Leave Register'!$B$6:$B$305)-5)))=0,"",INDEX('Leave Register'!$D$6:$D$305,SUMPRODUCT(MAX(('Leave Register'!$B$6:$B$305=$A29)*('Leave Register'!$E$6:$E$305&lt;=R$5)*('Leave Register'!$F$6:$F$305&gt;=R$5)*('Leave Register'!$J$6:$J$305="Approved")*(ROW('Leave Register'!$B$6:$B$305)-5))))))</f>
        <v/>
      </c>
      <c r="S29" s="83" t="str">
        <f aca="false">IF(OR($A29="",S$5="",S$7&lt;&gt;"W"),"",IF(SUMPRODUCT(MAX(('Leave Register'!$B$6:$B$305=$A29)*('Leave Register'!$E$6:$E$305&lt;=S$5)*('Leave Register'!$F$6:$F$305&gt;=S$5)*('Leave Register'!$J$6:$J$305="Approved")*(ROW('Leave Register'!$B$6:$B$305)-5)))=0,"",INDEX('Leave Register'!$D$6:$D$305,SUMPRODUCT(MAX(('Leave Register'!$B$6:$B$305=$A29)*('Leave Register'!$E$6:$E$305&lt;=S$5)*('Leave Register'!$F$6:$F$305&gt;=S$5)*('Leave Register'!$J$6:$J$305="Approved")*(ROW('Leave Register'!$B$6:$B$305)-5))))))</f>
        <v/>
      </c>
      <c r="T29" s="83" t="str">
        <f aca="false">IF(OR($A29="",T$5="",T$7&lt;&gt;"W"),"",IF(SUMPRODUCT(MAX(('Leave Register'!$B$6:$B$305=$A29)*('Leave Register'!$E$6:$E$305&lt;=T$5)*('Leave Register'!$F$6:$F$305&gt;=T$5)*('Leave Register'!$J$6:$J$305="Approved")*(ROW('Leave Register'!$B$6:$B$305)-5)))=0,"",INDEX('Leave Register'!$D$6:$D$305,SUMPRODUCT(MAX(('Leave Register'!$B$6:$B$305=$A29)*('Leave Register'!$E$6:$E$305&lt;=T$5)*('Leave Register'!$F$6:$F$305&gt;=T$5)*('Leave Register'!$J$6:$J$305="Approved")*(ROW('Leave Register'!$B$6:$B$305)-5))))))</f>
        <v/>
      </c>
      <c r="U29" s="83" t="str">
        <f aca="false">IF(OR($A29="",U$5="",U$7&lt;&gt;"W"),"",IF(SUMPRODUCT(MAX(('Leave Register'!$B$6:$B$305=$A29)*('Leave Register'!$E$6:$E$305&lt;=U$5)*('Leave Register'!$F$6:$F$305&gt;=U$5)*('Leave Register'!$J$6:$J$305="Approved")*(ROW('Leave Register'!$B$6:$B$305)-5)))=0,"",INDEX('Leave Register'!$D$6:$D$305,SUMPRODUCT(MAX(('Leave Register'!$B$6:$B$305=$A29)*('Leave Register'!$E$6:$E$305&lt;=U$5)*('Leave Register'!$F$6:$F$305&gt;=U$5)*('Leave Register'!$J$6:$J$305="Approved")*(ROW('Leave Register'!$B$6:$B$305)-5))))))</f>
        <v/>
      </c>
      <c r="V29" s="83" t="str">
        <f aca="false">IF(OR($A29="",V$5="",V$7&lt;&gt;"W"),"",IF(SUMPRODUCT(MAX(('Leave Register'!$B$6:$B$305=$A29)*('Leave Register'!$E$6:$E$305&lt;=V$5)*('Leave Register'!$F$6:$F$305&gt;=V$5)*('Leave Register'!$J$6:$J$305="Approved")*(ROW('Leave Register'!$B$6:$B$305)-5)))=0,"",INDEX('Leave Register'!$D$6:$D$305,SUMPRODUCT(MAX(('Leave Register'!$B$6:$B$305=$A29)*('Leave Register'!$E$6:$E$305&lt;=V$5)*('Leave Register'!$F$6:$F$305&gt;=V$5)*('Leave Register'!$J$6:$J$305="Approved")*(ROW('Leave Register'!$B$6:$B$305)-5))))))</f>
        <v/>
      </c>
      <c r="W29" s="83" t="str">
        <f aca="false">IF(OR($A29="",W$5="",W$7&lt;&gt;"W"),"",IF(SUMPRODUCT(MAX(('Leave Register'!$B$6:$B$305=$A29)*('Leave Register'!$E$6:$E$305&lt;=W$5)*('Leave Register'!$F$6:$F$305&gt;=W$5)*('Leave Register'!$J$6:$J$305="Approved")*(ROW('Leave Register'!$B$6:$B$305)-5)))=0,"",INDEX('Leave Register'!$D$6:$D$305,SUMPRODUCT(MAX(('Leave Register'!$B$6:$B$305=$A29)*('Leave Register'!$E$6:$E$305&lt;=W$5)*('Leave Register'!$F$6:$F$305&gt;=W$5)*('Leave Register'!$J$6:$J$305="Approved")*(ROW('Leave Register'!$B$6:$B$305)-5))))))</f>
        <v/>
      </c>
      <c r="X29" s="83" t="str">
        <f aca="false">IF(OR($A29="",X$5="",X$7&lt;&gt;"W"),"",IF(SUMPRODUCT(MAX(('Leave Register'!$B$6:$B$305=$A29)*('Leave Register'!$E$6:$E$305&lt;=X$5)*('Leave Register'!$F$6:$F$305&gt;=X$5)*('Leave Register'!$J$6:$J$305="Approved")*(ROW('Leave Register'!$B$6:$B$305)-5)))=0,"",INDEX('Leave Register'!$D$6:$D$305,SUMPRODUCT(MAX(('Leave Register'!$B$6:$B$305=$A29)*('Leave Register'!$E$6:$E$305&lt;=X$5)*('Leave Register'!$F$6:$F$305&gt;=X$5)*('Leave Register'!$J$6:$J$305="Approved")*(ROW('Leave Register'!$B$6:$B$305)-5))))))</f>
        <v/>
      </c>
      <c r="Y29" s="83" t="str">
        <f aca="false">IF(OR($A29="",Y$5="",Y$7&lt;&gt;"W"),"",IF(SUMPRODUCT(MAX(('Leave Register'!$B$6:$B$305=$A29)*('Leave Register'!$E$6:$E$305&lt;=Y$5)*('Leave Register'!$F$6:$F$305&gt;=Y$5)*('Leave Register'!$J$6:$J$305="Approved")*(ROW('Leave Register'!$B$6:$B$305)-5)))=0,"",INDEX('Leave Register'!$D$6:$D$305,SUMPRODUCT(MAX(('Leave Register'!$B$6:$B$305=$A29)*('Leave Register'!$E$6:$E$305&lt;=Y$5)*('Leave Register'!$F$6:$F$305&gt;=Y$5)*('Leave Register'!$J$6:$J$305="Approved")*(ROW('Leave Register'!$B$6:$B$305)-5))))))</f>
        <v/>
      </c>
      <c r="Z29" s="83" t="str">
        <f aca="false">IF(OR($A29="",Z$5="",Z$7&lt;&gt;"W"),"",IF(SUMPRODUCT(MAX(('Leave Register'!$B$6:$B$305=$A29)*('Leave Register'!$E$6:$E$305&lt;=Z$5)*('Leave Register'!$F$6:$F$305&gt;=Z$5)*('Leave Register'!$J$6:$J$305="Approved")*(ROW('Leave Register'!$B$6:$B$305)-5)))=0,"",INDEX('Leave Register'!$D$6:$D$305,SUMPRODUCT(MAX(('Leave Register'!$B$6:$B$305=$A29)*('Leave Register'!$E$6:$E$305&lt;=Z$5)*('Leave Register'!$F$6:$F$305&gt;=Z$5)*('Leave Register'!$J$6:$J$305="Approved")*(ROW('Leave Register'!$B$6:$B$305)-5))))))</f>
        <v/>
      </c>
      <c r="AA29" s="83" t="str">
        <f aca="false">IF(OR($A29="",AA$5="",AA$7&lt;&gt;"W"),"",IF(SUMPRODUCT(MAX(('Leave Register'!$B$6:$B$305=$A29)*('Leave Register'!$E$6:$E$305&lt;=AA$5)*('Leave Register'!$F$6:$F$305&gt;=AA$5)*('Leave Register'!$J$6:$J$305="Approved")*(ROW('Leave Register'!$B$6:$B$305)-5)))=0,"",INDEX('Leave Register'!$D$6:$D$305,SUMPRODUCT(MAX(('Leave Register'!$B$6:$B$305=$A29)*('Leave Register'!$E$6:$E$305&lt;=AA$5)*('Leave Register'!$F$6:$F$305&gt;=AA$5)*('Leave Register'!$J$6:$J$305="Approved")*(ROW('Leave Register'!$B$6:$B$305)-5))))))</f>
        <v/>
      </c>
      <c r="AB29" s="83" t="str">
        <f aca="false">IF(OR($A29="",AB$5="",AB$7&lt;&gt;"W"),"",IF(SUMPRODUCT(MAX(('Leave Register'!$B$6:$B$305=$A29)*('Leave Register'!$E$6:$E$305&lt;=AB$5)*('Leave Register'!$F$6:$F$305&gt;=AB$5)*('Leave Register'!$J$6:$J$305="Approved")*(ROW('Leave Register'!$B$6:$B$305)-5)))=0,"",INDEX('Leave Register'!$D$6:$D$305,SUMPRODUCT(MAX(('Leave Register'!$B$6:$B$305=$A29)*('Leave Register'!$E$6:$E$305&lt;=AB$5)*('Leave Register'!$F$6:$F$305&gt;=AB$5)*('Leave Register'!$J$6:$J$305="Approved")*(ROW('Leave Register'!$B$6:$B$305)-5))))))</f>
        <v/>
      </c>
      <c r="AC29" s="83" t="str">
        <f aca="false">IF(OR($A29="",AC$5="",AC$7&lt;&gt;"W"),"",IF(SUMPRODUCT(MAX(('Leave Register'!$B$6:$B$305=$A29)*('Leave Register'!$E$6:$E$305&lt;=AC$5)*('Leave Register'!$F$6:$F$305&gt;=AC$5)*('Leave Register'!$J$6:$J$305="Approved")*(ROW('Leave Register'!$B$6:$B$305)-5)))=0,"",INDEX('Leave Register'!$D$6:$D$305,SUMPRODUCT(MAX(('Leave Register'!$B$6:$B$305=$A29)*('Leave Register'!$E$6:$E$305&lt;=AC$5)*('Leave Register'!$F$6:$F$305&gt;=AC$5)*('Leave Register'!$J$6:$J$305="Approved")*(ROW('Leave Register'!$B$6:$B$305)-5))))))</f>
        <v/>
      </c>
      <c r="AD29" s="83" t="str">
        <f aca="false">IF(OR($A29="",AD$5="",AD$7&lt;&gt;"W"),"",IF(SUMPRODUCT(MAX(('Leave Register'!$B$6:$B$305=$A29)*('Leave Register'!$E$6:$E$305&lt;=AD$5)*('Leave Register'!$F$6:$F$305&gt;=AD$5)*('Leave Register'!$J$6:$J$305="Approved")*(ROW('Leave Register'!$B$6:$B$305)-5)))=0,"",INDEX('Leave Register'!$D$6:$D$305,SUMPRODUCT(MAX(('Leave Register'!$B$6:$B$305=$A29)*('Leave Register'!$E$6:$E$305&lt;=AD$5)*('Leave Register'!$F$6:$F$305&gt;=AD$5)*('Leave Register'!$J$6:$J$305="Approved")*(ROW('Leave Register'!$B$6:$B$305)-5))))))</f>
        <v/>
      </c>
      <c r="AE29" s="83" t="str">
        <f aca="false">IF(OR($A29="",AE$5="",AE$7&lt;&gt;"W"),"",IF(SUMPRODUCT(MAX(('Leave Register'!$B$6:$B$305=$A29)*('Leave Register'!$E$6:$E$305&lt;=AE$5)*('Leave Register'!$F$6:$F$305&gt;=AE$5)*('Leave Register'!$J$6:$J$305="Approved")*(ROW('Leave Register'!$B$6:$B$305)-5)))=0,"",INDEX('Leave Register'!$D$6:$D$305,SUMPRODUCT(MAX(('Leave Register'!$B$6:$B$305=$A29)*('Leave Register'!$E$6:$E$305&lt;=AE$5)*('Leave Register'!$F$6:$F$305&gt;=AE$5)*('Leave Register'!$J$6:$J$305="Approved")*(ROW('Leave Register'!$B$6:$B$305)-5))))))</f>
        <v/>
      </c>
      <c r="AF29" s="83" t="str">
        <f aca="false">IF(OR($A29="",AF$5="",AF$7&lt;&gt;"W"),"",IF(SUMPRODUCT(MAX(('Leave Register'!$B$6:$B$305=$A29)*('Leave Register'!$E$6:$E$305&lt;=AF$5)*('Leave Register'!$F$6:$F$305&gt;=AF$5)*('Leave Register'!$J$6:$J$305="Approved")*(ROW('Leave Register'!$B$6:$B$305)-5)))=0,"",INDEX('Leave Register'!$D$6:$D$305,SUMPRODUCT(MAX(('Leave Register'!$B$6:$B$305=$A29)*('Leave Register'!$E$6:$E$305&lt;=AF$5)*('Leave Register'!$F$6:$F$305&gt;=AF$5)*('Leave Register'!$J$6:$J$305="Approved")*(ROW('Leave Register'!$B$6:$B$305)-5))))))</f>
        <v/>
      </c>
      <c r="AG29" s="83" t="str">
        <f aca="false">IF(OR($A29="",AG$5="",AG$7&lt;&gt;"W"),"",IF(SUMPRODUCT(MAX(('Leave Register'!$B$6:$B$305=$A29)*('Leave Register'!$E$6:$E$305&lt;=AG$5)*('Leave Register'!$F$6:$F$305&gt;=AG$5)*('Leave Register'!$J$6:$J$305="Approved")*(ROW('Leave Register'!$B$6:$B$305)-5)))=0,"",INDEX('Leave Register'!$D$6:$D$305,SUMPRODUCT(MAX(('Leave Register'!$B$6:$B$305=$A29)*('Leave Register'!$E$6:$E$305&lt;=AG$5)*('Leave Register'!$F$6:$F$305&gt;=AG$5)*('Leave Register'!$J$6:$J$305="Approved")*(ROW('Leave Register'!$B$6:$B$305)-5))))))</f>
        <v/>
      </c>
      <c r="AH29" s="84" t="str">
        <f aca="false">IF(A29="","",COUNTIF(C29:AG29,"?*"))</f>
        <v/>
      </c>
    </row>
    <row r="30" customFormat="false" ht="15" hidden="false" customHeight="false" outlineLevel="0" collapsed="false">
      <c r="A30" s="81" t="str">
        <f aca="false">IF(Employees!$B$27="","",Employees!$B$27)</f>
        <v/>
      </c>
      <c r="B30" s="82" t="str">
        <f aca="false">IF(A30="","",Employees!$C$27)</f>
        <v/>
      </c>
      <c r="C30" s="83" t="str">
        <f aca="false">IF(OR($A30="",C$5="",C$7&lt;&gt;"W"),"",IF(SUMPRODUCT(MAX(('Leave Register'!$B$6:$B$305=$A30)*('Leave Register'!$E$6:$E$305&lt;=C$5)*('Leave Register'!$F$6:$F$305&gt;=C$5)*('Leave Register'!$J$6:$J$305="Approved")*(ROW('Leave Register'!$B$6:$B$305)-5)))=0,"",INDEX('Leave Register'!$D$6:$D$305,SUMPRODUCT(MAX(('Leave Register'!$B$6:$B$305=$A30)*('Leave Register'!$E$6:$E$305&lt;=C$5)*('Leave Register'!$F$6:$F$305&gt;=C$5)*('Leave Register'!$J$6:$J$305="Approved")*(ROW('Leave Register'!$B$6:$B$305)-5))))))</f>
        <v/>
      </c>
      <c r="D30" s="83" t="str">
        <f aca="false">IF(OR($A30="",D$5="",D$7&lt;&gt;"W"),"",IF(SUMPRODUCT(MAX(('Leave Register'!$B$6:$B$305=$A30)*('Leave Register'!$E$6:$E$305&lt;=D$5)*('Leave Register'!$F$6:$F$305&gt;=D$5)*('Leave Register'!$J$6:$J$305="Approved")*(ROW('Leave Register'!$B$6:$B$305)-5)))=0,"",INDEX('Leave Register'!$D$6:$D$305,SUMPRODUCT(MAX(('Leave Register'!$B$6:$B$305=$A30)*('Leave Register'!$E$6:$E$305&lt;=D$5)*('Leave Register'!$F$6:$F$305&gt;=D$5)*('Leave Register'!$J$6:$J$305="Approved")*(ROW('Leave Register'!$B$6:$B$305)-5))))))</f>
        <v/>
      </c>
      <c r="E30" s="83" t="str">
        <f aca="false">IF(OR($A30="",E$5="",E$7&lt;&gt;"W"),"",IF(SUMPRODUCT(MAX(('Leave Register'!$B$6:$B$305=$A30)*('Leave Register'!$E$6:$E$305&lt;=E$5)*('Leave Register'!$F$6:$F$305&gt;=E$5)*('Leave Register'!$J$6:$J$305="Approved")*(ROW('Leave Register'!$B$6:$B$305)-5)))=0,"",INDEX('Leave Register'!$D$6:$D$305,SUMPRODUCT(MAX(('Leave Register'!$B$6:$B$305=$A30)*('Leave Register'!$E$6:$E$305&lt;=E$5)*('Leave Register'!$F$6:$F$305&gt;=E$5)*('Leave Register'!$J$6:$J$305="Approved")*(ROW('Leave Register'!$B$6:$B$305)-5))))))</f>
        <v/>
      </c>
      <c r="F30" s="83" t="str">
        <f aca="false">IF(OR($A30="",F$5="",F$7&lt;&gt;"W"),"",IF(SUMPRODUCT(MAX(('Leave Register'!$B$6:$B$305=$A30)*('Leave Register'!$E$6:$E$305&lt;=F$5)*('Leave Register'!$F$6:$F$305&gt;=F$5)*('Leave Register'!$J$6:$J$305="Approved")*(ROW('Leave Register'!$B$6:$B$305)-5)))=0,"",INDEX('Leave Register'!$D$6:$D$305,SUMPRODUCT(MAX(('Leave Register'!$B$6:$B$305=$A30)*('Leave Register'!$E$6:$E$305&lt;=F$5)*('Leave Register'!$F$6:$F$305&gt;=F$5)*('Leave Register'!$J$6:$J$305="Approved")*(ROW('Leave Register'!$B$6:$B$305)-5))))))</f>
        <v/>
      </c>
      <c r="G30" s="83" t="str">
        <f aca="false">IF(OR($A30="",G$5="",G$7&lt;&gt;"W"),"",IF(SUMPRODUCT(MAX(('Leave Register'!$B$6:$B$305=$A30)*('Leave Register'!$E$6:$E$305&lt;=G$5)*('Leave Register'!$F$6:$F$305&gt;=G$5)*('Leave Register'!$J$6:$J$305="Approved")*(ROW('Leave Register'!$B$6:$B$305)-5)))=0,"",INDEX('Leave Register'!$D$6:$D$305,SUMPRODUCT(MAX(('Leave Register'!$B$6:$B$305=$A30)*('Leave Register'!$E$6:$E$305&lt;=G$5)*('Leave Register'!$F$6:$F$305&gt;=G$5)*('Leave Register'!$J$6:$J$305="Approved")*(ROW('Leave Register'!$B$6:$B$305)-5))))))</f>
        <v/>
      </c>
      <c r="H30" s="83" t="str">
        <f aca="false">IF(OR($A30="",H$5="",H$7&lt;&gt;"W"),"",IF(SUMPRODUCT(MAX(('Leave Register'!$B$6:$B$305=$A30)*('Leave Register'!$E$6:$E$305&lt;=H$5)*('Leave Register'!$F$6:$F$305&gt;=H$5)*('Leave Register'!$J$6:$J$305="Approved")*(ROW('Leave Register'!$B$6:$B$305)-5)))=0,"",INDEX('Leave Register'!$D$6:$D$305,SUMPRODUCT(MAX(('Leave Register'!$B$6:$B$305=$A30)*('Leave Register'!$E$6:$E$305&lt;=H$5)*('Leave Register'!$F$6:$F$305&gt;=H$5)*('Leave Register'!$J$6:$J$305="Approved")*(ROW('Leave Register'!$B$6:$B$305)-5))))))</f>
        <v/>
      </c>
      <c r="I30" s="83" t="str">
        <f aca="false">IF(OR($A30="",I$5="",I$7&lt;&gt;"W"),"",IF(SUMPRODUCT(MAX(('Leave Register'!$B$6:$B$305=$A30)*('Leave Register'!$E$6:$E$305&lt;=I$5)*('Leave Register'!$F$6:$F$305&gt;=I$5)*('Leave Register'!$J$6:$J$305="Approved")*(ROW('Leave Register'!$B$6:$B$305)-5)))=0,"",INDEX('Leave Register'!$D$6:$D$305,SUMPRODUCT(MAX(('Leave Register'!$B$6:$B$305=$A30)*('Leave Register'!$E$6:$E$305&lt;=I$5)*('Leave Register'!$F$6:$F$305&gt;=I$5)*('Leave Register'!$J$6:$J$305="Approved")*(ROW('Leave Register'!$B$6:$B$305)-5))))))</f>
        <v/>
      </c>
      <c r="J30" s="83" t="str">
        <f aca="false">IF(OR($A30="",J$5="",J$7&lt;&gt;"W"),"",IF(SUMPRODUCT(MAX(('Leave Register'!$B$6:$B$305=$A30)*('Leave Register'!$E$6:$E$305&lt;=J$5)*('Leave Register'!$F$6:$F$305&gt;=J$5)*('Leave Register'!$J$6:$J$305="Approved")*(ROW('Leave Register'!$B$6:$B$305)-5)))=0,"",INDEX('Leave Register'!$D$6:$D$305,SUMPRODUCT(MAX(('Leave Register'!$B$6:$B$305=$A30)*('Leave Register'!$E$6:$E$305&lt;=J$5)*('Leave Register'!$F$6:$F$305&gt;=J$5)*('Leave Register'!$J$6:$J$305="Approved")*(ROW('Leave Register'!$B$6:$B$305)-5))))))</f>
        <v/>
      </c>
      <c r="K30" s="83" t="str">
        <f aca="false">IF(OR($A30="",K$5="",K$7&lt;&gt;"W"),"",IF(SUMPRODUCT(MAX(('Leave Register'!$B$6:$B$305=$A30)*('Leave Register'!$E$6:$E$305&lt;=K$5)*('Leave Register'!$F$6:$F$305&gt;=K$5)*('Leave Register'!$J$6:$J$305="Approved")*(ROW('Leave Register'!$B$6:$B$305)-5)))=0,"",INDEX('Leave Register'!$D$6:$D$305,SUMPRODUCT(MAX(('Leave Register'!$B$6:$B$305=$A30)*('Leave Register'!$E$6:$E$305&lt;=K$5)*('Leave Register'!$F$6:$F$305&gt;=K$5)*('Leave Register'!$J$6:$J$305="Approved")*(ROW('Leave Register'!$B$6:$B$305)-5))))))</f>
        <v/>
      </c>
      <c r="L30" s="83" t="str">
        <f aca="false">IF(OR($A30="",L$5="",L$7&lt;&gt;"W"),"",IF(SUMPRODUCT(MAX(('Leave Register'!$B$6:$B$305=$A30)*('Leave Register'!$E$6:$E$305&lt;=L$5)*('Leave Register'!$F$6:$F$305&gt;=L$5)*('Leave Register'!$J$6:$J$305="Approved")*(ROW('Leave Register'!$B$6:$B$305)-5)))=0,"",INDEX('Leave Register'!$D$6:$D$305,SUMPRODUCT(MAX(('Leave Register'!$B$6:$B$305=$A30)*('Leave Register'!$E$6:$E$305&lt;=L$5)*('Leave Register'!$F$6:$F$305&gt;=L$5)*('Leave Register'!$J$6:$J$305="Approved")*(ROW('Leave Register'!$B$6:$B$305)-5))))))</f>
        <v/>
      </c>
      <c r="M30" s="83" t="str">
        <f aca="false">IF(OR($A30="",M$5="",M$7&lt;&gt;"W"),"",IF(SUMPRODUCT(MAX(('Leave Register'!$B$6:$B$305=$A30)*('Leave Register'!$E$6:$E$305&lt;=M$5)*('Leave Register'!$F$6:$F$305&gt;=M$5)*('Leave Register'!$J$6:$J$305="Approved")*(ROW('Leave Register'!$B$6:$B$305)-5)))=0,"",INDEX('Leave Register'!$D$6:$D$305,SUMPRODUCT(MAX(('Leave Register'!$B$6:$B$305=$A30)*('Leave Register'!$E$6:$E$305&lt;=M$5)*('Leave Register'!$F$6:$F$305&gt;=M$5)*('Leave Register'!$J$6:$J$305="Approved")*(ROW('Leave Register'!$B$6:$B$305)-5))))))</f>
        <v/>
      </c>
      <c r="N30" s="83" t="str">
        <f aca="false">IF(OR($A30="",N$5="",N$7&lt;&gt;"W"),"",IF(SUMPRODUCT(MAX(('Leave Register'!$B$6:$B$305=$A30)*('Leave Register'!$E$6:$E$305&lt;=N$5)*('Leave Register'!$F$6:$F$305&gt;=N$5)*('Leave Register'!$J$6:$J$305="Approved")*(ROW('Leave Register'!$B$6:$B$305)-5)))=0,"",INDEX('Leave Register'!$D$6:$D$305,SUMPRODUCT(MAX(('Leave Register'!$B$6:$B$305=$A30)*('Leave Register'!$E$6:$E$305&lt;=N$5)*('Leave Register'!$F$6:$F$305&gt;=N$5)*('Leave Register'!$J$6:$J$305="Approved")*(ROW('Leave Register'!$B$6:$B$305)-5))))))</f>
        <v/>
      </c>
      <c r="O30" s="83" t="str">
        <f aca="false">IF(OR($A30="",O$5="",O$7&lt;&gt;"W"),"",IF(SUMPRODUCT(MAX(('Leave Register'!$B$6:$B$305=$A30)*('Leave Register'!$E$6:$E$305&lt;=O$5)*('Leave Register'!$F$6:$F$305&gt;=O$5)*('Leave Register'!$J$6:$J$305="Approved")*(ROW('Leave Register'!$B$6:$B$305)-5)))=0,"",INDEX('Leave Register'!$D$6:$D$305,SUMPRODUCT(MAX(('Leave Register'!$B$6:$B$305=$A30)*('Leave Register'!$E$6:$E$305&lt;=O$5)*('Leave Register'!$F$6:$F$305&gt;=O$5)*('Leave Register'!$J$6:$J$305="Approved")*(ROW('Leave Register'!$B$6:$B$305)-5))))))</f>
        <v/>
      </c>
      <c r="P30" s="83" t="str">
        <f aca="false">IF(OR($A30="",P$5="",P$7&lt;&gt;"W"),"",IF(SUMPRODUCT(MAX(('Leave Register'!$B$6:$B$305=$A30)*('Leave Register'!$E$6:$E$305&lt;=P$5)*('Leave Register'!$F$6:$F$305&gt;=P$5)*('Leave Register'!$J$6:$J$305="Approved")*(ROW('Leave Register'!$B$6:$B$305)-5)))=0,"",INDEX('Leave Register'!$D$6:$D$305,SUMPRODUCT(MAX(('Leave Register'!$B$6:$B$305=$A30)*('Leave Register'!$E$6:$E$305&lt;=P$5)*('Leave Register'!$F$6:$F$305&gt;=P$5)*('Leave Register'!$J$6:$J$305="Approved")*(ROW('Leave Register'!$B$6:$B$305)-5))))))</f>
        <v/>
      </c>
      <c r="Q30" s="83" t="str">
        <f aca="false">IF(OR($A30="",Q$5="",Q$7&lt;&gt;"W"),"",IF(SUMPRODUCT(MAX(('Leave Register'!$B$6:$B$305=$A30)*('Leave Register'!$E$6:$E$305&lt;=Q$5)*('Leave Register'!$F$6:$F$305&gt;=Q$5)*('Leave Register'!$J$6:$J$305="Approved")*(ROW('Leave Register'!$B$6:$B$305)-5)))=0,"",INDEX('Leave Register'!$D$6:$D$305,SUMPRODUCT(MAX(('Leave Register'!$B$6:$B$305=$A30)*('Leave Register'!$E$6:$E$305&lt;=Q$5)*('Leave Register'!$F$6:$F$305&gt;=Q$5)*('Leave Register'!$J$6:$J$305="Approved")*(ROW('Leave Register'!$B$6:$B$305)-5))))))</f>
        <v/>
      </c>
      <c r="R30" s="83" t="str">
        <f aca="false">IF(OR($A30="",R$5="",R$7&lt;&gt;"W"),"",IF(SUMPRODUCT(MAX(('Leave Register'!$B$6:$B$305=$A30)*('Leave Register'!$E$6:$E$305&lt;=R$5)*('Leave Register'!$F$6:$F$305&gt;=R$5)*('Leave Register'!$J$6:$J$305="Approved")*(ROW('Leave Register'!$B$6:$B$305)-5)))=0,"",INDEX('Leave Register'!$D$6:$D$305,SUMPRODUCT(MAX(('Leave Register'!$B$6:$B$305=$A30)*('Leave Register'!$E$6:$E$305&lt;=R$5)*('Leave Register'!$F$6:$F$305&gt;=R$5)*('Leave Register'!$J$6:$J$305="Approved")*(ROW('Leave Register'!$B$6:$B$305)-5))))))</f>
        <v/>
      </c>
      <c r="S30" s="83" t="str">
        <f aca="false">IF(OR($A30="",S$5="",S$7&lt;&gt;"W"),"",IF(SUMPRODUCT(MAX(('Leave Register'!$B$6:$B$305=$A30)*('Leave Register'!$E$6:$E$305&lt;=S$5)*('Leave Register'!$F$6:$F$305&gt;=S$5)*('Leave Register'!$J$6:$J$305="Approved")*(ROW('Leave Register'!$B$6:$B$305)-5)))=0,"",INDEX('Leave Register'!$D$6:$D$305,SUMPRODUCT(MAX(('Leave Register'!$B$6:$B$305=$A30)*('Leave Register'!$E$6:$E$305&lt;=S$5)*('Leave Register'!$F$6:$F$305&gt;=S$5)*('Leave Register'!$J$6:$J$305="Approved")*(ROW('Leave Register'!$B$6:$B$305)-5))))))</f>
        <v/>
      </c>
      <c r="T30" s="83" t="str">
        <f aca="false">IF(OR($A30="",T$5="",T$7&lt;&gt;"W"),"",IF(SUMPRODUCT(MAX(('Leave Register'!$B$6:$B$305=$A30)*('Leave Register'!$E$6:$E$305&lt;=T$5)*('Leave Register'!$F$6:$F$305&gt;=T$5)*('Leave Register'!$J$6:$J$305="Approved")*(ROW('Leave Register'!$B$6:$B$305)-5)))=0,"",INDEX('Leave Register'!$D$6:$D$305,SUMPRODUCT(MAX(('Leave Register'!$B$6:$B$305=$A30)*('Leave Register'!$E$6:$E$305&lt;=T$5)*('Leave Register'!$F$6:$F$305&gt;=T$5)*('Leave Register'!$J$6:$J$305="Approved")*(ROW('Leave Register'!$B$6:$B$305)-5))))))</f>
        <v/>
      </c>
      <c r="U30" s="83" t="str">
        <f aca="false">IF(OR($A30="",U$5="",U$7&lt;&gt;"W"),"",IF(SUMPRODUCT(MAX(('Leave Register'!$B$6:$B$305=$A30)*('Leave Register'!$E$6:$E$305&lt;=U$5)*('Leave Register'!$F$6:$F$305&gt;=U$5)*('Leave Register'!$J$6:$J$305="Approved")*(ROW('Leave Register'!$B$6:$B$305)-5)))=0,"",INDEX('Leave Register'!$D$6:$D$305,SUMPRODUCT(MAX(('Leave Register'!$B$6:$B$305=$A30)*('Leave Register'!$E$6:$E$305&lt;=U$5)*('Leave Register'!$F$6:$F$305&gt;=U$5)*('Leave Register'!$J$6:$J$305="Approved")*(ROW('Leave Register'!$B$6:$B$305)-5))))))</f>
        <v/>
      </c>
      <c r="V30" s="83" t="str">
        <f aca="false">IF(OR($A30="",V$5="",V$7&lt;&gt;"W"),"",IF(SUMPRODUCT(MAX(('Leave Register'!$B$6:$B$305=$A30)*('Leave Register'!$E$6:$E$305&lt;=V$5)*('Leave Register'!$F$6:$F$305&gt;=V$5)*('Leave Register'!$J$6:$J$305="Approved")*(ROW('Leave Register'!$B$6:$B$305)-5)))=0,"",INDEX('Leave Register'!$D$6:$D$305,SUMPRODUCT(MAX(('Leave Register'!$B$6:$B$305=$A30)*('Leave Register'!$E$6:$E$305&lt;=V$5)*('Leave Register'!$F$6:$F$305&gt;=V$5)*('Leave Register'!$J$6:$J$305="Approved")*(ROW('Leave Register'!$B$6:$B$305)-5))))))</f>
        <v/>
      </c>
      <c r="W30" s="83" t="str">
        <f aca="false">IF(OR($A30="",W$5="",W$7&lt;&gt;"W"),"",IF(SUMPRODUCT(MAX(('Leave Register'!$B$6:$B$305=$A30)*('Leave Register'!$E$6:$E$305&lt;=W$5)*('Leave Register'!$F$6:$F$305&gt;=W$5)*('Leave Register'!$J$6:$J$305="Approved")*(ROW('Leave Register'!$B$6:$B$305)-5)))=0,"",INDEX('Leave Register'!$D$6:$D$305,SUMPRODUCT(MAX(('Leave Register'!$B$6:$B$305=$A30)*('Leave Register'!$E$6:$E$305&lt;=W$5)*('Leave Register'!$F$6:$F$305&gt;=W$5)*('Leave Register'!$J$6:$J$305="Approved")*(ROW('Leave Register'!$B$6:$B$305)-5))))))</f>
        <v/>
      </c>
      <c r="X30" s="83" t="str">
        <f aca="false">IF(OR($A30="",X$5="",X$7&lt;&gt;"W"),"",IF(SUMPRODUCT(MAX(('Leave Register'!$B$6:$B$305=$A30)*('Leave Register'!$E$6:$E$305&lt;=X$5)*('Leave Register'!$F$6:$F$305&gt;=X$5)*('Leave Register'!$J$6:$J$305="Approved")*(ROW('Leave Register'!$B$6:$B$305)-5)))=0,"",INDEX('Leave Register'!$D$6:$D$305,SUMPRODUCT(MAX(('Leave Register'!$B$6:$B$305=$A30)*('Leave Register'!$E$6:$E$305&lt;=X$5)*('Leave Register'!$F$6:$F$305&gt;=X$5)*('Leave Register'!$J$6:$J$305="Approved")*(ROW('Leave Register'!$B$6:$B$305)-5))))))</f>
        <v/>
      </c>
      <c r="Y30" s="83" t="str">
        <f aca="false">IF(OR($A30="",Y$5="",Y$7&lt;&gt;"W"),"",IF(SUMPRODUCT(MAX(('Leave Register'!$B$6:$B$305=$A30)*('Leave Register'!$E$6:$E$305&lt;=Y$5)*('Leave Register'!$F$6:$F$305&gt;=Y$5)*('Leave Register'!$J$6:$J$305="Approved")*(ROW('Leave Register'!$B$6:$B$305)-5)))=0,"",INDEX('Leave Register'!$D$6:$D$305,SUMPRODUCT(MAX(('Leave Register'!$B$6:$B$305=$A30)*('Leave Register'!$E$6:$E$305&lt;=Y$5)*('Leave Register'!$F$6:$F$305&gt;=Y$5)*('Leave Register'!$J$6:$J$305="Approved")*(ROW('Leave Register'!$B$6:$B$305)-5))))))</f>
        <v/>
      </c>
      <c r="Z30" s="83" t="str">
        <f aca="false">IF(OR($A30="",Z$5="",Z$7&lt;&gt;"W"),"",IF(SUMPRODUCT(MAX(('Leave Register'!$B$6:$B$305=$A30)*('Leave Register'!$E$6:$E$305&lt;=Z$5)*('Leave Register'!$F$6:$F$305&gt;=Z$5)*('Leave Register'!$J$6:$J$305="Approved")*(ROW('Leave Register'!$B$6:$B$305)-5)))=0,"",INDEX('Leave Register'!$D$6:$D$305,SUMPRODUCT(MAX(('Leave Register'!$B$6:$B$305=$A30)*('Leave Register'!$E$6:$E$305&lt;=Z$5)*('Leave Register'!$F$6:$F$305&gt;=Z$5)*('Leave Register'!$J$6:$J$305="Approved")*(ROW('Leave Register'!$B$6:$B$305)-5))))))</f>
        <v/>
      </c>
      <c r="AA30" s="83" t="str">
        <f aca="false">IF(OR($A30="",AA$5="",AA$7&lt;&gt;"W"),"",IF(SUMPRODUCT(MAX(('Leave Register'!$B$6:$B$305=$A30)*('Leave Register'!$E$6:$E$305&lt;=AA$5)*('Leave Register'!$F$6:$F$305&gt;=AA$5)*('Leave Register'!$J$6:$J$305="Approved")*(ROW('Leave Register'!$B$6:$B$305)-5)))=0,"",INDEX('Leave Register'!$D$6:$D$305,SUMPRODUCT(MAX(('Leave Register'!$B$6:$B$305=$A30)*('Leave Register'!$E$6:$E$305&lt;=AA$5)*('Leave Register'!$F$6:$F$305&gt;=AA$5)*('Leave Register'!$J$6:$J$305="Approved")*(ROW('Leave Register'!$B$6:$B$305)-5))))))</f>
        <v/>
      </c>
      <c r="AB30" s="83" t="str">
        <f aca="false">IF(OR($A30="",AB$5="",AB$7&lt;&gt;"W"),"",IF(SUMPRODUCT(MAX(('Leave Register'!$B$6:$B$305=$A30)*('Leave Register'!$E$6:$E$305&lt;=AB$5)*('Leave Register'!$F$6:$F$305&gt;=AB$5)*('Leave Register'!$J$6:$J$305="Approved")*(ROW('Leave Register'!$B$6:$B$305)-5)))=0,"",INDEX('Leave Register'!$D$6:$D$305,SUMPRODUCT(MAX(('Leave Register'!$B$6:$B$305=$A30)*('Leave Register'!$E$6:$E$305&lt;=AB$5)*('Leave Register'!$F$6:$F$305&gt;=AB$5)*('Leave Register'!$J$6:$J$305="Approved")*(ROW('Leave Register'!$B$6:$B$305)-5))))))</f>
        <v/>
      </c>
      <c r="AC30" s="83" t="str">
        <f aca="false">IF(OR($A30="",AC$5="",AC$7&lt;&gt;"W"),"",IF(SUMPRODUCT(MAX(('Leave Register'!$B$6:$B$305=$A30)*('Leave Register'!$E$6:$E$305&lt;=AC$5)*('Leave Register'!$F$6:$F$305&gt;=AC$5)*('Leave Register'!$J$6:$J$305="Approved")*(ROW('Leave Register'!$B$6:$B$305)-5)))=0,"",INDEX('Leave Register'!$D$6:$D$305,SUMPRODUCT(MAX(('Leave Register'!$B$6:$B$305=$A30)*('Leave Register'!$E$6:$E$305&lt;=AC$5)*('Leave Register'!$F$6:$F$305&gt;=AC$5)*('Leave Register'!$J$6:$J$305="Approved")*(ROW('Leave Register'!$B$6:$B$305)-5))))))</f>
        <v/>
      </c>
      <c r="AD30" s="83" t="str">
        <f aca="false">IF(OR($A30="",AD$5="",AD$7&lt;&gt;"W"),"",IF(SUMPRODUCT(MAX(('Leave Register'!$B$6:$B$305=$A30)*('Leave Register'!$E$6:$E$305&lt;=AD$5)*('Leave Register'!$F$6:$F$305&gt;=AD$5)*('Leave Register'!$J$6:$J$305="Approved")*(ROW('Leave Register'!$B$6:$B$305)-5)))=0,"",INDEX('Leave Register'!$D$6:$D$305,SUMPRODUCT(MAX(('Leave Register'!$B$6:$B$305=$A30)*('Leave Register'!$E$6:$E$305&lt;=AD$5)*('Leave Register'!$F$6:$F$305&gt;=AD$5)*('Leave Register'!$J$6:$J$305="Approved")*(ROW('Leave Register'!$B$6:$B$305)-5))))))</f>
        <v/>
      </c>
      <c r="AE30" s="83" t="str">
        <f aca="false">IF(OR($A30="",AE$5="",AE$7&lt;&gt;"W"),"",IF(SUMPRODUCT(MAX(('Leave Register'!$B$6:$B$305=$A30)*('Leave Register'!$E$6:$E$305&lt;=AE$5)*('Leave Register'!$F$6:$F$305&gt;=AE$5)*('Leave Register'!$J$6:$J$305="Approved")*(ROW('Leave Register'!$B$6:$B$305)-5)))=0,"",INDEX('Leave Register'!$D$6:$D$305,SUMPRODUCT(MAX(('Leave Register'!$B$6:$B$305=$A30)*('Leave Register'!$E$6:$E$305&lt;=AE$5)*('Leave Register'!$F$6:$F$305&gt;=AE$5)*('Leave Register'!$J$6:$J$305="Approved")*(ROW('Leave Register'!$B$6:$B$305)-5))))))</f>
        <v/>
      </c>
      <c r="AF30" s="83" t="str">
        <f aca="false">IF(OR($A30="",AF$5="",AF$7&lt;&gt;"W"),"",IF(SUMPRODUCT(MAX(('Leave Register'!$B$6:$B$305=$A30)*('Leave Register'!$E$6:$E$305&lt;=AF$5)*('Leave Register'!$F$6:$F$305&gt;=AF$5)*('Leave Register'!$J$6:$J$305="Approved")*(ROW('Leave Register'!$B$6:$B$305)-5)))=0,"",INDEX('Leave Register'!$D$6:$D$305,SUMPRODUCT(MAX(('Leave Register'!$B$6:$B$305=$A30)*('Leave Register'!$E$6:$E$305&lt;=AF$5)*('Leave Register'!$F$6:$F$305&gt;=AF$5)*('Leave Register'!$J$6:$J$305="Approved")*(ROW('Leave Register'!$B$6:$B$305)-5))))))</f>
        <v/>
      </c>
      <c r="AG30" s="83" t="str">
        <f aca="false">IF(OR($A30="",AG$5="",AG$7&lt;&gt;"W"),"",IF(SUMPRODUCT(MAX(('Leave Register'!$B$6:$B$305=$A30)*('Leave Register'!$E$6:$E$305&lt;=AG$5)*('Leave Register'!$F$6:$F$305&gt;=AG$5)*('Leave Register'!$J$6:$J$305="Approved")*(ROW('Leave Register'!$B$6:$B$305)-5)))=0,"",INDEX('Leave Register'!$D$6:$D$305,SUMPRODUCT(MAX(('Leave Register'!$B$6:$B$305=$A30)*('Leave Register'!$E$6:$E$305&lt;=AG$5)*('Leave Register'!$F$6:$F$305&gt;=AG$5)*('Leave Register'!$J$6:$J$305="Approved")*(ROW('Leave Register'!$B$6:$B$305)-5))))))</f>
        <v/>
      </c>
      <c r="AH30" s="84" t="str">
        <f aca="false">IF(A30="","",COUNTIF(C30:AG30,"?*"))</f>
        <v/>
      </c>
    </row>
    <row r="31" customFormat="false" ht="15" hidden="false" customHeight="false" outlineLevel="0" collapsed="false">
      <c r="A31" s="81" t="str">
        <f aca="false">IF(Employees!$B$28="","",Employees!$B$28)</f>
        <v/>
      </c>
      <c r="B31" s="82" t="str">
        <f aca="false">IF(A31="","",Employees!$C$28)</f>
        <v/>
      </c>
      <c r="C31" s="83" t="str">
        <f aca="false">IF(OR($A31="",C$5="",C$7&lt;&gt;"W"),"",IF(SUMPRODUCT(MAX(('Leave Register'!$B$6:$B$305=$A31)*('Leave Register'!$E$6:$E$305&lt;=C$5)*('Leave Register'!$F$6:$F$305&gt;=C$5)*('Leave Register'!$J$6:$J$305="Approved")*(ROW('Leave Register'!$B$6:$B$305)-5)))=0,"",INDEX('Leave Register'!$D$6:$D$305,SUMPRODUCT(MAX(('Leave Register'!$B$6:$B$305=$A31)*('Leave Register'!$E$6:$E$305&lt;=C$5)*('Leave Register'!$F$6:$F$305&gt;=C$5)*('Leave Register'!$J$6:$J$305="Approved")*(ROW('Leave Register'!$B$6:$B$305)-5))))))</f>
        <v/>
      </c>
      <c r="D31" s="83" t="str">
        <f aca="false">IF(OR($A31="",D$5="",D$7&lt;&gt;"W"),"",IF(SUMPRODUCT(MAX(('Leave Register'!$B$6:$B$305=$A31)*('Leave Register'!$E$6:$E$305&lt;=D$5)*('Leave Register'!$F$6:$F$305&gt;=D$5)*('Leave Register'!$J$6:$J$305="Approved")*(ROW('Leave Register'!$B$6:$B$305)-5)))=0,"",INDEX('Leave Register'!$D$6:$D$305,SUMPRODUCT(MAX(('Leave Register'!$B$6:$B$305=$A31)*('Leave Register'!$E$6:$E$305&lt;=D$5)*('Leave Register'!$F$6:$F$305&gt;=D$5)*('Leave Register'!$J$6:$J$305="Approved")*(ROW('Leave Register'!$B$6:$B$305)-5))))))</f>
        <v/>
      </c>
      <c r="E31" s="83" t="str">
        <f aca="false">IF(OR($A31="",E$5="",E$7&lt;&gt;"W"),"",IF(SUMPRODUCT(MAX(('Leave Register'!$B$6:$B$305=$A31)*('Leave Register'!$E$6:$E$305&lt;=E$5)*('Leave Register'!$F$6:$F$305&gt;=E$5)*('Leave Register'!$J$6:$J$305="Approved")*(ROW('Leave Register'!$B$6:$B$305)-5)))=0,"",INDEX('Leave Register'!$D$6:$D$305,SUMPRODUCT(MAX(('Leave Register'!$B$6:$B$305=$A31)*('Leave Register'!$E$6:$E$305&lt;=E$5)*('Leave Register'!$F$6:$F$305&gt;=E$5)*('Leave Register'!$J$6:$J$305="Approved")*(ROW('Leave Register'!$B$6:$B$305)-5))))))</f>
        <v/>
      </c>
      <c r="F31" s="83" t="str">
        <f aca="false">IF(OR($A31="",F$5="",F$7&lt;&gt;"W"),"",IF(SUMPRODUCT(MAX(('Leave Register'!$B$6:$B$305=$A31)*('Leave Register'!$E$6:$E$305&lt;=F$5)*('Leave Register'!$F$6:$F$305&gt;=F$5)*('Leave Register'!$J$6:$J$305="Approved")*(ROW('Leave Register'!$B$6:$B$305)-5)))=0,"",INDEX('Leave Register'!$D$6:$D$305,SUMPRODUCT(MAX(('Leave Register'!$B$6:$B$305=$A31)*('Leave Register'!$E$6:$E$305&lt;=F$5)*('Leave Register'!$F$6:$F$305&gt;=F$5)*('Leave Register'!$J$6:$J$305="Approved")*(ROW('Leave Register'!$B$6:$B$305)-5))))))</f>
        <v/>
      </c>
      <c r="G31" s="83" t="str">
        <f aca="false">IF(OR($A31="",G$5="",G$7&lt;&gt;"W"),"",IF(SUMPRODUCT(MAX(('Leave Register'!$B$6:$B$305=$A31)*('Leave Register'!$E$6:$E$305&lt;=G$5)*('Leave Register'!$F$6:$F$305&gt;=G$5)*('Leave Register'!$J$6:$J$305="Approved")*(ROW('Leave Register'!$B$6:$B$305)-5)))=0,"",INDEX('Leave Register'!$D$6:$D$305,SUMPRODUCT(MAX(('Leave Register'!$B$6:$B$305=$A31)*('Leave Register'!$E$6:$E$305&lt;=G$5)*('Leave Register'!$F$6:$F$305&gt;=G$5)*('Leave Register'!$J$6:$J$305="Approved")*(ROW('Leave Register'!$B$6:$B$305)-5))))))</f>
        <v/>
      </c>
      <c r="H31" s="83" t="str">
        <f aca="false">IF(OR($A31="",H$5="",H$7&lt;&gt;"W"),"",IF(SUMPRODUCT(MAX(('Leave Register'!$B$6:$B$305=$A31)*('Leave Register'!$E$6:$E$305&lt;=H$5)*('Leave Register'!$F$6:$F$305&gt;=H$5)*('Leave Register'!$J$6:$J$305="Approved")*(ROW('Leave Register'!$B$6:$B$305)-5)))=0,"",INDEX('Leave Register'!$D$6:$D$305,SUMPRODUCT(MAX(('Leave Register'!$B$6:$B$305=$A31)*('Leave Register'!$E$6:$E$305&lt;=H$5)*('Leave Register'!$F$6:$F$305&gt;=H$5)*('Leave Register'!$J$6:$J$305="Approved")*(ROW('Leave Register'!$B$6:$B$305)-5))))))</f>
        <v/>
      </c>
      <c r="I31" s="83" t="str">
        <f aca="false">IF(OR($A31="",I$5="",I$7&lt;&gt;"W"),"",IF(SUMPRODUCT(MAX(('Leave Register'!$B$6:$B$305=$A31)*('Leave Register'!$E$6:$E$305&lt;=I$5)*('Leave Register'!$F$6:$F$305&gt;=I$5)*('Leave Register'!$J$6:$J$305="Approved")*(ROW('Leave Register'!$B$6:$B$305)-5)))=0,"",INDEX('Leave Register'!$D$6:$D$305,SUMPRODUCT(MAX(('Leave Register'!$B$6:$B$305=$A31)*('Leave Register'!$E$6:$E$305&lt;=I$5)*('Leave Register'!$F$6:$F$305&gt;=I$5)*('Leave Register'!$J$6:$J$305="Approved")*(ROW('Leave Register'!$B$6:$B$305)-5))))))</f>
        <v/>
      </c>
      <c r="J31" s="83" t="str">
        <f aca="false">IF(OR($A31="",J$5="",J$7&lt;&gt;"W"),"",IF(SUMPRODUCT(MAX(('Leave Register'!$B$6:$B$305=$A31)*('Leave Register'!$E$6:$E$305&lt;=J$5)*('Leave Register'!$F$6:$F$305&gt;=J$5)*('Leave Register'!$J$6:$J$305="Approved")*(ROW('Leave Register'!$B$6:$B$305)-5)))=0,"",INDEX('Leave Register'!$D$6:$D$305,SUMPRODUCT(MAX(('Leave Register'!$B$6:$B$305=$A31)*('Leave Register'!$E$6:$E$305&lt;=J$5)*('Leave Register'!$F$6:$F$305&gt;=J$5)*('Leave Register'!$J$6:$J$305="Approved")*(ROW('Leave Register'!$B$6:$B$305)-5))))))</f>
        <v/>
      </c>
      <c r="K31" s="83" t="str">
        <f aca="false">IF(OR($A31="",K$5="",K$7&lt;&gt;"W"),"",IF(SUMPRODUCT(MAX(('Leave Register'!$B$6:$B$305=$A31)*('Leave Register'!$E$6:$E$305&lt;=K$5)*('Leave Register'!$F$6:$F$305&gt;=K$5)*('Leave Register'!$J$6:$J$305="Approved")*(ROW('Leave Register'!$B$6:$B$305)-5)))=0,"",INDEX('Leave Register'!$D$6:$D$305,SUMPRODUCT(MAX(('Leave Register'!$B$6:$B$305=$A31)*('Leave Register'!$E$6:$E$305&lt;=K$5)*('Leave Register'!$F$6:$F$305&gt;=K$5)*('Leave Register'!$J$6:$J$305="Approved")*(ROW('Leave Register'!$B$6:$B$305)-5))))))</f>
        <v/>
      </c>
      <c r="L31" s="83" t="str">
        <f aca="false">IF(OR($A31="",L$5="",L$7&lt;&gt;"W"),"",IF(SUMPRODUCT(MAX(('Leave Register'!$B$6:$B$305=$A31)*('Leave Register'!$E$6:$E$305&lt;=L$5)*('Leave Register'!$F$6:$F$305&gt;=L$5)*('Leave Register'!$J$6:$J$305="Approved")*(ROW('Leave Register'!$B$6:$B$305)-5)))=0,"",INDEX('Leave Register'!$D$6:$D$305,SUMPRODUCT(MAX(('Leave Register'!$B$6:$B$305=$A31)*('Leave Register'!$E$6:$E$305&lt;=L$5)*('Leave Register'!$F$6:$F$305&gt;=L$5)*('Leave Register'!$J$6:$J$305="Approved")*(ROW('Leave Register'!$B$6:$B$305)-5))))))</f>
        <v/>
      </c>
      <c r="M31" s="83" t="str">
        <f aca="false">IF(OR($A31="",M$5="",M$7&lt;&gt;"W"),"",IF(SUMPRODUCT(MAX(('Leave Register'!$B$6:$B$305=$A31)*('Leave Register'!$E$6:$E$305&lt;=M$5)*('Leave Register'!$F$6:$F$305&gt;=M$5)*('Leave Register'!$J$6:$J$305="Approved")*(ROW('Leave Register'!$B$6:$B$305)-5)))=0,"",INDEX('Leave Register'!$D$6:$D$305,SUMPRODUCT(MAX(('Leave Register'!$B$6:$B$305=$A31)*('Leave Register'!$E$6:$E$305&lt;=M$5)*('Leave Register'!$F$6:$F$305&gt;=M$5)*('Leave Register'!$J$6:$J$305="Approved")*(ROW('Leave Register'!$B$6:$B$305)-5))))))</f>
        <v/>
      </c>
      <c r="N31" s="83" t="str">
        <f aca="false">IF(OR($A31="",N$5="",N$7&lt;&gt;"W"),"",IF(SUMPRODUCT(MAX(('Leave Register'!$B$6:$B$305=$A31)*('Leave Register'!$E$6:$E$305&lt;=N$5)*('Leave Register'!$F$6:$F$305&gt;=N$5)*('Leave Register'!$J$6:$J$305="Approved")*(ROW('Leave Register'!$B$6:$B$305)-5)))=0,"",INDEX('Leave Register'!$D$6:$D$305,SUMPRODUCT(MAX(('Leave Register'!$B$6:$B$305=$A31)*('Leave Register'!$E$6:$E$305&lt;=N$5)*('Leave Register'!$F$6:$F$305&gt;=N$5)*('Leave Register'!$J$6:$J$305="Approved")*(ROW('Leave Register'!$B$6:$B$305)-5))))))</f>
        <v/>
      </c>
      <c r="O31" s="83" t="str">
        <f aca="false">IF(OR($A31="",O$5="",O$7&lt;&gt;"W"),"",IF(SUMPRODUCT(MAX(('Leave Register'!$B$6:$B$305=$A31)*('Leave Register'!$E$6:$E$305&lt;=O$5)*('Leave Register'!$F$6:$F$305&gt;=O$5)*('Leave Register'!$J$6:$J$305="Approved")*(ROW('Leave Register'!$B$6:$B$305)-5)))=0,"",INDEX('Leave Register'!$D$6:$D$305,SUMPRODUCT(MAX(('Leave Register'!$B$6:$B$305=$A31)*('Leave Register'!$E$6:$E$305&lt;=O$5)*('Leave Register'!$F$6:$F$305&gt;=O$5)*('Leave Register'!$J$6:$J$305="Approved")*(ROW('Leave Register'!$B$6:$B$305)-5))))))</f>
        <v/>
      </c>
      <c r="P31" s="83" t="str">
        <f aca="false">IF(OR($A31="",P$5="",P$7&lt;&gt;"W"),"",IF(SUMPRODUCT(MAX(('Leave Register'!$B$6:$B$305=$A31)*('Leave Register'!$E$6:$E$305&lt;=P$5)*('Leave Register'!$F$6:$F$305&gt;=P$5)*('Leave Register'!$J$6:$J$305="Approved")*(ROW('Leave Register'!$B$6:$B$305)-5)))=0,"",INDEX('Leave Register'!$D$6:$D$305,SUMPRODUCT(MAX(('Leave Register'!$B$6:$B$305=$A31)*('Leave Register'!$E$6:$E$305&lt;=P$5)*('Leave Register'!$F$6:$F$305&gt;=P$5)*('Leave Register'!$J$6:$J$305="Approved")*(ROW('Leave Register'!$B$6:$B$305)-5))))))</f>
        <v/>
      </c>
      <c r="Q31" s="83" t="str">
        <f aca="false">IF(OR($A31="",Q$5="",Q$7&lt;&gt;"W"),"",IF(SUMPRODUCT(MAX(('Leave Register'!$B$6:$B$305=$A31)*('Leave Register'!$E$6:$E$305&lt;=Q$5)*('Leave Register'!$F$6:$F$305&gt;=Q$5)*('Leave Register'!$J$6:$J$305="Approved")*(ROW('Leave Register'!$B$6:$B$305)-5)))=0,"",INDEX('Leave Register'!$D$6:$D$305,SUMPRODUCT(MAX(('Leave Register'!$B$6:$B$305=$A31)*('Leave Register'!$E$6:$E$305&lt;=Q$5)*('Leave Register'!$F$6:$F$305&gt;=Q$5)*('Leave Register'!$J$6:$J$305="Approved")*(ROW('Leave Register'!$B$6:$B$305)-5))))))</f>
        <v/>
      </c>
      <c r="R31" s="83" t="str">
        <f aca="false">IF(OR($A31="",R$5="",R$7&lt;&gt;"W"),"",IF(SUMPRODUCT(MAX(('Leave Register'!$B$6:$B$305=$A31)*('Leave Register'!$E$6:$E$305&lt;=R$5)*('Leave Register'!$F$6:$F$305&gt;=R$5)*('Leave Register'!$J$6:$J$305="Approved")*(ROW('Leave Register'!$B$6:$B$305)-5)))=0,"",INDEX('Leave Register'!$D$6:$D$305,SUMPRODUCT(MAX(('Leave Register'!$B$6:$B$305=$A31)*('Leave Register'!$E$6:$E$305&lt;=R$5)*('Leave Register'!$F$6:$F$305&gt;=R$5)*('Leave Register'!$J$6:$J$305="Approved")*(ROW('Leave Register'!$B$6:$B$305)-5))))))</f>
        <v/>
      </c>
      <c r="S31" s="83" t="str">
        <f aca="false">IF(OR($A31="",S$5="",S$7&lt;&gt;"W"),"",IF(SUMPRODUCT(MAX(('Leave Register'!$B$6:$B$305=$A31)*('Leave Register'!$E$6:$E$305&lt;=S$5)*('Leave Register'!$F$6:$F$305&gt;=S$5)*('Leave Register'!$J$6:$J$305="Approved")*(ROW('Leave Register'!$B$6:$B$305)-5)))=0,"",INDEX('Leave Register'!$D$6:$D$305,SUMPRODUCT(MAX(('Leave Register'!$B$6:$B$305=$A31)*('Leave Register'!$E$6:$E$305&lt;=S$5)*('Leave Register'!$F$6:$F$305&gt;=S$5)*('Leave Register'!$J$6:$J$305="Approved")*(ROW('Leave Register'!$B$6:$B$305)-5))))))</f>
        <v/>
      </c>
      <c r="T31" s="83" t="str">
        <f aca="false">IF(OR($A31="",T$5="",T$7&lt;&gt;"W"),"",IF(SUMPRODUCT(MAX(('Leave Register'!$B$6:$B$305=$A31)*('Leave Register'!$E$6:$E$305&lt;=T$5)*('Leave Register'!$F$6:$F$305&gt;=T$5)*('Leave Register'!$J$6:$J$305="Approved")*(ROW('Leave Register'!$B$6:$B$305)-5)))=0,"",INDEX('Leave Register'!$D$6:$D$305,SUMPRODUCT(MAX(('Leave Register'!$B$6:$B$305=$A31)*('Leave Register'!$E$6:$E$305&lt;=T$5)*('Leave Register'!$F$6:$F$305&gt;=T$5)*('Leave Register'!$J$6:$J$305="Approved")*(ROW('Leave Register'!$B$6:$B$305)-5))))))</f>
        <v/>
      </c>
      <c r="U31" s="83" t="str">
        <f aca="false">IF(OR($A31="",U$5="",U$7&lt;&gt;"W"),"",IF(SUMPRODUCT(MAX(('Leave Register'!$B$6:$B$305=$A31)*('Leave Register'!$E$6:$E$305&lt;=U$5)*('Leave Register'!$F$6:$F$305&gt;=U$5)*('Leave Register'!$J$6:$J$305="Approved")*(ROW('Leave Register'!$B$6:$B$305)-5)))=0,"",INDEX('Leave Register'!$D$6:$D$305,SUMPRODUCT(MAX(('Leave Register'!$B$6:$B$305=$A31)*('Leave Register'!$E$6:$E$305&lt;=U$5)*('Leave Register'!$F$6:$F$305&gt;=U$5)*('Leave Register'!$J$6:$J$305="Approved")*(ROW('Leave Register'!$B$6:$B$305)-5))))))</f>
        <v/>
      </c>
      <c r="V31" s="83" t="str">
        <f aca="false">IF(OR($A31="",V$5="",V$7&lt;&gt;"W"),"",IF(SUMPRODUCT(MAX(('Leave Register'!$B$6:$B$305=$A31)*('Leave Register'!$E$6:$E$305&lt;=V$5)*('Leave Register'!$F$6:$F$305&gt;=V$5)*('Leave Register'!$J$6:$J$305="Approved")*(ROW('Leave Register'!$B$6:$B$305)-5)))=0,"",INDEX('Leave Register'!$D$6:$D$305,SUMPRODUCT(MAX(('Leave Register'!$B$6:$B$305=$A31)*('Leave Register'!$E$6:$E$305&lt;=V$5)*('Leave Register'!$F$6:$F$305&gt;=V$5)*('Leave Register'!$J$6:$J$305="Approved")*(ROW('Leave Register'!$B$6:$B$305)-5))))))</f>
        <v/>
      </c>
      <c r="W31" s="83" t="str">
        <f aca="false">IF(OR($A31="",W$5="",W$7&lt;&gt;"W"),"",IF(SUMPRODUCT(MAX(('Leave Register'!$B$6:$B$305=$A31)*('Leave Register'!$E$6:$E$305&lt;=W$5)*('Leave Register'!$F$6:$F$305&gt;=W$5)*('Leave Register'!$J$6:$J$305="Approved")*(ROW('Leave Register'!$B$6:$B$305)-5)))=0,"",INDEX('Leave Register'!$D$6:$D$305,SUMPRODUCT(MAX(('Leave Register'!$B$6:$B$305=$A31)*('Leave Register'!$E$6:$E$305&lt;=W$5)*('Leave Register'!$F$6:$F$305&gt;=W$5)*('Leave Register'!$J$6:$J$305="Approved")*(ROW('Leave Register'!$B$6:$B$305)-5))))))</f>
        <v/>
      </c>
      <c r="X31" s="83" t="str">
        <f aca="false">IF(OR($A31="",X$5="",X$7&lt;&gt;"W"),"",IF(SUMPRODUCT(MAX(('Leave Register'!$B$6:$B$305=$A31)*('Leave Register'!$E$6:$E$305&lt;=X$5)*('Leave Register'!$F$6:$F$305&gt;=X$5)*('Leave Register'!$J$6:$J$305="Approved")*(ROW('Leave Register'!$B$6:$B$305)-5)))=0,"",INDEX('Leave Register'!$D$6:$D$305,SUMPRODUCT(MAX(('Leave Register'!$B$6:$B$305=$A31)*('Leave Register'!$E$6:$E$305&lt;=X$5)*('Leave Register'!$F$6:$F$305&gt;=X$5)*('Leave Register'!$J$6:$J$305="Approved")*(ROW('Leave Register'!$B$6:$B$305)-5))))))</f>
        <v/>
      </c>
      <c r="Y31" s="83" t="str">
        <f aca="false">IF(OR($A31="",Y$5="",Y$7&lt;&gt;"W"),"",IF(SUMPRODUCT(MAX(('Leave Register'!$B$6:$B$305=$A31)*('Leave Register'!$E$6:$E$305&lt;=Y$5)*('Leave Register'!$F$6:$F$305&gt;=Y$5)*('Leave Register'!$J$6:$J$305="Approved")*(ROW('Leave Register'!$B$6:$B$305)-5)))=0,"",INDEX('Leave Register'!$D$6:$D$305,SUMPRODUCT(MAX(('Leave Register'!$B$6:$B$305=$A31)*('Leave Register'!$E$6:$E$305&lt;=Y$5)*('Leave Register'!$F$6:$F$305&gt;=Y$5)*('Leave Register'!$J$6:$J$305="Approved")*(ROW('Leave Register'!$B$6:$B$305)-5))))))</f>
        <v/>
      </c>
      <c r="Z31" s="83" t="str">
        <f aca="false">IF(OR($A31="",Z$5="",Z$7&lt;&gt;"W"),"",IF(SUMPRODUCT(MAX(('Leave Register'!$B$6:$B$305=$A31)*('Leave Register'!$E$6:$E$305&lt;=Z$5)*('Leave Register'!$F$6:$F$305&gt;=Z$5)*('Leave Register'!$J$6:$J$305="Approved")*(ROW('Leave Register'!$B$6:$B$305)-5)))=0,"",INDEX('Leave Register'!$D$6:$D$305,SUMPRODUCT(MAX(('Leave Register'!$B$6:$B$305=$A31)*('Leave Register'!$E$6:$E$305&lt;=Z$5)*('Leave Register'!$F$6:$F$305&gt;=Z$5)*('Leave Register'!$J$6:$J$305="Approved")*(ROW('Leave Register'!$B$6:$B$305)-5))))))</f>
        <v/>
      </c>
      <c r="AA31" s="83" t="str">
        <f aca="false">IF(OR($A31="",AA$5="",AA$7&lt;&gt;"W"),"",IF(SUMPRODUCT(MAX(('Leave Register'!$B$6:$B$305=$A31)*('Leave Register'!$E$6:$E$305&lt;=AA$5)*('Leave Register'!$F$6:$F$305&gt;=AA$5)*('Leave Register'!$J$6:$J$305="Approved")*(ROW('Leave Register'!$B$6:$B$305)-5)))=0,"",INDEX('Leave Register'!$D$6:$D$305,SUMPRODUCT(MAX(('Leave Register'!$B$6:$B$305=$A31)*('Leave Register'!$E$6:$E$305&lt;=AA$5)*('Leave Register'!$F$6:$F$305&gt;=AA$5)*('Leave Register'!$J$6:$J$305="Approved")*(ROW('Leave Register'!$B$6:$B$305)-5))))))</f>
        <v/>
      </c>
      <c r="AB31" s="83" t="str">
        <f aca="false">IF(OR($A31="",AB$5="",AB$7&lt;&gt;"W"),"",IF(SUMPRODUCT(MAX(('Leave Register'!$B$6:$B$305=$A31)*('Leave Register'!$E$6:$E$305&lt;=AB$5)*('Leave Register'!$F$6:$F$305&gt;=AB$5)*('Leave Register'!$J$6:$J$305="Approved")*(ROW('Leave Register'!$B$6:$B$305)-5)))=0,"",INDEX('Leave Register'!$D$6:$D$305,SUMPRODUCT(MAX(('Leave Register'!$B$6:$B$305=$A31)*('Leave Register'!$E$6:$E$305&lt;=AB$5)*('Leave Register'!$F$6:$F$305&gt;=AB$5)*('Leave Register'!$J$6:$J$305="Approved")*(ROW('Leave Register'!$B$6:$B$305)-5))))))</f>
        <v/>
      </c>
      <c r="AC31" s="83" t="str">
        <f aca="false">IF(OR($A31="",AC$5="",AC$7&lt;&gt;"W"),"",IF(SUMPRODUCT(MAX(('Leave Register'!$B$6:$B$305=$A31)*('Leave Register'!$E$6:$E$305&lt;=AC$5)*('Leave Register'!$F$6:$F$305&gt;=AC$5)*('Leave Register'!$J$6:$J$305="Approved")*(ROW('Leave Register'!$B$6:$B$305)-5)))=0,"",INDEX('Leave Register'!$D$6:$D$305,SUMPRODUCT(MAX(('Leave Register'!$B$6:$B$305=$A31)*('Leave Register'!$E$6:$E$305&lt;=AC$5)*('Leave Register'!$F$6:$F$305&gt;=AC$5)*('Leave Register'!$J$6:$J$305="Approved")*(ROW('Leave Register'!$B$6:$B$305)-5))))))</f>
        <v/>
      </c>
      <c r="AD31" s="83" t="str">
        <f aca="false">IF(OR($A31="",AD$5="",AD$7&lt;&gt;"W"),"",IF(SUMPRODUCT(MAX(('Leave Register'!$B$6:$B$305=$A31)*('Leave Register'!$E$6:$E$305&lt;=AD$5)*('Leave Register'!$F$6:$F$305&gt;=AD$5)*('Leave Register'!$J$6:$J$305="Approved")*(ROW('Leave Register'!$B$6:$B$305)-5)))=0,"",INDEX('Leave Register'!$D$6:$D$305,SUMPRODUCT(MAX(('Leave Register'!$B$6:$B$305=$A31)*('Leave Register'!$E$6:$E$305&lt;=AD$5)*('Leave Register'!$F$6:$F$305&gt;=AD$5)*('Leave Register'!$J$6:$J$305="Approved")*(ROW('Leave Register'!$B$6:$B$305)-5))))))</f>
        <v/>
      </c>
      <c r="AE31" s="83" t="str">
        <f aca="false">IF(OR($A31="",AE$5="",AE$7&lt;&gt;"W"),"",IF(SUMPRODUCT(MAX(('Leave Register'!$B$6:$B$305=$A31)*('Leave Register'!$E$6:$E$305&lt;=AE$5)*('Leave Register'!$F$6:$F$305&gt;=AE$5)*('Leave Register'!$J$6:$J$305="Approved")*(ROW('Leave Register'!$B$6:$B$305)-5)))=0,"",INDEX('Leave Register'!$D$6:$D$305,SUMPRODUCT(MAX(('Leave Register'!$B$6:$B$305=$A31)*('Leave Register'!$E$6:$E$305&lt;=AE$5)*('Leave Register'!$F$6:$F$305&gt;=AE$5)*('Leave Register'!$J$6:$J$305="Approved")*(ROW('Leave Register'!$B$6:$B$305)-5))))))</f>
        <v/>
      </c>
      <c r="AF31" s="83" t="str">
        <f aca="false">IF(OR($A31="",AF$5="",AF$7&lt;&gt;"W"),"",IF(SUMPRODUCT(MAX(('Leave Register'!$B$6:$B$305=$A31)*('Leave Register'!$E$6:$E$305&lt;=AF$5)*('Leave Register'!$F$6:$F$305&gt;=AF$5)*('Leave Register'!$J$6:$J$305="Approved")*(ROW('Leave Register'!$B$6:$B$305)-5)))=0,"",INDEX('Leave Register'!$D$6:$D$305,SUMPRODUCT(MAX(('Leave Register'!$B$6:$B$305=$A31)*('Leave Register'!$E$6:$E$305&lt;=AF$5)*('Leave Register'!$F$6:$F$305&gt;=AF$5)*('Leave Register'!$J$6:$J$305="Approved")*(ROW('Leave Register'!$B$6:$B$305)-5))))))</f>
        <v/>
      </c>
      <c r="AG31" s="83" t="str">
        <f aca="false">IF(OR($A31="",AG$5="",AG$7&lt;&gt;"W"),"",IF(SUMPRODUCT(MAX(('Leave Register'!$B$6:$B$305=$A31)*('Leave Register'!$E$6:$E$305&lt;=AG$5)*('Leave Register'!$F$6:$F$305&gt;=AG$5)*('Leave Register'!$J$6:$J$305="Approved")*(ROW('Leave Register'!$B$6:$B$305)-5)))=0,"",INDEX('Leave Register'!$D$6:$D$305,SUMPRODUCT(MAX(('Leave Register'!$B$6:$B$305=$A31)*('Leave Register'!$E$6:$E$305&lt;=AG$5)*('Leave Register'!$F$6:$F$305&gt;=AG$5)*('Leave Register'!$J$6:$J$305="Approved")*(ROW('Leave Register'!$B$6:$B$305)-5))))))</f>
        <v/>
      </c>
      <c r="AH31" s="84" t="str">
        <f aca="false">IF(A31="","",COUNTIF(C31:AG31,"?*"))</f>
        <v/>
      </c>
    </row>
    <row r="32" customFormat="false" ht="15" hidden="false" customHeight="false" outlineLevel="0" collapsed="false">
      <c r="A32" s="81" t="str">
        <f aca="false">IF(Employees!$B$29="","",Employees!$B$29)</f>
        <v/>
      </c>
      <c r="B32" s="82" t="str">
        <f aca="false">IF(A32="","",Employees!$C$29)</f>
        <v/>
      </c>
      <c r="C32" s="83" t="str">
        <f aca="false">IF(OR($A32="",C$5="",C$7&lt;&gt;"W"),"",IF(SUMPRODUCT(MAX(('Leave Register'!$B$6:$B$305=$A32)*('Leave Register'!$E$6:$E$305&lt;=C$5)*('Leave Register'!$F$6:$F$305&gt;=C$5)*('Leave Register'!$J$6:$J$305="Approved")*(ROW('Leave Register'!$B$6:$B$305)-5)))=0,"",INDEX('Leave Register'!$D$6:$D$305,SUMPRODUCT(MAX(('Leave Register'!$B$6:$B$305=$A32)*('Leave Register'!$E$6:$E$305&lt;=C$5)*('Leave Register'!$F$6:$F$305&gt;=C$5)*('Leave Register'!$J$6:$J$305="Approved")*(ROW('Leave Register'!$B$6:$B$305)-5))))))</f>
        <v/>
      </c>
      <c r="D32" s="83" t="str">
        <f aca="false">IF(OR($A32="",D$5="",D$7&lt;&gt;"W"),"",IF(SUMPRODUCT(MAX(('Leave Register'!$B$6:$B$305=$A32)*('Leave Register'!$E$6:$E$305&lt;=D$5)*('Leave Register'!$F$6:$F$305&gt;=D$5)*('Leave Register'!$J$6:$J$305="Approved")*(ROW('Leave Register'!$B$6:$B$305)-5)))=0,"",INDEX('Leave Register'!$D$6:$D$305,SUMPRODUCT(MAX(('Leave Register'!$B$6:$B$305=$A32)*('Leave Register'!$E$6:$E$305&lt;=D$5)*('Leave Register'!$F$6:$F$305&gt;=D$5)*('Leave Register'!$J$6:$J$305="Approved")*(ROW('Leave Register'!$B$6:$B$305)-5))))))</f>
        <v/>
      </c>
      <c r="E32" s="83" t="str">
        <f aca="false">IF(OR($A32="",E$5="",E$7&lt;&gt;"W"),"",IF(SUMPRODUCT(MAX(('Leave Register'!$B$6:$B$305=$A32)*('Leave Register'!$E$6:$E$305&lt;=E$5)*('Leave Register'!$F$6:$F$305&gt;=E$5)*('Leave Register'!$J$6:$J$305="Approved")*(ROW('Leave Register'!$B$6:$B$305)-5)))=0,"",INDEX('Leave Register'!$D$6:$D$305,SUMPRODUCT(MAX(('Leave Register'!$B$6:$B$305=$A32)*('Leave Register'!$E$6:$E$305&lt;=E$5)*('Leave Register'!$F$6:$F$305&gt;=E$5)*('Leave Register'!$J$6:$J$305="Approved")*(ROW('Leave Register'!$B$6:$B$305)-5))))))</f>
        <v/>
      </c>
      <c r="F32" s="83" t="str">
        <f aca="false">IF(OR($A32="",F$5="",F$7&lt;&gt;"W"),"",IF(SUMPRODUCT(MAX(('Leave Register'!$B$6:$B$305=$A32)*('Leave Register'!$E$6:$E$305&lt;=F$5)*('Leave Register'!$F$6:$F$305&gt;=F$5)*('Leave Register'!$J$6:$J$305="Approved")*(ROW('Leave Register'!$B$6:$B$305)-5)))=0,"",INDEX('Leave Register'!$D$6:$D$305,SUMPRODUCT(MAX(('Leave Register'!$B$6:$B$305=$A32)*('Leave Register'!$E$6:$E$305&lt;=F$5)*('Leave Register'!$F$6:$F$305&gt;=F$5)*('Leave Register'!$J$6:$J$305="Approved")*(ROW('Leave Register'!$B$6:$B$305)-5))))))</f>
        <v/>
      </c>
      <c r="G32" s="83" t="str">
        <f aca="false">IF(OR($A32="",G$5="",G$7&lt;&gt;"W"),"",IF(SUMPRODUCT(MAX(('Leave Register'!$B$6:$B$305=$A32)*('Leave Register'!$E$6:$E$305&lt;=G$5)*('Leave Register'!$F$6:$F$305&gt;=G$5)*('Leave Register'!$J$6:$J$305="Approved")*(ROW('Leave Register'!$B$6:$B$305)-5)))=0,"",INDEX('Leave Register'!$D$6:$D$305,SUMPRODUCT(MAX(('Leave Register'!$B$6:$B$305=$A32)*('Leave Register'!$E$6:$E$305&lt;=G$5)*('Leave Register'!$F$6:$F$305&gt;=G$5)*('Leave Register'!$J$6:$J$305="Approved")*(ROW('Leave Register'!$B$6:$B$305)-5))))))</f>
        <v/>
      </c>
      <c r="H32" s="83" t="str">
        <f aca="false">IF(OR($A32="",H$5="",H$7&lt;&gt;"W"),"",IF(SUMPRODUCT(MAX(('Leave Register'!$B$6:$B$305=$A32)*('Leave Register'!$E$6:$E$305&lt;=H$5)*('Leave Register'!$F$6:$F$305&gt;=H$5)*('Leave Register'!$J$6:$J$305="Approved")*(ROW('Leave Register'!$B$6:$B$305)-5)))=0,"",INDEX('Leave Register'!$D$6:$D$305,SUMPRODUCT(MAX(('Leave Register'!$B$6:$B$305=$A32)*('Leave Register'!$E$6:$E$305&lt;=H$5)*('Leave Register'!$F$6:$F$305&gt;=H$5)*('Leave Register'!$J$6:$J$305="Approved")*(ROW('Leave Register'!$B$6:$B$305)-5))))))</f>
        <v/>
      </c>
      <c r="I32" s="83" t="str">
        <f aca="false">IF(OR($A32="",I$5="",I$7&lt;&gt;"W"),"",IF(SUMPRODUCT(MAX(('Leave Register'!$B$6:$B$305=$A32)*('Leave Register'!$E$6:$E$305&lt;=I$5)*('Leave Register'!$F$6:$F$305&gt;=I$5)*('Leave Register'!$J$6:$J$305="Approved")*(ROW('Leave Register'!$B$6:$B$305)-5)))=0,"",INDEX('Leave Register'!$D$6:$D$305,SUMPRODUCT(MAX(('Leave Register'!$B$6:$B$305=$A32)*('Leave Register'!$E$6:$E$305&lt;=I$5)*('Leave Register'!$F$6:$F$305&gt;=I$5)*('Leave Register'!$J$6:$J$305="Approved")*(ROW('Leave Register'!$B$6:$B$305)-5))))))</f>
        <v/>
      </c>
      <c r="J32" s="83" t="str">
        <f aca="false">IF(OR($A32="",J$5="",J$7&lt;&gt;"W"),"",IF(SUMPRODUCT(MAX(('Leave Register'!$B$6:$B$305=$A32)*('Leave Register'!$E$6:$E$305&lt;=J$5)*('Leave Register'!$F$6:$F$305&gt;=J$5)*('Leave Register'!$J$6:$J$305="Approved")*(ROW('Leave Register'!$B$6:$B$305)-5)))=0,"",INDEX('Leave Register'!$D$6:$D$305,SUMPRODUCT(MAX(('Leave Register'!$B$6:$B$305=$A32)*('Leave Register'!$E$6:$E$305&lt;=J$5)*('Leave Register'!$F$6:$F$305&gt;=J$5)*('Leave Register'!$J$6:$J$305="Approved")*(ROW('Leave Register'!$B$6:$B$305)-5))))))</f>
        <v/>
      </c>
      <c r="K32" s="83" t="str">
        <f aca="false">IF(OR($A32="",K$5="",K$7&lt;&gt;"W"),"",IF(SUMPRODUCT(MAX(('Leave Register'!$B$6:$B$305=$A32)*('Leave Register'!$E$6:$E$305&lt;=K$5)*('Leave Register'!$F$6:$F$305&gt;=K$5)*('Leave Register'!$J$6:$J$305="Approved")*(ROW('Leave Register'!$B$6:$B$305)-5)))=0,"",INDEX('Leave Register'!$D$6:$D$305,SUMPRODUCT(MAX(('Leave Register'!$B$6:$B$305=$A32)*('Leave Register'!$E$6:$E$305&lt;=K$5)*('Leave Register'!$F$6:$F$305&gt;=K$5)*('Leave Register'!$J$6:$J$305="Approved")*(ROW('Leave Register'!$B$6:$B$305)-5))))))</f>
        <v/>
      </c>
      <c r="L32" s="83" t="str">
        <f aca="false">IF(OR($A32="",L$5="",L$7&lt;&gt;"W"),"",IF(SUMPRODUCT(MAX(('Leave Register'!$B$6:$B$305=$A32)*('Leave Register'!$E$6:$E$305&lt;=L$5)*('Leave Register'!$F$6:$F$305&gt;=L$5)*('Leave Register'!$J$6:$J$305="Approved")*(ROW('Leave Register'!$B$6:$B$305)-5)))=0,"",INDEX('Leave Register'!$D$6:$D$305,SUMPRODUCT(MAX(('Leave Register'!$B$6:$B$305=$A32)*('Leave Register'!$E$6:$E$305&lt;=L$5)*('Leave Register'!$F$6:$F$305&gt;=L$5)*('Leave Register'!$J$6:$J$305="Approved")*(ROW('Leave Register'!$B$6:$B$305)-5))))))</f>
        <v/>
      </c>
      <c r="M32" s="83" t="str">
        <f aca="false">IF(OR($A32="",M$5="",M$7&lt;&gt;"W"),"",IF(SUMPRODUCT(MAX(('Leave Register'!$B$6:$B$305=$A32)*('Leave Register'!$E$6:$E$305&lt;=M$5)*('Leave Register'!$F$6:$F$305&gt;=M$5)*('Leave Register'!$J$6:$J$305="Approved")*(ROW('Leave Register'!$B$6:$B$305)-5)))=0,"",INDEX('Leave Register'!$D$6:$D$305,SUMPRODUCT(MAX(('Leave Register'!$B$6:$B$305=$A32)*('Leave Register'!$E$6:$E$305&lt;=M$5)*('Leave Register'!$F$6:$F$305&gt;=M$5)*('Leave Register'!$J$6:$J$305="Approved")*(ROW('Leave Register'!$B$6:$B$305)-5))))))</f>
        <v/>
      </c>
      <c r="N32" s="83" t="str">
        <f aca="false">IF(OR($A32="",N$5="",N$7&lt;&gt;"W"),"",IF(SUMPRODUCT(MAX(('Leave Register'!$B$6:$B$305=$A32)*('Leave Register'!$E$6:$E$305&lt;=N$5)*('Leave Register'!$F$6:$F$305&gt;=N$5)*('Leave Register'!$J$6:$J$305="Approved")*(ROW('Leave Register'!$B$6:$B$305)-5)))=0,"",INDEX('Leave Register'!$D$6:$D$305,SUMPRODUCT(MAX(('Leave Register'!$B$6:$B$305=$A32)*('Leave Register'!$E$6:$E$305&lt;=N$5)*('Leave Register'!$F$6:$F$305&gt;=N$5)*('Leave Register'!$J$6:$J$305="Approved")*(ROW('Leave Register'!$B$6:$B$305)-5))))))</f>
        <v/>
      </c>
      <c r="O32" s="83" t="str">
        <f aca="false">IF(OR($A32="",O$5="",O$7&lt;&gt;"W"),"",IF(SUMPRODUCT(MAX(('Leave Register'!$B$6:$B$305=$A32)*('Leave Register'!$E$6:$E$305&lt;=O$5)*('Leave Register'!$F$6:$F$305&gt;=O$5)*('Leave Register'!$J$6:$J$305="Approved")*(ROW('Leave Register'!$B$6:$B$305)-5)))=0,"",INDEX('Leave Register'!$D$6:$D$305,SUMPRODUCT(MAX(('Leave Register'!$B$6:$B$305=$A32)*('Leave Register'!$E$6:$E$305&lt;=O$5)*('Leave Register'!$F$6:$F$305&gt;=O$5)*('Leave Register'!$J$6:$J$305="Approved")*(ROW('Leave Register'!$B$6:$B$305)-5))))))</f>
        <v/>
      </c>
      <c r="P32" s="83" t="str">
        <f aca="false">IF(OR($A32="",P$5="",P$7&lt;&gt;"W"),"",IF(SUMPRODUCT(MAX(('Leave Register'!$B$6:$B$305=$A32)*('Leave Register'!$E$6:$E$305&lt;=P$5)*('Leave Register'!$F$6:$F$305&gt;=P$5)*('Leave Register'!$J$6:$J$305="Approved")*(ROW('Leave Register'!$B$6:$B$305)-5)))=0,"",INDEX('Leave Register'!$D$6:$D$305,SUMPRODUCT(MAX(('Leave Register'!$B$6:$B$305=$A32)*('Leave Register'!$E$6:$E$305&lt;=P$5)*('Leave Register'!$F$6:$F$305&gt;=P$5)*('Leave Register'!$J$6:$J$305="Approved")*(ROW('Leave Register'!$B$6:$B$305)-5))))))</f>
        <v/>
      </c>
      <c r="Q32" s="83" t="str">
        <f aca="false">IF(OR($A32="",Q$5="",Q$7&lt;&gt;"W"),"",IF(SUMPRODUCT(MAX(('Leave Register'!$B$6:$B$305=$A32)*('Leave Register'!$E$6:$E$305&lt;=Q$5)*('Leave Register'!$F$6:$F$305&gt;=Q$5)*('Leave Register'!$J$6:$J$305="Approved")*(ROW('Leave Register'!$B$6:$B$305)-5)))=0,"",INDEX('Leave Register'!$D$6:$D$305,SUMPRODUCT(MAX(('Leave Register'!$B$6:$B$305=$A32)*('Leave Register'!$E$6:$E$305&lt;=Q$5)*('Leave Register'!$F$6:$F$305&gt;=Q$5)*('Leave Register'!$J$6:$J$305="Approved")*(ROW('Leave Register'!$B$6:$B$305)-5))))))</f>
        <v/>
      </c>
      <c r="R32" s="83" t="str">
        <f aca="false">IF(OR($A32="",R$5="",R$7&lt;&gt;"W"),"",IF(SUMPRODUCT(MAX(('Leave Register'!$B$6:$B$305=$A32)*('Leave Register'!$E$6:$E$305&lt;=R$5)*('Leave Register'!$F$6:$F$305&gt;=R$5)*('Leave Register'!$J$6:$J$305="Approved")*(ROW('Leave Register'!$B$6:$B$305)-5)))=0,"",INDEX('Leave Register'!$D$6:$D$305,SUMPRODUCT(MAX(('Leave Register'!$B$6:$B$305=$A32)*('Leave Register'!$E$6:$E$305&lt;=R$5)*('Leave Register'!$F$6:$F$305&gt;=R$5)*('Leave Register'!$J$6:$J$305="Approved")*(ROW('Leave Register'!$B$6:$B$305)-5))))))</f>
        <v/>
      </c>
      <c r="S32" s="83" t="str">
        <f aca="false">IF(OR($A32="",S$5="",S$7&lt;&gt;"W"),"",IF(SUMPRODUCT(MAX(('Leave Register'!$B$6:$B$305=$A32)*('Leave Register'!$E$6:$E$305&lt;=S$5)*('Leave Register'!$F$6:$F$305&gt;=S$5)*('Leave Register'!$J$6:$J$305="Approved")*(ROW('Leave Register'!$B$6:$B$305)-5)))=0,"",INDEX('Leave Register'!$D$6:$D$305,SUMPRODUCT(MAX(('Leave Register'!$B$6:$B$305=$A32)*('Leave Register'!$E$6:$E$305&lt;=S$5)*('Leave Register'!$F$6:$F$305&gt;=S$5)*('Leave Register'!$J$6:$J$305="Approved")*(ROW('Leave Register'!$B$6:$B$305)-5))))))</f>
        <v/>
      </c>
      <c r="T32" s="83" t="str">
        <f aca="false">IF(OR($A32="",T$5="",T$7&lt;&gt;"W"),"",IF(SUMPRODUCT(MAX(('Leave Register'!$B$6:$B$305=$A32)*('Leave Register'!$E$6:$E$305&lt;=T$5)*('Leave Register'!$F$6:$F$305&gt;=T$5)*('Leave Register'!$J$6:$J$305="Approved")*(ROW('Leave Register'!$B$6:$B$305)-5)))=0,"",INDEX('Leave Register'!$D$6:$D$305,SUMPRODUCT(MAX(('Leave Register'!$B$6:$B$305=$A32)*('Leave Register'!$E$6:$E$305&lt;=T$5)*('Leave Register'!$F$6:$F$305&gt;=T$5)*('Leave Register'!$J$6:$J$305="Approved")*(ROW('Leave Register'!$B$6:$B$305)-5))))))</f>
        <v/>
      </c>
      <c r="U32" s="83" t="str">
        <f aca="false">IF(OR($A32="",U$5="",U$7&lt;&gt;"W"),"",IF(SUMPRODUCT(MAX(('Leave Register'!$B$6:$B$305=$A32)*('Leave Register'!$E$6:$E$305&lt;=U$5)*('Leave Register'!$F$6:$F$305&gt;=U$5)*('Leave Register'!$J$6:$J$305="Approved")*(ROW('Leave Register'!$B$6:$B$305)-5)))=0,"",INDEX('Leave Register'!$D$6:$D$305,SUMPRODUCT(MAX(('Leave Register'!$B$6:$B$305=$A32)*('Leave Register'!$E$6:$E$305&lt;=U$5)*('Leave Register'!$F$6:$F$305&gt;=U$5)*('Leave Register'!$J$6:$J$305="Approved")*(ROW('Leave Register'!$B$6:$B$305)-5))))))</f>
        <v/>
      </c>
      <c r="V32" s="83" t="str">
        <f aca="false">IF(OR($A32="",V$5="",V$7&lt;&gt;"W"),"",IF(SUMPRODUCT(MAX(('Leave Register'!$B$6:$B$305=$A32)*('Leave Register'!$E$6:$E$305&lt;=V$5)*('Leave Register'!$F$6:$F$305&gt;=V$5)*('Leave Register'!$J$6:$J$305="Approved")*(ROW('Leave Register'!$B$6:$B$305)-5)))=0,"",INDEX('Leave Register'!$D$6:$D$305,SUMPRODUCT(MAX(('Leave Register'!$B$6:$B$305=$A32)*('Leave Register'!$E$6:$E$305&lt;=V$5)*('Leave Register'!$F$6:$F$305&gt;=V$5)*('Leave Register'!$J$6:$J$305="Approved")*(ROW('Leave Register'!$B$6:$B$305)-5))))))</f>
        <v/>
      </c>
      <c r="W32" s="83" t="str">
        <f aca="false">IF(OR($A32="",W$5="",W$7&lt;&gt;"W"),"",IF(SUMPRODUCT(MAX(('Leave Register'!$B$6:$B$305=$A32)*('Leave Register'!$E$6:$E$305&lt;=W$5)*('Leave Register'!$F$6:$F$305&gt;=W$5)*('Leave Register'!$J$6:$J$305="Approved")*(ROW('Leave Register'!$B$6:$B$305)-5)))=0,"",INDEX('Leave Register'!$D$6:$D$305,SUMPRODUCT(MAX(('Leave Register'!$B$6:$B$305=$A32)*('Leave Register'!$E$6:$E$305&lt;=W$5)*('Leave Register'!$F$6:$F$305&gt;=W$5)*('Leave Register'!$J$6:$J$305="Approved")*(ROW('Leave Register'!$B$6:$B$305)-5))))))</f>
        <v/>
      </c>
      <c r="X32" s="83" t="str">
        <f aca="false">IF(OR($A32="",X$5="",X$7&lt;&gt;"W"),"",IF(SUMPRODUCT(MAX(('Leave Register'!$B$6:$B$305=$A32)*('Leave Register'!$E$6:$E$305&lt;=X$5)*('Leave Register'!$F$6:$F$305&gt;=X$5)*('Leave Register'!$J$6:$J$305="Approved")*(ROW('Leave Register'!$B$6:$B$305)-5)))=0,"",INDEX('Leave Register'!$D$6:$D$305,SUMPRODUCT(MAX(('Leave Register'!$B$6:$B$305=$A32)*('Leave Register'!$E$6:$E$305&lt;=X$5)*('Leave Register'!$F$6:$F$305&gt;=X$5)*('Leave Register'!$J$6:$J$305="Approved")*(ROW('Leave Register'!$B$6:$B$305)-5))))))</f>
        <v/>
      </c>
      <c r="Y32" s="83" t="str">
        <f aca="false">IF(OR($A32="",Y$5="",Y$7&lt;&gt;"W"),"",IF(SUMPRODUCT(MAX(('Leave Register'!$B$6:$B$305=$A32)*('Leave Register'!$E$6:$E$305&lt;=Y$5)*('Leave Register'!$F$6:$F$305&gt;=Y$5)*('Leave Register'!$J$6:$J$305="Approved")*(ROW('Leave Register'!$B$6:$B$305)-5)))=0,"",INDEX('Leave Register'!$D$6:$D$305,SUMPRODUCT(MAX(('Leave Register'!$B$6:$B$305=$A32)*('Leave Register'!$E$6:$E$305&lt;=Y$5)*('Leave Register'!$F$6:$F$305&gt;=Y$5)*('Leave Register'!$J$6:$J$305="Approved")*(ROW('Leave Register'!$B$6:$B$305)-5))))))</f>
        <v/>
      </c>
      <c r="Z32" s="83" t="str">
        <f aca="false">IF(OR($A32="",Z$5="",Z$7&lt;&gt;"W"),"",IF(SUMPRODUCT(MAX(('Leave Register'!$B$6:$B$305=$A32)*('Leave Register'!$E$6:$E$305&lt;=Z$5)*('Leave Register'!$F$6:$F$305&gt;=Z$5)*('Leave Register'!$J$6:$J$305="Approved")*(ROW('Leave Register'!$B$6:$B$305)-5)))=0,"",INDEX('Leave Register'!$D$6:$D$305,SUMPRODUCT(MAX(('Leave Register'!$B$6:$B$305=$A32)*('Leave Register'!$E$6:$E$305&lt;=Z$5)*('Leave Register'!$F$6:$F$305&gt;=Z$5)*('Leave Register'!$J$6:$J$305="Approved")*(ROW('Leave Register'!$B$6:$B$305)-5))))))</f>
        <v/>
      </c>
      <c r="AA32" s="83" t="str">
        <f aca="false">IF(OR($A32="",AA$5="",AA$7&lt;&gt;"W"),"",IF(SUMPRODUCT(MAX(('Leave Register'!$B$6:$B$305=$A32)*('Leave Register'!$E$6:$E$305&lt;=AA$5)*('Leave Register'!$F$6:$F$305&gt;=AA$5)*('Leave Register'!$J$6:$J$305="Approved")*(ROW('Leave Register'!$B$6:$B$305)-5)))=0,"",INDEX('Leave Register'!$D$6:$D$305,SUMPRODUCT(MAX(('Leave Register'!$B$6:$B$305=$A32)*('Leave Register'!$E$6:$E$305&lt;=AA$5)*('Leave Register'!$F$6:$F$305&gt;=AA$5)*('Leave Register'!$J$6:$J$305="Approved")*(ROW('Leave Register'!$B$6:$B$305)-5))))))</f>
        <v/>
      </c>
      <c r="AB32" s="83" t="str">
        <f aca="false">IF(OR($A32="",AB$5="",AB$7&lt;&gt;"W"),"",IF(SUMPRODUCT(MAX(('Leave Register'!$B$6:$B$305=$A32)*('Leave Register'!$E$6:$E$305&lt;=AB$5)*('Leave Register'!$F$6:$F$305&gt;=AB$5)*('Leave Register'!$J$6:$J$305="Approved")*(ROW('Leave Register'!$B$6:$B$305)-5)))=0,"",INDEX('Leave Register'!$D$6:$D$305,SUMPRODUCT(MAX(('Leave Register'!$B$6:$B$305=$A32)*('Leave Register'!$E$6:$E$305&lt;=AB$5)*('Leave Register'!$F$6:$F$305&gt;=AB$5)*('Leave Register'!$J$6:$J$305="Approved")*(ROW('Leave Register'!$B$6:$B$305)-5))))))</f>
        <v/>
      </c>
      <c r="AC32" s="83" t="str">
        <f aca="false">IF(OR($A32="",AC$5="",AC$7&lt;&gt;"W"),"",IF(SUMPRODUCT(MAX(('Leave Register'!$B$6:$B$305=$A32)*('Leave Register'!$E$6:$E$305&lt;=AC$5)*('Leave Register'!$F$6:$F$305&gt;=AC$5)*('Leave Register'!$J$6:$J$305="Approved")*(ROW('Leave Register'!$B$6:$B$305)-5)))=0,"",INDEX('Leave Register'!$D$6:$D$305,SUMPRODUCT(MAX(('Leave Register'!$B$6:$B$305=$A32)*('Leave Register'!$E$6:$E$305&lt;=AC$5)*('Leave Register'!$F$6:$F$305&gt;=AC$5)*('Leave Register'!$J$6:$J$305="Approved")*(ROW('Leave Register'!$B$6:$B$305)-5))))))</f>
        <v/>
      </c>
      <c r="AD32" s="83" t="str">
        <f aca="false">IF(OR($A32="",AD$5="",AD$7&lt;&gt;"W"),"",IF(SUMPRODUCT(MAX(('Leave Register'!$B$6:$B$305=$A32)*('Leave Register'!$E$6:$E$305&lt;=AD$5)*('Leave Register'!$F$6:$F$305&gt;=AD$5)*('Leave Register'!$J$6:$J$305="Approved")*(ROW('Leave Register'!$B$6:$B$305)-5)))=0,"",INDEX('Leave Register'!$D$6:$D$305,SUMPRODUCT(MAX(('Leave Register'!$B$6:$B$305=$A32)*('Leave Register'!$E$6:$E$305&lt;=AD$5)*('Leave Register'!$F$6:$F$305&gt;=AD$5)*('Leave Register'!$J$6:$J$305="Approved")*(ROW('Leave Register'!$B$6:$B$305)-5))))))</f>
        <v/>
      </c>
      <c r="AE32" s="83" t="str">
        <f aca="false">IF(OR($A32="",AE$5="",AE$7&lt;&gt;"W"),"",IF(SUMPRODUCT(MAX(('Leave Register'!$B$6:$B$305=$A32)*('Leave Register'!$E$6:$E$305&lt;=AE$5)*('Leave Register'!$F$6:$F$305&gt;=AE$5)*('Leave Register'!$J$6:$J$305="Approved")*(ROW('Leave Register'!$B$6:$B$305)-5)))=0,"",INDEX('Leave Register'!$D$6:$D$305,SUMPRODUCT(MAX(('Leave Register'!$B$6:$B$305=$A32)*('Leave Register'!$E$6:$E$305&lt;=AE$5)*('Leave Register'!$F$6:$F$305&gt;=AE$5)*('Leave Register'!$J$6:$J$305="Approved")*(ROW('Leave Register'!$B$6:$B$305)-5))))))</f>
        <v/>
      </c>
      <c r="AF32" s="83" t="str">
        <f aca="false">IF(OR($A32="",AF$5="",AF$7&lt;&gt;"W"),"",IF(SUMPRODUCT(MAX(('Leave Register'!$B$6:$B$305=$A32)*('Leave Register'!$E$6:$E$305&lt;=AF$5)*('Leave Register'!$F$6:$F$305&gt;=AF$5)*('Leave Register'!$J$6:$J$305="Approved")*(ROW('Leave Register'!$B$6:$B$305)-5)))=0,"",INDEX('Leave Register'!$D$6:$D$305,SUMPRODUCT(MAX(('Leave Register'!$B$6:$B$305=$A32)*('Leave Register'!$E$6:$E$305&lt;=AF$5)*('Leave Register'!$F$6:$F$305&gt;=AF$5)*('Leave Register'!$J$6:$J$305="Approved")*(ROW('Leave Register'!$B$6:$B$305)-5))))))</f>
        <v/>
      </c>
      <c r="AG32" s="83" t="str">
        <f aca="false">IF(OR($A32="",AG$5="",AG$7&lt;&gt;"W"),"",IF(SUMPRODUCT(MAX(('Leave Register'!$B$6:$B$305=$A32)*('Leave Register'!$E$6:$E$305&lt;=AG$5)*('Leave Register'!$F$6:$F$305&gt;=AG$5)*('Leave Register'!$J$6:$J$305="Approved")*(ROW('Leave Register'!$B$6:$B$305)-5)))=0,"",INDEX('Leave Register'!$D$6:$D$305,SUMPRODUCT(MAX(('Leave Register'!$B$6:$B$305=$A32)*('Leave Register'!$E$6:$E$305&lt;=AG$5)*('Leave Register'!$F$6:$F$305&gt;=AG$5)*('Leave Register'!$J$6:$J$305="Approved")*(ROW('Leave Register'!$B$6:$B$305)-5))))))</f>
        <v/>
      </c>
      <c r="AH32" s="84" t="str">
        <f aca="false">IF(A32="","",COUNTIF(C32:AG32,"?*"))</f>
        <v/>
      </c>
    </row>
    <row r="33" customFormat="false" ht="15" hidden="false" customHeight="false" outlineLevel="0" collapsed="false">
      <c r="A33" s="81" t="str">
        <f aca="false">IF(Employees!$B$30="","",Employees!$B$30)</f>
        <v/>
      </c>
      <c r="B33" s="82" t="str">
        <f aca="false">IF(A33="","",Employees!$C$30)</f>
        <v/>
      </c>
      <c r="C33" s="83" t="str">
        <f aca="false">IF(OR($A33="",C$5="",C$7&lt;&gt;"W"),"",IF(SUMPRODUCT(MAX(('Leave Register'!$B$6:$B$305=$A33)*('Leave Register'!$E$6:$E$305&lt;=C$5)*('Leave Register'!$F$6:$F$305&gt;=C$5)*('Leave Register'!$J$6:$J$305="Approved")*(ROW('Leave Register'!$B$6:$B$305)-5)))=0,"",INDEX('Leave Register'!$D$6:$D$305,SUMPRODUCT(MAX(('Leave Register'!$B$6:$B$305=$A33)*('Leave Register'!$E$6:$E$305&lt;=C$5)*('Leave Register'!$F$6:$F$305&gt;=C$5)*('Leave Register'!$J$6:$J$305="Approved")*(ROW('Leave Register'!$B$6:$B$305)-5))))))</f>
        <v/>
      </c>
      <c r="D33" s="83" t="str">
        <f aca="false">IF(OR($A33="",D$5="",D$7&lt;&gt;"W"),"",IF(SUMPRODUCT(MAX(('Leave Register'!$B$6:$B$305=$A33)*('Leave Register'!$E$6:$E$305&lt;=D$5)*('Leave Register'!$F$6:$F$305&gt;=D$5)*('Leave Register'!$J$6:$J$305="Approved")*(ROW('Leave Register'!$B$6:$B$305)-5)))=0,"",INDEX('Leave Register'!$D$6:$D$305,SUMPRODUCT(MAX(('Leave Register'!$B$6:$B$305=$A33)*('Leave Register'!$E$6:$E$305&lt;=D$5)*('Leave Register'!$F$6:$F$305&gt;=D$5)*('Leave Register'!$J$6:$J$305="Approved")*(ROW('Leave Register'!$B$6:$B$305)-5))))))</f>
        <v/>
      </c>
      <c r="E33" s="83" t="str">
        <f aca="false">IF(OR($A33="",E$5="",E$7&lt;&gt;"W"),"",IF(SUMPRODUCT(MAX(('Leave Register'!$B$6:$B$305=$A33)*('Leave Register'!$E$6:$E$305&lt;=E$5)*('Leave Register'!$F$6:$F$305&gt;=E$5)*('Leave Register'!$J$6:$J$305="Approved")*(ROW('Leave Register'!$B$6:$B$305)-5)))=0,"",INDEX('Leave Register'!$D$6:$D$305,SUMPRODUCT(MAX(('Leave Register'!$B$6:$B$305=$A33)*('Leave Register'!$E$6:$E$305&lt;=E$5)*('Leave Register'!$F$6:$F$305&gt;=E$5)*('Leave Register'!$J$6:$J$305="Approved")*(ROW('Leave Register'!$B$6:$B$305)-5))))))</f>
        <v/>
      </c>
      <c r="F33" s="83" t="str">
        <f aca="false">IF(OR($A33="",F$5="",F$7&lt;&gt;"W"),"",IF(SUMPRODUCT(MAX(('Leave Register'!$B$6:$B$305=$A33)*('Leave Register'!$E$6:$E$305&lt;=F$5)*('Leave Register'!$F$6:$F$305&gt;=F$5)*('Leave Register'!$J$6:$J$305="Approved")*(ROW('Leave Register'!$B$6:$B$305)-5)))=0,"",INDEX('Leave Register'!$D$6:$D$305,SUMPRODUCT(MAX(('Leave Register'!$B$6:$B$305=$A33)*('Leave Register'!$E$6:$E$305&lt;=F$5)*('Leave Register'!$F$6:$F$305&gt;=F$5)*('Leave Register'!$J$6:$J$305="Approved")*(ROW('Leave Register'!$B$6:$B$305)-5))))))</f>
        <v/>
      </c>
      <c r="G33" s="83" t="str">
        <f aca="false">IF(OR($A33="",G$5="",G$7&lt;&gt;"W"),"",IF(SUMPRODUCT(MAX(('Leave Register'!$B$6:$B$305=$A33)*('Leave Register'!$E$6:$E$305&lt;=G$5)*('Leave Register'!$F$6:$F$305&gt;=G$5)*('Leave Register'!$J$6:$J$305="Approved")*(ROW('Leave Register'!$B$6:$B$305)-5)))=0,"",INDEX('Leave Register'!$D$6:$D$305,SUMPRODUCT(MAX(('Leave Register'!$B$6:$B$305=$A33)*('Leave Register'!$E$6:$E$305&lt;=G$5)*('Leave Register'!$F$6:$F$305&gt;=G$5)*('Leave Register'!$J$6:$J$305="Approved")*(ROW('Leave Register'!$B$6:$B$305)-5))))))</f>
        <v/>
      </c>
      <c r="H33" s="83" t="str">
        <f aca="false">IF(OR($A33="",H$5="",H$7&lt;&gt;"W"),"",IF(SUMPRODUCT(MAX(('Leave Register'!$B$6:$B$305=$A33)*('Leave Register'!$E$6:$E$305&lt;=H$5)*('Leave Register'!$F$6:$F$305&gt;=H$5)*('Leave Register'!$J$6:$J$305="Approved")*(ROW('Leave Register'!$B$6:$B$305)-5)))=0,"",INDEX('Leave Register'!$D$6:$D$305,SUMPRODUCT(MAX(('Leave Register'!$B$6:$B$305=$A33)*('Leave Register'!$E$6:$E$305&lt;=H$5)*('Leave Register'!$F$6:$F$305&gt;=H$5)*('Leave Register'!$J$6:$J$305="Approved")*(ROW('Leave Register'!$B$6:$B$305)-5))))))</f>
        <v/>
      </c>
      <c r="I33" s="83" t="str">
        <f aca="false">IF(OR($A33="",I$5="",I$7&lt;&gt;"W"),"",IF(SUMPRODUCT(MAX(('Leave Register'!$B$6:$B$305=$A33)*('Leave Register'!$E$6:$E$305&lt;=I$5)*('Leave Register'!$F$6:$F$305&gt;=I$5)*('Leave Register'!$J$6:$J$305="Approved")*(ROW('Leave Register'!$B$6:$B$305)-5)))=0,"",INDEX('Leave Register'!$D$6:$D$305,SUMPRODUCT(MAX(('Leave Register'!$B$6:$B$305=$A33)*('Leave Register'!$E$6:$E$305&lt;=I$5)*('Leave Register'!$F$6:$F$305&gt;=I$5)*('Leave Register'!$J$6:$J$305="Approved")*(ROW('Leave Register'!$B$6:$B$305)-5))))))</f>
        <v/>
      </c>
      <c r="J33" s="83" t="str">
        <f aca="false">IF(OR($A33="",J$5="",J$7&lt;&gt;"W"),"",IF(SUMPRODUCT(MAX(('Leave Register'!$B$6:$B$305=$A33)*('Leave Register'!$E$6:$E$305&lt;=J$5)*('Leave Register'!$F$6:$F$305&gt;=J$5)*('Leave Register'!$J$6:$J$305="Approved")*(ROW('Leave Register'!$B$6:$B$305)-5)))=0,"",INDEX('Leave Register'!$D$6:$D$305,SUMPRODUCT(MAX(('Leave Register'!$B$6:$B$305=$A33)*('Leave Register'!$E$6:$E$305&lt;=J$5)*('Leave Register'!$F$6:$F$305&gt;=J$5)*('Leave Register'!$J$6:$J$305="Approved")*(ROW('Leave Register'!$B$6:$B$305)-5))))))</f>
        <v/>
      </c>
      <c r="K33" s="83" t="str">
        <f aca="false">IF(OR($A33="",K$5="",K$7&lt;&gt;"W"),"",IF(SUMPRODUCT(MAX(('Leave Register'!$B$6:$B$305=$A33)*('Leave Register'!$E$6:$E$305&lt;=K$5)*('Leave Register'!$F$6:$F$305&gt;=K$5)*('Leave Register'!$J$6:$J$305="Approved")*(ROW('Leave Register'!$B$6:$B$305)-5)))=0,"",INDEX('Leave Register'!$D$6:$D$305,SUMPRODUCT(MAX(('Leave Register'!$B$6:$B$305=$A33)*('Leave Register'!$E$6:$E$305&lt;=K$5)*('Leave Register'!$F$6:$F$305&gt;=K$5)*('Leave Register'!$J$6:$J$305="Approved")*(ROW('Leave Register'!$B$6:$B$305)-5))))))</f>
        <v/>
      </c>
      <c r="L33" s="83" t="str">
        <f aca="false">IF(OR($A33="",L$5="",L$7&lt;&gt;"W"),"",IF(SUMPRODUCT(MAX(('Leave Register'!$B$6:$B$305=$A33)*('Leave Register'!$E$6:$E$305&lt;=L$5)*('Leave Register'!$F$6:$F$305&gt;=L$5)*('Leave Register'!$J$6:$J$305="Approved")*(ROW('Leave Register'!$B$6:$B$305)-5)))=0,"",INDEX('Leave Register'!$D$6:$D$305,SUMPRODUCT(MAX(('Leave Register'!$B$6:$B$305=$A33)*('Leave Register'!$E$6:$E$305&lt;=L$5)*('Leave Register'!$F$6:$F$305&gt;=L$5)*('Leave Register'!$J$6:$J$305="Approved")*(ROW('Leave Register'!$B$6:$B$305)-5))))))</f>
        <v/>
      </c>
      <c r="M33" s="83" t="str">
        <f aca="false">IF(OR($A33="",M$5="",M$7&lt;&gt;"W"),"",IF(SUMPRODUCT(MAX(('Leave Register'!$B$6:$B$305=$A33)*('Leave Register'!$E$6:$E$305&lt;=M$5)*('Leave Register'!$F$6:$F$305&gt;=M$5)*('Leave Register'!$J$6:$J$305="Approved")*(ROW('Leave Register'!$B$6:$B$305)-5)))=0,"",INDEX('Leave Register'!$D$6:$D$305,SUMPRODUCT(MAX(('Leave Register'!$B$6:$B$305=$A33)*('Leave Register'!$E$6:$E$305&lt;=M$5)*('Leave Register'!$F$6:$F$305&gt;=M$5)*('Leave Register'!$J$6:$J$305="Approved")*(ROW('Leave Register'!$B$6:$B$305)-5))))))</f>
        <v/>
      </c>
      <c r="N33" s="83" t="str">
        <f aca="false">IF(OR($A33="",N$5="",N$7&lt;&gt;"W"),"",IF(SUMPRODUCT(MAX(('Leave Register'!$B$6:$B$305=$A33)*('Leave Register'!$E$6:$E$305&lt;=N$5)*('Leave Register'!$F$6:$F$305&gt;=N$5)*('Leave Register'!$J$6:$J$305="Approved")*(ROW('Leave Register'!$B$6:$B$305)-5)))=0,"",INDEX('Leave Register'!$D$6:$D$305,SUMPRODUCT(MAX(('Leave Register'!$B$6:$B$305=$A33)*('Leave Register'!$E$6:$E$305&lt;=N$5)*('Leave Register'!$F$6:$F$305&gt;=N$5)*('Leave Register'!$J$6:$J$305="Approved")*(ROW('Leave Register'!$B$6:$B$305)-5))))))</f>
        <v/>
      </c>
      <c r="O33" s="83" t="str">
        <f aca="false">IF(OR($A33="",O$5="",O$7&lt;&gt;"W"),"",IF(SUMPRODUCT(MAX(('Leave Register'!$B$6:$B$305=$A33)*('Leave Register'!$E$6:$E$305&lt;=O$5)*('Leave Register'!$F$6:$F$305&gt;=O$5)*('Leave Register'!$J$6:$J$305="Approved")*(ROW('Leave Register'!$B$6:$B$305)-5)))=0,"",INDEX('Leave Register'!$D$6:$D$305,SUMPRODUCT(MAX(('Leave Register'!$B$6:$B$305=$A33)*('Leave Register'!$E$6:$E$305&lt;=O$5)*('Leave Register'!$F$6:$F$305&gt;=O$5)*('Leave Register'!$J$6:$J$305="Approved")*(ROW('Leave Register'!$B$6:$B$305)-5))))))</f>
        <v/>
      </c>
      <c r="P33" s="83" t="str">
        <f aca="false">IF(OR($A33="",P$5="",P$7&lt;&gt;"W"),"",IF(SUMPRODUCT(MAX(('Leave Register'!$B$6:$B$305=$A33)*('Leave Register'!$E$6:$E$305&lt;=P$5)*('Leave Register'!$F$6:$F$305&gt;=P$5)*('Leave Register'!$J$6:$J$305="Approved")*(ROW('Leave Register'!$B$6:$B$305)-5)))=0,"",INDEX('Leave Register'!$D$6:$D$305,SUMPRODUCT(MAX(('Leave Register'!$B$6:$B$305=$A33)*('Leave Register'!$E$6:$E$305&lt;=P$5)*('Leave Register'!$F$6:$F$305&gt;=P$5)*('Leave Register'!$J$6:$J$305="Approved")*(ROW('Leave Register'!$B$6:$B$305)-5))))))</f>
        <v/>
      </c>
      <c r="Q33" s="83" t="str">
        <f aca="false">IF(OR($A33="",Q$5="",Q$7&lt;&gt;"W"),"",IF(SUMPRODUCT(MAX(('Leave Register'!$B$6:$B$305=$A33)*('Leave Register'!$E$6:$E$305&lt;=Q$5)*('Leave Register'!$F$6:$F$305&gt;=Q$5)*('Leave Register'!$J$6:$J$305="Approved")*(ROW('Leave Register'!$B$6:$B$305)-5)))=0,"",INDEX('Leave Register'!$D$6:$D$305,SUMPRODUCT(MAX(('Leave Register'!$B$6:$B$305=$A33)*('Leave Register'!$E$6:$E$305&lt;=Q$5)*('Leave Register'!$F$6:$F$305&gt;=Q$5)*('Leave Register'!$J$6:$J$305="Approved")*(ROW('Leave Register'!$B$6:$B$305)-5))))))</f>
        <v/>
      </c>
      <c r="R33" s="83" t="str">
        <f aca="false">IF(OR($A33="",R$5="",R$7&lt;&gt;"W"),"",IF(SUMPRODUCT(MAX(('Leave Register'!$B$6:$B$305=$A33)*('Leave Register'!$E$6:$E$305&lt;=R$5)*('Leave Register'!$F$6:$F$305&gt;=R$5)*('Leave Register'!$J$6:$J$305="Approved")*(ROW('Leave Register'!$B$6:$B$305)-5)))=0,"",INDEX('Leave Register'!$D$6:$D$305,SUMPRODUCT(MAX(('Leave Register'!$B$6:$B$305=$A33)*('Leave Register'!$E$6:$E$305&lt;=R$5)*('Leave Register'!$F$6:$F$305&gt;=R$5)*('Leave Register'!$J$6:$J$305="Approved")*(ROW('Leave Register'!$B$6:$B$305)-5))))))</f>
        <v/>
      </c>
      <c r="S33" s="83" t="str">
        <f aca="false">IF(OR($A33="",S$5="",S$7&lt;&gt;"W"),"",IF(SUMPRODUCT(MAX(('Leave Register'!$B$6:$B$305=$A33)*('Leave Register'!$E$6:$E$305&lt;=S$5)*('Leave Register'!$F$6:$F$305&gt;=S$5)*('Leave Register'!$J$6:$J$305="Approved")*(ROW('Leave Register'!$B$6:$B$305)-5)))=0,"",INDEX('Leave Register'!$D$6:$D$305,SUMPRODUCT(MAX(('Leave Register'!$B$6:$B$305=$A33)*('Leave Register'!$E$6:$E$305&lt;=S$5)*('Leave Register'!$F$6:$F$305&gt;=S$5)*('Leave Register'!$J$6:$J$305="Approved")*(ROW('Leave Register'!$B$6:$B$305)-5))))))</f>
        <v/>
      </c>
      <c r="T33" s="83" t="str">
        <f aca="false">IF(OR($A33="",T$5="",T$7&lt;&gt;"W"),"",IF(SUMPRODUCT(MAX(('Leave Register'!$B$6:$B$305=$A33)*('Leave Register'!$E$6:$E$305&lt;=T$5)*('Leave Register'!$F$6:$F$305&gt;=T$5)*('Leave Register'!$J$6:$J$305="Approved")*(ROW('Leave Register'!$B$6:$B$305)-5)))=0,"",INDEX('Leave Register'!$D$6:$D$305,SUMPRODUCT(MAX(('Leave Register'!$B$6:$B$305=$A33)*('Leave Register'!$E$6:$E$305&lt;=T$5)*('Leave Register'!$F$6:$F$305&gt;=T$5)*('Leave Register'!$J$6:$J$305="Approved")*(ROW('Leave Register'!$B$6:$B$305)-5))))))</f>
        <v/>
      </c>
      <c r="U33" s="83" t="str">
        <f aca="false">IF(OR($A33="",U$5="",U$7&lt;&gt;"W"),"",IF(SUMPRODUCT(MAX(('Leave Register'!$B$6:$B$305=$A33)*('Leave Register'!$E$6:$E$305&lt;=U$5)*('Leave Register'!$F$6:$F$305&gt;=U$5)*('Leave Register'!$J$6:$J$305="Approved")*(ROW('Leave Register'!$B$6:$B$305)-5)))=0,"",INDEX('Leave Register'!$D$6:$D$305,SUMPRODUCT(MAX(('Leave Register'!$B$6:$B$305=$A33)*('Leave Register'!$E$6:$E$305&lt;=U$5)*('Leave Register'!$F$6:$F$305&gt;=U$5)*('Leave Register'!$J$6:$J$305="Approved")*(ROW('Leave Register'!$B$6:$B$305)-5))))))</f>
        <v/>
      </c>
      <c r="V33" s="83" t="str">
        <f aca="false">IF(OR($A33="",V$5="",V$7&lt;&gt;"W"),"",IF(SUMPRODUCT(MAX(('Leave Register'!$B$6:$B$305=$A33)*('Leave Register'!$E$6:$E$305&lt;=V$5)*('Leave Register'!$F$6:$F$305&gt;=V$5)*('Leave Register'!$J$6:$J$305="Approved")*(ROW('Leave Register'!$B$6:$B$305)-5)))=0,"",INDEX('Leave Register'!$D$6:$D$305,SUMPRODUCT(MAX(('Leave Register'!$B$6:$B$305=$A33)*('Leave Register'!$E$6:$E$305&lt;=V$5)*('Leave Register'!$F$6:$F$305&gt;=V$5)*('Leave Register'!$J$6:$J$305="Approved")*(ROW('Leave Register'!$B$6:$B$305)-5))))))</f>
        <v/>
      </c>
      <c r="W33" s="83" t="str">
        <f aca="false">IF(OR($A33="",W$5="",W$7&lt;&gt;"W"),"",IF(SUMPRODUCT(MAX(('Leave Register'!$B$6:$B$305=$A33)*('Leave Register'!$E$6:$E$305&lt;=W$5)*('Leave Register'!$F$6:$F$305&gt;=W$5)*('Leave Register'!$J$6:$J$305="Approved")*(ROW('Leave Register'!$B$6:$B$305)-5)))=0,"",INDEX('Leave Register'!$D$6:$D$305,SUMPRODUCT(MAX(('Leave Register'!$B$6:$B$305=$A33)*('Leave Register'!$E$6:$E$305&lt;=W$5)*('Leave Register'!$F$6:$F$305&gt;=W$5)*('Leave Register'!$J$6:$J$305="Approved")*(ROW('Leave Register'!$B$6:$B$305)-5))))))</f>
        <v/>
      </c>
      <c r="X33" s="83" t="str">
        <f aca="false">IF(OR($A33="",X$5="",X$7&lt;&gt;"W"),"",IF(SUMPRODUCT(MAX(('Leave Register'!$B$6:$B$305=$A33)*('Leave Register'!$E$6:$E$305&lt;=X$5)*('Leave Register'!$F$6:$F$305&gt;=X$5)*('Leave Register'!$J$6:$J$305="Approved")*(ROW('Leave Register'!$B$6:$B$305)-5)))=0,"",INDEX('Leave Register'!$D$6:$D$305,SUMPRODUCT(MAX(('Leave Register'!$B$6:$B$305=$A33)*('Leave Register'!$E$6:$E$305&lt;=X$5)*('Leave Register'!$F$6:$F$305&gt;=X$5)*('Leave Register'!$J$6:$J$305="Approved")*(ROW('Leave Register'!$B$6:$B$305)-5))))))</f>
        <v/>
      </c>
      <c r="Y33" s="83" t="str">
        <f aca="false">IF(OR($A33="",Y$5="",Y$7&lt;&gt;"W"),"",IF(SUMPRODUCT(MAX(('Leave Register'!$B$6:$B$305=$A33)*('Leave Register'!$E$6:$E$305&lt;=Y$5)*('Leave Register'!$F$6:$F$305&gt;=Y$5)*('Leave Register'!$J$6:$J$305="Approved")*(ROW('Leave Register'!$B$6:$B$305)-5)))=0,"",INDEX('Leave Register'!$D$6:$D$305,SUMPRODUCT(MAX(('Leave Register'!$B$6:$B$305=$A33)*('Leave Register'!$E$6:$E$305&lt;=Y$5)*('Leave Register'!$F$6:$F$305&gt;=Y$5)*('Leave Register'!$J$6:$J$305="Approved")*(ROW('Leave Register'!$B$6:$B$305)-5))))))</f>
        <v/>
      </c>
      <c r="Z33" s="83" t="str">
        <f aca="false">IF(OR($A33="",Z$5="",Z$7&lt;&gt;"W"),"",IF(SUMPRODUCT(MAX(('Leave Register'!$B$6:$B$305=$A33)*('Leave Register'!$E$6:$E$305&lt;=Z$5)*('Leave Register'!$F$6:$F$305&gt;=Z$5)*('Leave Register'!$J$6:$J$305="Approved")*(ROW('Leave Register'!$B$6:$B$305)-5)))=0,"",INDEX('Leave Register'!$D$6:$D$305,SUMPRODUCT(MAX(('Leave Register'!$B$6:$B$305=$A33)*('Leave Register'!$E$6:$E$305&lt;=Z$5)*('Leave Register'!$F$6:$F$305&gt;=Z$5)*('Leave Register'!$J$6:$J$305="Approved")*(ROW('Leave Register'!$B$6:$B$305)-5))))))</f>
        <v/>
      </c>
      <c r="AA33" s="83" t="str">
        <f aca="false">IF(OR($A33="",AA$5="",AA$7&lt;&gt;"W"),"",IF(SUMPRODUCT(MAX(('Leave Register'!$B$6:$B$305=$A33)*('Leave Register'!$E$6:$E$305&lt;=AA$5)*('Leave Register'!$F$6:$F$305&gt;=AA$5)*('Leave Register'!$J$6:$J$305="Approved")*(ROW('Leave Register'!$B$6:$B$305)-5)))=0,"",INDEX('Leave Register'!$D$6:$D$305,SUMPRODUCT(MAX(('Leave Register'!$B$6:$B$305=$A33)*('Leave Register'!$E$6:$E$305&lt;=AA$5)*('Leave Register'!$F$6:$F$305&gt;=AA$5)*('Leave Register'!$J$6:$J$305="Approved")*(ROW('Leave Register'!$B$6:$B$305)-5))))))</f>
        <v/>
      </c>
      <c r="AB33" s="83" t="str">
        <f aca="false">IF(OR($A33="",AB$5="",AB$7&lt;&gt;"W"),"",IF(SUMPRODUCT(MAX(('Leave Register'!$B$6:$B$305=$A33)*('Leave Register'!$E$6:$E$305&lt;=AB$5)*('Leave Register'!$F$6:$F$305&gt;=AB$5)*('Leave Register'!$J$6:$J$305="Approved")*(ROW('Leave Register'!$B$6:$B$305)-5)))=0,"",INDEX('Leave Register'!$D$6:$D$305,SUMPRODUCT(MAX(('Leave Register'!$B$6:$B$305=$A33)*('Leave Register'!$E$6:$E$305&lt;=AB$5)*('Leave Register'!$F$6:$F$305&gt;=AB$5)*('Leave Register'!$J$6:$J$305="Approved")*(ROW('Leave Register'!$B$6:$B$305)-5))))))</f>
        <v/>
      </c>
      <c r="AC33" s="83" t="str">
        <f aca="false">IF(OR($A33="",AC$5="",AC$7&lt;&gt;"W"),"",IF(SUMPRODUCT(MAX(('Leave Register'!$B$6:$B$305=$A33)*('Leave Register'!$E$6:$E$305&lt;=AC$5)*('Leave Register'!$F$6:$F$305&gt;=AC$5)*('Leave Register'!$J$6:$J$305="Approved")*(ROW('Leave Register'!$B$6:$B$305)-5)))=0,"",INDEX('Leave Register'!$D$6:$D$305,SUMPRODUCT(MAX(('Leave Register'!$B$6:$B$305=$A33)*('Leave Register'!$E$6:$E$305&lt;=AC$5)*('Leave Register'!$F$6:$F$305&gt;=AC$5)*('Leave Register'!$J$6:$J$305="Approved")*(ROW('Leave Register'!$B$6:$B$305)-5))))))</f>
        <v/>
      </c>
      <c r="AD33" s="83" t="str">
        <f aca="false">IF(OR($A33="",AD$5="",AD$7&lt;&gt;"W"),"",IF(SUMPRODUCT(MAX(('Leave Register'!$B$6:$B$305=$A33)*('Leave Register'!$E$6:$E$305&lt;=AD$5)*('Leave Register'!$F$6:$F$305&gt;=AD$5)*('Leave Register'!$J$6:$J$305="Approved")*(ROW('Leave Register'!$B$6:$B$305)-5)))=0,"",INDEX('Leave Register'!$D$6:$D$305,SUMPRODUCT(MAX(('Leave Register'!$B$6:$B$305=$A33)*('Leave Register'!$E$6:$E$305&lt;=AD$5)*('Leave Register'!$F$6:$F$305&gt;=AD$5)*('Leave Register'!$J$6:$J$305="Approved")*(ROW('Leave Register'!$B$6:$B$305)-5))))))</f>
        <v/>
      </c>
      <c r="AE33" s="83" t="str">
        <f aca="false">IF(OR($A33="",AE$5="",AE$7&lt;&gt;"W"),"",IF(SUMPRODUCT(MAX(('Leave Register'!$B$6:$B$305=$A33)*('Leave Register'!$E$6:$E$305&lt;=AE$5)*('Leave Register'!$F$6:$F$305&gt;=AE$5)*('Leave Register'!$J$6:$J$305="Approved")*(ROW('Leave Register'!$B$6:$B$305)-5)))=0,"",INDEX('Leave Register'!$D$6:$D$305,SUMPRODUCT(MAX(('Leave Register'!$B$6:$B$305=$A33)*('Leave Register'!$E$6:$E$305&lt;=AE$5)*('Leave Register'!$F$6:$F$305&gt;=AE$5)*('Leave Register'!$J$6:$J$305="Approved")*(ROW('Leave Register'!$B$6:$B$305)-5))))))</f>
        <v/>
      </c>
      <c r="AF33" s="83" t="str">
        <f aca="false">IF(OR($A33="",AF$5="",AF$7&lt;&gt;"W"),"",IF(SUMPRODUCT(MAX(('Leave Register'!$B$6:$B$305=$A33)*('Leave Register'!$E$6:$E$305&lt;=AF$5)*('Leave Register'!$F$6:$F$305&gt;=AF$5)*('Leave Register'!$J$6:$J$305="Approved")*(ROW('Leave Register'!$B$6:$B$305)-5)))=0,"",INDEX('Leave Register'!$D$6:$D$305,SUMPRODUCT(MAX(('Leave Register'!$B$6:$B$305=$A33)*('Leave Register'!$E$6:$E$305&lt;=AF$5)*('Leave Register'!$F$6:$F$305&gt;=AF$5)*('Leave Register'!$J$6:$J$305="Approved")*(ROW('Leave Register'!$B$6:$B$305)-5))))))</f>
        <v/>
      </c>
      <c r="AG33" s="83" t="str">
        <f aca="false">IF(OR($A33="",AG$5="",AG$7&lt;&gt;"W"),"",IF(SUMPRODUCT(MAX(('Leave Register'!$B$6:$B$305=$A33)*('Leave Register'!$E$6:$E$305&lt;=AG$5)*('Leave Register'!$F$6:$F$305&gt;=AG$5)*('Leave Register'!$J$6:$J$305="Approved")*(ROW('Leave Register'!$B$6:$B$305)-5)))=0,"",INDEX('Leave Register'!$D$6:$D$305,SUMPRODUCT(MAX(('Leave Register'!$B$6:$B$305=$A33)*('Leave Register'!$E$6:$E$305&lt;=AG$5)*('Leave Register'!$F$6:$F$305&gt;=AG$5)*('Leave Register'!$J$6:$J$305="Approved")*(ROW('Leave Register'!$B$6:$B$305)-5))))))</f>
        <v/>
      </c>
      <c r="AH33" s="84" t="str">
        <f aca="false">IF(A33="","",COUNTIF(C33:AG33,"?*"))</f>
        <v/>
      </c>
    </row>
    <row r="34" customFormat="false" ht="15" hidden="false" customHeight="false" outlineLevel="0" collapsed="false">
      <c r="A34" s="81" t="str">
        <f aca="false">IF(Employees!$B$31="","",Employees!$B$31)</f>
        <v/>
      </c>
      <c r="B34" s="82" t="str">
        <f aca="false">IF(A34="","",Employees!$C$31)</f>
        <v/>
      </c>
      <c r="C34" s="83" t="str">
        <f aca="false">IF(OR($A34="",C$5="",C$7&lt;&gt;"W"),"",IF(SUMPRODUCT(MAX(('Leave Register'!$B$6:$B$305=$A34)*('Leave Register'!$E$6:$E$305&lt;=C$5)*('Leave Register'!$F$6:$F$305&gt;=C$5)*('Leave Register'!$J$6:$J$305="Approved")*(ROW('Leave Register'!$B$6:$B$305)-5)))=0,"",INDEX('Leave Register'!$D$6:$D$305,SUMPRODUCT(MAX(('Leave Register'!$B$6:$B$305=$A34)*('Leave Register'!$E$6:$E$305&lt;=C$5)*('Leave Register'!$F$6:$F$305&gt;=C$5)*('Leave Register'!$J$6:$J$305="Approved")*(ROW('Leave Register'!$B$6:$B$305)-5))))))</f>
        <v/>
      </c>
      <c r="D34" s="83" t="str">
        <f aca="false">IF(OR($A34="",D$5="",D$7&lt;&gt;"W"),"",IF(SUMPRODUCT(MAX(('Leave Register'!$B$6:$B$305=$A34)*('Leave Register'!$E$6:$E$305&lt;=D$5)*('Leave Register'!$F$6:$F$305&gt;=D$5)*('Leave Register'!$J$6:$J$305="Approved")*(ROW('Leave Register'!$B$6:$B$305)-5)))=0,"",INDEX('Leave Register'!$D$6:$D$305,SUMPRODUCT(MAX(('Leave Register'!$B$6:$B$305=$A34)*('Leave Register'!$E$6:$E$305&lt;=D$5)*('Leave Register'!$F$6:$F$305&gt;=D$5)*('Leave Register'!$J$6:$J$305="Approved")*(ROW('Leave Register'!$B$6:$B$305)-5))))))</f>
        <v/>
      </c>
      <c r="E34" s="83" t="str">
        <f aca="false">IF(OR($A34="",E$5="",E$7&lt;&gt;"W"),"",IF(SUMPRODUCT(MAX(('Leave Register'!$B$6:$B$305=$A34)*('Leave Register'!$E$6:$E$305&lt;=E$5)*('Leave Register'!$F$6:$F$305&gt;=E$5)*('Leave Register'!$J$6:$J$305="Approved")*(ROW('Leave Register'!$B$6:$B$305)-5)))=0,"",INDEX('Leave Register'!$D$6:$D$305,SUMPRODUCT(MAX(('Leave Register'!$B$6:$B$305=$A34)*('Leave Register'!$E$6:$E$305&lt;=E$5)*('Leave Register'!$F$6:$F$305&gt;=E$5)*('Leave Register'!$J$6:$J$305="Approved")*(ROW('Leave Register'!$B$6:$B$305)-5))))))</f>
        <v/>
      </c>
      <c r="F34" s="83" t="str">
        <f aca="false">IF(OR($A34="",F$5="",F$7&lt;&gt;"W"),"",IF(SUMPRODUCT(MAX(('Leave Register'!$B$6:$B$305=$A34)*('Leave Register'!$E$6:$E$305&lt;=F$5)*('Leave Register'!$F$6:$F$305&gt;=F$5)*('Leave Register'!$J$6:$J$305="Approved")*(ROW('Leave Register'!$B$6:$B$305)-5)))=0,"",INDEX('Leave Register'!$D$6:$D$305,SUMPRODUCT(MAX(('Leave Register'!$B$6:$B$305=$A34)*('Leave Register'!$E$6:$E$305&lt;=F$5)*('Leave Register'!$F$6:$F$305&gt;=F$5)*('Leave Register'!$J$6:$J$305="Approved")*(ROW('Leave Register'!$B$6:$B$305)-5))))))</f>
        <v/>
      </c>
      <c r="G34" s="83" t="str">
        <f aca="false">IF(OR($A34="",G$5="",G$7&lt;&gt;"W"),"",IF(SUMPRODUCT(MAX(('Leave Register'!$B$6:$B$305=$A34)*('Leave Register'!$E$6:$E$305&lt;=G$5)*('Leave Register'!$F$6:$F$305&gt;=G$5)*('Leave Register'!$J$6:$J$305="Approved")*(ROW('Leave Register'!$B$6:$B$305)-5)))=0,"",INDEX('Leave Register'!$D$6:$D$305,SUMPRODUCT(MAX(('Leave Register'!$B$6:$B$305=$A34)*('Leave Register'!$E$6:$E$305&lt;=G$5)*('Leave Register'!$F$6:$F$305&gt;=G$5)*('Leave Register'!$J$6:$J$305="Approved")*(ROW('Leave Register'!$B$6:$B$305)-5))))))</f>
        <v/>
      </c>
      <c r="H34" s="83" t="str">
        <f aca="false">IF(OR($A34="",H$5="",H$7&lt;&gt;"W"),"",IF(SUMPRODUCT(MAX(('Leave Register'!$B$6:$B$305=$A34)*('Leave Register'!$E$6:$E$305&lt;=H$5)*('Leave Register'!$F$6:$F$305&gt;=H$5)*('Leave Register'!$J$6:$J$305="Approved")*(ROW('Leave Register'!$B$6:$B$305)-5)))=0,"",INDEX('Leave Register'!$D$6:$D$305,SUMPRODUCT(MAX(('Leave Register'!$B$6:$B$305=$A34)*('Leave Register'!$E$6:$E$305&lt;=H$5)*('Leave Register'!$F$6:$F$305&gt;=H$5)*('Leave Register'!$J$6:$J$305="Approved")*(ROW('Leave Register'!$B$6:$B$305)-5))))))</f>
        <v/>
      </c>
      <c r="I34" s="83" t="str">
        <f aca="false">IF(OR($A34="",I$5="",I$7&lt;&gt;"W"),"",IF(SUMPRODUCT(MAX(('Leave Register'!$B$6:$B$305=$A34)*('Leave Register'!$E$6:$E$305&lt;=I$5)*('Leave Register'!$F$6:$F$305&gt;=I$5)*('Leave Register'!$J$6:$J$305="Approved")*(ROW('Leave Register'!$B$6:$B$305)-5)))=0,"",INDEX('Leave Register'!$D$6:$D$305,SUMPRODUCT(MAX(('Leave Register'!$B$6:$B$305=$A34)*('Leave Register'!$E$6:$E$305&lt;=I$5)*('Leave Register'!$F$6:$F$305&gt;=I$5)*('Leave Register'!$J$6:$J$305="Approved")*(ROW('Leave Register'!$B$6:$B$305)-5))))))</f>
        <v/>
      </c>
      <c r="J34" s="83" t="str">
        <f aca="false">IF(OR($A34="",J$5="",J$7&lt;&gt;"W"),"",IF(SUMPRODUCT(MAX(('Leave Register'!$B$6:$B$305=$A34)*('Leave Register'!$E$6:$E$305&lt;=J$5)*('Leave Register'!$F$6:$F$305&gt;=J$5)*('Leave Register'!$J$6:$J$305="Approved")*(ROW('Leave Register'!$B$6:$B$305)-5)))=0,"",INDEX('Leave Register'!$D$6:$D$305,SUMPRODUCT(MAX(('Leave Register'!$B$6:$B$305=$A34)*('Leave Register'!$E$6:$E$305&lt;=J$5)*('Leave Register'!$F$6:$F$305&gt;=J$5)*('Leave Register'!$J$6:$J$305="Approved")*(ROW('Leave Register'!$B$6:$B$305)-5))))))</f>
        <v/>
      </c>
      <c r="K34" s="83" t="str">
        <f aca="false">IF(OR($A34="",K$5="",K$7&lt;&gt;"W"),"",IF(SUMPRODUCT(MAX(('Leave Register'!$B$6:$B$305=$A34)*('Leave Register'!$E$6:$E$305&lt;=K$5)*('Leave Register'!$F$6:$F$305&gt;=K$5)*('Leave Register'!$J$6:$J$305="Approved")*(ROW('Leave Register'!$B$6:$B$305)-5)))=0,"",INDEX('Leave Register'!$D$6:$D$305,SUMPRODUCT(MAX(('Leave Register'!$B$6:$B$305=$A34)*('Leave Register'!$E$6:$E$305&lt;=K$5)*('Leave Register'!$F$6:$F$305&gt;=K$5)*('Leave Register'!$J$6:$J$305="Approved")*(ROW('Leave Register'!$B$6:$B$305)-5))))))</f>
        <v/>
      </c>
      <c r="L34" s="83" t="str">
        <f aca="false">IF(OR($A34="",L$5="",L$7&lt;&gt;"W"),"",IF(SUMPRODUCT(MAX(('Leave Register'!$B$6:$B$305=$A34)*('Leave Register'!$E$6:$E$305&lt;=L$5)*('Leave Register'!$F$6:$F$305&gt;=L$5)*('Leave Register'!$J$6:$J$305="Approved")*(ROW('Leave Register'!$B$6:$B$305)-5)))=0,"",INDEX('Leave Register'!$D$6:$D$305,SUMPRODUCT(MAX(('Leave Register'!$B$6:$B$305=$A34)*('Leave Register'!$E$6:$E$305&lt;=L$5)*('Leave Register'!$F$6:$F$305&gt;=L$5)*('Leave Register'!$J$6:$J$305="Approved")*(ROW('Leave Register'!$B$6:$B$305)-5))))))</f>
        <v/>
      </c>
      <c r="M34" s="83" t="str">
        <f aca="false">IF(OR($A34="",M$5="",M$7&lt;&gt;"W"),"",IF(SUMPRODUCT(MAX(('Leave Register'!$B$6:$B$305=$A34)*('Leave Register'!$E$6:$E$305&lt;=M$5)*('Leave Register'!$F$6:$F$305&gt;=M$5)*('Leave Register'!$J$6:$J$305="Approved")*(ROW('Leave Register'!$B$6:$B$305)-5)))=0,"",INDEX('Leave Register'!$D$6:$D$305,SUMPRODUCT(MAX(('Leave Register'!$B$6:$B$305=$A34)*('Leave Register'!$E$6:$E$305&lt;=M$5)*('Leave Register'!$F$6:$F$305&gt;=M$5)*('Leave Register'!$J$6:$J$305="Approved")*(ROW('Leave Register'!$B$6:$B$305)-5))))))</f>
        <v/>
      </c>
      <c r="N34" s="83" t="str">
        <f aca="false">IF(OR($A34="",N$5="",N$7&lt;&gt;"W"),"",IF(SUMPRODUCT(MAX(('Leave Register'!$B$6:$B$305=$A34)*('Leave Register'!$E$6:$E$305&lt;=N$5)*('Leave Register'!$F$6:$F$305&gt;=N$5)*('Leave Register'!$J$6:$J$305="Approved")*(ROW('Leave Register'!$B$6:$B$305)-5)))=0,"",INDEX('Leave Register'!$D$6:$D$305,SUMPRODUCT(MAX(('Leave Register'!$B$6:$B$305=$A34)*('Leave Register'!$E$6:$E$305&lt;=N$5)*('Leave Register'!$F$6:$F$305&gt;=N$5)*('Leave Register'!$J$6:$J$305="Approved")*(ROW('Leave Register'!$B$6:$B$305)-5))))))</f>
        <v/>
      </c>
      <c r="O34" s="83" t="str">
        <f aca="false">IF(OR($A34="",O$5="",O$7&lt;&gt;"W"),"",IF(SUMPRODUCT(MAX(('Leave Register'!$B$6:$B$305=$A34)*('Leave Register'!$E$6:$E$305&lt;=O$5)*('Leave Register'!$F$6:$F$305&gt;=O$5)*('Leave Register'!$J$6:$J$305="Approved")*(ROW('Leave Register'!$B$6:$B$305)-5)))=0,"",INDEX('Leave Register'!$D$6:$D$305,SUMPRODUCT(MAX(('Leave Register'!$B$6:$B$305=$A34)*('Leave Register'!$E$6:$E$305&lt;=O$5)*('Leave Register'!$F$6:$F$305&gt;=O$5)*('Leave Register'!$J$6:$J$305="Approved")*(ROW('Leave Register'!$B$6:$B$305)-5))))))</f>
        <v/>
      </c>
      <c r="P34" s="83" t="str">
        <f aca="false">IF(OR($A34="",P$5="",P$7&lt;&gt;"W"),"",IF(SUMPRODUCT(MAX(('Leave Register'!$B$6:$B$305=$A34)*('Leave Register'!$E$6:$E$305&lt;=P$5)*('Leave Register'!$F$6:$F$305&gt;=P$5)*('Leave Register'!$J$6:$J$305="Approved")*(ROW('Leave Register'!$B$6:$B$305)-5)))=0,"",INDEX('Leave Register'!$D$6:$D$305,SUMPRODUCT(MAX(('Leave Register'!$B$6:$B$305=$A34)*('Leave Register'!$E$6:$E$305&lt;=P$5)*('Leave Register'!$F$6:$F$305&gt;=P$5)*('Leave Register'!$J$6:$J$305="Approved")*(ROW('Leave Register'!$B$6:$B$305)-5))))))</f>
        <v/>
      </c>
      <c r="Q34" s="83" t="str">
        <f aca="false">IF(OR($A34="",Q$5="",Q$7&lt;&gt;"W"),"",IF(SUMPRODUCT(MAX(('Leave Register'!$B$6:$B$305=$A34)*('Leave Register'!$E$6:$E$305&lt;=Q$5)*('Leave Register'!$F$6:$F$305&gt;=Q$5)*('Leave Register'!$J$6:$J$305="Approved")*(ROW('Leave Register'!$B$6:$B$305)-5)))=0,"",INDEX('Leave Register'!$D$6:$D$305,SUMPRODUCT(MAX(('Leave Register'!$B$6:$B$305=$A34)*('Leave Register'!$E$6:$E$305&lt;=Q$5)*('Leave Register'!$F$6:$F$305&gt;=Q$5)*('Leave Register'!$J$6:$J$305="Approved")*(ROW('Leave Register'!$B$6:$B$305)-5))))))</f>
        <v/>
      </c>
      <c r="R34" s="83" t="str">
        <f aca="false">IF(OR($A34="",R$5="",R$7&lt;&gt;"W"),"",IF(SUMPRODUCT(MAX(('Leave Register'!$B$6:$B$305=$A34)*('Leave Register'!$E$6:$E$305&lt;=R$5)*('Leave Register'!$F$6:$F$305&gt;=R$5)*('Leave Register'!$J$6:$J$305="Approved")*(ROW('Leave Register'!$B$6:$B$305)-5)))=0,"",INDEX('Leave Register'!$D$6:$D$305,SUMPRODUCT(MAX(('Leave Register'!$B$6:$B$305=$A34)*('Leave Register'!$E$6:$E$305&lt;=R$5)*('Leave Register'!$F$6:$F$305&gt;=R$5)*('Leave Register'!$J$6:$J$305="Approved")*(ROW('Leave Register'!$B$6:$B$305)-5))))))</f>
        <v/>
      </c>
      <c r="S34" s="83" t="str">
        <f aca="false">IF(OR($A34="",S$5="",S$7&lt;&gt;"W"),"",IF(SUMPRODUCT(MAX(('Leave Register'!$B$6:$B$305=$A34)*('Leave Register'!$E$6:$E$305&lt;=S$5)*('Leave Register'!$F$6:$F$305&gt;=S$5)*('Leave Register'!$J$6:$J$305="Approved")*(ROW('Leave Register'!$B$6:$B$305)-5)))=0,"",INDEX('Leave Register'!$D$6:$D$305,SUMPRODUCT(MAX(('Leave Register'!$B$6:$B$305=$A34)*('Leave Register'!$E$6:$E$305&lt;=S$5)*('Leave Register'!$F$6:$F$305&gt;=S$5)*('Leave Register'!$J$6:$J$305="Approved")*(ROW('Leave Register'!$B$6:$B$305)-5))))))</f>
        <v/>
      </c>
      <c r="T34" s="83" t="str">
        <f aca="false">IF(OR($A34="",T$5="",T$7&lt;&gt;"W"),"",IF(SUMPRODUCT(MAX(('Leave Register'!$B$6:$B$305=$A34)*('Leave Register'!$E$6:$E$305&lt;=T$5)*('Leave Register'!$F$6:$F$305&gt;=T$5)*('Leave Register'!$J$6:$J$305="Approved")*(ROW('Leave Register'!$B$6:$B$305)-5)))=0,"",INDEX('Leave Register'!$D$6:$D$305,SUMPRODUCT(MAX(('Leave Register'!$B$6:$B$305=$A34)*('Leave Register'!$E$6:$E$305&lt;=T$5)*('Leave Register'!$F$6:$F$305&gt;=T$5)*('Leave Register'!$J$6:$J$305="Approved")*(ROW('Leave Register'!$B$6:$B$305)-5))))))</f>
        <v/>
      </c>
      <c r="U34" s="83" t="str">
        <f aca="false">IF(OR($A34="",U$5="",U$7&lt;&gt;"W"),"",IF(SUMPRODUCT(MAX(('Leave Register'!$B$6:$B$305=$A34)*('Leave Register'!$E$6:$E$305&lt;=U$5)*('Leave Register'!$F$6:$F$305&gt;=U$5)*('Leave Register'!$J$6:$J$305="Approved")*(ROW('Leave Register'!$B$6:$B$305)-5)))=0,"",INDEX('Leave Register'!$D$6:$D$305,SUMPRODUCT(MAX(('Leave Register'!$B$6:$B$305=$A34)*('Leave Register'!$E$6:$E$305&lt;=U$5)*('Leave Register'!$F$6:$F$305&gt;=U$5)*('Leave Register'!$J$6:$J$305="Approved")*(ROW('Leave Register'!$B$6:$B$305)-5))))))</f>
        <v/>
      </c>
      <c r="V34" s="83" t="str">
        <f aca="false">IF(OR($A34="",V$5="",V$7&lt;&gt;"W"),"",IF(SUMPRODUCT(MAX(('Leave Register'!$B$6:$B$305=$A34)*('Leave Register'!$E$6:$E$305&lt;=V$5)*('Leave Register'!$F$6:$F$305&gt;=V$5)*('Leave Register'!$J$6:$J$305="Approved")*(ROW('Leave Register'!$B$6:$B$305)-5)))=0,"",INDEX('Leave Register'!$D$6:$D$305,SUMPRODUCT(MAX(('Leave Register'!$B$6:$B$305=$A34)*('Leave Register'!$E$6:$E$305&lt;=V$5)*('Leave Register'!$F$6:$F$305&gt;=V$5)*('Leave Register'!$J$6:$J$305="Approved")*(ROW('Leave Register'!$B$6:$B$305)-5))))))</f>
        <v/>
      </c>
      <c r="W34" s="83" t="str">
        <f aca="false">IF(OR($A34="",W$5="",W$7&lt;&gt;"W"),"",IF(SUMPRODUCT(MAX(('Leave Register'!$B$6:$B$305=$A34)*('Leave Register'!$E$6:$E$305&lt;=W$5)*('Leave Register'!$F$6:$F$305&gt;=W$5)*('Leave Register'!$J$6:$J$305="Approved")*(ROW('Leave Register'!$B$6:$B$305)-5)))=0,"",INDEX('Leave Register'!$D$6:$D$305,SUMPRODUCT(MAX(('Leave Register'!$B$6:$B$305=$A34)*('Leave Register'!$E$6:$E$305&lt;=W$5)*('Leave Register'!$F$6:$F$305&gt;=W$5)*('Leave Register'!$J$6:$J$305="Approved")*(ROW('Leave Register'!$B$6:$B$305)-5))))))</f>
        <v/>
      </c>
      <c r="X34" s="83" t="str">
        <f aca="false">IF(OR($A34="",X$5="",X$7&lt;&gt;"W"),"",IF(SUMPRODUCT(MAX(('Leave Register'!$B$6:$B$305=$A34)*('Leave Register'!$E$6:$E$305&lt;=X$5)*('Leave Register'!$F$6:$F$305&gt;=X$5)*('Leave Register'!$J$6:$J$305="Approved")*(ROW('Leave Register'!$B$6:$B$305)-5)))=0,"",INDEX('Leave Register'!$D$6:$D$305,SUMPRODUCT(MAX(('Leave Register'!$B$6:$B$305=$A34)*('Leave Register'!$E$6:$E$305&lt;=X$5)*('Leave Register'!$F$6:$F$305&gt;=X$5)*('Leave Register'!$J$6:$J$305="Approved")*(ROW('Leave Register'!$B$6:$B$305)-5))))))</f>
        <v/>
      </c>
      <c r="Y34" s="83" t="str">
        <f aca="false">IF(OR($A34="",Y$5="",Y$7&lt;&gt;"W"),"",IF(SUMPRODUCT(MAX(('Leave Register'!$B$6:$B$305=$A34)*('Leave Register'!$E$6:$E$305&lt;=Y$5)*('Leave Register'!$F$6:$F$305&gt;=Y$5)*('Leave Register'!$J$6:$J$305="Approved")*(ROW('Leave Register'!$B$6:$B$305)-5)))=0,"",INDEX('Leave Register'!$D$6:$D$305,SUMPRODUCT(MAX(('Leave Register'!$B$6:$B$305=$A34)*('Leave Register'!$E$6:$E$305&lt;=Y$5)*('Leave Register'!$F$6:$F$305&gt;=Y$5)*('Leave Register'!$J$6:$J$305="Approved")*(ROW('Leave Register'!$B$6:$B$305)-5))))))</f>
        <v/>
      </c>
      <c r="Z34" s="83" t="str">
        <f aca="false">IF(OR($A34="",Z$5="",Z$7&lt;&gt;"W"),"",IF(SUMPRODUCT(MAX(('Leave Register'!$B$6:$B$305=$A34)*('Leave Register'!$E$6:$E$305&lt;=Z$5)*('Leave Register'!$F$6:$F$305&gt;=Z$5)*('Leave Register'!$J$6:$J$305="Approved")*(ROW('Leave Register'!$B$6:$B$305)-5)))=0,"",INDEX('Leave Register'!$D$6:$D$305,SUMPRODUCT(MAX(('Leave Register'!$B$6:$B$305=$A34)*('Leave Register'!$E$6:$E$305&lt;=Z$5)*('Leave Register'!$F$6:$F$305&gt;=Z$5)*('Leave Register'!$J$6:$J$305="Approved")*(ROW('Leave Register'!$B$6:$B$305)-5))))))</f>
        <v/>
      </c>
      <c r="AA34" s="83" t="str">
        <f aca="false">IF(OR($A34="",AA$5="",AA$7&lt;&gt;"W"),"",IF(SUMPRODUCT(MAX(('Leave Register'!$B$6:$B$305=$A34)*('Leave Register'!$E$6:$E$305&lt;=AA$5)*('Leave Register'!$F$6:$F$305&gt;=AA$5)*('Leave Register'!$J$6:$J$305="Approved")*(ROW('Leave Register'!$B$6:$B$305)-5)))=0,"",INDEX('Leave Register'!$D$6:$D$305,SUMPRODUCT(MAX(('Leave Register'!$B$6:$B$305=$A34)*('Leave Register'!$E$6:$E$305&lt;=AA$5)*('Leave Register'!$F$6:$F$305&gt;=AA$5)*('Leave Register'!$J$6:$J$305="Approved")*(ROW('Leave Register'!$B$6:$B$305)-5))))))</f>
        <v/>
      </c>
      <c r="AB34" s="83" t="str">
        <f aca="false">IF(OR($A34="",AB$5="",AB$7&lt;&gt;"W"),"",IF(SUMPRODUCT(MAX(('Leave Register'!$B$6:$B$305=$A34)*('Leave Register'!$E$6:$E$305&lt;=AB$5)*('Leave Register'!$F$6:$F$305&gt;=AB$5)*('Leave Register'!$J$6:$J$305="Approved")*(ROW('Leave Register'!$B$6:$B$305)-5)))=0,"",INDEX('Leave Register'!$D$6:$D$305,SUMPRODUCT(MAX(('Leave Register'!$B$6:$B$305=$A34)*('Leave Register'!$E$6:$E$305&lt;=AB$5)*('Leave Register'!$F$6:$F$305&gt;=AB$5)*('Leave Register'!$J$6:$J$305="Approved")*(ROW('Leave Register'!$B$6:$B$305)-5))))))</f>
        <v/>
      </c>
      <c r="AC34" s="83" t="str">
        <f aca="false">IF(OR($A34="",AC$5="",AC$7&lt;&gt;"W"),"",IF(SUMPRODUCT(MAX(('Leave Register'!$B$6:$B$305=$A34)*('Leave Register'!$E$6:$E$305&lt;=AC$5)*('Leave Register'!$F$6:$F$305&gt;=AC$5)*('Leave Register'!$J$6:$J$305="Approved")*(ROW('Leave Register'!$B$6:$B$305)-5)))=0,"",INDEX('Leave Register'!$D$6:$D$305,SUMPRODUCT(MAX(('Leave Register'!$B$6:$B$305=$A34)*('Leave Register'!$E$6:$E$305&lt;=AC$5)*('Leave Register'!$F$6:$F$305&gt;=AC$5)*('Leave Register'!$J$6:$J$305="Approved")*(ROW('Leave Register'!$B$6:$B$305)-5))))))</f>
        <v/>
      </c>
      <c r="AD34" s="83" t="str">
        <f aca="false">IF(OR($A34="",AD$5="",AD$7&lt;&gt;"W"),"",IF(SUMPRODUCT(MAX(('Leave Register'!$B$6:$B$305=$A34)*('Leave Register'!$E$6:$E$305&lt;=AD$5)*('Leave Register'!$F$6:$F$305&gt;=AD$5)*('Leave Register'!$J$6:$J$305="Approved")*(ROW('Leave Register'!$B$6:$B$305)-5)))=0,"",INDEX('Leave Register'!$D$6:$D$305,SUMPRODUCT(MAX(('Leave Register'!$B$6:$B$305=$A34)*('Leave Register'!$E$6:$E$305&lt;=AD$5)*('Leave Register'!$F$6:$F$305&gt;=AD$5)*('Leave Register'!$J$6:$J$305="Approved")*(ROW('Leave Register'!$B$6:$B$305)-5))))))</f>
        <v/>
      </c>
      <c r="AE34" s="83" t="str">
        <f aca="false">IF(OR($A34="",AE$5="",AE$7&lt;&gt;"W"),"",IF(SUMPRODUCT(MAX(('Leave Register'!$B$6:$B$305=$A34)*('Leave Register'!$E$6:$E$305&lt;=AE$5)*('Leave Register'!$F$6:$F$305&gt;=AE$5)*('Leave Register'!$J$6:$J$305="Approved")*(ROW('Leave Register'!$B$6:$B$305)-5)))=0,"",INDEX('Leave Register'!$D$6:$D$305,SUMPRODUCT(MAX(('Leave Register'!$B$6:$B$305=$A34)*('Leave Register'!$E$6:$E$305&lt;=AE$5)*('Leave Register'!$F$6:$F$305&gt;=AE$5)*('Leave Register'!$J$6:$J$305="Approved")*(ROW('Leave Register'!$B$6:$B$305)-5))))))</f>
        <v/>
      </c>
      <c r="AF34" s="83" t="str">
        <f aca="false">IF(OR($A34="",AF$5="",AF$7&lt;&gt;"W"),"",IF(SUMPRODUCT(MAX(('Leave Register'!$B$6:$B$305=$A34)*('Leave Register'!$E$6:$E$305&lt;=AF$5)*('Leave Register'!$F$6:$F$305&gt;=AF$5)*('Leave Register'!$J$6:$J$305="Approved")*(ROW('Leave Register'!$B$6:$B$305)-5)))=0,"",INDEX('Leave Register'!$D$6:$D$305,SUMPRODUCT(MAX(('Leave Register'!$B$6:$B$305=$A34)*('Leave Register'!$E$6:$E$305&lt;=AF$5)*('Leave Register'!$F$6:$F$305&gt;=AF$5)*('Leave Register'!$J$6:$J$305="Approved")*(ROW('Leave Register'!$B$6:$B$305)-5))))))</f>
        <v/>
      </c>
      <c r="AG34" s="83" t="str">
        <f aca="false">IF(OR($A34="",AG$5="",AG$7&lt;&gt;"W"),"",IF(SUMPRODUCT(MAX(('Leave Register'!$B$6:$B$305=$A34)*('Leave Register'!$E$6:$E$305&lt;=AG$5)*('Leave Register'!$F$6:$F$305&gt;=AG$5)*('Leave Register'!$J$6:$J$305="Approved")*(ROW('Leave Register'!$B$6:$B$305)-5)))=0,"",INDEX('Leave Register'!$D$6:$D$305,SUMPRODUCT(MAX(('Leave Register'!$B$6:$B$305=$A34)*('Leave Register'!$E$6:$E$305&lt;=AG$5)*('Leave Register'!$F$6:$F$305&gt;=AG$5)*('Leave Register'!$J$6:$J$305="Approved")*(ROW('Leave Register'!$B$6:$B$305)-5))))))</f>
        <v/>
      </c>
      <c r="AH34" s="84" t="str">
        <f aca="false">IF(A34="","",COUNTIF(C34:AG34,"?*"))</f>
        <v/>
      </c>
    </row>
    <row r="35" customFormat="false" ht="15" hidden="false" customHeight="false" outlineLevel="0" collapsed="false">
      <c r="A35" s="81" t="str">
        <f aca="false">IF(Employees!$B$32="","",Employees!$B$32)</f>
        <v/>
      </c>
      <c r="B35" s="82" t="str">
        <f aca="false">IF(A35="","",Employees!$C$32)</f>
        <v/>
      </c>
      <c r="C35" s="83" t="str">
        <f aca="false">IF(OR($A35="",C$5="",C$7&lt;&gt;"W"),"",IF(SUMPRODUCT(MAX(('Leave Register'!$B$6:$B$305=$A35)*('Leave Register'!$E$6:$E$305&lt;=C$5)*('Leave Register'!$F$6:$F$305&gt;=C$5)*('Leave Register'!$J$6:$J$305="Approved")*(ROW('Leave Register'!$B$6:$B$305)-5)))=0,"",INDEX('Leave Register'!$D$6:$D$305,SUMPRODUCT(MAX(('Leave Register'!$B$6:$B$305=$A35)*('Leave Register'!$E$6:$E$305&lt;=C$5)*('Leave Register'!$F$6:$F$305&gt;=C$5)*('Leave Register'!$J$6:$J$305="Approved")*(ROW('Leave Register'!$B$6:$B$305)-5))))))</f>
        <v/>
      </c>
      <c r="D35" s="83" t="str">
        <f aca="false">IF(OR($A35="",D$5="",D$7&lt;&gt;"W"),"",IF(SUMPRODUCT(MAX(('Leave Register'!$B$6:$B$305=$A35)*('Leave Register'!$E$6:$E$305&lt;=D$5)*('Leave Register'!$F$6:$F$305&gt;=D$5)*('Leave Register'!$J$6:$J$305="Approved")*(ROW('Leave Register'!$B$6:$B$305)-5)))=0,"",INDEX('Leave Register'!$D$6:$D$305,SUMPRODUCT(MAX(('Leave Register'!$B$6:$B$305=$A35)*('Leave Register'!$E$6:$E$305&lt;=D$5)*('Leave Register'!$F$6:$F$305&gt;=D$5)*('Leave Register'!$J$6:$J$305="Approved")*(ROW('Leave Register'!$B$6:$B$305)-5))))))</f>
        <v/>
      </c>
      <c r="E35" s="83" t="str">
        <f aca="false">IF(OR($A35="",E$5="",E$7&lt;&gt;"W"),"",IF(SUMPRODUCT(MAX(('Leave Register'!$B$6:$B$305=$A35)*('Leave Register'!$E$6:$E$305&lt;=E$5)*('Leave Register'!$F$6:$F$305&gt;=E$5)*('Leave Register'!$J$6:$J$305="Approved")*(ROW('Leave Register'!$B$6:$B$305)-5)))=0,"",INDEX('Leave Register'!$D$6:$D$305,SUMPRODUCT(MAX(('Leave Register'!$B$6:$B$305=$A35)*('Leave Register'!$E$6:$E$305&lt;=E$5)*('Leave Register'!$F$6:$F$305&gt;=E$5)*('Leave Register'!$J$6:$J$305="Approved")*(ROW('Leave Register'!$B$6:$B$305)-5))))))</f>
        <v/>
      </c>
      <c r="F35" s="83" t="str">
        <f aca="false">IF(OR($A35="",F$5="",F$7&lt;&gt;"W"),"",IF(SUMPRODUCT(MAX(('Leave Register'!$B$6:$B$305=$A35)*('Leave Register'!$E$6:$E$305&lt;=F$5)*('Leave Register'!$F$6:$F$305&gt;=F$5)*('Leave Register'!$J$6:$J$305="Approved")*(ROW('Leave Register'!$B$6:$B$305)-5)))=0,"",INDEX('Leave Register'!$D$6:$D$305,SUMPRODUCT(MAX(('Leave Register'!$B$6:$B$305=$A35)*('Leave Register'!$E$6:$E$305&lt;=F$5)*('Leave Register'!$F$6:$F$305&gt;=F$5)*('Leave Register'!$J$6:$J$305="Approved")*(ROW('Leave Register'!$B$6:$B$305)-5))))))</f>
        <v/>
      </c>
      <c r="G35" s="83" t="str">
        <f aca="false">IF(OR($A35="",G$5="",G$7&lt;&gt;"W"),"",IF(SUMPRODUCT(MAX(('Leave Register'!$B$6:$B$305=$A35)*('Leave Register'!$E$6:$E$305&lt;=G$5)*('Leave Register'!$F$6:$F$305&gt;=G$5)*('Leave Register'!$J$6:$J$305="Approved")*(ROW('Leave Register'!$B$6:$B$305)-5)))=0,"",INDEX('Leave Register'!$D$6:$D$305,SUMPRODUCT(MAX(('Leave Register'!$B$6:$B$305=$A35)*('Leave Register'!$E$6:$E$305&lt;=G$5)*('Leave Register'!$F$6:$F$305&gt;=G$5)*('Leave Register'!$J$6:$J$305="Approved")*(ROW('Leave Register'!$B$6:$B$305)-5))))))</f>
        <v/>
      </c>
      <c r="H35" s="83" t="str">
        <f aca="false">IF(OR($A35="",H$5="",H$7&lt;&gt;"W"),"",IF(SUMPRODUCT(MAX(('Leave Register'!$B$6:$B$305=$A35)*('Leave Register'!$E$6:$E$305&lt;=H$5)*('Leave Register'!$F$6:$F$305&gt;=H$5)*('Leave Register'!$J$6:$J$305="Approved")*(ROW('Leave Register'!$B$6:$B$305)-5)))=0,"",INDEX('Leave Register'!$D$6:$D$305,SUMPRODUCT(MAX(('Leave Register'!$B$6:$B$305=$A35)*('Leave Register'!$E$6:$E$305&lt;=H$5)*('Leave Register'!$F$6:$F$305&gt;=H$5)*('Leave Register'!$J$6:$J$305="Approved")*(ROW('Leave Register'!$B$6:$B$305)-5))))))</f>
        <v/>
      </c>
      <c r="I35" s="83" t="str">
        <f aca="false">IF(OR($A35="",I$5="",I$7&lt;&gt;"W"),"",IF(SUMPRODUCT(MAX(('Leave Register'!$B$6:$B$305=$A35)*('Leave Register'!$E$6:$E$305&lt;=I$5)*('Leave Register'!$F$6:$F$305&gt;=I$5)*('Leave Register'!$J$6:$J$305="Approved")*(ROW('Leave Register'!$B$6:$B$305)-5)))=0,"",INDEX('Leave Register'!$D$6:$D$305,SUMPRODUCT(MAX(('Leave Register'!$B$6:$B$305=$A35)*('Leave Register'!$E$6:$E$305&lt;=I$5)*('Leave Register'!$F$6:$F$305&gt;=I$5)*('Leave Register'!$J$6:$J$305="Approved")*(ROW('Leave Register'!$B$6:$B$305)-5))))))</f>
        <v/>
      </c>
      <c r="J35" s="83" t="str">
        <f aca="false">IF(OR($A35="",J$5="",J$7&lt;&gt;"W"),"",IF(SUMPRODUCT(MAX(('Leave Register'!$B$6:$B$305=$A35)*('Leave Register'!$E$6:$E$305&lt;=J$5)*('Leave Register'!$F$6:$F$305&gt;=J$5)*('Leave Register'!$J$6:$J$305="Approved")*(ROW('Leave Register'!$B$6:$B$305)-5)))=0,"",INDEX('Leave Register'!$D$6:$D$305,SUMPRODUCT(MAX(('Leave Register'!$B$6:$B$305=$A35)*('Leave Register'!$E$6:$E$305&lt;=J$5)*('Leave Register'!$F$6:$F$305&gt;=J$5)*('Leave Register'!$J$6:$J$305="Approved")*(ROW('Leave Register'!$B$6:$B$305)-5))))))</f>
        <v/>
      </c>
      <c r="K35" s="83" t="str">
        <f aca="false">IF(OR($A35="",K$5="",K$7&lt;&gt;"W"),"",IF(SUMPRODUCT(MAX(('Leave Register'!$B$6:$B$305=$A35)*('Leave Register'!$E$6:$E$305&lt;=K$5)*('Leave Register'!$F$6:$F$305&gt;=K$5)*('Leave Register'!$J$6:$J$305="Approved")*(ROW('Leave Register'!$B$6:$B$305)-5)))=0,"",INDEX('Leave Register'!$D$6:$D$305,SUMPRODUCT(MAX(('Leave Register'!$B$6:$B$305=$A35)*('Leave Register'!$E$6:$E$305&lt;=K$5)*('Leave Register'!$F$6:$F$305&gt;=K$5)*('Leave Register'!$J$6:$J$305="Approved")*(ROW('Leave Register'!$B$6:$B$305)-5))))))</f>
        <v/>
      </c>
      <c r="L35" s="83" t="str">
        <f aca="false">IF(OR($A35="",L$5="",L$7&lt;&gt;"W"),"",IF(SUMPRODUCT(MAX(('Leave Register'!$B$6:$B$305=$A35)*('Leave Register'!$E$6:$E$305&lt;=L$5)*('Leave Register'!$F$6:$F$305&gt;=L$5)*('Leave Register'!$J$6:$J$305="Approved")*(ROW('Leave Register'!$B$6:$B$305)-5)))=0,"",INDEX('Leave Register'!$D$6:$D$305,SUMPRODUCT(MAX(('Leave Register'!$B$6:$B$305=$A35)*('Leave Register'!$E$6:$E$305&lt;=L$5)*('Leave Register'!$F$6:$F$305&gt;=L$5)*('Leave Register'!$J$6:$J$305="Approved")*(ROW('Leave Register'!$B$6:$B$305)-5))))))</f>
        <v/>
      </c>
      <c r="M35" s="83" t="str">
        <f aca="false">IF(OR($A35="",M$5="",M$7&lt;&gt;"W"),"",IF(SUMPRODUCT(MAX(('Leave Register'!$B$6:$B$305=$A35)*('Leave Register'!$E$6:$E$305&lt;=M$5)*('Leave Register'!$F$6:$F$305&gt;=M$5)*('Leave Register'!$J$6:$J$305="Approved")*(ROW('Leave Register'!$B$6:$B$305)-5)))=0,"",INDEX('Leave Register'!$D$6:$D$305,SUMPRODUCT(MAX(('Leave Register'!$B$6:$B$305=$A35)*('Leave Register'!$E$6:$E$305&lt;=M$5)*('Leave Register'!$F$6:$F$305&gt;=M$5)*('Leave Register'!$J$6:$J$305="Approved")*(ROW('Leave Register'!$B$6:$B$305)-5))))))</f>
        <v/>
      </c>
      <c r="N35" s="83" t="str">
        <f aca="false">IF(OR($A35="",N$5="",N$7&lt;&gt;"W"),"",IF(SUMPRODUCT(MAX(('Leave Register'!$B$6:$B$305=$A35)*('Leave Register'!$E$6:$E$305&lt;=N$5)*('Leave Register'!$F$6:$F$305&gt;=N$5)*('Leave Register'!$J$6:$J$305="Approved")*(ROW('Leave Register'!$B$6:$B$305)-5)))=0,"",INDEX('Leave Register'!$D$6:$D$305,SUMPRODUCT(MAX(('Leave Register'!$B$6:$B$305=$A35)*('Leave Register'!$E$6:$E$305&lt;=N$5)*('Leave Register'!$F$6:$F$305&gt;=N$5)*('Leave Register'!$J$6:$J$305="Approved")*(ROW('Leave Register'!$B$6:$B$305)-5))))))</f>
        <v/>
      </c>
      <c r="O35" s="83" t="str">
        <f aca="false">IF(OR($A35="",O$5="",O$7&lt;&gt;"W"),"",IF(SUMPRODUCT(MAX(('Leave Register'!$B$6:$B$305=$A35)*('Leave Register'!$E$6:$E$305&lt;=O$5)*('Leave Register'!$F$6:$F$305&gt;=O$5)*('Leave Register'!$J$6:$J$305="Approved")*(ROW('Leave Register'!$B$6:$B$305)-5)))=0,"",INDEX('Leave Register'!$D$6:$D$305,SUMPRODUCT(MAX(('Leave Register'!$B$6:$B$305=$A35)*('Leave Register'!$E$6:$E$305&lt;=O$5)*('Leave Register'!$F$6:$F$305&gt;=O$5)*('Leave Register'!$J$6:$J$305="Approved")*(ROW('Leave Register'!$B$6:$B$305)-5))))))</f>
        <v/>
      </c>
      <c r="P35" s="83" t="str">
        <f aca="false">IF(OR($A35="",P$5="",P$7&lt;&gt;"W"),"",IF(SUMPRODUCT(MAX(('Leave Register'!$B$6:$B$305=$A35)*('Leave Register'!$E$6:$E$305&lt;=P$5)*('Leave Register'!$F$6:$F$305&gt;=P$5)*('Leave Register'!$J$6:$J$305="Approved")*(ROW('Leave Register'!$B$6:$B$305)-5)))=0,"",INDEX('Leave Register'!$D$6:$D$305,SUMPRODUCT(MAX(('Leave Register'!$B$6:$B$305=$A35)*('Leave Register'!$E$6:$E$305&lt;=P$5)*('Leave Register'!$F$6:$F$305&gt;=P$5)*('Leave Register'!$J$6:$J$305="Approved")*(ROW('Leave Register'!$B$6:$B$305)-5))))))</f>
        <v/>
      </c>
      <c r="Q35" s="83" t="str">
        <f aca="false">IF(OR($A35="",Q$5="",Q$7&lt;&gt;"W"),"",IF(SUMPRODUCT(MAX(('Leave Register'!$B$6:$B$305=$A35)*('Leave Register'!$E$6:$E$305&lt;=Q$5)*('Leave Register'!$F$6:$F$305&gt;=Q$5)*('Leave Register'!$J$6:$J$305="Approved")*(ROW('Leave Register'!$B$6:$B$305)-5)))=0,"",INDEX('Leave Register'!$D$6:$D$305,SUMPRODUCT(MAX(('Leave Register'!$B$6:$B$305=$A35)*('Leave Register'!$E$6:$E$305&lt;=Q$5)*('Leave Register'!$F$6:$F$305&gt;=Q$5)*('Leave Register'!$J$6:$J$305="Approved")*(ROW('Leave Register'!$B$6:$B$305)-5))))))</f>
        <v/>
      </c>
      <c r="R35" s="83" t="str">
        <f aca="false">IF(OR($A35="",R$5="",R$7&lt;&gt;"W"),"",IF(SUMPRODUCT(MAX(('Leave Register'!$B$6:$B$305=$A35)*('Leave Register'!$E$6:$E$305&lt;=R$5)*('Leave Register'!$F$6:$F$305&gt;=R$5)*('Leave Register'!$J$6:$J$305="Approved")*(ROW('Leave Register'!$B$6:$B$305)-5)))=0,"",INDEX('Leave Register'!$D$6:$D$305,SUMPRODUCT(MAX(('Leave Register'!$B$6:$B$305=$A35)*('Leave Register'!$E$6:$E$305&lt;=R$5)*('Leave Register'!$F$6:$F$305&gt;=R$5)*('Leave Register'!$J$6:$J$305="Approved")*(ROW('Leave Register'!$B$6:$B$305)-5))))))</f>
        <v/>
      </c>
      <c r="S35" s="83" t="str">
        <f aca="false">IF(OR($A35="",S$5="",S$7&lt;&gt;"W"),"",IF(SUMPRODUCT(MAX(('Leave Register'!$B$6:$B$305=$A35)*('Leave Register'!$E$6:$E$305&lt;=S$5)*('Leave Register'!$F$6:$F$305&gt;=S$5)*('Leave Register'!$J$6:$J$305="Approved")*(ROW('Leave Register'!$B$6:$B$305)-5)))=0,"",INDEX('Leave Register'!$D$6:$D$305,SUMPRODUCT(MAX(('Leave Register'!$B$6:$B$305=$A35)*('Leave Register'!$E$6:$E$305&lt;=S$5)*('Leave Register'!$F$6:$F$305&gt;=S$5)*('Leave Register'!$J$6:$J$305="Approved")*(ROW('Leave Register'!$B$6:$B$305)-5))))))</f>
        <v/>
      </c>
      <c r="T35" s="83" t="str">
        <f aca="false">IF(OR($A35="",T$5="",T$7&lt;&gt;"W"),"",IF(SUMPRODUCT(MAX(('Leave Register'!$B$6:$B$305=$A35)*('Leave Register'!$E$6:$E$305&lt;=T$5)*('Leave Register'!$F$6:$F$305&gt;=T$5)*('Leave Register'!$J$6:$J$305="Approved")*(ROW('Leave Register'!$B$6:$B$305)-5)))=0,"",INDEX('Leave Register'!$D$6:$D$305,SUMPRODUCT(MAX(('Leave Register'!$B$6:$B$305=$A35)*('Leave Register'!$E$6:$E$305&lt;=T$5)*('Leave Register'!$F$6:$F$305&gt;=T$5)*('Leave Register'!$J$6:$J$305="Approved")*(ROW('Leave Register'!$B$6:$B$305)-5))))))</f>
        <v/>
      </c>
      <c r="U35" s="83" t="str">
        <f aca="false">IF(OR($A35="",U$5="",U$7&lt;&gt;"W"),"",IF(SUMPRODUCT(MAX(('Leave Register'!$B$6:$B$305=$A35)*('Leave Register'!$E$6:$E$305&lt;=U$5)*('Leave Register'!$F$6:$F$305&gt;=U$5)*('Leave Register'!$J$6:$J$305="Approved")*(ROW('Leave Register'!$B$6:$B$305)-5)))=0,"",INDEX('Leave Register'!$D$6:$D$305,SUMPRODUCT(MAX(('Leave Register'!$B$6:$B$305=$A35)*('Leave Register'!$E$6:$E$305&lt;=U$5)*('Leave Register'!$F$6:$F$305&gt;=U$5)*('Leave Register'!$J$6:$J$305="Approved")*(ROW('Leave Register'!$B$6:$B$305)-5))))))</f>
        <v/>
      </c>
      <c r="V35" s="83" t="str">
        <f aca="false">IF(OR($A35="",V$5="",V$7&lt;&gt;"W"),"",IF(SUMPRODUCT(MAX(('Leave Register'!$B$6:$B$305=$A35)*('Leave Register'!$E$6:$E$305&lt;=V$5)*('Leave Register'!$F$6:$F$305&gt;=V$5)*('Leave Register'!$J$6:$J$305="Approved")*(ROW('Leave Register'!$B$6:$B$305)-5)))=0,"",INDEX('Leave Register'!$D$6:$D$305,SUMPRODUCT(MAX(('Leave Register'!$B$6:$B$305=$A35)*('Leave Register'!$E$6:$E$305&lt;=V$5)*('Leave Register'!$F$6:$F$305&gt;=V$5)*('Leave Register'!$J$6:$J$305="Approved")*(ROW('Leave Register'!$B$6:$B$305)-5))))))</f>
        <v/>
      </c>
      <c r="W35" s="83" t="str">
        <f aca="false">IF(OR($A35="",W$5="",W$7&lt;&gt;"W"),"",IF(SUMPRODUCT(MAX(('Leave Register'!$B$6:$B$305=$A35)*('Leave Register'!$E$6:$E$305&lt;=W$5)*('Leave Register'!$F$6:$F$305&gt;=W$5)*('Leave Register'!$J$6:$J$305="Approved")*(ROW('Leave Register'!$B$6:$B$305)-5)))=0,"",INDEX('Leave Register'!$D$6:$D$305,SUMPRODUCT(MAX(('Leave Register'!$B$6:$B$305=$A35)*('Leave Register'!$E$6:$E$305&lt;=W$5)*('Leave Register'!$F$6:$F$305&gt;=W$5)*('Leave Register'!$J$6:$J$305="Approved")*(ROW('Leave Register'!$B$6:$B$305)-5))))))</f>
        <v/>
      </c>
      <c r="X35" s="83" t="str">
        <f aca="false">IF(OR($A35="",X$5="",X$7&lt;&gt;"W"),"",IF(SUMPRODUCT(MAX(('Leave Register'!$B$6:$B$305=$A35)*('Leave Register'!$E$6:$E$305&lt;=X$5)*('Leave Register'!$F$6:$F$305&gt;=X$5)*('Leave Register'!$J$6:$J$305="Approved")*(ROW('Leave Register'!$B$6:$B$305)-5)))=0,"",INDEX('Leave Register'!$D$6:$D$305,SUMPRODUCT(MAX(('Leave Register'!$B$6:$B$305=$A35)*('Leave Register'!$E$6:$E$305&lt;=X$5)*('Leave Register'!$F$6:$F$305&gt;=X$5)*('Leave Register'!$J$6:$J$305="Approved")*(ROW('Leave Register'!$B$6:$B$305)-5))))))</f>
        <v/>
      </c>
      <c r="Y35" s="83" t="str">
        <f aca="false">IF(OR($A35="",Y$5="",Y$7&lt;&gt;"W"),"",IF(SUMPRODUCT(MAX(('Leave Register'!$B$6:$B$305=$A35)*('Leave Register'!$E$6:$E$305&lt;=Y$5)*('Leave Register'!$F$6:$F$305&gt;=Y$5)*('Leave Register'!$J$6:$J$305="Approved")*(ROW('Leave Register'!$B$6:$B$305)-5)))=0,"",INDEX('Leave Register'!$D$6:$D$305,SUMPRODUCT(MAX(('Leave Register'!$B$6:$B$305=$A35)*('Leave Register'!$E$6:$E$305&lt;=Y$5)*('Leave Register'!$F$6:$F$305&gt;=Y$5)*('Leave Register'!$J$6:$J$305="Approved")*(ROW('Leave Register'!$B$6:$B$305)-5))))))</f>
        <v/>
      </c>
      <c r="Z35" s="83" t="str">
        <f aca="false">IF(OR($A35="",Z$5="",Z$7&lt;&gt;"W"),"",IF(SUMPRODUCT(MAX(('Leave Register'!$B$6:$B$305=$A35)*('Leave Register'!$E$6:$E$305&lt;=Z$5)*('Leave Register'!$F$6:$F$305&gt;=Z$5)*('Leave Register'!$J$6:$J$305="Approved")*(ROW('Leave Register'!$B$6:$B$305)-5)))=0,"",INDEX('Leave Register'!$D$6:$D$305,SUMPRODUCT(MAX(('Leave Register'!$B$6:$B$305=$A35)*('Leave Register'!$E$6:$E$305&lt;=Z$5)*('Leave Register'!$F$6:$F$305&gt;=Z$5)*('Leave Register'!$J$6:$J$305="Approved")*(ROW('Leave Register'!$B$6:$B$305)-5))))))</f>
        <v/>
      </c>
      <c r="AA35" s="83" t="str">
        <f aca="false">IF(OR($A35="",AA$5="",AA$7&lt;&gt;"W"),"",IF(SUMPRODUCT(MAX(('Leave Register'!$B$6:$B$305=$A35)*('Leave Register'!$E$6:$E$305&lt;=AA$5)*('Leave Register'!$F$6:$F$305&gt;=AA$5)*('Leave Register'!$J$6:$J$305="Approved")*(ROW('Leave Register'!$B$6:$B$305)-5)))=0,"",INDEX('Leave Register'!$D$6:$D$305,SUMPRODUCT(MAX(('Leave Register'!$B$6:$B$305=$A35)*('Leave Register'!$E$6:$E$305&lt;=AA$5)*('Leave Register'!$F$6:$F$305&gt;=AA$5)*('Leave Register'!$J$6:$J$305="Approved")*(ROW('Leave Register'!$B$6:$B$305)-5))))))</f>
        <v/>
      </c>
      <c r="AB35" s="83" t="str">
        <f aca="false">IF(OR($A35="",AB$5="",AB$7&lt;&gt;"W"),"",IF(SUMPRODUCT(MAX(('Leave Register'!$B$6:$B$305=$A35)*('Leave Register'!$E$6:$E$305&lt;=AB$5)*('Leave Register'!$F$6:$F$305&gt;=AB$5)*('Leave Register'!$J$6:$J$305="Approved")*(ROW('Leave Register'!$B$6:$B$305)-5)))=0,"",INDEX('Leave Register'!$D$6:$D$305,SUMPRODUCT(MAX(('Leave Register'!$B$6:$B$305=$A35)*('Leave Register'!$E$6:$E$305&lt;=AB$5)*('Leave Register'!$F$6:$F$305&gt;=AB$5)*('Leave Register'!$J$6:$J$305="Approved")*(ROW('Leave Register'!$B$6:$B$305)-5))))))</f>
        <v/>
      </c>
      <c r="AC35" s="83" t="str">
        <f aca="false">IF(OR($A35="",AC$5="",AC$7&lt;&gt;"W"),"",IF(SUMPRODUCT(MAX(('Leave Register'!$B$6:$B$305=$A35)*('Leave Register'!$E$6:$E$305&lt;=AC$5)*('Leave Register'!$F$6:$F$305&gt;=AC$5)*('Leave Register'!$J$6:$J$305="Approved")*(ROW('Leave Register'!$B$6:$B$305)-5)))=0,"",INDEX('Leave Register'!$D$6:$D$305,SUMPRODUCT(MAX(('Leave Register'!$B$6:$B$305=$A35)*('Leave Register'!$E$6:$E$305&lt;=AC$5)*('Leave Register'!$F$6:$F$305&gt;=AC$5)*('Leave Register'!$J$6:$J$305="Approved")*(ROW('Leave Register'!$B$6:$B$305)-5))))))</f>
        <v/>
      </c>
      <c r="AD35" s="83" t="str">
        <f aca="false">IF(OR($A35="",AD$5="",AD$7&lt;&gt;"W"),"",IF(SUMPRODUCT(MAX(('Leave Register'!$B$6:$B$305=$A35)*('Leave Register'!$E$6:$E$305&lt;=AD$5)*('Leave Register'!$F$6:$F$305&gt;=AD$5)*('Leave Register'!$J$6:$J$305="Approved")*(ROW('Leave Register'!$B$6:$B$305)-5)))=0,"",INDEX('Leave Register'!$D$6:$D$305,SUMPRODUCT(MAX(('Leave Register'!$B$6:$B$305=$A35)*('Leave Register'!$E$6:$E$305&lt;=AD$5)*('Leave Register'!$F$6:$F$305&gt;=AD$5)*('Leave Register'!$J$6:$J$305="Approved")*(ROW('Leave Register'!$B$6:$B$305)-5))))))</f>
        <v/>
      </c>
      <c r="AE35" s="83" t="str">
        <f aca="false">IF(OR($A35="",AE$5="",AE$7&lt;&gt;"W"),"",IF(SUMPRODUCT(MAX(('Leave Register'!$B$6:$B$305=$A35)*('Leave Register'!$E$6:$E$305&lt;=AE$5)*('Leave Register'!$F$6:$F$305&gt;=AE$5)*('Leave Register'!$J$6:$J$305="Approved")*(ROW('Leave Register'!$B$6:$B$305)-5)))=0,"",INDEX('Leave Register'!$D$6:$D$305,SUMPRODUCT(MAX(('Leave Register'!$B$6:$B$305=$A35)*('Leave Register'!$E$6:$E$305&lt;=AE$5)*('Leave Register'!$F$6:$F$305&gt;=AE$5)*('Leave Register'!$J$6:$J$305="Approved")*(ROW('Leave Register'!$B$6:$B$305)-5))))))</f>
        <v/>
      </c>
      <c r="AF35" s="83" t="str">
        <f aca="false">IF(OR($A35="",AF$5="",AF$7&lt;&gt;"W"),"",IF(SUMPRODUCT(MAX(('Leave Register'!$B$6:$B$305=$A35)*('Leave Register'!$E$6:$E$305&lt;=AF$5)*('Leave Register'!$F$6:$F$305&gt;=AF$5)*('Leave Register'!$J$6:$J$305="Approved")*(ROW('Leave Register'!$B$6:$B$305)-5)))=0,"",INDEX('Leave Register'!$D$6:$D$305,SUMPRODUCT(MAX(('Leave Register'!$B$6:$B$305=$A35)*('Leave Register'!$E$6:$E$305&lt;=AF$5)*('Leave Register'!$F$6:$F$305&gt;=AF$5)*('Leave Register'!$J$6:$J$305="Approved")*(ROW('Leave Register'!$B$6:$B$305)-5))))))</f>
        <v/>
      </c>
      <c r="AG35" s="83" t="str">
        <f aca="false">IF(OR($A35="",AG$5="",AG$7&lt;&gt;"W"),"",IF(SUMPRODUCT(MAX(('Leave Register'!$B$6:$B$305=$A35)*('Leave Register'!$E$6:$E$305&lt;=AG$5)*('Leave Register'!$F$6:$F$305&gt;=AG$5)*('Leave Register'!$J$6:$J$305="Approved")*(ROW('Leave Register'!$B$6:$B$305)-5)))=0,"",INDEX('Leave Register'!$D$6:$D$305,SUMPRODUCT(MAX(('Leave Register'!$B$6:$B$305=$A35)*('Leave Register'!$E$6:$E$305&lt;=AG$5)*('Leave Register'!$F$6:$F$305&gt;=AG$5)*('Leave Register'!$J$6:$J$305="Approved")*(ROW('Leave Register'!$B$6:$B$305)-5))))))</f>
        <v/>
      </c>
      <c r="AH35" s="84" t="str">
        <f aca="false">IF(A35="","",COUNTIF(C35:AG35,"?*"))</f>
        <v/>
      </c>
    </row>
    <row r="36" customFormat="false" ht="15" hidden="false" customHeight="false" outlineLevel="0" collapsed="false">
      <c r="A36" s="81" t="str">
        <f aca="false">IF(Employees!$B$33="","",Employees!$B$33)</f>
        <v/>
      </c>
      <c r="B36" s="82" t="str">
        <f aca="false">IF(A36="","",Employees!$C$33)</f>
        <v/>
      </c>
      <c r="C36" s="83" t="str">
        <f aca="false">IF(OR($A36="",C$5="",C$7&lt;&gt;"W"),"",IF(SUMPRODUCT(MAX(('Leave Register'!$B$6:$B$305=$A36)*('Leave Register'!$E$6:$E$305&lt;=C$5)*('Leave Register'!$F$6:$F$305&gt;=C$5)*('Leave Register'!$J$6:$J$305="Approved")*(ROW('Leave Register'!$B$6:$B$305)-5)))=0,"",INDEX('Leave Register'!$D$6:$D$305,SUMPRODUCT(MAX(('Leave Register'!$B$6:$B$305=$A36)*('Leave Register'!$E$6:$E$305&lt;=C$5)*('Leave Register'!$F$6:$F$305&gt;=C$5)*('Leave Register'!$J$6:$J$305="Approved")*(ROW('Leave Register'!$B$6:$B$305)-5))))))</f>
        <v/>
      </c>
      <c r="D36" s="83" t="str">
        <f aca="false">IF(OR($A36="",D$5="",D$7&lt;&gt;"W"),"",IF(SUMPRODUCT(MAX(('Leave Register'!$B$6:$B$305=$A36)*('Leave Register'!$E$6:$E$305&lt;=D$5)*('Leave Register'!$F$6:$F$305&gt;=D$5)*('Leave Register'!$J$6:$J$305="Approved")*(ROW('Leave Register'!$B$6:$B$305)-5)))=0,"",INDEX('Leave Register'!$D$6:$D$305,SUMPRODUCT(MAX(('Leave Register'!$B$6:$B$305=$A36)*('Leave Register'!$E$6:$E$305&lt;=D$5)*('Leave Register'!$F$6:$F$305&gt;=D$5)*('Leave Register'!$J$6:$J$305="Approved")*(ROW('Leave Register'!$B$6:$B$305)-5))))))</f>
        <v/>
      </c>
      <c r="E36" s="83" t="str">
        <f aca="false">IF(OR($A36="",E$5="",E$7&lt;&gt;"W"),"",IF(SUMPRODUCT(MAX(('Leave Register'!$B$6:$B$305=$A36)*('Leave Register'!$E$6:$E$305&lt;=E$5)*('Leave Register'!$F$6:$F$305&gt;=E$5)*('Leave Register'!$J$6:$J$305="Approved")*(ROW('Leave Register'!$B$6:$B$305)-5)))=0,"",INDEX('Leave Register'!$D$6:$D$305,SUMPRODUCT(MAX(('Leave Register'!$B$6:$B$305=$A36)*('Leave Register'!$E$6:$E$305&lt;=E$5)*('Leave Register'!$F$6:$F$305&gt;=E$5)*('Leave Register'!$J$6:$J$305="Approved")*(ROW('Leave Register'!$B$6:$B$305)-5))))))</f>
        <v/>
      </c>
      <c r="F36" s="83" t="str">
        <f aca="false">IF(OR($A36="",F$5="",F$7&lt;&gt;"W"),"",IF(SUMPRODUCT(MAX(('Leave Register'!$B$6:$B$305=$A36)*('Leave Register'!$E$6:$E$305&lt;=F$5)*('Leave Register'!$F$6:$F$305&gt;=F$5)*('Leave Register'!$J$6:$J$305="Approved")*(ROW('Leave Register'!$B$6:$B$305)-5)))=0,"",INDEX('Leave Register'!$D$6:$D$305,SUMPRODUCT(MAX(('Leave Register'!$B$6:$B$305=$A36)*('Leave Register'!$E$6:$E$305&lt;=F$5)*('Leave Register'!$F$6:$F$305&gt;=F$5)*('Leave Register'!$J$6:$J$305="Approved")*(ROW('Leave Register'!$B$6:$B$305)-5))))))</f>
        <v/>
      </c>
      <c r="G36" s="83" t="str">
        <f aca="false">IF(OR($A36="",G$5="",G$7&lt;&gt;"W"),"",IF(SUMPRODUCT(MAX(('Leave Register'!$B$6:$B$305=$A36)*('Leave Register'!$E$6:$E$305&lt;=G$5)*('Leave Register'!$F$6:$F$305&gt;=G$5)*('Leave Register'!$J$6:$J$305="Approved")*(ROW('Leave Register'!$B$6:$B$305)-5)))=0,"",INDEX('Leave Register'!$D$6:$D$305,SUMPRODUCT(MAX(('Leave Register'!$B$6:$B$305=$A36)*('Leave Register'!$E$6:$E$305&lt;=G$5)*('Leave Register'!$F$6:$F$305&gt;=G$5)*('Leave Register'!$J$6:$J$305="Approved")*(ROW('Leave Register'!$B$6:$B$305)-5))))))</f>
        <v/>
      </c>
      <c r="H36" s="83" t="str">
        <f aca="false">IF(OR($A36="",H$5="",H$7&lt;&gt;"W"),"",IF(SUMPRODUCT(MAX(('Leave Register'!$B$6:$B$305=$A36)*('Leave Register'!$E$6:$E$305&lt;=H$5)*('Leave Register'!$F$6:$F$305&gt;=H$5)*('Leave Register'!$J$6:$J$305="Approved")*(ROW('Leave Register'!$B$6:$B$305)-5)))=0,"",INDEX('Leave Register'!$D$6:$D$305,SUMPRODUCT(MAX(('Leave Register'!$B$6:$B$305=$A36)*('Leave Register'!$E$6:$E$305&lt;=H$5)*('Leave Register'!$F$6:$F$305&gt;=H$5)*('Leave Register'!$J$6:$J$305="Approved")*(ROW('Leave Register'!$B$6:$B$305)-5))))))</f>
        <v/>
      </c>
      <c r="I36" s="83" t="str">
        <f aca="false">IF(OR($A36="",I$5="",I$7&lt;&gt;"W"),"",IF(SUMPRODUCT(MAX(('Leave Register'!$B$6:$B$305=$A36)*('Leave Register'!$E$6:$E$305&lt;=I$5)*('Leave Register'!$F$6:$F$305&gt;=I$5)*('Leave Register'!$J$6:$J$305="Approved")*(ROW('Leave Register'!$B$6:$B$305)-5)))=0,"",INDEX('Leave Register'!$D$6:$D$305,SUMPRODUCT(MAX(('Leave Register'!$B$6:$B$305=$A36)*('Leave Register'!$E$6:$E$305&lt;=I$5)*('Leave Register'!$F$6:$F$305&gt;=I$5)*('Leave Register'!$J$6:$J$305="Approved")*(ROW('Leave Register'!$B$6:$B$305)-5))))))</f>
        <v/>
      </c>
      <c r="J36" s="83" t="str">
        <f aca="false">IF(OR($A36="",J$5="",J$7&lt;&gt;"W"),"",IF(SUMPRODUCT(MAX(('Leave Register'!$B$6:$B$305=$A36)*('Leave Register'!$E$6:$E$305&lt;=J$5)*('Leave Register'!$F$6:$F$305&gt;=J$5)*('Leave Register'!$J$6:$J$305="Approved")*(ROW('Leave Register'!$B$6:$B$305)-5)))=0,"",INDEX('Leave Register'!$D$6:$D$305,SUMPRODUCT(MAX(('Leave Register'!$B$6:$B$305=$A36)*('Leave Register'!$E$6:$E$305&lt;=J$5)*('Leave Register'!$F$6:$F$305&gt;=J$5)*('Leave Register'!$J$6:$J$305="Approved")*(ROW('Leave Register'!$B$6:$B$305)-5))))))</f>
        <v/>
      </c>
      <c r="K36" s="83" t="str">
        <f aca="false">IF(OR($A36="",K$5="",K$7&lt;&gt;"W"),"",IF(SUMPRODUCT(MAX(('Leave Register'!$B$6:$B$305=$A36)*('Leave Register'!$E$6:$E$305&lt;=K$5)*('Leave Register'!$F$6:$F$305&gt;=K$5)*('Leave Register'!$J$6:$J$305="Approved")*(ROW('Leave Register'!$B$6:$B$305)-5)))=0,"",INDEX('Leave Register'!$D$6:$D$305,SUMPRODUCT(MAX(('Leave Register'!$B$6:$B$305=$A36)*('Leave Register'!$E$6:$E$305&lt;=K$5)*('Leave Register'!$F$6:$F$305&gt;=K$5)*('Leave Register'!$J$6:$J$305="Approved")*(ROW('Leave Register'!$B$6:$B$305)-5))))))</f>
        <v/>
      </c>
      <c r="L36" s="83" t="str">
        <f aca="false">IF(OR($A36="",L$5="",L$7&lt;&gt;"W"),"",IF(SUMPRODUCT(MAX(('Leave Register'!$B$6:$B$305=$A36)*('Leave Register'!$E$6:$E$305&lt;=L$5)*('Leave Register'!$F$6:$F$305&gt;=L$5)*('Leave Register'!$J$6:$J$305="Approved")*(ROW('Leave Register'!$B$6:$B$305)-5)))=0,"",INDEX('Leave Register'!$D$6:$D$305,SUMPRODUCT(MAX(('Leave Register'!$B$6:$B$305=$A36)*('Leave Register'!$E$6:$E$305&lt;=L$5)*('Leave Register'!$F$6:$F$305&gt;=L$5)*('Leave Register'!$J$6:$J$305="Approved")*(ROW('Leave Register'!$B$6:$B$305)-5))))))</f>
        <v/>
      </c>
      <c r="M36" s="83" t="str">
        <f aca="false">IF(OR($A36="",M$5="",M$7&lt;&gt;"W"),"",IF(SUMPRODUCT(MAX(('Leave Register'!$B$6:$B$305=$A36)*('Leave Register'!$E$6:$E$305&lt;=M$5)*('Leave Register'!$F$6:$F$305&gt;=M$5)*('Leave Register'!$J$6:$J$305="Approved")*(ROW('Leave Register'!$B$6:$B$305)-5)))=0,"",INDEX('Leave Register'!$D$6:$D$305,SUMPRODUCT(MAX(('Leave Register'!$B$6:$B$305=$A36)*('Leave Register'!$E$6:$E$305&lt;=M$5)*('Leave Register'!$F$6:$F$305&gt;=M$5)*('Leave Register'!$J$6:$J$305="Approved")*(ROW('Leave Register'!$B$6:$B$305)-5))))))</f>
        <v/>
      </c>
      <c r="N36" s="83" t="str">
        <f aca="false">IF(OR($A36="",N$5="",N$7&lt;&gt;"W"),"",IF(SUMPRODUCT(MAX(('Leave Register'!$B$6:$B$305=$A36)*('Leave Register'!$E$6:$E$305&lt;=N$5)*('Leave Register'!$F$6:$F$305&gt;=N$5)*('Leave Register'!$J$6:$J$305="Approved")*(ROW('Leave Register'!$B$6:$B$305)-5)))=0,"",INDEX('Leave Register'!$D$6:$D$305,SUMPRODUCT(MAX(('Leave Register'!$B$6:$B$305=$A36)*('Leave Register'!$E$6:$E$305&lt;=N$5)*('Leave Register'!$F$6:$F$305&gt;=N$5)*('Leave Register'!$J$6:$J$305="Approved")*(ROW('Leave Register'!$B$6:$B$305)-5))))))</f>
        <v/>
      </c>
      <c r="O36" s="83" t="str">
        <f aca="false">IF(OR($A36="",O$5="",O$7&lt;&gt;"W"),"",IF(SUMPRODUCT(MAX(('Leave Register'!$B$6:$B$305=$A36)*('Leave Register'!$E$6:$E$305&lt;=O$5)*('Leave Register'!$F$6:$F$305&gt;=O$5)*('Leave Register'!$J$6:$J$305="Approved")*(ROW('Leave Register'!$B$6:$B$305)-5)))=0,"",INDEX('Leave Register'!$D$6:$D$305,SUMPRODUCT(MAX(('Leave Register'!$B$6:$B$305=$A36)*('Leave Register'!$E$6:$E$305&lt;=O$5)*('Leave Register'!$F$6:$F$305&gt;=O$5)*('Leave Register'!$J$6:$J$305="Approved")*(ROW('Leave Register'!$B$6:$B$305)-5))))))</f>
        <v/>
      </c>
      <c r="P36" s="83" t="str">
        <f aca="false">IF(OR($A36="",P$5="",P$7&lt;&gt;"W"),"",IF(SUMPRODUCT(MAX(('Leave Register'!$B$6:$B$305=$A36)*('Leave Register'!$E$6:$E$305&lt;=P$5)*('Leave Register'!$F$6:$F$305&gt;=P$5)*('Leave Register'!$J$6:$J$305="Approved")*(ROW('Leave Register'!$B$6:$B$305)-5)))=0,"",INDEX('Leave Register'!$D$6:$D$305,SUMPRODUCT(MAX(('Leave Register'!$B$6:$B$305=$A36)*('Leave Register'!$E$6:$E$305&lt;=P$5)*('Leave Register'!$F$6:$F$305&gt;=P$5)*('Leave Register'!$J$6:$J$305="Approved")*(ROW('Leave Register'!$B$6:$B$305)-5))))))</f>
        <v/>
      </c>
      <c r="Q36" s="83" t="str">
        <f aca="false">IF(OR($A36="",Q$5="",Q$7&lt;&gt;"W"),"",IF(SUMPRODUCT(MAX(('Leave Register'!$B$6:$B$305=$A36)*('Leave Register'!$E$6:$E$305&lt;=Q$5)*('Leave Register'!$F$6:$F$305&gt;=Q$5)*('Leave Register'!$J$6:$J$305="Approved")*(ROW('Leave Register'!$B$6:$B$305)-5)))=0,"",INDEX('Leave Register'!$D$6:$D$305,SUMPRODUCT(MAX(('Leave Register'!$B$6:$B$305=$A36)*('Leave Register'!$E$6:$E$305&lt;=Q$5)*('Leave Register'!$F$6:$F$305&gt;=Q$5)*('Leave Register'!$J$6:$J$305="Approved")*(ROW('Leave Register'!$B$6:$B$305)-5))))))</f>
        <v/>
      </c>
      <c r="R36" s="83" t="str">
        <f aca="false">IF(OR($A36="",R$5="",R$7&lt;&gt;"W"),"",IF(SUMPRODUCT(MAX(('Leave Register'!$B$6:$B$305=$A36)*('Leave Register'!$E$6:$E$305&lt;=R$5)*('Leave Register'!$F$6:$F$305&gt;=R$5)*('Leave Register'!$J$6:$J$305="Approved")*(ROW('Leave Register'!$B$6:$B$305)-5)))=0,"",INDEX('Leave Register'!$D$6:$D$305,SUMPRODUCT(MAX(('Leave Register'!$B$6:$B$305=$A36)*('Leave Register'!$E$6:$E$305&lt;=R$5)*('Leave Register'!$F$6:$F$305&gt;=R$5)*('Leave Register'!$J$6:$J$305="Approved")*(ROW('Leave Register'!$B$6:$B$305)-5))))))</f>
        <v/>
      </c>
      <c r="S36" s="83" t="str">
        <f aca="false">IF(OR($A36="",S$5="",S$7&lt;&gt;"W"),"",IF(SUMPRODUCT(MAX(('Leave Register'!$B$6:$B$305=$A36)*('Leave Register'!$E$6:$E$305&lt;=S$5)*('Leave Register'!$F$6:$F$305&gt;=S$5)*('Leave Register'!$J$6:$J$305="Approved")*(ROW('Leave Register'!$B$6:$B$305)-5)))=0,"",INDEX('Leave Register'!$D$6:$D$305,SUMPRODUCT(MAX(('Leave Register'!$B$6:$B$305=$A36)*('Leave Register'!$E$6:$E$305&lt;=S$5)*('Leave Register'!$F$6:$F$305&gt;=S$5)*('Leave Register'!$J$6:$J$305="Approved")*(ROW('Leave Register'!$B$6:$B$305)-5))))))</f>
        <v/>
      </c>
      <c r="T36" s="83" t="str">
        <f aca="false">IF(OR($A36="",T$5="",T$7&lt;&gt;"W"),"",IF(SUMPRODUCT(MAX(('Leave Register'!$B$6:$B$305=$A36)*('Leave Register'!$E$6:$E$305&lt;=T$5)*('Leave Register'!$F$6:$F$305&gt;=T$5)*('Leave Register'!$J$6:$J$305="Approved")*(ROW('Leave Register'!$B$6:$B$305)-5)))=0,"",INDEX('Leave Register'!$D$6:$D$305,SUMPRODUCT(MAX(('Leave Register'!$B$6:$B$305=$A36)*('Leave Register'!$E$6:$E$305&lt;=T$5)*('Leave Register'!$F$6:$F$305&gt;=T$5)*('Leave Register'!$J$6:$J$305="Approved")*(ROW('Leave Register'!$B$6:$B$305)-5))))))</f>
        <v/>
      </c>
      <c r="U36" s="83" t="str">
        <f aca="false">IF(OR($A36="",U$5="",U$7&lt;&gt;"W"),"",IF(SUMPRODUCT(MAX(('Leave Register'!$B$6:$B$305=$A36)*('Leave Register'!$E$6:$E$305&lt;=U$5)*('Leave Register'!$F$6:$F$305&gt;=U$5)*('Leave Register'!$J$6:$J$305="Approved")*(ROW('Leave Register'!$B$6:$B$305)-5)))=0,"",INDEX('Leave Register'!$D$6:$D$305,SUMPRODUCT(MAX(('Leave Register'!$B$6:$B$305=$A36)*('Leave Register'!$E$6:$E$305&lt;=U$5)*('Leave Register'!$F$6:$F$305&gt;=U$5)*('Leave Register'!$J$6:$J$305="Approved")*(ROW('Leave Register'!$B$6:$B$305)-5))))))</f>
        <v/>
      </c>
      <c r="V36" s="83" t="str">
        <f aca="false">IF(OR($A36="",V$5="",V$7&lt;&gt;"W"),"",IF(SUMPRODUCT(MAX(('Leave Register'!$B$6:$B$305=$A36)*('Leave Register'!$E$6:$E$305&lt;=V$5)*('Leave Register'!$F$6:$F$305&gt;=V$5)*('Leave Register'!$J$6:$J$305="Approved")*(ROW('Leave Register'!$B$6:$B$305)-5)))=0,"",INDEX('Leave Register'!$D$6:$D$305,SUMPRODUCT(MAX(('Leave Register'!$B$6:$B$305=$A36)*('Leave Register'!$E$6:$E$305&lt;=V$5)*('Leave Register'!$F$6:$F$305&gt;=V$5)*('Leave Register'!$J$6:$J$305="Approved")*(ROW('Leave Register'!$B$6:$B$305)-5))))))</f>
        <v/>
      </c>
      <c r="W36" s="83" t="str">
        <f aca="false">IF(OR($A36="",W$5="",W$7&lt;&gt;"W"),"",IF(SUMPRODUCT(MAX(('Leave Register'!$B$6:$B$305=$A36)*('Leave Register'!$E$6:$E$305&lt;=W$5)*('Leave Register'!$F$6:$F$305&gt;=W$5)*('Leave Register'!$J$6:$J$305="Approved")*(ROW('Leave Register'!$B$6:$B$305)-5)))=0,"",INDEX('Leave Register'!$D$6:$D$305,SUMPRODUCT(MAX(('Leave Register'!$B$6:$B$305=$A36)*('Leave Register'!$E$6:$E$305&lt;=W$5)*('Leave Register'!$F$6:$F$305&gt;=W$5)*('Leave Register'!$J$6:$J$305="Approved")*(ROW('Leave Register'!$B$6:$B$305)-5))))))</f>
        <v/>
      </c>
      <c r="X36" s="83" t="str">
        <f aca="false">IF(OR($A36="",X$5="",X$7&lt;&gt;"W"),"",IF(SUMPRODUCT(MAX(('Leave Register'!$B$6:$B$305=$A36)*('Leave Register'!$E$6:$E$305&lt;=X$5)*('Leave Register'!$F$6:$F$305&gt;=X$5)*('Leave Register'!$J$6:$J$305="Approved")*(ROW('Leave Register'!$B$6:$B$305)-5)))=0,"",INDEX('Leave Register'!$D$6:$D$305,SUMPRODUCT(MAX(('Leave Register'!$B$6:$B$305=$A36)*('Leave Register'!$E$6:$E$305&lt;=X$5)*('Leave Register'!$F$6:$F$305&gt;=X$5)*('Leave Register'!$J$6:$J$305="Approved")*(ROW('Leave Register'!$B$6:$B$305)-5))))))</f>
        <v/>
      </c>
      <c r="Y36" s="83" t="str">
        <f aca="false">IF(OR($A36="",Y$5="",Y$7&lt;&gt;"W"),"",IF(SUMPRODUCT(MAX(('Leave Register'!$B$6:$B$305=$A36)*('Leave Register'!$E$6:$E$305&lt;=Y$5)*('Leave Register'!$F$6:$F$305&gt;=Y$5)*('Leave Register'!$J$6:$J$305="Approved")*(ROW('Leave Register'!$B$6:$B$305)-5)))=0,"",INDEX('Leave Register'!$D$6:$D$305,SUMPRODUCT(MAX(('Leave Register'!$B$6:$B$305=$A36)*('Leave Register'!$E$6:$E$305&lt;=Y$5)*('Leave Register'!$F$6:$F$305&gt;=Y$5)*('Leave Register'!$J$6:$J$305="Approved")*(ROW('Leave Register'!$B$6:$B$305)-5))))))</f>
        <v/>
      </c>
      <c r="Z36" s="83" t="str">
        <f aca="false">IF(OR($A36="",Z$5="",Z$7&lt;&gt;"W"),"",IF(SUMPRODUCT(MAX(('Leave Register'!$B$6:$B$305=$A36)*('Leave Register'!$E$6:$E$305&lt;=Z$5)*('Leave Register'!$F$6:$F$305&gt;=Z$5)*('Leave Register'!$J$6:$J$305="Approved")*(ROW('Leave Register'!$B$6:$B$305)-5)))=0,"",INDEX('Leave Register'!$D$6:$D$305,SUMPRODUCT(MAX(('Leave Register'!$B$6:$B$305=$A36)*('Leave Register'!$E$6:$E$305&lt;=Z$5)*('Leave Register'!$F$6:$F$305&gt;=Z$5)*('Leave Register'!$J$6:$J$305="Approved")*(ROW('Leave Register'!$B$6:$B$305)-5))))))</f>
        <v/>
      </c>
      <c r="AA36" s="83" t="str">
        <f aca="false">IF(OR($A36="",AA$5="",AA$7&lt;&gt;"W"),"",IF(SUMPRODUCT(MAX(('Leave Register'!$B$6:$B$305=$A36)*('Leave Register'!$E$6:$E$305&lt;=AA$5)*('Leave Register'!$F$6:$F$305&gt;=AA$5)*('Leave Register'!$J$6:$J$305="Approved")*(ROW('Leave Register'!$B$6:$B$305)-5)))=0,"",INDEX('Leave Register'!$D$6:$D$305,SUMPRODUCT(MAX(('Leave Register'!$B$6:$B$305=$A36)*('Leave Register'!$E$6:$E$305&lt;=AA$5)*('Leave Register'!$F$6:$F$305&gt;=AA$5)*('Leave Register'!$J$6:$J$305="Approved")*(ROW('Leave Register'!$B$6:$B$305)-5))))))</f>
        <v/>
      </c>
      <c r="AB36" s="83" t="str">
        <f aca="false">IF(OR($A36="",AB$5="",AB$7&lt;&gt;"W"),"",IF(SUMPRODUCT(MAX(('Leave Register'!$B$6:$B$305=$A36)*('Leave Register'!$E$6:$E$305&lt;=AB$5)*('Leave Register'!$F$6:$F$305&gt;=AB$5)*('Leave Register'!$J$6:$J$305="Approved")*(ROW('Leave Register'!$B$6:$B$305)-5)))=0,"",INDEX('Leave Register'!$D$6:$D$305,SUMPRODUCT(MAX(('Leave Register'!$B$6:$B$305=$A36)*('Leave Register'!$E$6:$E$305&lt;=AB$5)*('Leave Register'!$F$6:$F$305&gt;=AB$5)*('Leave Register'!$J$6:$J$305="Approved")*(ROW('Leave Register'!$B$6:$B$305)-5))))))</f>
        <v/>
      </c>
      <c r="AC36" s="83" t="str">
        <f aca="false">IF(OR($A36="",AC$5="",AC$7&lt;&gt;"W"),"",IF(SUMPRODUCT(MAX(('Leave Register'!$B$6:$B$305=$A36)*('Leave Register'!$E$6:$E$305&lt;=AC$5)*('Leave Register'!$F$6:$F$305&gt;=AC$5)*('Leave Register'!$J$6:$J$305="Approved")*(ROW('Leave Register'!$B$6:$B$305)-5)))=0,"",INDEX('Leave Register'!$D$6:$D$305,SUMPRODUCT(MAX(('Leave Register'!$B$6:$B$305=$A36)*('Leave Register'!$E$6:$E$305&lt;=AC$5)*('Leave Register'!$F$6:$F$305&gt;=AC$5)*('Leave Register'!$J$6:$J$305="Approved")*(ROW('Leave Register'!$B$6:$B$305)-5))))))</f>
        <v/>
      </c>
      <c r="AD36" s="83" t="str">
        <f aca="false">IF(OR($A36="",AD$5="",AD$7&lt;&gt;"W"),"",IF(SUMPRODUCT(MAX(('Leave Register'!$B$6:$B$305=$A36)*('Leave Register'!$E$6:$E$305&lt;=AD$5)*('Leave Register'!$F$6:$F$305&gt;=AD$5)*('Leave Register'!$J$6:$J$305="Approved")*(ROW('Leave Register'!$B$6:$B$305)-5)))=0,"",INDEX('Leave Register'!$D$6:$D$305,SUMPRODUCT(MAX(('Leave Register'!$B$6:$B$305=$A36)*('Leave Register'!$E$6:$E$305&lt;=AD$5)*('Leave Register'!$F$6:$F$305&gt;=AD$5)*('Leave Register'!$J$6:$J$305="Approved")*(ROW('Leave Register'!$B$6:$B$305)-5))))))</f>
        <v/>
      </c>
      <c r="AE36" s="83" t="str">
        <f aca="false">IF(OR($A36="",AE$5="",AE$7&lt;&gt;"W"),"",IF(SUMPRODUCT(MAX(('Leave Register'!$B$6:$B$305=$A36)*('Leave Register'!$E$6:$E$305&lt;=AE$5)*('Leave Register'!$F$6:$F$305&gt;=AE$5)*('Leave Register'!$J$6:$J$305="Approved")*(ROW('Leave Register'!$B$6:$B$305)-5)))=0,"",INDEX('Leave Register'!$D$6:$D$305,SUMPRODUCT(MAX(('Leave Register'!$B$6:$B$305=$A36)*('Leave Register'!$E$6:$E$305&lt;=AE$5)*('Leave Register'!$F$6:$F$305&gt;=AE$5)*('Leave Register'!$J$6:$J$305="Approved")*(ROW('Leave Register'!$B$6:$B$305)-5))))))</f>
        <v/>
      </c>
      <c r="AF36" s="83" t="str">
        <f aca="false">IF(OR($A36="",AF$5="",AF$7&lt;&gt;"W"),"",IF(SUMPRODUCT(MAX(('Leave Register'!$B$6:$B$305=$A36)*('Leave Register'!$E$6:$E$305&lt;=AF$5)*('Leave Register'!$F$6:$F$305&gt;=AF$5)*('Leave Register'!$J$6:$J$305="Approved")*(ROW('Leave Register'!$B$6:$B$305)-5)))=0,"",INDEX('Leave Register'!$D$6:$D$305,SUMPRODUCT(MAX(('Leave Register'!$B$6:$B$305=$A36)*('Leave Register'!$E$6:$E$305&lt;=AF$5)*('Leave Register'!$F$6:$F$305&gt;=AF$5)*('Leave Register'!$J$6:$J$305="Approved")*(ROW('Leave Register'!$B$6:$B$305)-5))))))</f>
        <v/>
      </c>
      <c r="AG36" s="83" t="str">
        <f aca="false">IF(OR($A36="",AG$5="",AG$7&lt;&gt;"W"),"",IF(SUMPRODUCT(MAX(('Leave Register'!$B$6:$B$305=$A36)*('Leave Register'!$E$6:$E$305&lt;=AG$5)*('Leave Register'!$F$6:$F$305&gt;=AG$5)*('Leave Register'!$J$6:$J$305="Approved")*(ROW('Leave Register'!$B$6:$B$305)-5)))=0,"",INDEX('Leave Register'!$D$6:$D$305,SUMPRODUCT(MAX(('Leave Register'!$B$6:$B$305=$A36)*('Leave Register'!$E$6:$E$305&lt;=AG$5)*('Leave Register'!$F$6:$F$305&gt;=AG$5)*('Leave Register'!$J$6:$J$305="Approved")*(ROW('Leave Register'!$B$6:$B$305)-5))))))</f>
        <v/>
      </c>
      <c r="AH36" s="84" t="str">
        <f aca="false">IF(A36="","",COUNTIF(C36:AG36,"?*"))</f>
        <v/>
      </c>
    </row>
    <row r="37" customFormat="false" ht="15" hidden="false" customHeight="false" outlineLevel="0" collapsed="false">
      <c r="A37" s="81" t="str">
        <f aca="false">IF(Employees!$B$34="","",Employees!$B$34)</f>
        <v/>
      </c>
      <c r="B37" s="82" t="str">
        <f aca="false">IF(A37="","",Employees!$C$34)</f>
        <v/>
      </c>
      <c r="C37" s="83" t="str">
        <f aca="false">IF(OR($A37="",C$5="",C$7&lt;&gt;"W"),"",IF(SUMPRODUCT(MAX(('Leave Register'!$B$6:$B$305=$A37)*('Leave Register'!$E$6:$E$305&lt;=C$5)*('Leave Register'!$F$6:$F$305&gt;=C$5)*('Leave Register'!$J$6:$J$305="Approved")*(ROW('Leave Register'!$B$6:$B$305)-5)))=0,"",INDEX('Leave Register'!$D$6:$D$305,SUMPRODUCT(MAX(('Leave Register'!$B$6:$B$305=$A37)*('Leave Register'!$E$6:$E$305&lt;=C$5)*('Leave Register'!$F$6:$F$305&gt;=C$5)*('Leave Register'!$J$6:$J$305="Approved")*(ROW('Leave Register'!$B$6:$B$305)-5))))))</f>
        <v/>
      </c>
      <c r="D37" s="83" t="str">
        <f aca="false">IF(OR($A37="",D$5="",D$7&lt;&gt;"W"),"",IF(SUMPRODUCT(MAX(('Leave Register'!$B$6:$B$305=$A37)*('Leave Register'!$E$6:$E$305&lt;=D$5)*('Leave Register'!$F$6:$F$305&gt;=D$5)*('Leave Register'!$J$6:$J$305="Approved")*(ROW('Leave Register'!$B$6:$B$305)-5)))=0,"",INDEX('Leave Register'!$D$6:$D$305,SUMPRODUCT(MAX(('Leave Register'!$B$6:$B$305=$A37)*('Leave Register'!$E$6:$E$305&lt;=D$5)*('Leave Register'!$F$6:$F$305&gt;=D$5)*('Leave Register'!$J$6:$J$305="Approved")*(ROW('Leave Register'!$B$6:$B$305)-5))))))</f>
        <v/>
      </c>
      <c r="E37" s="83" t="str">
        <f aca="false">IF(OR($A37="",E$5="",E$7&lt;&gt;"W"),"",IF(SUMPRODUCT(MAX(('Leave Register'!$B$6:$B$305=$A37)*('Leave Register'!$E$6:$E$305&lt;=E$5)*('Leave Register'!$F$6:$F$305&gt;=E$5)*('Leave Register'!$J$6:$J$305="Approved")*(ROW('Leave Register'!$B$6:$B$305)-5)))=0,"",INDEX('Leave Register'!$D$6:$D$305,SUMPRODUCT(MAX(('Leave Register'!$B$6:$B$305=$A37)*('Leave Register'!$E$6:$E$305&lt;=E$5)*('Leave Register'!$F$6:$F$305&gt;=E$5)*('Leave Register'!$J$6:$J$305="Approved")*(ROW('Leave Register'!$B$6:$B$305)-5))))))</f>
        <v/>
      </c>
      <c r="F37" s="83" t="str">
        <f aca="false">IF(OR($A37="",F$5="",F$7&lt;&gt;"W"),"",IF(SUMPRODUCT(MAX(('Leave Register'!$B$6:$B$305=$A37)*('Leave Register'!$E$6:$E$305&lt;=F$5)*('Leave Register'!$F$6:$F$305&gt;=F$5)*('Leave Register'!$J$6:$J$305="Approved")*(ROW('Leave Register'!$B$6:$B$305)-5)))=0,"",INDEX('Leave Register'!$D$6:$D$305,SUMPRODUCT(MAX(('Leave Register'!$B$6:$B$305=$A37)*('Leave Register'!$E$6:$E$305&lt;=F$5)*('Leave Register'!$F$6:$F$305&gt;=F$5)*('Leave Register'!$J$6:$J$305="Approved")*(ROW('Leave Register'!$B$6:$B$305)-5))))))</f>
        <v/>
      </c>
      <c r="G37" s="83" t="str">
        <f aca="false">IF(OR($A37="",G$5="",G$7&lt;&gt;"W"),"",IF(SUMPRODUCT(MAX(('Leave Register'!$B$6:$B$305=$A37)*('Leave Register'!$E$6:$E$305&lt;=G$5)*('Leave Register'!$F$6:$F$305&gt;=G$5)*('Leave Register'!$J$6:$J$305="Approved")*(ROW('Leave Register'!$B$6:$B$305)-5)))=0,"",INDEX('Leave Register'!$D$6:$D$305,SUMPRODUCT(MAX(('Leave Register'!$B$6:$B$305=$A37)*('Leave Register'!$E$6:$E$305&lt;=G$5)*('Leave Register'!$F$6:$F$305&gt;=G$5)*('Leave Register'!$J$6:$J$305="Approved")*(ROW('Leave Register'!$B$6:$B$305)-5))))))</f>
        <v/>
      </c>
      <c r="H37" s="83" t="str">
        <f aca="false">IF(OR($A37="",H$5="",H$7&lt;&gt;"W"),"",IF(SUMPRODUCT(MAX(('Leave Register'!$B$6:$B$305=$A37)*('Leave Register'!$E$6:$E$305&lt;=H$5)*('Leave Register'!$F$6:$F$305&gt;=H$5)*('Leave Register'!$J$6:$J$305="Approved")*(ROW('Leave Register'!$B$6:$B$305)-5)))=0,"",INDEX('Leave Register'!$D$6:$D$305,SUMPRODUCT(MAX(('Leave Register'!$B$6:$B$305=$A37)*('Leave Register'!$E$6:$E$305&lt;=H$5)*('Leave Register'!$F$6:$F$305&gt;=H$5)*('Leave Register'!$J$6:$J$305="Approved")*(ROW('Leave Register'!$B$6:$B$305)-5))))))</f>
        <v/>
      </c>
      <c r="I37" s="83" t="str">
        <f aca="false">IF(OR($A37="",I$5="",I$7&lt;&gt;"W"),"",IF(SUMPRODUCT(MAX(('Leave Register'!$B$6:$B$305=$A37)*('Leave Register'!$E$6:$E$305&lt;=I$5)*('Leave Register'!$F$6:$F$305&gt;=I$5)*('Leave Register'!$J$6:$J$305="Approved")*(ROW('Leave Register'!$B$6:$B$305)-5)))=0,"",INDEX('Leave Register'!$D$6:$D$305,SUMPRODUCT(MAX(('Leave Register'!$B$6:$B$305=$A37)*('Leave Register'!$E$6:$E$305&lt;=I$5)*('Leave Register'!$F$6:$F$305&gt;=I$5)*('Leave Register'!$J$6:$J$305="Approved")*(ROW('Leave Register'!$B$6:$B$305)-5))))))</f>
        <v/>
      </c>
      <c r="J37" s="83" t="str">
        <f aca="false">IF(OR($A37="",J$5="",J$7&lt;&gt;"W"),"",IF(SUMPRODUCT(MAX(('Leave Register'!$B$6:$B$305=$A37)*('Leave Register'!$E$6:$E$305&lt;=J$5)*('Leave Register'!$F$6:$F$305&gt;=J$5)*('Leave Register'!$J$6:$J$305="Approved")*(ROW('Leave Register'!$B$6:$B$305)-5)))=0,"",INDEX('Leave Register'!$D$6:$D$305,SUMPRODUCT(MAX(('Leave Register'!$B$6:$B$305=$A37)*('Leave Register'!$E$6:$E$305&lt;=J$5)*('Leave Register'!$F$6:$F$305&gt;=J$5)*('Leave Register'!$J$6:$J$305="Approved")*(ROW('Leave Register'!$B$6:$B$305)-5))))))</f>
        <v/>
      </c>
      <c r="K37" s="83" t="str">
        <f aca="false">IF(OR($A37="",K$5="",K$7&lt;&gt;"W"),"",IF(SUMPRODUCT(MAX(('Leave Register'!$B$6:$B$305=$A37)*('Leave Register'!$E$6:$E$305&lt;=K$5)*('Leave Register'!$F$6:$F$305&gt;=K$5)*('Leave Register'!$J$6:$J$305="Approved")*(ROW('Leave Register'!$B$6:$B$305)-5)))=0,"",INDEX('Leave Register'!$D$6:$D$305,SUMPRODUCT(MAX(('Leave Register'!$B$6:$B$305=$A37)*('Leave Register'!$E$6:$E$305&lt;=K$5)*('Leave Register'!$F$6:$F$305&gt;=K$5)*('Leave Register'!$J$6:$J$305="Approved")*(ROW('Leave Register'!$B$6:$B$305)-5))))))</f>
        <v/>
      </c>
      <c r="L37" s="83" t="str">
        <f aca="false">IF(OR($A37="",L$5="",L$7&lt;&gt;"W"),"",IF(SUMPRODUCT(MAX(('Leave Register'!$B$6:$B$305=$A37)*('Leave Register'!$E$6:$E$305&lt;=L$5)*('Leave Register'!$F$6:$F$305&gt;=L$5)*('Leave Register'!$J$6:$J$305="Approved")*(ROW('Leave Register'!$B$6:$B$305)-5)))=0,"",INDEX('Leave Register'!$D$6:$D$305,SUMPRODUCT(MAX(('Leave Register'!$B$6:$B$305=$A37)*('Leave Register'!$E$6:$E$305&lt;=L$5)*('Leave Register'!$F$6:$F$305&gt;=L$5)*('Leave Register'!$J$6:$J$305="Approved")*(ROW('Leave Register'!$B$6:$B$305)-5))))))</f>
        <v/>
      </c>
      <c r="M37" s="83" t="str">
        <f aca="false">IF(OR($A37="",M$5="",M$7&lt;&gt;"W"),"",IF(SUMPRODUCT(MAX(('Leave Register'!$B$6:$B$305=$A37)*('Leave Register'!$E$6:$E$305&lt;=M$5)*('Leave Register'!$F$6:$F$305&gt;=M$5)*('Leave Register'!$J$6:$J$305="Approved")*(ROW('Leave Register'!$B$6:$B$305)-5)))=0,"",INDEX('Leave Register'!$D$6:$D$305,SUMPRODUCT(MAX(('Leave Register'!$B$6:$B$305=$A37)*('Leave Register'!$E$6:$E$305&lt;=M$5)*('Leave Register'!$F$6:$F$305&gt;=M$5)*('Leave Register'!$J$6:$J$305="Approved")*(ROW('Leave Register'!$B$6:$B$305)-5))))))</f>
        <v/>
      </c>
      <c r="N37" s="83" t="str">
        <f aca="false">IF(OR($A37="",N$5="",N$7&lt;&gt;"W"),"",IF(SUMPRODUCT(MAX(('Leave Register'!$B$6:$B$305=$A37)*('Leave Register'!$E$6:$E$305&lt;=N$5)*('Leave Register'!$F$6:$F$305&gt;=N$5)*('Leave Register'!$J$6:$J$305="Approved")*(ROW('Leave Register'!$B$6:$B$305)-5)))=0,"",INDEX('Leave Register'!$D$6:$D$305,SUMPRODUCT(MAX(('Leave Register'!$B$6:$B$305=$A37)*('Leave Register'!$E$6:$E$305&lt;=N$5)*('Leave Register'!$F$6:$F$305&gt;=N$5)*('Leave Register'!$J$6:$J$305="Approved")*(ROW('Leave Register'!$B$6:$B$305)-5))))))</f>
        <v/>
      </c>
      <c r="O37" s="83" t="str">
        <f aca="false">IF(OR($A37="",O$5="",O$7&lt;&gt;"W"),"",IF(SUMPRODUCT(MAX(('Leave Register'!$B$6:$B$305=$A37)*('Leave Register'!$E$6:$E$305&lt;=O$5)*('Leave Register'!$F$6:$F$305&gt;=O$5)*('Leave Register'!$J$6:$J$305="Approved")*(ROW('Leave Register'!$B$6:$B$305)-5)))=0,"",INDEX('Leave Register'!$D$6:$D$305,SUMPRODUCT(MAX(('Leave Register'!$B$6:$B$305=$A37)*('Leave Register'!$E$6:$E$305&lt;=O$5)*('Leave Register'!$F$6:$F$305&gt;=O$5)*('Leave Register'!$J$6:$J$305="Approved")*(ROW('Leave Register'!$B$6:$B$305)-5))))))</f>
        <v/>
      </c>
      <c r="P37" s="83" t="str">
        <f aca="false">IF(OR($A37="",P$5="",P$7&lt;&gt;"W"),"",IF(SUMPRODUCT(MAX(('Leave Register'!$B$6:$B$305=$A37)*('Leave Register'!$E$6:$E$305&lt;=P$5)*('Leave Register'!$F$6:$F$305&gt;=P$5)*('Leave Register'!$J$6:$J$305="Approved")*(ROW('Leave Register'!$B$6:$B$305)-5)))=0,"",INDEX('Leave Register'!$D$6:$D$305,SUMPRODUCT(MAX(('Leave Register'!$B$6:$B$305=$A37)*('Leave Register'!$E$6:$E$305&lt;=P$5)*('Leave Register'!$F$6:$F$305&gt;=P$5)*('Leave Register'!$J$6:$J$305="Approved")*(ROW('Leave Register'!$B$6:$B$305)-5))))))</f>
        <v/>
      </c>
      <c r="Q37" s="83" t="str">
        <f aca="false">IF(OR($A37="",Q$5="",Q$7&lt;&gt;"W"),"",IF(SUMPRODUCT(MAX(('Leave Register'!$B$6:$B$305=$A37)*('Leave Register'!$E$6:$E$305&lt;=Q$5)*('Leave Register'!$F$6:$F$305&gt;=Q$5)*('Leave Register'!$J$6:$J$305="Approved")*(ROW('Leave Register'!$B$6:$B$305)-5)))=0,"",INDEX('Leave Register'!$D$6:$D$305,SUMPRODUCT(MAX(('Leave Register'!$B$6:$B$305=$A37)*('Leave Register'!$E$6:$E$305&lt;=Q$5)*('Leave Register'!$F$6:$F$305&gt;=Q$5)*('Leave Register'!$J$6:$J$305="Approved")*(ROW('Leave Register'!$B$6:$B$305)-5))))))</f>
        <v/>
      </c>
      <c r="R37" s="83" t="str">
        <f aca="false">IF(OR($A37="",R$5="",R$7&lt;&gt;"W"),"",IF(SUMPRODUCT(MAX(('Leave Register'!$B$6:$B$305=$A37)*('Leave Register'!$E$6:$E$305&lt;=R$5)*('Leave Register'!$F$6:$F$305&gt;=R$5)*('Leave Register'!$J$6:$J$305="Approved")*(ROW('Leave Register'!$B$6:$B$305)-5)))=0,"",INDEX('Leave Register'!$D$6:$D$305,SUMPRODUCT(MAX(('Leave Register'!$B$6:$B$305=$A37)*('Leave Register'!$E$6:$E$305&lt;=R$5)*('Leave Register'!$F$6:$F$305&gt;=R$5)*('Leave Register'!$J$6:$J$305="Approved")*(ROW('Leave Register'!$B$6:$B$305)-5))))))</f>
        <v/>
      </c>
      <c r="S37" s="83" t="str">
        <f aca="false">IF(OR($A37="",S$5="",S$7&lt;&gt;"W"),"",IF(SUMPRODUCT(MAX(('Leave Register'!$B$6:$B$305=$A37)*('Leave Register'!$E$6:$E$305&lt;=S$5)*('Leave Register'!$F$6:$F$305&gt;=S$5)*('Leave Register'!$J$6:$J$305="Approved")*(ROW('Leave Register'!$B$6:$B$305)-5)))=0,"",INDEX('Leave Register'!$D$6:$D$305,SUMPRODUCT(MAX(('Leave Register'!$B$6:$B$305=$A37)*('Leave Register'!$E$6:$E$305&lt;=S$5)*('Leave Register'!$F$6:$F$305&gt;=S$5)*('Leave Register'!$J$6:$J$305="Approved")*(ROW('Leave Register'!$B$6:$B$305)-5))))))</f>
        <v/>
      </c>
      <c r="T37" s="83" t="str">
        <f aca="false">IF(OR($A37="",T$5="",T$7&lt;&gt;"W"),"",IF(SUMPRODUCT(MAX(('Leave Register'!$B$6:$B$305=$A37)*('Leave Register'!$E$6:$E$305&lt;=T$5)*('Leave Register'!$F$6:$F$305&gt;=T$5)*('Leave Register'!$J$6:$J$305="Approved")*(ROW('Leave Register'!$B$6:$B$305)-5)))=0,"",INDEX('Leave Register'!$D$6:$D$305,SUMPRODUCT(MAX(('Leave Register'!$B$6:$B$305=$A37)*('Leave Register'!$E$6:$E$305&lt;=T$5)*('Leave Register'!$F$6:$F$305&gt;=T$5)*('Leave Register'!$J$6:$J$305="Approved")*(ROW('Leave Register'!$B$6:$B$305)-5))))))</f>
        <v/>
      </c>
      <c r="U37" s="83" t="str">
        <f aca="false">IF(OR($A37="",U$5="",U$7&lt;&gt;"W"),"",IF(SUMPRODUCT(MAX(('Leave Register'!$B$6:$B$305=$A37)*('Leave Register'!$E$6:$E$305&lt;=U$5)*('Leave Register'!$F$6:$F$305&gt;=U$5)*('Leave Register'!$J$6:$J$305="Approved")*(ROW('Leave Register'!$B$6:$B$305)-5)))=0,"",INDEX('Leave Register'!$D$6:$D$305,SUMPRODUCT(MAX(('Leave Register'!$B$6:$B$305=$A37)*('Leave Register'!$E$6:$E$305&lt;=U$5)*('Leave Register'!$F$6:$F$305&gt;=U$5)*('Leave Register'!$J$6:$J$305="Approved")*(ROW('Leave Register'!$B$6:$B$305)-5))))))</f>
        <v/>
      </c>
      <c r="V37" s="83" t="str">
        <f aca="false">IF(OR($A37="",V$5="",V$7&lt;&gt;"W"),"",IF(SUMPRODUCT(MAX(('Leave Register'!$B$6:$B$305=$A37)*('Leave Register'!$E$6:$E$305&lt;=V$5)*('Leave Register'!$F$6:$F$305&gt;=V$5)*('Leave Register'!$J$6:$J$305="Approved")*(ROW('Leave Register'!$B$6:$B$305)-5)))=0,"",INDEX('Leave Register'!$D$6:$D$305,SUMPRODUCT(MAX(('Leave Register'!$B$6:$B$305=$A37)*('Leave Register'!$E$6:$E$305&lt;=V$5)*('Leave Register'!$F$6:$F$305&gt;=V$5)*('Leave Register'!$J$6:$J$305="Approved")*(ROW('Leave Register'!$B$6:$B$305)-5))))))</f>
        <v/>
      </c>
      <c r="W37" s="83" t="str">
        <f aca="false">IF(OR($A37="",W$5="",W$7&lt;&gt;"W"),"",IF(SUMPRODUCT(MAX(('Leave Register'!$B$6:$B$305=$A37)*('Leave Register'!$E$6:$E$305&lt;=W$5)*('Leave Register'!$F$6:$F$305&gt;=W$5)*('Leave Register'!$J$6:$J$305="Approved")*(ROW('Leave Register'!$B$6:$B$305)-5)))=0,"",INDEX('Leave Register'!$D$6:$D$305,SUMPRODUCT(MAX(('Leave Register'!$B$6:$B$305=$A37)*('Leave Register'!$E$6:$E$305&lt;=W$5)*('Leave Register'!$F$6:$F$305&gt;=W$5)*('Leave Register'!$J$6:$J$305="Approved")*(ROW('Leave Register'!$B$6:$B$305)-5))))))</f>
        <v/>
      </c>
      <c r="X37" s="83" t="str">
        <f aca="false">IF(OR($A37="",X$5="",X$7&lt;&gt;"W"),"",IF(SUMPRODUCT(MAX(('Leave Register'!$B$6:$B$305=$A37)*('Leave Register'!$E$6:$E$305&lt;=X$5)*('Leave Register'!$F$6:$F$305&gt;=X$5)*('Leave Register'!$J$6:$J$305="Approved")*(ROW('Leave Register'!$B$6:$B$305)-5)))=0,"",INDEX('Leave Register'!$D$6:$D$305,SUMPRODUCT(MAX(('Leave Register'!$B$6:$B$305=$A37)*('Leave Register'!$E$6:$E$305&lt;=X$5)*('Leave Register'!$F$6:$F$305&gt;=X$5)*('Leave Register'!$J$6:$J$305="Approved")*(ROW('Leave Register'!$B$6:$B$305)-5))))))</f>
        <v/>
      </c>
      <c r="Y37" s="83" t="str">
        <f aca="false">IF(OR($A37="",Y$5="",Y$7&lt;&gt;"W"),"",IF(SUMPRODUCT(MAX(('Leave Register'!$B$6:$B$305=$A37)*('Leave Register'!$E$6:$E$305&lt;=Y$5)*('Leave Register'!$F$6:$F$305&gt;=Y$5)*('Leave Register'!$J$6:$J$305="Approved")*(ROW('Leave Register'!$B$6:$B$305)-5)))=0,"",INDEX('Leave Register'!$D$6:$D$305,SUMPRODUCT(MAX(('Leave Register'!$B$6:$B$305=$A37)*('Leave Register'!$E$6:$E$305&lt;=Y$5)*('Leave Register'!$F$6:$F$305&gt;=Y$5)*('Leave Register'!$J$6:$J$305="Approved")*(ROW('Leave Register'!$B$6:$B$305)-5))))))</f>
        <v/>
      </c>
      <c r="Z37" s="83" t="str">
        <f aca="false">IF(OR($A37="",Z$5="",Z$7&lt;&gt;"W"),"",IF(SUMPRODUCT(MAX(('Leave Register'!$B$6:$B$305=$A37)*('Leave Register'!$E$6:$E$305&lt;=Z$5)*('Leave Register'!$F$6:$F$305&gt;=Z$5)*('Leave Register'!$J$6:$J$305="Approved")*(ROW('Leave Register'!$B$6:$B$305)-5)))=0,"",INDEX('Leave Register'!$D$6:$D$305,SUMPRODUCT(MAX(('Leave Register'!$B$6:$B$305=$A37)*('Leave Register'!$E$6:$E$305&lt;=Z$5)*('Leave Register'!$F$6:$F$305&gt;=Z$5)*('Leave Register'!$J$6:$J$305="Approved")*(ROW('Leave Register'!$B$6:$B$305)-5))))))</f>
        <v/>
      </c>
      <c r="AA37" s="83" t="str">
        <f aca="false">IF(OR($A37="",AA$5="",AA$7&lt;&gt;"W"),"",IF(SUMPRODUCT(MAX(('Leave Register'!$B$6:$B$305=$A37)*('Leave Register'!$E$6:$E$305&lt;=AA$5)*('Leave Register'!$F$6:$F$305&gt;=AA$5)*('Leave Register'!$J$6:$J$305="Approved")*(ROW('Leave Register'!$B$6:$B$305)-5)))=0,"",INDEX('Leave Register'!$D$6:$D$305,SUMPRODUCT(MAX(('Leave Register'!$B$6:$B$305=$A37)*('Leave Register'!$E$6:$E$305&lt;=AA$5)*('Leave Register'!$F$6:$F$305&gt;=AA$5)*('Leave Register'!$J$6:$J$305="Approved")*(ROW('Leave Register'!$B$6:$B$305)-5))))))</f>
        <v/>
      </c>
      <c r="AB37" s="83" t="str">
        <f aca="false">IF(OR($A37="",AB$5="",AB$7&lt;&gt;"W"),"",IF(SUMPRODUCT(MAX(('Leave Register'!$B$6:$B$305=$A37)*('Leave Register'!$E$6:$E$305&lt;=AB$5)*('Leave Register'!$F$6:$F$305&gt;=AB$5)*('Leave Register'!$J$6:$J$305="Approved")*(ROW('Leave Register'!$B$6:$B$305)-5)))=0,"",INDEX('Leave Register'!$D$6:$D$305,SUMPRODUCT(MAX(('Leave Register'!$B$6:$B$305=$A37)*('Leave Register'!$E$6:$E$305&lt;=AB$5)*('Leave Register'!$F$6:$F$305&gt;=AB$5)*('Leave Register'!$J$6:$J$305="Approved")*(ROW('Leave Register'!$B$6:$B$305)-5))))))</f>
        <v/>
      </c>
      <c r="AC37" s="83" t="str">
        <f aca="false">IF(OR($A37="",AC$5="",AC$7&lt;&gt;"W"),"",IF(SUMPRODUCT(MAX(('Leave Register'!$B$6:$B$305=$A37)*('Leave Register'!$E$6:$E$305&lt;=AC$5)*('Leave Register'!$F$6:$F$305&gt;=AC$5)*('Leave Register'!$J$6:$J$305="Approved")*(ROW('Leave Register'!$B$6:$B$305)-5)))=0,"",INDEX('Leave Register'!$D$6:$D$305,SUMPRODUCT(MAX(('Leave Register'!$B$6:$B$305=$A37)*('Leave Register'!$E$6:$E$305&lt;=AC$5)*('Leave Register'!$F$6:$F$305&gt;=AC$5)*('Leave Register'!$J$6:$J$305="Approved")*(ROW('Leave Register'!$B$6:$B$305)-5))))))</f>
        <v/>
      </c>
      <c r="AD37" s="83" t="str">
        <f aca="false">IF(OR($A37="",AD$5="",AD$7&lt;&gt;"W"),"",IF(SUMPRODUCT(MAX(('Leave Register'!$B$6:$B$305=$A37)*('Leave Register'!$E$6:$E$305&lt;=AD$5)*('Leave Register'!$F$6:$F$305&gt;=AD$5)*('Leave Register'!$J$6:$J$305="Approved")*(ROW('Leave Register'!$B$6:$B$305)-5)))=0,"",INDEX('Leave Register'!$D$6:$D$305,SUMPRODUCT(MAX(('Leave Register'!$B$6:$B$305=$A37)*('Leave Register'!$E$6:$E$305&lt;=AD$5)*('Leave Register'!$F$6:$F$305&gt;=AD$5)*('Leave Register'!$J$6:$J$305="Approved")*(ROW('Leave Register'!$B$6:$B$305)-5))))))</f>
        <v/>
      </c>
      <c r="AE37" s="83" t="str">
        <f aca="false">IF(OR($A37="",AE$5="",AE$7&lt;&gt;"W"),"",IF(SUMPRODUCT(MAX(('Leave Register'!$B$6:$B$305=$A37)*('Leave Register'!$E$6:$E$305&lt;=AE$5)*('Leave Register'!$F$6:$F$305&gt;=AE$5)*('Leave Register'!$J$6:$J$305="Approved")*(ROW('Leave Register'!$B$6:$B$305)-5)))=0,"",INDEX('Leave Register'!$D$6:$D$305,SUMPRODUCT(MAX(('Leave Register'!$B$6:$B$305=$A37)*('Leave Register'!$E$6:$E$305&lt;=AE$5)*('Leave Register'!$F$6:$F$305&gt;=AE$5)*('Leave Register'!$J$6:$J$305="Approved")*(ROW('Leave Register'!$B$6:$B$305)-5))))))</f>
        <v/>
      </c>
      <c r="AF37" s="83" t="str">
        <f aca="false">IF(OR($A37="",AF$5="",AF$7&lt;&gt;"W"),"",IF(SUMPRODUCT(MAX(('Leave Register'!$B$6:$B$305=$A37)*('Leave Register'!$E$6:$E$305&lt;=AF$5)*('Leave Register'!$F$6:$F$305&gt;=AF$5)*('Leave Register'!$J$6:$J$305="Approved")*(ROW('Leave Register'!$B$6:$B$305)-5)))=0,"",INDEX('Leave Register'!$D$6:$D$305,SUMPRODUCT(MAX(('Leave Register'!$B$6:$B$305=$A37)*('Leave Register'!$E$6:$E$305&lt;=AF$5)*('Leave Register'!$F$6:$F$305&gt;=AF$5)*('Leave Register'!$J$6:$J$305="Approved")*(ROW('Leave Register'!$B$6:$B$305)-5))))))</f>
        <v/>
      </c>
      <c r="AG37" s="83" t="str">
        <f aca="false">IF(OR($A37="",AG$5="",AG$7&lt;&gt;"W"),"",IF(SUMPRODUCT(MAX(('Leave Register'!$B$6:$B$305=$A37)*('Leave Register'!$E$6:$E$305&lt;=AG$5)*('Leave Register'!$F$6:$F$305&gt;=AG$5)*('Leave Register'!$J$6:$J$305="Approved")*(ROW('Leave Register'!$B$6:$B$305)-5)))=0,"",INDEX('Leave Register'!$D$6:$D$305,SUMPRODUCT(MAX(('Leave Register'!$B$6:$B$305=$A37)*('Leave Register'!$E$6:$E$305&lt;=AG$5)*('Leave Register'!$F$6:$F$305&gt;=AG$5)*('Leave Register'!$J$6:$J$305="Approved")*(ROW('Leave Register'!$B$6:$B$305)-5))))))</f>
        <v/>
      </c>
      <c r="AH37" s="84" t="str">
        <f aca="false">IF(A37="","",COUNTIF(C37:AG37,"?*"))</f>
        <v/>
      </c>
    </row>
    <row r="38" customFormat="false" ht="15" hidden="false" customHeight="false" outlineLevel="0" collapsed="false">
      <c r="A38" s="81" t="str">
        <f aca="false">IF(Employees!$B$35="","",Employees!$B$35)</f>
        <v/>
      </c>
      <c r="B38" s="82" t="str">
        <f aca="false">IF(A38="","",Employees!$C$35)</f>
        <v/>
      </c>
      <c r="C38" s="83" t="str">
        <f aca="false">IF(OR($A38="",C$5="",C$7&lt;&gt;"W"),"",IF(SUMPRODUCT(MAX(('Leave Register'!$B$6:$B$305=$A38)*('Leave Register'!$E$6:$E$305&lt;=C$5)*('Leave Register'!$F$6:$F$305&gt;=C$5)*('Leave Register'!$J$6:$J$305="Approved")*(ROW('Leave Register'!$B$6:$B$305)-5)))=0,"",INDEX('Leave Register'!$D$6:$D$305,SUMPRODUCT(MAX(('Leave Register'!$B$6:$B$305=$A38)*('Leave Register'!$E$6:$E$305&lt;=C$5)*('Leave Register'!$F$6:$F$305&gt;=C$5)*('Leave Register'!$J$6:$J$305="Approved")*(ROW('Leave Register'!$B$6:$B$305)-5))))))</f>
        <v/>
      </c>
      <c r="D38" s="83" t="str">
        <f aca="false">IF(OR($A38="",D$5="",D$7&lt;&gt;"W"),"",IF(SUMPRODUCT(MAX(('Leave Register'!$B$6:$B$305=$A38)*('Leave Register'!$E$6:$E$305&lt;=D$5)*('Leave Register'!$F$6:$F$305&gt;=D$5)*('Leave Register'!$J$6:$J$305="Approved")*(ROW('Leave Register'!$B$6:$B$305)-5)))=0,"",INDEX('Leave Register'!$D$6:$D$305,SUMPRODUCT(MAX(('Leave Register'!$B$6:$B$305=$A38)*('Leave Register'!$E$6:$E$305&lt;=D$5)*('Leave Register'!$F$6:$F$305&gt;=D$5)*('Leave Register'!$J$6:$J$305="Approved")*(ROW('Leave Register'!$B$6:$B$305)-5))))))</f>
        <v/>
      </c>
      <c r="E38" s="83" t="str">
        <f aca="false">IF(OR($A38="",E$5="",E$7&lt;&gt;"W"),"",IF(SUMPRODUCT(MAX(('Leave Register'!$B$6:$B$305=$A38)*('Leave Register'!$E$6:$E$305&lt;=E$5)*('Leave Register'!$F$6:$F$305&gt;=E$5)*('Leave Register'!$J$6:$J$305="Approved")*(ROW('Leave Register'!$B$6:$B$305)-5)))=0,"",INDEX('Leave Register'!$D$6:$D$305,SUMPRODUCT(MAX(('Leave Register'!$B$6:$B$305=$A38)*('Leave Register'!$E$6:$E$305&lt;=E$5)*('Leave Register'!$F$6:$F$305&gt;=E$5)*('Leave Register'!$J$6:$J$305="Approved")*(ROW('Leave Register'!$B$6:$B$305)-5))))))</f>
        <v/>
      </c>
      <c r="F38" s="83" t="str">
        <f aca="false">IF(OR($A38="",F$5="",F$7&lt;&gt;"W"),"",IF(SUMPRODUCT(MAX(('Leave Register'!$B$6:$B$305=$A38)*('Leave Register'!$E$6:$E$305&lt;=F$5)*('Leave Register'!$F$6:$F$305&gt;=F$5)*('Leave Register'!$J$6:$J$305="Approved")*(ROW('Leave Register'!$B$6:$B$305)-5)))=0,"",INDEX('Leave Register'!$D$6:$D$305,SUMPRODUCT(MAX(('Leave Register'!$B$6:$B$305=$A38)*('Leave Register'!$E$6:$E$305&lt;=F$5)*('Leave Register'!$F$6:$F$305&gt;=F$5)*('Leave Register'!$J$6:$J$305="Approved")*(ROW('Leave Register'!$B$6:$B$305)-5))))))</f>
        <v/>
      </c>
      <c r="G38" s="83" t="str">
        <f aca="false">IF(OR($A38="",G$5="",G$7&lt;&gt;"W"),"",IF(SUMPRODUCT(MAX(('Leave Register'!$B$6:$B$305=$A38)*('Leave Register'!$E$6:$E$305&lt;=G$5)*('Leave Register'!$F$6:$F$305&gt;=G$5)*('Leave Register'!$J$6:$J$305="Approved")*(ROW('Leave Register'!$B$6:$B$305)-5)))=0,"",INDEX('Leave Register'!$D$6:$D$305,SUMPRODUCT(MAX(('Leave Register'!$B$6:$B$305=$A38)*('Leave Register'!$E$6:$E$305&lt;=G$5)*('Leave Register'!$F$6:$F$305&gt;=G$5)*('Leave Register'!$J$6:$J$305="Approved")*(ROW('Leave Register'!$B$6:$B$305)-5))))))</f>
        <v/>
      </c>
      <c r="H38" s="83" t="str">
        <f aca="false">IF(OR($A38="",H$5="",H$7&lt;&gt;"W"),"",IF(SUMPRODUCT(MAX(('Leave Register'!$B$6:$B$305=$A38)*('Leave Register'!$E$6:$E$305&lt;=H$5)*('Leave Register'!$F$6:$F$305&gt;=H$5)*('Leave Register'!$J$6:$J$305="Approved")*(ROW('Leave Register'!$B$6:$B$305)-5)))=0,"",INDEX('Leave Register'!$D$6:$D$305,SUMPRODUCT(MAX(('Leave Register'!$B$6:$B$305=$A38)*('Leave Register'!$E$6:$E$305&lt;=H$5)*('Leave Register'!$F$6:$F$305&gt;=H$5)*('Leave Register'!$J$6:$J$305="Approved")*(ROW('Leave Register'!$B$6:$B$305)-5))))))</f>
        <v/>
      </c>
      <c r="I38" s="83" t="str">
        <f aca="false">IF(OR($A38="",I$5="",I$7&lt;&gt;"W"),"",IF(SUMPRODUCT(MAX(('Leave Register'!$B$6:$B$305=$A38)*('Leave Register'!$E$6:$E$305&lt;=I$5)*('Leave Register'!$F$6:$F$305&gt;=I$5)*('Leave Register'!$J$6:$J$305="Approved")*(ROW('Leave Register'!$B$6:$B$305)-5)))=0,"",INDEX('Leave Register'!$D$6:$D$305,SUMPRODUCT(MAX(('Leave Register'!$B$6:$B$305=$A38)*('Leave Register'!$E$6:$E$305&lt;=I$5)*('Leave Register'!$F$6:$F$305&gt;=I$5)*('Leave Register'!$J$6:$J$305="Approved")*(ROW('Leave Register'!$B$6:$B$305)-5))))))</f>
        <v/>
      </c>
      <c r="J38" s="83" t="str">
        <f aca="false">IF(OR($A38="",J$5="",J$7&lt;&gt;"W"),"",IF(SUMPRODUCT(MAX(('Leave Register'!$B$6:$B$305=$A38)*('Leave Register'!$E$6:$E$305&lt;=J$5)*('Leave Register'!$F$6:$F$305&gt;=J$5)*('Leave Register'!$J$6:$J$305="Approved")*(ROW('Leave Register'!$B$6:$B$305)-5)))=0,"",INDEX('Leave Register'!$D$6:$D$305,SUMPRODUCT(MAX(('Leave Register'!$B$6:$B$305=$A38)*('Leave Register'!$E$6:$E$305&lt;=J$5)*('Leave Register'!$F$6:$F$305&gt;=J$5)*('Leave Register'!$J$6:$J$305="Approved")*(ROW('Leave Register'!$B$6:$B$305)-5))))))</f>
        <v/>
      </c>
      <c r="K38" s="83" t="str">
        <f aca="false">IF(OR($A38="",K$5="",K$7&lt;&gt;"W"),"",IF(SUMPRODUCT(MAX(('Leave Register'!$B$6:$B$305=$A38)*('Leave Register'!$E$6:$E$305&lt;=K$5)*('Leave Register'!$F$6:$F$305&gt;=K$5)*('Leave Register'!$J$6:$J$305="Approved")*(ROW('Leave Register'!$B$6:$B$305)-5)))=0,"",INDEX('Leave Register'!$D$6:$D$305,SUMPRODUCT(MAX(('Leave Register'!$B$6:$B$305=$A38)*('Leave Register'!$E$6:$E$305&lt;=K$5)*('Leave Register'!$F$6:$F$305&gt;=K$5)*('Leave Register'!$J$6:$J$305="Approved")*(ROW('Leave Register'!$B$6:$B$305)-5))))))</f>
        <v/>
      </c>
      <c r="L38" s="83" t="str">
        <f aca="false">IF(OR($A38="",L$5="",L$7&lt;&gt;"W"),"",IF(SUMPRODUCT(MAX(('Leave Register'!$B$6:$B$305=$A38)*('Leave Register'!$E$6:$E$305&lt;=L$5)*('Leave Register'!$F$6:$F$305&gt;=L$5)*('Leave Register'!$J$6:$J$305="Approved")*(ROW('Leave Register'!$B$6:$B$305)-5)))=0,"",INDEX('Leave Register'!$D$6:$D$305,SUMPRODUCT(MAX(('Leave Register'!$B$6:$B$305=$A38)*('Leave Register'!$E$6:$E$305&lt;=L$5)*('Leave Register'!$F$6:$F$305&gt;=L$5)*('Leave Register'!$J$6:$J$305="Approved")*(ROW('Leave Register'!$B$6:$B$305)-5))))))</f>
        <v/>
      </c>
      <c r="M38" s="83" t="str">
        <f aca="false">IF(OR($A38="",M$5="",M$7&lt;&gt;"W"),"",IF(SUMPRODUCT(MAX(('Leave Register'!$B$6:$B$305=$A38)*('Leave Register'!$E$6:$E$305&lt;=M$5)*('Leave Register'!$F$6:$F$305&gt;=M$5)*('Leave Register'!$J$6:$J$305="Approved")*(ROW('Leave Register'!$B$6:$B$305)-5)))=0,"",INDEX('Leave Register'!$D$6:$D$305,SUMPRODUCT(MAX(('Leave Register'!$B$6:$B$305=$A38)*('Leave Register'!$E$6:$E$305&lt;=M$5)*('Leave Register'!$F$6:$F$305&gt;=M$5)*('Leave Register'!$J$6:$J$305="Approved")*(ROW('Leave Register'!$B$6:$B$305)-5))))))</f>
        <v/>
      </c>
      <c r="N38" s="83" t="str">
        <f aca="false">IF(OR($A38="",N$5="",N$7&lt;&gt;"W"),"",IF(SUMPRODUCT(MAX(('Leave Register'!$B$6:$B$305=$A38)*('Leave Register'!$E$6:$E$305&lt;=N$5)*('Leave Register'!$F$6:$F$305&gt;=N$5)*('Leave Register'!$J$6:$J$305="Approved")*(ROW('Leave Register'!$B$6:$B$305)-5)))=0,"",INDEX('Leave Register'!$D$6:$D$305,SUMPRODUCT(MAX(('Leave Register'!$B$6:$B$305=$A38)*('Leave Register'!$E$6:$E$305&lt;=N$5)*('Leave Register'!$F$6:$F$305&gt;=N$5)*('Leave Register'!$J$6:$J$305="Approved")*(ROW('Leave Register'!$B$6:$B$305)-5))))))</f>
        <v/>
      </c>
      <c r="O38" s="83" t="str">
        <f aca="false">IF(OR($A38="",O$5="",O$7&lt;&gt;"W"),"",IF(SUMPRODUCT(MAX(('Leave Register'!$B$6:$B$305=$A38)*('Leave Register'!$E$6:$E$305&lt;=O$5)*('Leave Register'!$F$6:$F$305&gt;=O$5)*('Leave Register'!$J$6:$J$305="Approved")*(ROW('Leave Register'!$B$6:$B$305)-5)))=0,"",INDEX('Leave Register'!$D$6:$D$305,SUMPRODUCT(MAX(('Leave Register'!$B$6:$B$305=$A38)*('Leave Register'!$E$6:$E$305&lt;=O$5)*('Leave Register'!$F$6:$F$305&gt;=O$5)*('Leave Register'!$J$6:$J$305="Approved")*(ROW('Leave Register'!$B$6:$B$305)-5))))))</f>
        <v/>
      </c>
      <c r="P38" s="83" t="str">
        <f aca="false">IF(OR($A38="",P$5="",P$7&lt;&gt;"W"),"",IF(SUMPRODUCT(MAX(('Leave Register'!$B$6:$B$305=$A38)*('Leave Register'!$E$6:$E$305&lt;=P$5)*('Leave Register'!$F$6:$F$305&gt;=P$5)*('Leave Register'!$J$6:$J$305="Approved")*(ROW('Leave Register'!$B$6:$B$305)-5)))=0,"",INDEX('Leave Register'!$D$6:$D$305,SUMPRODUCT(MAX(('Leave Register'!$B$6:$B$305=$A38)*('Leave Register'!$E$6:$E$305&lt;=P$5)*('Leave Register'!$F$6:$F$305&gt;=P$5)*('Leave Register'!$J$6:$J$305="Approved")*(ROW('Leave Register'!$B$6:$B$305)-5))))))</f>
        <v/>
      </c>
      <c r="Q38" s="83" t="str">
        <f aca="false">IF(OR($A38="",Q$5="",Q$7&lt;&gt;"W"),"",IF(SUMPRODUCT(MAX(('Leave Register'!$B$6:$B$305=$A38)*('Leave Register'!$E$6:$E$305&lt;=Q$5)*('Leave Register'!$F$6:$F$305&gt;=Q$5)*('Leave Register'!$J$6:$J$305="Approved")*(ROW('Leave Register'!$B$6:$B$305)-5)))=0,"",INDEX('Leave Register'!$D$6:$D$305,SUMPRODUCT(MAX(('Leave Register'!$B$6:$B$305=$A38)*('Leave Register'!$E$6:$E$305&lt;=Q$5)*('Leave Register'!$F$6:$F$305&gt;=Q$5)*('Leave Register'!$J$6:$J$305="Approved")*(ROW('Leave Register'!$B$6:$B$305)-5))))))</f>
        <v/>
      </c>
      <c r="R38" s="83" t="str">
        <f aca="false">IF(OR($A38="",R$5="",R$7&lt;&gt;"W"),"",IF(SUMPRODUCT(MAX(('Leave Register'!$B$6:$B$305=$A38)*('Leave Register'!$E$6:$E$305&lt;=R$5)*('Leave Register'!$F$6:$F$305&gt;=R$5)*('Leave Register'!$J$6:$J$305="Approved")*(ROW('Leave Register'!$B$6:$B$305)-5)))=0,"",INDEX('Leave Register'!$D$6:$D$305,SUMPRODUCT(MAX(('Leave Register'!$B$6:$B$305=$A38)*('Leave Register'!$E$6:$E$305&lt;=R$5)*('Leave Register'!$F$6:$F$305&gt;=R$5)*('Leave Register'!$J$6:$J$305="Approved")*(ROW('Leave Register'!$B$6:$B$305)-5))))))</f>
        <v/>
      </c>
      <c r="S38" s="83" t="str">
        <f aca="false">IF(OR($A38="",S$5="",S$7&lt;&gt;"W"),"",IF(SUMPRODUCT(MAX(('Leave Register'!$B$6:$B$305=$A38)*('Leave Register'!$E$6:$E$305&lt;=S$5)*('Leave Register'!$F$6:$F$305&gt;=S$5)*('Leave Register'!$J$6:$J$305="Approved")*(ROW('Leave Register'!$B$6:$B$305)-5)))=0,"",INDEX('Leave Register'!$D$6:$D$305,SUMPRODUCT(MAX(('Leave Register'!$B$6:$B$305=$A38)*('Leave Register'!$E$6:$E$305&lt;=S$5)*('Leave Register'!$F$6:$F$305&gt;=S$5)*('Leave Register'!$J$6:$J$305="Approved")*(ROW('Leave Register'!$B$6:$B$305)-5))))))</f>
        <v/>
      </c>
      <c r="T38" s="83" t="str">
        <f aca="false">IF(OR($A38="",T$5="",T$7&lt;&gt;"W"),"",IF(SUMPRODUCT(MAX(('Leave Register'!$B$6:$B$305=$A38)*('Leave Register'!$E$6:$E$305&lt;=T$5)*('Leave Register'!$F$6:$F$305&gt;=T$5)*('Leave Register'!$J$6:$J$305="Approved")*(ROW('Leave Register'!$B$6:$B$305)-5)))=0,"",INDEX('Leave Register'!$D$6:$D$305,SUMPRODUCT(MAX(('Leave Register'!$B$6:$B$305=$A38)*('Leave Register'!$E$6:$E$305&lt;=T$5)*('Leave Register'!$F$6:$F$305&gt;=T$5)*('Leave Register'!$J$6:$J$305="Approved")*(ROW('Leave Register'!$B$6:$B$305)-5))))))</f>
        <v/>
      </c>
      <c r="U38" s="83" t="str">
        <f aca="false">IF(OR($A38="",U$5="",U$7&lt;&gt;"W"),"",IF(SUMPRODUCT(MAX(('Leave Register'!$B$6:$B$305=$A38)*('Leave Register'!$E$6:$E$305&lt;=U$5)*('Leave Register'!$F$6:$F$305&gt;=U$5)*('Leave Register'!$J$6:$J$305="Approved")*(ROW('Leave Register'!$B$6:$B$305)-5)))=0,"",INDEX('Leave Register'!$D$6:$D$305,SUMPRODUCT(MAX(('Leave Register'!$B$6:$B$305=$A38)*('Leave Register'!$E$6:$E$305&lt;=U$5)*('Leave Register'!$F$6:$F$305&gt;=U$5)*('Leave Register'!$J$6:$J$305="Approved")*(ROW('Leave Register'!$B$6:$B$305)-5))))))</f>
        <v/>
      </c>
      <c r="V38" s="83" t="str">
        <f aca="false">IF(OR($A38="",V$5="",V$7&lt;&gt;"W"),"",IF(SUMPRODUCT(MAX(('Leave Register'!$B$6:$B$305=$A38)*('Leave Register'!$E$6:$E$305&lt;=V$5)*('Leave Register'!$F$6:$F$305&gt;=V$5)*('Leave Register'!$J$6:$J$305="Approved")*(ROW('Leave Register'!$B$6:$B$305)-5)))=0,"",INDEX('Leave Register'!$D$6:$D$305,SUMPRODUCT(MAX(('Leave Register'!$B$6:$B$305=$A38)*('Leave Register'!$E$6:$E$305&lt;=V$5)*('Leave Register'!$F$6:$F$305&gt;=V$5)*('Leave Register'!$J$6:$J$305="Approved")*(ROW('Leave Register'!$B$6:$B$305)-5))))))</f>
        <v/>
      </c>
      <c r="W38" s="83" t="str">
        <f aca="false">IF(OR($A38="",W$5="",W$7&lt;&gt;"W"),"",IF(SUMPRODUCT(MAX(('Leave Register'!$B$6:$B$305=$A38)*('Leave Register'!$E$6:$E$305&lt;=W$5)*('Leave Register'!$F$6:$F$305&gt;=W$5)*('Leave Register'!$J$6:$J$305="Approved")*(ROW('Leave Register'!$B$6:$B$305)-5)))=0,"",INDEX('Leave Register'!$D$6:$D$305,SUMPRODUCT(MAX(('Leave Register'!$B$6:$B$305=$A38)*('Leave Register'!$E$6:$E$305&lt;=W$5)*('Leave Register'!$F$6:$F$305&gt;=W$5)*('Leave Register'!$J$6:$J$305="Approved")*(ROW('Leave Register'!$B$6:$B$305)-5))))))</f>
        <v/>
      </c>
      <c r="X38" s="83" t="str">
        <f aca="false">IF(OR($A38="",X$5="",X$7&lt;&gt;"W"),"",IF(SUMPRODUCT(MAX(('Leave Register'!$B$6:$B$305=$A38)*('Leave Register'!$E$6:$E$305&lt;=X$5)*('Leave Register'!$F$6:$F$305&gt;=X$5)*('Leave Register'!$J$6:$J$305="Approved")*(ROW('Leave Register'!$B$6:$B$305)-5)))=0,"",INDEX('Leave Register'!$D$6:$D$305,SUMPRODUCT(MAX(('Leave Register'!$B$6:$B$305=$A38)*('Leave Register'!$E$6:$E$305&lt;=X$5)*('Leave Register'!$F$6:$F$305&gt;=X$5)*('Leave Register'!$J$6:$J$305="Approved")*(ROW('Leave Register'!$B$6:$B$305)-5))))))</f>
        <v/>
      </c>
      <c r="Y38" s="83" t="str">
        <f aca="false">IF(OR($A38="",Y$5="",Y$7&lt;&gt;"W"),"",IF(SUMPRODUCT(MAX(('Leave Register'!$B$6:$B$305=$A38)*('Leave Register'!$E$6:$E$305&lt;=Y$5)*('Leave Register'!$F$6:$F$305&gt;=Y$5)*('Leave Register'!$J$6:$J$305="Approved")*(ROW('Leave Register'!$B$6:$B$305)-5)))=0,"",INDEX('Leave Register'!$D$6:$D$305,SUMPRODUCT(MAX(('Leave Register'!$B$6:$B$305=$A38)*('Leave Register'!$E$6:$E$305&lt;=Y$5)*('Leave Register'!$F$6:$F$305&gt;=Y$5)*('Leave Register'!$J$6:$J$305="Approved")*(ROW('Leave Register'!$B$6:$B$305)-5))))))</f>
        <v/>
      </c>
      <c r="Z38" s="83" t="str">
        <f aca="false">IF(OR($A38="",Z$5="",Z$7&lt;&gt;"W"),"",IF(SUMPRODUCT(MAX(('Leave Register'!$B$6:$B$305=$A38)*('Leave Register'!$E$6:$E$305&lt;=Z$5)*('Leave Register'!$F$6:$F$305&gt;=Z$5)*('Leave Register'!$J$6:$J$305="Approved")*(ROW('Leave Register'!$B$6:$B$305)-5)))=0,"",INDEX('Leave Register'!$D$6:$D$305,SUMPRODUCT(MAX(('Leave Register'!$B$6:$B$305=$A38)*('Leave Register'!$E$6:$E$305&lt;=Z$5)*('Leave Register'!$F$6:$F$305&gt;=Z$5)*('Leave Register'!$J$6:$J$305="Approved")*(ROW('Leave Register'!$B$6:$B$305)-5))))))</f>
        <v/>
      </c>
      <c r="AA38" s="83" t="str">
        <f aca="false">IF(OR($A38="",AA$5="",AA$7&lt;&gt;"W"),"",IF(SUMPRODUCT(MAX(('Leave Register'!$B$6:$B$305=$A38)*('Leave Register'!$E$6:$E$305&lt;=AA$5)*('Leave Register'!$F$6:$F$305&gt;=AA$5)*('Leave Register'!$J$6:$J$305="Approved")*(ROW('Leave Register'!$B$6:$B$305)-5)))=0,"",INDEX('Leave Register'!$D$6:$D$305,SUMPRODUCT(MAX(('Leave Register'!$B$6:$B$305=$A38)*('Leave Register'!$E$6:$E$305&lt;=AA$5)*('Leave Register'!$F$6:$F$305&gt;=AA$5)*('Leave Register'!$J$6:$J$305="Approved")*(ROW('Leave Register'!$B$6:$B$305)-5))))))</f>
        <v/>
      </c>
      <c r="AB38" s="83" t="str">
        <f aca="false">IF(OR($A38="",AB$5="",AB$7&lt;&gt;"W"),"",IF(SUMPRODUCT(MAX(('Leave Register'!$B$6:$B$305=$A38)*('Leave Register'!$E$6:$E$305&lt;=AB$5)*('Leave Register'!$F$6:$F$305&gt;=AB$5)*('Leave Register'!$J$6:$J$305="Approved")*(ROW('Leave Register'!$B$6:$B$305)-5)))=0,"",INDEX('Leave Register'!$D$6:$D$305,SUMPRODUCT(MAX(('Leave Register'!$B$6:$B$305=$A38)*('Leave Register'!$E$6:$E$305&lt;=AB$5)*('Leave Register'!$F$6:$F$305&gt;=AB$5)*('Leave Register'!$J$6:$J$305="Approved")*(ROW('Leave Register'!$B$6:$B$305)-5))))))</f>
        <v/>
      </c>
      <c r="AC38" s="83" t="str">
        <f aca="false">IF(OR($A38="",AC$5="",AC$7&lt;&gt;"W"),"",IF(SUMPRODUCT(MAX(('Leave Register'!$B$6:$B$305=$A38)*('Leave Register'!$E$6:$E$305&lt;=AC$5)*('Leave Register'!$F$6:$F$305&gt;=AC$5)*('Leave Register'!$J$6:$J$305="Approved")*(ROW('Leave Register'!$B$6:$B$305)-5)))=0,"",INDEX('Leave Register'!$D$6:$D$305,SUMPRODUCT(MAX(('Leave Register'!$B$6:$B$305=$A38)*('Leave Register'!$E$6:$E$305&lt;=AC$5)*('Leave Register'!$F$6:$F$305&gt;=AC$5)*('Leave Register'!$J$6:$J$305="Approved")*(ROW('Leave Register'!$B$6:$B$305)-5))))))</f>
        <v/>
      </c>
      <c r="AD38" s="83" t="str">
        <f aca="false">IF(OR($A38="",AD$5="",AD$7&lt;&gt;"W"),"",IF(SUMPRODUCT(MAX(('Leave Register'!$B$6:$B$305=$A38)*('Leave Register'!$E$6:$E$305&lt;=AD$5)*('Leave Register'!$F$6:$F$305&gt;=AD$5)*('Leave Register'!$J$6:$J$305="Approved")*(ROW('Leave Register'!$B$6:$B$305)-5)))=0,"",INDEX('Leave Register'!$D$6:$D$305,SUMPRODUCT(MAX(('Leave Register'!$B$6:$B$305=$A38)*('Leave Register'!$E$6:$E$305&lt;=AD$5)*('Leave Register'!$F$6:$F$305&gt;=AD$5)*('Leave Register'!$J$6:$J$305="Approved")*(ROW('Leave Register'!$B$6:$B$305)-5))))))</f>
        <v/>
      </c>
      <c r="AE38" s="83" t="str">
        <f aca="false">IF(OR($A38="",AE$5="",AE$7&lt;&gt;"W"),"",IF(SUMPRODUCT(MAX(('Leave Register'!$B$6:$B$305=$A38)*('Leave Register'!$E$6:$E$305&lt;=AE$5)*('Leave Register'!$F$6:$F$305&gt;=AE$5)*('Leave Register'!$J$6:$J$305="Approved")*(ROW('Leave Register'!$B$6:$B$305)-5)))=0,"",INDEX('Leave Register'!$D$6:$D$305,SUMPRODUCT(MAX(('Leave Register'!$B$6:$B$305=$A38)*('Leave Register'!$E$6:$E$305&lt;=AE$5)*('Leave Register'!$F$6:$F$305&gt;=AE$5)*('Leave Register'!$J$6:$J$305="Approved")*(ROW('Leave Register'!$B$6:$B$305)-5))))))</f>
        <v/>
      </c>
      <c r="AF38" s="83" t="str">
        <f aca="false">IF(OR($A38="",AF$5="",AF$7&lt;&gt;"W"),"",IF(SUMPRODUCT(MAX(('Leave Register'!$B$6:$B$305=$A38)*('Leave Register'!$E$6:$E$305&lt;=AF$5)*('Leave Register'!$F$6:$F$305&gt;=AF$5)*('Leave Register'!$J$6:$J$305="Approved")*(ROW('Leave Register'!$B$6:$B$305)-5)))=0,"",INDEX('Leave Register'!$D$6:$D$305,SUMPRODUCT(MAX(('Leave Register'!$B$6:$B$305=$A38)*('Leave Register'!$E$6:$E$305&lt;=AF$5)*('Leave Register'!$F$6:$F$305&gt;=AF$5)*('Leave Register'!$J$6:$J$305="Approved")*(ROW('Leave Register'!$B$6:$B$305)-5))))))</f>
        <v/>
      </c>
      <c r="AG38" s="83" t="str">
        <f aca="false">IF(OR($A38="",AG$5="",AG$7&lt;&gt;"W"),"",IF(SUMPRODUCT(MAX(('Leave Register'!$B$6:$B$305=$A38)*('Leave Register'!$E$6:$E$305&lt;=AG$5)*('Leave Register'!$F$6:$F$305&gt;=AG$5)*('Leave Register'!$J$6:$J$305="Approved")*(ROW('Leave Register'!$B$6:$B$305)-5)))=0,"",INDEX('Leave Register'!$D$6:$D$305,SUMPRODUCT(MAX(('Leave Register'!$B$6:$B$305=$A38)*('Leave Register'!$E$6:$E$305&lt;=AG$5)*('Leave Register'!$F$6:$F$305&gt;=AG$5)*('Leave Register'!$J$6:$J$305="Approved")*(ROW('Leave Register'!$B$6:$B$305)-5))))))</f>
        <v/>
      </c>
      <c r="AH38" s="84" t="str">
        <f aca="false">IF(A38="","",COUNTIF(C38:AG38,"?*"))</f>
        <v/>
      </c>
    </row>
    <row r="39" customFormat="false" ht="15" hidden="false" customHeight="false" outlineLevel="0" collapsed="false">
      <c r="A39" s="81" t="str">
        <f aca="false">IF(Employees!$B$36="","",Employees!$B$36)</f>
        <v/>
      </c>
      <c r="B39" s="82" t="str">
        <f aca="false">IF(A39="","",Employees!$C$36)</f>
        <v/>
      </c>
      <c r="C39" s="83" t="str">
        <f aca="false">IF(OR($A39="",C$5="",C$7&lt;&gt;"W"),"",IF(SUMPRODUCT(MAX(('Leave Register'!$B$6:$B$305=$A39)*('Leave Register'!$E$6:$E$305&lt;=C$5)*('Leave Register'!$F$6:$F$305&gt;=C$5)*('Leave Register'!$J$6:$J$305="Approved")*(ROW('Leave Register'!$B$6:$B$305)-5)))=0,"",INDEX('Leave Register'!$D$6:$D$305,SUMPRODUCT(MAX(('Leave Register'!$B$6:$B$305=$A39)*('Leave Register'!$E$6:$E$305&lt;=C$5)*('Leave Register'!$F$6:$F$305&gt;=C$5)*('Leave Register'!$J$6:$J$305="Approved")*(ROW('Leave Register'!$B$6:$B$305)-5))))))</f>
        <v/>
      </c>
      <c r="D39" s="83" t="str">
        <f aca="false">IF(OR($A39="",D$5="",D$7&lt;&gt;"W"),"",IF(SUMPRODUCT(MAX(('Leave Register'!$B$6:$B$305=$A39)*('Leave Register'!$E$6:$E$305&lt;=D$5)*('Leave Register'!$F$6:$F$305&gt;=D$5)*('Leave Register'!$J$6:$J$305="Approved")*(ROW('Leave Register'!$B$6:$B$305)-5)))=0,"",INDEX('Leave Register'!$D$6:$D$305,SUMPRODUCT(MAX(('Leave Register'!$B$6:$B$305=$A39)*('Leave Register'!$E$6:$E$305&lt;=D$5)*('Leave Register'!$F$6:$F$305&gt;=D$5)*('Leave Register'!$J$6:$J$305="Approved")*(ROW('Leave Register'!$B$6:$B$305)-5))))))</f>
        <v/>
      </c>
      <c r="E39" s="83" t="str">
        <f aca="false">IF(OR($A39="",E$5="",E$7&lt;&gt;"W"),"",IF(SUMPRODUCT(MAX(('Leave Register'!$B$6:$B$305=$A39)*('Leave Register'!$E$6:$E$305&lt;=E$5)*('Leave Register'!$F$6:$F$305&gt;=E$5)*('Leave Register'!$J$6:$J$305="Approved")*(ROW('Leave Register'!$B$6:$B$305)-5)))=0,"",INDEX('Leave Register'!$D$6:$D$305,SUMPRODUCT(MAX(('Leave Register'!$B$6:$B$305=$A39)*('Leave Register'!$E$6:$E$305&lt;=E$5)*('Leave Register'!$F$6:$F$305&gt;=E$5)*('Leave Register'!$J$6:$J$305="Approved")*(ROW('Leave Register'!$B$6:$B$305)-5))))))</f>
        <v/>
      </c>
      <c r="F39" s="83" t="str">
        <f aca="false">IF(OR($A39="",F$5="",F$7&lt;&gt;"W"),"",IF(SUMPRODUCT(MAX(('Leave Register'!$B$6:$B$305=$A39)*('Leave Register'!$E$6:$E$305&lt;=F$5)*('Leave Register'!$F$6:$F$305&gt;=F$5)*('Leave Register'!$J$6:$J$305="Approved")*(ROW('Leave Register'!$B$6:$B$305)-5)))=0,"",INDEX('Leave Register'!$D$6:$D$305,SUMPRODUCT(MAX(('Leave Register'!$B$6:$B$305=$A39)*('Leave Register'!$E$6:$E$305&lt;=F$5)*('Leave Register'!$F$6:$F$305&gt;=F$5)*('Leave Register'!$J$6:$J$305="Approved")*(ROW('Leave Register'!$B$6:$B$305)-5))))))</f>
        <v/>
      </c>
      <c r="G39" s="83" t="str">
        <f aca="false">IF(OR($A39="",G$5="",G$7&lt;&gt;"W"),"",IF(SUMPRODUCT(MAX(('Leave Register'!$B$6:$B$305=$A39)*('Leave Register'!$E$6:$E$305&lt;=G$5)*('Leave Register'!$F$6:$F$305&gt;=G$5)*('Leave Register'!$J$6:$J$305="Approved")*(ROW('Leave Register'!$B$6:$B$305)-5)))=0,"",INDEX('Leave Register'!$D$6:$D$305,SUMPRODUCT(MAX(('Leave Register'!$B$6:$B$305=$A39)*('Leave Register'!$E$6:$E$305&lt;=G$5)*('Leave Register'!$F$6:$F$305&gt;=G$5)*('Leave Register'!$J$6:$J$305="Approved")*(ROW('Leave Register'!$B$6:$B$305)-5))))))</f>
        <v/>
      </c>
      <c r="H39" s="83" t="str">
        <f aca="false">IF(OR($A39="",H$5="",H$7&lt;&gt;"W"),"",IF(SUMPRODUCT(MAX(('Leave Register'!$B$6:$B$305=$A39)*('Leave Register'!$E$6:$E$305&lt;=H$5)*('Leave Register'!$F$6:$F$305&gt;=H$5)*('Leave Register'!$J$6:$J$305="Approved")*(ROW('Leave Register'!$B$6:$B$305)-5)))=0,"",INDEX('Leave Register'!$D$6:$D$305,SUMPRODUCT(MAX(('Leave Register'!$B$6:$B$305=$A39)*('Leave Register'!$E$6:$E$305&lt;=H$5)*('Leave Register'!$F$6:$F$305&gt;=H$5)*('Leave Register'!$J$6:$J$305="Approved")*(ROW('Leave Register'!$B$6:$B$305)-5))))))</f>
        <v/>
      </c>
      <c r="I39" s="83" t="str">
        <f aca="false">IF(OR($A39="",I$5="",I$7&lt;&gt;"W"),"",IF(SUMPRODUCT(MAX(('Leave Register'!$B$6:$B$305=$A39)*('Leave Register'!$E$6:$E$305&lt;=I$5)*('Leave Register'!$F$6:$F$305&gt;=I$5)*('Leave Register'!$J$6:$J$305="Approved")*(ROW('Leave Register'!$B$6:$B$305)-5)))=0,"",INDEX('Leave Register'!$D$6:$D$305,SUMPRODUCT(MAX(('Leave Register'!$B$6:$B$305=$A39)*('Leave Register'!$E$6:$E$305&lt;=I$5)*('Leave Register'!$F$6:$F$305&gt;=I$5)*('Leave Register'!$J$6:$J$305="Approved")*(ROW('Leave Register'!$B$6:$B$305)-5))))))</f>
        <v/>
      </c>
      <c r="J39" s="83" t="str">
        <f aca="false">IF(OR($A39="",J$5="",J$7&lt;&gt;"W"),"",IF(SUMPRODUCT(MAX(('Leave Register'!$B$6:$B$305=$A39)*('Leave Register'!$E$6:$E$305&lt;=J$5)*('Leave Register'!$F$6:$F$305&gt;=J$5)*('Leave Register'!$J$6:$J$305="Approved")*(ROW('Leave Register'!$B$6:$B$305)-5)))=0,"",INDEX('Leave Register'!$D$6:$D$305,SUMPRODUCT(MAX(('Leave Register'!$B$6:$B$305=$A39)*('Leave Register'!$E$6:$E$305&lt;=J$5)*('Leave Register'!$F$6:$F$305&gt;=J$5)*('Leave Register'!$J$6:$J$305="Approved")*(ROW('Leave Register'!$B$6:$B$305)-5))))))</f>
        <v/>
      </c>
      <c r="K39" s="83" t="str">
        <f aca="false">IF(OR($A39="",K$5="",K$7&lt;&gt;"W"),"",IF(SUMPRODUCT(MAX(('Leave Register'!$B$6:$B$305=$A39)*('Leave Register'!$E$6:$E$305&lt;=K$5)*('Leave Register'!$F$6:$F$305&gt;=K$5)*('Leave Register'!$J$6:$J$305="Approved")*(ROW('Leave Register'!$B$6:$B$305)-5)))=0,"",INDEX('Leave Register'!$D$6:$D$305,SUMPRODUCT(MAX(('Leave Register'!$B$6:$B$305=$A39)*('Leave Register'!$E$6:$E$305&lt;=K$5)*('Leave Register'!$F$6:$F$305&gt;=K$5)*('Leave Register'!$J$6:$J$305="Approved")*(ROW('Leave Register'!$B$6:$B$305)-5))))))</f>
        <v/>
      </c>
      <c r="L39" s="83" t="str">
        <f aca="false">IF(OR($A39="",L$5="",L$7&lt;&gt;"W"),"",IF(SUMPRODUCT(MAX(('Leave Register'!$B$6:$B$305=$A39)*('Leave Register'!$E$6:$E$305&lt;=L$5)*('Leave Register'!$F$6:$F$305&gt;=L$5)*('Leave Register'!$J$6:$J$305="Approved")*(ROW('Leave Register'!$B$6:$B$305)-5)))=0,"",INDEX('Leave Register'!$D$6:$D$305,SUMPRODUCT(MAX(('Leave Register'!$B$6:$B$305=$A39)*('Leave Register'!$E$6:$E$305&lt;=L$5)*('Leave Register'!$F$6:$F$305&gt;=L$5)*('Leave Register'!$J$6:$J$305="Approved")*(ROW('Leave Register'!$B$6:$B$305)-5))))))</f>
        <v/>
      </c>
      <c r="M39" s="83" t="str">
        <f aca="false">IF(OR($A39="",M$5="",M$7&lt;&gt;"W"),"",IF(SUMPRODUCT(MAX(('Leave Register'!$B$6:$B$305=$A39)*('Leave Register'!$E$6:$E$305&lt;=M$5)*('Leave Register'!$F$6:$F$305&gt;=M$5)*('Leave Register'!$J$6:$J$305="Approved")*(ROW('Leave Register'!$B$6:$B$305)-5)))=0,"",INDEX('Leave Register'!$D$6:$D$305,SUMPRODUCT(MAX(('Leave Register'!$B$6:$B$305=$A39)*('Leave Register'!$E$6:$E$305&lt;=M$5)*('Leave Register'!$F$6:$F$305&gt;=M$5)*('Leave Register'!$J$6:$J$305="Approved")*(ROW('Leave Register'!$B$6:$B$305)-5))))))</f>
        <v/>
      </c>
      <c r="N39" s="83" t="str">
        <f aca="false">IF(OR($A39="",N$5="",N$7&lt;&gt;"W"),"",IF(SUMPRODUCT(MAX(('Leave Register'!$B$6:$B$305=$A39)*('Leave Register'!$E$6:$E$305&lt;=N$5)*('Leave Register'!$F$6:$F$305&gt;=N$5)*('Leave Register'!$J$6:$J$305="Approved")*(ROW('Leave Register'!$B$6:$B$305)-5)))=0,"",INDEX('Leave Register'!$D$6:$D$305,SUMPRODUCT(MAX(('Leave Register'!$B$6:$B$305=$A39)*('Leave Register'!$E$6:$E$305&lt;=N$5)*('Leave Register'!$F$6:$F$305&gt;=N$5)*('Leave Register'!$J$6:$J$305="Approved")*(ROW('Leave Register'!$B$6:$B$305)-5))))))</f>
        <v/>
      </c>
      <c r="O39" s="83" t="str">
        <f aca="false">IF(OR($A39="",O$5="",O$7&lt;&gt;"W"),"",IF(SUMPRODUCT(MAX(('Leave Register'!$B$6:$B$305=$A39)*('Leave Register'!$E$6:$E$305&lt;=O$5)*('Leave Register'!$F$6:$F$305&gt;=O$5)*('Leave Register'!$J$6:$J$305="Approved")*(ROW('Leave Register'!$B$6:$B$305)-5)))=0,"",INDEX('Leave Register'!$D$6:$D$305,SUMPRODUCT(MAX(('Leave Register'!$B$6:$B$305=$A39)*('Leave Register'!$E$6:$E$305&lt;=O$5)*('Leave Register'!$F$6:$F$305&gt;=O$5)*('Leave Register'!$J$6:$J$305="Approved")*(ROW('Leave Register'!$B$6:$B$305)-5))))))</f>
        <v/>
      </c>
      <c r="P39" s="83" t="str">
        <f aca="false">IF(OR($A39="",P$5="",P$7&lt;&gt;"W"),"",IF(SUMPRODUCT(MAX(('Leave Register'!$B$6:$B$305=$A39)*('Leave Register'!$E$6:$E$305&lt;=P$5)*('Leave Register'!$F$6:$F$305&gt;=P$5)*('Leave Register'!$J$6:$J$305="Approved")*(ROW('Leave Register'!$B$6:$B$305)-5)))=0,"",INDEX('Leave Register'!$D$6:$D$305,SUMPRODUCT(MAX(('Leave Register'!$B$6:$B$305=$A39)*('Leave Register'!$E$6:$E$305&lt;=P$5)*('Leave Register'!$F$6:$F$305&gt;=P$5)*('Leave Register'!$J$6:$J$305="Approved")*(ROW('Leave Register'!$B$6:$B$305)-5))))))</f>
        <v/>
      </c>
      <c r="Q39" s="83" t="str">
        <f aca="false">IF(OR($A39="",Q$5="",Q$7&lt;&gt;"W"),"",IF(SUMPRODUCT(MAX(('Leave Register'!$B$6:$B$305=$A39)*('Leave Register'!$E$6:$E$305&lt;=Q$5)*('Leave Register'!$F$6:$F$305&gt;=Q$5)*('Leave Register'!$J$6:$J$305="Approved")*(ROW('Leave Register'!$B$6:$B$305)-5)))=0,"",INDEX('Leave Register'!$D$6:$D$305,SUMPRODUCT(MAX(('Leave Register'!$B$6:$B$305=$A39)*('Leave Register'!$E$6:$E$305&lt;=Q$5)*('Leave Register'!$F$6:$F$305&gt;=Q$5)*('Leave Register'!$J$6:$J$305="Approved")*(ROW('Leave Register'!$B$6:$B$305)-5))))))</f>
        <v/>
      </c>
      <c r="R39" s="83" t="str">
        <f aca="false">IF(OR($A39="",R$5="",R$7&lt;&gt;"W"),"",IF(SUMPRODUCT(MAX(('Leave Register'!$B$6:$B$305=$A39)*('Leave Register'!$E$6:$E$305&lt;=R$5)*('Leave Register'!$F$6:$F$305&gt;=R$5)*('Leave Register'!$J$6:$J$305="Approved")*(ROW('Leave Register'!$B$6:$B$305)-5)))=0,"",INDEX('Leave Register'!$D$6:$D$305,SUMPRODUCT(MAX(('Leave Register'!$B$6:$B$305=$A39)*('Leave Register'!$E$6:$E$305&lt;=R$5)*('Leave Register'!$F$6:$F$305&gt;=R$5)*('Leave Register'!$J$6:$J$305="Approved")*(ROW('Leave Register'!$B$6:$B$305)-5))))))</f>
        <v/>
      </c>
      <c r="S39" s="83" t="str">
        <f aca="false">IF(OR($A39="",S$5="",S$7&lt;&gt;"W"),"",IF(SUMPRODUCT(MAX(('Leave Register'!$B$6:$B$305=$A39)*('Leave Register'!$E$6:$E$305&lt;=S$5)*('Leave Register'!$F$6:$F$305&gt;=S$5)*('Leave Register'!$J$6:$J$305="Approved")*(ROW('Leave Register'!$B$6:$B$305)-5)))=0,"",INDEX('Leave Register'!$D$6:$D$305,SUMPRODUCT(MAX(('Leave Register'!$B$6:$B$305=$A39)*('Leave Register'!$E$6:$E$305&lt;=S$5)*('Leave Register'!$F$6:$F$305&gt;=S$5)*('Leave Register'!$J$6:$J$305="Approved")*(ROW('Leave Register'!$B$6:$B$305)-5))))))</f>
        <v/>
      </c>
      <c r="T39" s="83" t="str">
        <f aca="false">IF(OR($A39="",T$5="",T$7&lt;&gt;"W"),"",IF(SUMPRODUCT(MAX(('Leave Register'!$B$6:$B$305=$A39)*('Leave Register'!$E$6:$E$305&lt;=T$5)*('Leave Register'!$F$6:$F$305&gt;=T$5)*('Leave Register'!$J$6:$J$305="Approved")*(ROW('Leave Register'!$B$6:$B$305)-5)))=0,"",INDEX('Leave Register'!$D$6:$D$305,SUMPRODUCT(MAX(('Leave Register'!$B$6:$B$305=$A39)*('Leave Register'!$E$6:$E$305&lt;=T$5)*('Leave Register'!$F$6:$F$305&gt;=T$5)*('Leave Register'!$J$6:$J$305="Approved")*(ROW('Leave Register'!$B$6:$B$305)-5))))))</f>
        <v/>
      </c>
      <c r="U39" s="83" t="str">
        <f aca="false">IF(OR($A39="",U$5="",U$7&lt;&gt;"W"),"",IF(SUMPRODUCT(MAX(('Leave Register'!$B$6:$B$305=$A39)*('Leave Register'!$E$6:$E$305&lt;=U$5)*('Leave Register'!$F$6:$F$305&gt;=U$5)*('Leave Register'!$J$6:$J$305="Approved")*(ROW('Leave Register'!$B$6:$B$305)-5)))=0,"",INDEX('Leave Register'!$D$6:$D$305,SUMPRODUCT(MAX(('Leave Register'!$B$6:$B$305=$A39)*('Leave Register'!$E$6:$E$305&lt;=U$5)*('Leave Register'!$F$6:$F$305&gt;=U$5)*('Leave Register'!$J$6:$J$305="Approved")*(ROW('Leave Register'!$B$6:$B$305)-5))))))</f>
        <v/>
      </c>
      <c r="V39" s="83" t="str">
        <f aca="false">IF(OR($A39="",V$5="",V$7&lt;&gt;"W"),"",IF(SUMPRODUCT(MAX(('Leave Register'!$B$6:$B$305=$A39)*('Leave Register'!$E$6:$E$305&lt;=V$5)*('Leave Register'!$F$6:$F$305&gt;=V$5)*('Leave Register'!$J$6:$J$305="Approved")*(ROW('Leave Register'!$B$6:$B$305)-5)))=0,"",INDEX('Leave Register'!$D$6:$D$305,SUMPRODUCT(MAX(('Leave Register'!$B$6:$B$305=$A39)*('Leave Register'!$E$6:$E$305&lt;=V$5)*('Leave Register'!$F$6:$F$305&gt;=V$5)*('Leave Register'!$J$6:$J$305="Approved")*(ROW('Leave Register'!$B$6:$B$305)-5))))))</f>
        <v/>
      </c>
      <c r="W39" s="83" t="str">
        <f aca="false">IF(OR($A39="",W$5="",W$7&lt;&gt;"W"),"",IF(SUMPRODUCT(MAX(('Leave Register'!$B$6:$B$305=$A39)*('Leave Register'!$E$6:$E$305&lt;=W$5)*('Leave Register'!$F$6:$F$305&gt;=W$5)*('Leave Register'!$J$6:$J$305="Approved")*(ROW('Leave Register'!$B$6:$B$305)-5)))=0,"",INDEX('Leave Register'!$D$6:$D$305,SUMPRODUCT(MAX(('Leave Register'!$B$6:$B$305=$A39)*('Leave Register'!$E$6:$E$305&lt;=W$5)*('Leave Register'!$F$6:$F$305&gt;=W$5)*('Leave Register'!$J$6:$J$305="Approved")*(ROW('Leave Register'!$B$6:$B$305)-5))))))</f>
        <v/>
      </c>
      <c r="X39" s="83" t="str">
        <f aca="false">IF(OR($A39="",X$5="",X$7&lt;&gt;"W"),"",IF(SUMPRODUCT(MAX(('Leave Register'!$B$6:$B$305=$A39)*('Leave Register'!$E$6:$E$305&lt;=X$5)*('Leave Register'!$F$6:$F$305&gt;=X$5)*('Leave Register'!$J$6:$J$305="Approved")*(ROW('Leave Register'!$B$6:$B$305)-5)))=0,"",INDEX('Leave Register'!$D$6:$D$305,SUMPRODUCT(MAX(('Leave Register'!$B$6:$B$305=$A39)*('Leave Register'!$E$6:$E$305&lt;=X$5)*('Leave Register'!$F$6:$F$305&gt;=X$5)*('Leave Register'!$J$6:$J$305="Approved")*(ROW('Leave Register'!$B$6:$B$305)-5))))))</f>
        <v/>
      </c>
      <c r="Y39" s="83" t="str">
        <f aca="false">IF(OR($A39="",Y$5="",Y$7&lt;&gt;"W"),"",IF(SUMPRODUCT(MAX(('Leave Register'!$B$6:$B$305=$A39)*('Leave Register'!$E$6:$E$305&lt;=Y$5)*('Leave Register'!$F$6:$F$305&gt;=Y$5)*('Leave Register'!$J$6:$J$305="Approved")*(ROW('Leave Register'!$B$6:$B$305)-5)))=0,"",INDEX('Leave Register'!$D$6:$D$305,SUMPRODUCT(MAX(('Leave Register'!$B$6:$B$305=$A39)*('Leave Register'!$E$6:$E$305&lt;=Y$5)*('Leave Register'!$F$6:$F$305&gt;=Y$5)*('Leave Register'!$J$6:$J$305="Approved")*(ROW('Leave Register'!$B$6:$B$305)-5))))))</f>
        <v/>
      </c>
      <c r="Z39" s="83" t="str">
        <f aca="false">IF(OR($A39="",Z$5="",Z$7&lt;&gt;"W"),"",IF(SUMPRODUCT(MAX(('Leave Register'!$B$6:$B$305=$A39)*('Leave Register'!$E$6:$E$305&lt;=Z$5)*('Leave Register'!$F$6:$F$305&gt;=Z$5)*('Leave Register'!$J$6:$J$305="Approved")*(ROW('Leave Register'!$B$6:$B$305)-5)))=0,"",INDEX('Leave Register'!$D$6:$D$305,SUMPRODUCT(MAX(('Leave Register'!$B$6:$B$305=$A39)*('Leave Register'!$E$6:$E$305&lt;=Z$5)*('Leave Register'!$F$6:$F$305&gt;=Z$5)*('Leave Register'!$J$6:$J$305="Approved")*(ROW('Leave Register'!$B$6:$B$305)-5))))))</f>
        <v/>
      </c>
      <c r="AA39" s="83" t="str">
        <f aca="false">IF(OR($A39="",AA$5="",AA$7&lt;&gt;"W"),"",IF(SUMPRODUCT(MAX(('Leave Register'!$B$6:$B$305=$A39)*('Leave Register'!$E$6:$E$305&lt;=AA$5)*('Leave Register'!$F$6:$F$305&gt;=AA$5)*('Leave Register'!$J$6:$J$305="Approved")*(ROW('Leave Register'!$B$6:$B$305)-5)))=0,"",INDEX('Leave Register'!$D$6:$D$305,SUMPRODUCT(MAX(('Leave Register'!$B$6:$B$305=$A39)*('Leave Register'!$E$6:$E$305&lt;=AA$5)*('Leave Register'!$F$6:$F$305&gt;=AA$5)*('Leave Register'!$J$6:$J$305="Approved")*(ROW('Leave Register'!$B$6:$B$305)-5))))))</f>
        <v/>
      </c>
      <c r="AB39" s="83" t="str">
        <f aca="false">IF(OR($A39="",AB$5="",AB$7&lt;&gt;"W"),"",IF(SUMPRODUCT(MAX(('Leave Register'!$B$6:$B$305=$A39)*('Leave Register'!$E$6:$E$305&lt;=AB$5)*('Leave Register'!$F$6:$F$305&gt;=AB$5)*('Leave Register'!$J$6:$J$305="Approved")*(ROW('Leave Register'!$B$6:$B$305)-5)))=0,"",INDEX('Leave Register'!$D$6:$D$305,SUMPRODUCT(MAX(('Leave Register'!$B$6:$B$305=$A39)*('Leave Register'!$E$6:$E$305&lt;=AB$5)*('Leave Register'!$F$6:$F$305&gt;=AB$5)*('Leave Register'!$J$6:$J$305="Approved")*(ROW('Leave Register'!$B$6:$B$305)-5))))))</f>
        <v/>
      </c>
      <c r="AC39" s="83" t="str">
        <f aca="false">IF(OR($A39="",AC$5="",AC$7&lt;&gt;"W"),"",IF(SUMPRODUCT(MAX(('Leave Register'!$B$6:$B$305=$A39)*('Leave Register'!$E$6:$E$305&lt;=AC$5)*('Leave Register'!$F$6:$F$305&gt;=AC$5)*('Leave Register'!$J$6:$J$305="Approved")*(ROW('Leave Register'!$B$6:$B$305)-5)))=0,"",INDEX('Leave Register'!$D$6:$D$305,SUMPRODUCT(MAX(('Leave Register'!$B$6:$B$305=$A39)*('Leave Register'!$E$6:$E$305&lt;=AC$5)*('Leave Register'!$F$6:$F$305&gt;=AC$5)*('Leave Register'!$J$6:$J$305="Approved")*(ROW('Leave Register'!$B$6:$B$305)-5))))))</f>
        <v/>
      </c>
      <c r="AD39" s="83" t="str">
        <f aca="false">IF(OR($A39="",AD$5="",AD$7&lt;&gt;"W"),"",IF(SUMPRODUCT(MAX(('Leave Register'!$B$6:$B$305=$A39)*('Leave Register'!$E$6:$E$305&lt;=AD$5)*('Leave Register'!$F$6:$F$305&gt;=AD$5)*('Leave Register'!$J$6:$J$305="Approved")*(ROW('Leave Register'!$B$6:$B$305)-5)))=0,"",INDEX('Leave Register'!$D$6:$D$305,SUMPRODUCT(MAX(('Leave Register'!$B$6:$B$305=$A39)*('Leave Register'!$E$6:$E$305&lt;=AD$5)*('Leave Register'!$F$6:$F$305&gt;=AD$5)*('Leave Register'!$J$6:$J$305="Approved")*(ROW('Leave Register'!$B$6:$B$305)-5))))))</f>
        <v/>
      </c>
      <c r="AE39" s="83" t="str">
        <f aca="false">IF(OR($A39="",AE$5="",AE$7&lt;&gt;"W"),"",IF(SUMPRODUCT(MAX(('Leave Register'!$B$6:$B$305=$A39)*('Leave Register'!$E$6:$E$305&lt;=AE$5)*('Leave Register'!$F$6:$F$305&gt;=AE$5)*('Leave Register'!$J$6:$J$305="Approved")*(ROW('Leave Register'!$B$6:$B$305)-5)))=0,"",INDEX('Leave Register'!$D$6:$D$305,SUMPRODUCT(MAX(('Leave Register'!$B$6:$B$305=$A39)*('Leave Register'!$E$6:$E$305&lt;=AE$5)*('Leave Register'!$F$6:$F$305&gt;=AE$5)*('Leave Register'!$J$6:$J$305="Approved")*(ROW('Leave Register'!$B$6:$B$305)-5))))))</f>
        <v/>
      </c>
      <c r="AF39" s="83" t="str">
        <f aca="false">IF(OR($A39="",AF$5="",AF$7&lt;&gt;"W"),"",IF(SUMPRODUCT(MAX(('Leave Register'!$B$6:$B$305=$A39)*('Leave Register'!$E$6:$E$305&lt;=AF$5)*('Leave Register'!$F$6:$F$305&gt;=AF$5)*('Leave Register'!$J$6:$J$305="Approved")*(ROW('Leave Register'!$B$6:$B$305)-5)))=0,"",INDEX('Leave Register'!$D$6:$D$305,SUMPRODUCT(MAX(('Leave Register'!$B$6:$B$305=$A39)*('Leave Register'!$E$6:$E$305&lt;=AF$5)*('Leave Register'!$F$6:$F$305&gt;=AF$5)*('Leave Register'!$J$6:$J$305="Approved")*(ROW('Leave Register'!$B$6:$B$305)-5))))))</f>
        <v/>
      </c>
      <c r="AG39" s="83" t="str">
        <f aca="false">IF(OR($A39="",AG$5="",AG$7&lt;&gt;"W"),"",IF(SUMPRODUCT(MAX(('Leave Register'!$B$6:$B$305=$A39)*('Leave Register'!$E$6:$E$305&lt;=AG$5)*('Leave Register'!$F$6:$F$305&gt;=AG$5)*('Leave Register'!$J$6:$J$305="Approved")*(ROW('Leave Register'!$B$6:$B$305)-5)))=0,"",INDEX('Leave Register'!$D$6:$D$305,SUMPRODUCT(MAX(('Leave Register'!$B$6:$B$305=$A39)*('Leave Register'!$E$6:$E$305&lt;=AG$5)*('Leave Register'!$F$6:$F$305&gt;=AG$5)*('Leave Register'!$J$6:$J$305="Approved")*(ROW('Leave Register'!$B$6:$B$305)-5))))))</f>
        <v/>
      </c>
      <c r="AH39" s="84" t="str">
        <f aca="false">IF(A39="","",COUNTIF(C39:AG39,"?*"))</f>
        <v/>
      </c>
    </row>
    <row r="40" customFormat="false" ht="15" hidden="false" customHeight="false" outlineLevel="0" collapsed="false">
      <c r="A40" s="81" t="str">
        <f aca="false">IF(Employees!$B$37="","",Employees!$B$37)</f>
        <v/>
      </c>
      <c r="B40" s="82" t="str">
        <f aca="false">IF(A40="","",Employees!$C$37)</f>
        <v/>
      </c>
      <c r="C40" s="83" t="str">
        <f aca="false">IF(OR($A40="",C$5="",C$7&lt;&gt;"W"),"",IF(SUMPRODUCT(MAX(('Leave Register'!$B$6:$B$305=$A40)*('Leave Register'!$E$6:$E$305&lt;=C$5)*('Leave Register'!$F$6:$F$305&gt;=C$5)*('Leave Register'!$J$6:$J$305="Approved")*(ROW('Leave Register'!$B$6:$B$305)-5)))=0,"",INDEX('Leave Register'!$D$6:$D$305,SUMPRODUCT(MAX(('Leave Register'!$B$6:$B$305=$A40)*('Leave Register'!$E$6:$E$305&lt;=C$5)*('Leave Register'!$F$6:$F$305&gt;=C$5)*('Leave Register'!$J$6:$J$305="Approved")*(ROW('Leave Register'!$B$6:$B$305)-5))))))</f>
        <v/>
      </c>
      <c r="D40" s="83" t="str">
        <f aca="false">IF(OR($A40="",D$5="",D$7&lt;&gt;"W"),"",IF(SUMPRODUCT(MAX(('Leave Register'!$B$6:$B$305=$A40)*('Leave Register'!$E$6:$E$305&lt;=D$5)*('Leave Register'!$F$6:$F$305&gt;=D$5)*('Leave Register'!$J$6:$J$305="Approved")*(ROW('Leave Register'!$B$6:$B$305)-5)))=0,"",INDEX('Leave Register'!$D$6:$D$305,SUMPRODUCT(MAX(('Leave Register'!$B$6:$B$305=$A40)*('Leave Register'!$E$6:$E$305&lt;=D$5)*('Leave Register'!$F$6:$F$305&gt;=D$5)*('Leave Register'!$J$6:$J$305="Approved")*(ROW('Leave Register'!$B$6:$B$305)-5))))))</f>
        <v/>
      </c>
      <c r="E40" s="83" t="str">
        <f aca="false">IF(OR($A40="",E$5="",E$7&lt;&gt;"W"),"",IF(SUMPRODUCT(MAX(('Leave Register'!$B$6:$B$305=$A40)*('Leave Register'!$E$6:$E$305&lt;=E$5)*('Leave Register'!$F$6:$F$305&gt;=E$5)*('Leave Register'!$J$6:$J$305="Approved")*(ROW('Leave Register'!$B$6:$B$305)-5)))=0,"",INDEX('Leave Register'!$D$6:$D$305,SUMPRODUCT(MAX(('Leave Register'!$B$6:$B$305=$A40)*('Leave Register'!$E$6:$E$305&lt;=E$5)*('Leave Register'!$F$6:$F$305&gt;=E$5)*('Leave Register'!$J$6:$J$305="Approved")*(ROW('Leave Register'!$B$6:$B$305)-5))))))</f>
        <v/>
      </c>
      <c r="F40" s="83" t="str">
        <f aca="false">IF(OR($A40="",F$5="",F$7&lt;&gt;"W"),"",IF(SUMPRODUCT(MAX(('Leave Register'!$B$6:$B$305=$A40)*('Leave Register'!$E$6:$E$305&lt;=F$5)*('Leave Register'!$F$6:$F$305&gt;=F$5)*('Leave Register'!$J$6:$J$305="Approved")*(ROW('Leave Register'!$B$6:$B$305)-5)))=0,"",INDEX('Leave Register'!$D$6:$D$305,SUMPRODUCT(MAX(('Leave Register'!$B$6:$B$305=$A40)*('Leave Register'!$E$6:$E$305&lt;=F$5)*('Leave Register'!$F$6:$F$305&gt;=F$5)*('Leave Register'!$J$6:$J$305="Approved")*(ROW('Leave Register'!$B$6:$B$305)-5))))))</f>
        <v/>
      </c>
      <c r="G40" s="83" t="str">
        <f aca="false">IF(OR($A40="",G$5="",G$7&lt;&gt;"W"),"",IF(SUMPRODUCT(MAX(('Leave Register'!$B$6:$B$305=$A40)*('Leave Register'!$E$6:$E$305&lt;=G$5)*('Leave Register'!$F$6:$F$305&gt;=G$5)*('Leave Register'!$J$6:$J$305="Approved")*(ROW('Leave Register'!$B$6:$B$305)-5)))=0,"",INDEX('Leave Register'!$D$6:$D$305,SUMPRODUCT(MAX(('Leave Register'!$B$6:$B$305=$A40)*('Leave Register'!$E$6:$E$305&lt;=G$5)*('Leave Register'!$F$6:$F$305&gt;=G$5)*('Leave Register'!$J$6:$J$305="Approved")*(ROW('Leave Register'!$B$6:$B$305)-5))))))</f>
        <v/>
      </c>
      <c r="H40" s="83" t="str">
        <f aca="false">IF(OR($A40="",H$5="",H$7&lt;&gt;"W"),"",IF(SUMPRODUCT(MAX(('Leave Register'!$B$6:$B$305=$A40)*('Leave Register'!$E$6:$E$305&lt;=H$5)*('Leave Register'!$F$6:$F$305&gt;=H$5)*('Leave Register'!$J$6:$J$305="Approved")*(ROW('Leave Register'!$B$6:$B$305)-5)))=0,"",INDEX('Leave Register'!$D$6:$D$305,SUMPRODUCT(MAX(('Leave Register'!$B$6:$B$305=$A40)*('Leave Register'!$E$6:$E$305&lt;=H$5)*('Leave Register'!$F$6:$F$305&gt;=H$5)*('Leave Register'!$J$6:$J$305="Approved")*(ROW('Leave Register'!$B$6:$B$305)-5))))))</f>
        <v/>
      </c>
      <c r="I40" s="83" t="str">
        <f aca="false">IF(OR($A40="",I$5="",I$7&lt;&gt;"W"),"",IF(SUMPRODUCT(MAX(('Leave Register'!$B$6:$B$305=$A40)*('Leave Register'!$E$6:$E$305&lt;=I$5)*('Leave Register'!$F$6:$F$305&gt;=I$5)*('Leave Register'!$J$6:$J$305="Approved")*(ROW('Leave Register'!$B$6:$B$305)-5)))=0,"",INDEX('Leave Register'!$D$6:$D$305,SUMPRODUCT(MAX(('Leave Register'!$B$6:$B$305=$A40)*('Leave Register'!$E$6:$E$305&lt;=I$5)*('Leave Register'!$F$6:$F$305&gt;=I$5)*('Leave Register'!$J$6:$J$305="Approved")*(ROW('Leave Register'!$B$6:$B$305)-5))))))</f>
        <v/>
      </c>
      <c r="J40" s="83" t="str">
        <f aca="false">IF(OR($A40="",J$5="",J$7&lt;&gt;"W"),"",IF(SUMPRODUCT(MAX(('Leave Register'!$B$6:$B$305=$A40)*('Leave Register'!$E$6:$E$305&lt;=J$5)*('Leave Register'!$F$6:$F$305&gt;=J$5)*('Leave Register'!$J$6:$J$305="Approved")*(ROW('Leave Register'!$B$6:$B$305)-5)))=0,"",INDEX('Leave Register'!$D$6:$D$305,SUMPRODUCT(MAX(('Leave Register'!$B$6:$B$305=$A40)*('Leave Register'!$E$6:$E$305&lt;=J$5)*('Leave Register'!$F$6:$F$305&gt;=J$5)*('Leave Register'!$J$6:$J$305="Approved")*(ROW('Leave Register'!$B$6:$B$305)-5))))))</f>
        <v/>
      </c>
      <c r="K40" s="83" t="str">
        <f aca="false">IF(OR($A40="",K$5="",K$7&lt;&gt;"W"),"",IF(SUMPRODUCT(MAX(('Leave Register'!$B$6:$B$305=$A40)*('Leave Register'!$E$6:$E$305&lt;=K$5)*('Leave Register'!$F$6:$F$305&gt;=K$5)*('Leave Register'!$J$6:$J$305="Approved")*(ROW('Leave Register'!$B$6:$B$305)-5)))=0,"",INDEX('Leave Register'!$D$6:$D$305,SUMPRODUCT(MAX(('Leave Register'!$B$6:$B$305=$A40)*('Leave Register'!$E$6:$E$305&lt;=K$5)*('Leave Register'!$F$6:$F$305&gt;=K$5)*('Leave Register'!$J$6:$J$305="Approved")*(ROW('Leave Register'!$B$6:$B$305)-5))))))</f>
        <v/>
      </c>
      <c r="L40" s="83" t="str">
        <f aca="false">IF(OR($A40="",L$5="",L$7&lt;&gt;"W"),"",IF(SUMPRODUCT(MAX(('Leave Register'!$B$6:$B$305=$A40)*('Leave Register'!$E$6:$E$305&lt;=L$5)*('Leave Register'!$F$6:$F$305&gt;=L$5)*('Leave Register'!$J$6:$J$305="Approved")*(ROW('Leave Register'!$B$6:$B$305)-5)))=0,"",INDEX('Leave Register'!$D$6:$D$305,SUMPRODUCT(MAX(('Leave Register'!$B$6:$B$305=$A40)*('Leave Register'!$E$6:$E$305&lt;=L$5)*('Leave Register'!$F$6:$F$305&gt;=L$5)*('Leave Register'!$J$6:$J$305="Approved")*(ROW('Leave Register'!$B$6:$B$305)-5))))))</f>
        <v/>
      </c>
      <c r="M40" s="83" t="str">
        <f aca="false">IF(OR($A40="",M$5="",M$7&lt;&gt;"W"),"",IF(SUMPRODUCT(MAX(('Leave Register'!$B$6:$B$305=$A40)*('Leave Register'!$E$6:$E$305&lt;=M$5)*('Leave Register'!$F$6:$F$305&gt;=M$5)*('Leave Register'!$J$6:$J$305="Approved")*(ROW('Leave Register'!$B$6:$B$305)-5)))=0,"",INDEX('Leave Register'!$D$6:$D$305,SUMPRODUCT(MAX(('Leave Register'!$B$6:$B$305=$A40)*('Leave Register'!$E$6:$E$305&lt;=M$5)*('Leave Register'!$F$6:$F$305&gt;=M$5)*('Leave Register'!$J$6:$J$305="Approved")*(ROW('Leave Register'!$B$6:$B$305)-5))))))</f>
        <v/>
      </c>
      <c r="N40" s="83" t="str">
        <f aca="false">IF(OR($A40="",N$5="",N$7&lt;&gt;"W"),"",IF(SUMPRODUCT(MAX(('Leave Register'!$B$6:$B$305=$A40)*('Leave Register'!$E$6:$E$305&lt;=N$5)*('Leave Register'!$F$6:$F$305&gt;=N$5)*('Leave Register'!$J$6:$J$305="Approved")*(ROW('Leave Register'!$B$6:$B$305)-5)))=0,"",INDEX('Leave Register'!$D$6:$D$305,SUMPRODUCT(MAX(('Leave Register'!$B$6:$B$305=$A40)*('Leave Register'!$E$6:$E$305&lt;=N$5)*('Leave Register'!$F$6:$F$305&gt;=N$5)*('Leave Register'!$J$6:$J$305="Approved")*(ROW('Leave Register'!$B$6:$B$305)-5))))))</f>
        <v/>
      </c>
      <c r="O40" s="83" t="str">
        <f aca="false">IF(OR($A40="",O$5="",O$7&lt;&gt;"W"),"",IF(SUMPRODUCT(MAX(('Leave Register'!$B$6:$B$305=$A40)*('Leave Register'!$E$6:$E$305&lt;=O$5)*('Leave Register'!$F$6:$F$305&gt;=O$5)*('Leave Register'!$J$6:$J$305="Approved")*(ROW('Leave Register'!$B$6:$B$305)-5)))=0,"",INDEX('Leave Register'!$D$6:$D$305,SUMPRODUCT(MAX(('Leave Register'!$B$6:$B$305=$A40)*('Leave Register'!$E$6:$E$305&lt;=O$5)*('Leave Register'!$F$6:$F$305&gt;=O$5)*('Leave Register'!$J$6:$J$305="Approved")*(ROW('Leave Register'!$B$6:$B$305)-5))))))</f>
        <v/>
      </c>
      <c r="P40" s="83" t="str">
        <f aca="false">IF(OR($A40="",P$5="",P$7&lt;&gt;"W"),"",IF(SUMPRODUCT(MAX(('Leave Register'!$B$6:$B$305=$A40)*('Leave Register'!$E$6:$E$305&lt;=P$5)*('Leave Register'!$F$6:$F$305&gt;=P$5)*('Leave Register'!$J$6:$J$305="Approved")*(ROW('Leave Register'!$B$6:$B$305)-5)))=0,"",INDEX('Leave Register'!$D$6:$D$305,SUMPRODUCT(MAX(('Leave Register'!$B$6:$B$305=$A40)*('Leave Register'!$E$6:$E$305&lt;=P$5)*('Leave Register'!$F$6:$F$305&gt;=P$5)*('Leave Register'!$J$6:$J$305="Approved")*(ROW('Leave Register'!$B$6:$B$305)-5))))))</f>
        <v/>
      </c>
      <c r="Q40" s="83" t="str">
        <f aca="false">IF(OR($A40="",Q$5="",Q$7&lt;&gt;"W"),"",IF(SUMPRODUCT(MAX(('Leave Register'!$B$6:$B$305=$A40)*('Leave Register'!$E$6:$E$305&lt;=Q$5)*('Leave Register'!$F$6:$F$305&gt;=Q$5)*('Leave Register'!$J$6:$J$305="Approved")*(ROW('Leave Register'!$B$6:$B$305)-5)))=0,"",INDEX('Leave Register'!$D$6:$D$305,SUMPRODUCT(MAX(('Leave Register'!$B$6:$B$305=$A40)*('Leave Register'!$E$6:$E$305&lt;=Q$5)*('Leave Register'!$F$6:$F$305&gt;=Q$5)*('Leave Register'!$J$6:$J$305="Approved")*(ROW('Leave Register'!$B$6:$B$305)-5))))))</f>
        <v/>
      </c>
      <c r="R40" s="83" t="str">
        <f aca="false">IF(OR($A40="",R$5="",R$7&lt;&gt;"W"),"",IF(SUMPRODUCT(MAX(('Leave Register'!$B$6:$B$305=$A40)*('Leave Register'!$E$6:$E$305&lt;=R$5)*('Leave Register'!$F$6:$F$305&gt;=R$5)*('Leave Register'!$J$6:$J$305="Approved")*(ROW('Leave Register'!$B$6:$B$305)-5)))=0,"",INDEX('Leave Register'!$D$6:$D$305,SUMPRODUCT(MAX(('Leave Register'!$B$6:$B$305=$A40)*('Leave Register'!$E$6:$E$305&lt;=R$5)*('Leave Register'!$F$6:$F$305&gt;=R$5)*('Leave Register'!$J$6:$J$305="Approved")*(ROW('Leave Register'!$B$6:$B$305)-5))))))</f>
        <v/>
      </c>
      <c r="S40" s="83" t="str">
        <f aca="false">IF(OR($A40="",S$5="",S$7&lt;&gt;"W"),"",IF(SUMPRODUCT(MAX(('Leave Register'!$B$6:$B$305=$A40)*('Leave Register'!$E$6:$E$305&lt;=S$5)*('Leave Register'!$F$6:$F$305&gt;=S$5)*('Leave Register'!$J$6:$J$305="Approved")*(ROW('Leave Register'!$B$6:$B$305)-5)))=0,"",INDEX('Leave Register'!$D$6:$D$305,SUMPRODUCT(MAX(('Leave Register'!$B$6:$B$305=$A40)*('Leave Register'!$E$6:$E$305&lt;=S$5)*('Leave Register'!$F$6:$F$305&gt;=S$5)*('Leave Register'!$J$6:$J$305="Approved")*(ROW('Leave Register'!$B$6:$B$305)-5))))))</f>
        <v/>
      </c>
      <c r="T40" s="83" t="str">
        <f aca="false">IF(OR($A40="",T$5="",T$7&lt;&gt;"W"),"",IF(SUMPRODUCT(MAX(('Leave Register'!$B$6:$B$305=$A40)*('Leave Register'!$E$6:$E$305&lt;=T$5)*('Leave Register'!$F$6:$F$305&gt;=T$5)*('Leave Register'!$J$6:$J$305="Approved")*(ROW('Leave Register'!$B$6:$B$305)-5)))=0,"",INDEX('Leave Register'!$D$6:$D$305,SUMPRODUCT(MAX(('Leave Register'!$B$6:$B$305=$A40)*('Leave Register'!$E$6:$E$305&lt;=T$5)*('Leave Register'!$F$6:$F$305&gt;=T$5)*('Leave Register'!$J$6:$J$305="Approved")*(ROW('Leave Register'!$B$6:$B$305)-5))))))</f>
        <v/>
      </c>
      <c r="U40" s="83" t="str">
        <f aca="false">IF(OR($A40="",U$5="",U$7&lt;&gt;"W"),"",IF(SUMPRODUCT(MAX(('Leave Register'!$B$6:$B$305=$A40)*('Leave Register'!$E$6:$E$305&lt;=U$5)*('Leave Register'!$F$6:$F$305&gt;=U$5)*('Leave Register'!$J$6:$J$305="Approved")*(ROW('Leave Register'!$B$6:$B$305)-5)))=0,"",INDEX('Leave Register'!$D$6:$D$305,SUMPRODUCT(MAX(('Leave Register'!$B$6:$B$305=$A40)*('Leave Register'!$E$6:$E$305&lt;=U$5)*('Leave Register'!$F$6:$F$305&gt;=U$5)*('Leave Register'!$J$6:$J$305="Approved")*(ROW('Leave Register'!$B$6:$B$305)-5))))))</f>
        <v/>
      </c>
      <c r="V40" s="83" t="str">
        <f aca="false">IF(OR($A40="",V$5="",V$7&lt;&gt;"W"),"",IF(SUMPRODUCT(MAX(('Leave Register'!$B$6:$B$305=$A40)*('Leave Register'!$E$6:$E$305&lt;=V$5)*('Leave Register'!$F$6:$F$305&gt;=V$5)*('Leave Register'!$J$6:$J$305="Approved")*(ROW('Leave Register'!$B$6:$B$305)-5)))=0,"",INDEX('Leave Register'!$D$6:$D$305,SUMPRODUCT(MAX(('Leave Register'!$B$6:$B$305=$A40)*('Leave Register'!$E$6:$E$305&lt;=V$5)*('Leave Register'!$F$6:$F$305&gt;=V$5)*('Leave Register'!$J$6:$J$305="Approved")*(ROW('Leave Register'!$B$6:$B$305)-5))))))</f>
        <v/>
      </c>
      <c r="W40" s="83" t="str">
        <f aca="false">IF(OR($A40="",W$5="",W$7&lt;&gt;"W"),"",IF(SUMPRODUCT(MAX(('Leave Register'!$B$6:$B$305=$A40)*('Leave Register'!$E$6:$E$305&lt;=W$5)*('Leave Register'!$F$6:$F$305&gt;=W$5)*('Leave Register'!$J$6:$J$305="Approved")*(ROW('Leave Register'!$B$6:$B$305)-5)))=0,"",INDEX('Leave Register'!$D$6:$D$305,SUMPRODUCT(MAX(('Leave Register'!$B$6:$B$305=$A40)*('Leave Register'!$E$6:$E$305&lt;=W$5)*('Leave Register'!$F$6:$F$305&gt;=W$5)*('Leave Register'!$J$6:$J$305="Approved")*(ROW('Leave Register'!$B$6:$B$305)-5))))))</f>
        <v/>
      </c>
      <c r="X40" s="83" t="str">
        <f aca="false">IF(OR($A40="",X$5="",X$7&lt;&gt;"W"),"",IF(SUMPRODUCT(MAX(('Leave Register'!$B$6:$B$305=$A40)*('Leave Register'!$E$6:$E$305&lt;=X$5)*('Leave Register'!$F$6:$F$305&gt;=X$5)*('Leave Register'!$J$6:$J$305="Approved")*(ROW('Leave Register'!$B$6:$B$305)-5)))=0,"",INDEX('Leave Register'!$D$6:$D$305,SUMPRODUCT(MAX(('Leave Register'!$B$6:$B$305=$A40)*('Leave Register'!$E$6:$E$305&lt;=X$5)*('Leave Register'!$F$6:$F$305&gt;=X$5)*('Leave Register'!$J$6:$J$305="Approved")*(ROW('Leave Register'!$B$6:$B$305)-5))))))</f>
        <v/>
      </c>
      <c r="Y40" s="83" t="str">
        <f aca="false">IF(OR($A40="",Y$5="",Y$7&lt;&gt;"W"),"",IF(SUMPRODUCT(MAX(('Leave Register'!$B$6:$B$305=$A40)*('Leave Register'!$E$6:$E$305&lt;=Y$5)*('Leave Register'!$F$6:$F$305&gt;=Y$5)*('Leave Register'!$J$6:$J$305="Approved")*(ROW('Leave Register'!$B$6:$B$305)-5)))=0,"",INDEX('Leave Register'!$D$6:$D$305,SUMPRODUCT(MAX(('Leave Register'!$B$6:$B$305=$A40)*('Leave Register'!$E$6:$E$305&lt;=Y$5)*('Leave Register'!$F$6:$F$305&gt;=Y$5)*('Leave Register'!$J$6:$J$305="Approved")*(ROW('Leave Register'!$B$6:$B$305)-5))))))</f>
        <v/>
      </c>
      <c r="Z40" s="83" t="str">
        <f aca="false">IF(OR($A40="",Z$5="",Z$7&lt;&gt;"W"),"",IF(SUMPRODUCT(MAX(('Leave Register'!$B$6:$B$305=$A40)*('Leave Register'!$E$6:$E$305&lt;=Z$5)*('Leave Register'!$F$6:$F$305&gt;=Z$5)*('Leave Register'!$J$6:$J$305="Approved")*(ROW('Leave Register'!$B$6:$B$305)-5)))=0,"",INDEX('Leave Register'!$D$6:$D$305,SUMPRODUCT(MAX(('Leave Register'!$B$6:$B$305=$A40)*('Leave Register'!$E$6:$E$305&lt;=Z$5)*('Leave Register'!$F$6:$F$305&gt;=Z$5)*('Leave Register'!$J$6:$J$305="Approved")*(ROW('Leave Register'!$B$6:$B$305)-5))))))</f>
        <v/>
      </c>
      <c r="AA40" s="83" t="str">
        <f aca="false">IF(OR($A40="",AA$5="",AA$7&lt;&gt;"W"),"",IF(SUMPRODUCT(MAX(('Leave Register'!$B$6:$B$305=$A40)*('Leave Register'!$E$6:$E$305&lt;=AA$5)*('Leave Register'!$F$6:$F$305&gt;=AA$5)*('Leave Register'!$J$6:$J$305="Approved")*(ROW('Leave Register'!$B$6:$B$305)-5)))=0,"",INDEX('Leave Register'!$D$6:$D$305,SUMPRODUCT(MAX(('Leave Register'!$B$6:$B$305=$A40)*('Leave Register'!$E$6:$E$305&lt;=AA$5)*('Leave Register'!$F$6:$F$305&gt;=AA$5)*('Leave Register'!$J$6:$J$305="Approved")*(ROW('Leave Register'!$B$6:$B$305)-5))))))</f>
        <v/>
      </c>
      <c r="AB40" s="83" t="str">
        <f aca="false">IF(OR($A40="",AB$5="",AB$7&lt;&gt;"W"),"",IF(SUMPRODUCT(MAX(('Leave Register'!$B$6:$B$305=$A40)*('Leave Register'!$E$6:$E$305&lt;=AB$5)*('Leave Register'!$F$6:$F$305&gt;=AB$5)*('Leave Register'!$J$6:$J$305="Approved")*(ROW('Leave Register'!$B$6:$B$305)-5)))=0,"",INDEX('Leave Register'!$D$6:$D$305,SUMPRODUCT(MAX(('Leave Register'!$B$6:$B$305=$A40)*('Leave Register'!$E$6:$E$305&lt;=AB$5)*('Leave Register'!$F$6:$F$305&gt;=AB$5)*('Leave Register'!$J$6:$J$305="Approved")*(ROW('Leave Register'!$B$6:$B$305)-5))))))</f>
        <v/>
      </c>
      <c r="AC40" s="83" t="str">
        <f aca="false">IF(OR($A40="",AC$5="",AC$7&lt;&gt;"W"),"",IF(SUMPRODUCT(MAX(('Leave Register'!$B$6:$B$305=$A40)*('Leave Register'!$E$6:$E$305&lt;=AC$5)*('Leave Register'!$F$6:$F$305&gt;=AC$5)*('Leave Register'!$J$6:$J$305="Approved")*(ROW('Leave Register'!$B$6:$B$305)-5)))=0,"",INDEX('Leave Register'!$D$6:$D$305,SUMPRODUCT(MAX(('Leave Register'!$B$6:$B$305=$A40)*('Leave Register'!$E$6:$E$305&lt;=AC$5)*('Leave Register'!$F$6:$F$305&gt;=AC$5)*('Leave Register'!$J$6:$J$305="Approved")*(ROW('Leave Register'!$B$6:$B$305)-5))))))</f>
        <v/>
      </c>
      <c r="AD40" s="83" t="str">
        <f aca="false">IF(OR($A40="",AD$5="",AD$7&lt;&gt;"W"),"",IF(SUMPRODUCT(MAX(('Leave Register'!$B$6:$B$305=$A40)*('Leave Register'!$E$6:$E$305&lt;=AD$5)*('Leave Register'!$F$6:$F$305&gt;=AD$5)*('Leave Register'!$J$6:$J$305="Approved")*(ROW('Leave Register'!$B$6:$B$305)-5)))=0,"",INDEX('Leave Register'!$D$6:$D$305,SUMPRODUCT(MAX(('Leave Register'!$B$6:$B$305=$A40)*('Leave Register'!$E$6:$E$305&lt;=AD$5)*('Leave Register'!$F$6:$F$305&gt;=AD$5)*('Leave Register'!$J$6:$J$305="Approved")*(ROW('Leave Register'!$B$6:$B$305)-5))))))</f>
        <v/>
      </c>
      <c r="AE40" s="83" t="str">
        <f aca="false">IF(OR($A40="",AE$5="",AE$7&lt;&gt;"W"),"",IF(SUMPRODUCT(MAX(('Leave Register'!$B$6:$B$305=$A40)*('Leave Register'!$E$6:$E$305&lt;=AE$5)*('Leave Register'!$F$6:$F$305&gt;=AE$5)*('Leave Register'!$J$6:$J$305="Approved")*(ROW('Leave Register'!$B$6:$B$305)-5)))=0,"",INDEX('Leave Register'!$D$6:$D$305,SUMPRODUCT(MAX(('Leave Register'!$B$6:$B$305=$A40)*('Leave Register'!$E$6:$E$305&lt;=AE$5)*('Leave Register'!$F$6:$F$305&gt;=AE$5)*('Leave Register'!$J$6:$J$305="Approved")*(ROW('Leave Register'!$B$6:$B$305)-5))))))</f>
        <v/>
      </c>
      <c r="AF40" s="83" t="str">
        <f aca="false">IF(OR($A40="",AF$5="",AF$7&lt;&gt;"W"),"",IF(SUMPRODUCT(MAX(('Leave Register'!$B$6:$B$305=$A40)*('Leave Register'!$E$6:$E$305&lt;=AF$5)*('Leave Register'!$F$6:$F$305&gt;=AF$5)*('Leave Register'!$J$6:$J$305="Approved")*(ROW('Leave Register'!$B$6:$B$305)-5)))=0,"",INDEX('Leave Register'!$D$6:$D$305,SUMPRODUCT(MAX(('Leave Register'!$B$6:$B$305=$A40)*('Leave Register'!$E$6:$E$305&lt;=AF$5)*('Leave Register'!$F$6:$F$305&gt;=AF$5)*('Leave Register'!$J$6:$J$305="Approved")*(ROW('Leave Register'!$B$6:$B$305)-5))))))</f>
        <v/>
      </c>
      <c r="AG40" s="83" t="str">
        <f aca="false">IF(OR($A40="",AG$5="",AG$7&lt;&gt;"W"),"",IF(SUMPRODUCT(MAX(('Leave Register'!$B$6:$B$305=$A40)*('Leave Register'!$E$6:$E$305&lt;=AG$5)*('Leave Register'!$F$6:$F$305&gt;=AG$5)*('Leave Register'!$J$6:$J$305="Approved")*(ROW('Leave Register'!$B$6:$B$305)-5)))=0,"",INDEX('Leave Register'!$D$6:$D$305,SUMPRODUCT(MAX(('Leave Register'!$B$6:$B$305=$A40)*('Leave Register'!$E$6:$E$305&lt;=AG$5)*('Leave Register'!$F$6:$F$305&gt;=AG$5)*('Leave Register'!$J$6:$J$305="Approved")*(ROW('Leave Register'!$B$6:$B$305)-5))))))</f>
        <v/>
      </c>
      <c r="AH40" s="84" t="str">
        <f aca="false">IF(A40="","",COUNTIF(C40:AG40,"?*"))</f>
        <v/>
      </c>
    </row>
    <row r="41" customFormat="false" ht="15" hidden="false" customHeight="false" outlineLevel="0" collapsed="false">
      <c r="A41" s="81" t="str">
        <f aca="false">IF(Employees!$B$38="","",Employees!$B$38)</f>
        <v/>
      </c>
      <c r="B41" s="82" t="str">
        <f aca="false">IF(A41="","",Employees!$C$38)</f>
        <v/>
      </c>
      <c r="C41" s="83" t="str">
        <f aca="false">IF(OR($A41="",C$5="",C$7&lt;&gt;"W"),"",IF(SUMPRODUCT(MAX(('Leave Register'!$B$6:$B$305=$A41)*('Leave Register'!$E$6:$E$305&lt;=C$5)*('Leave Register'!$F$6:$F$305&gt;=C$5)*('Leave Register'!$J$6:$J$305="Approved")*(ROW('Leave Register'!$B$6:$B$305)-5)))=0,"",INDEX('Leave Register'!$D$6:$D$305,SUMPRODUCT(MAX(('Leave Register'!$B$6:$B$305=$A41)*('Leave Register'!$E$6:$E$305&lt;=C$5)*('Leave Register'!$F$6:$F$305&gt;=C$5)*('Leave Register'!$J$6:$J$305="Approved")*(ROW('Leave Register'!$B$6:$B$305)-5))))))</f>
        <v/>
      </c>
      <c r="D41" s="83" t="str">
        <f aca="false">IF(OR($A41="",D$5="",D$7&lt;&gt;"W"),"",IF(SUMPRODUCT(MAX(('Leave Register'!$B$6:$B$305=$A41)*('Leave Register'!$E$6:$E$305&lt;=D$5)*('Leave Register'!$F$6:$F$305&gt;=D$5)*('Leave Register'!$J$6:$J$305="Approved")*(ROW('Leave Register'!$B$6:$B$305)-5)))=0,"",INDEX('Leave Register'!$D$6:$D$305,SUMPRODUCT(MAX(('Leave Register'!$B$6:$B$305=$A41)*('Leave Register'!$E$6:$E$305&lt;=D$5)*('Leave Register'!$F$6:$F$305&gt;=D$5)*('Leave Register'!$J$6:$J$305="Approved")*(ROW('Leave Register'!$B$6:$B$305)-5))))))</f>
        <v/>
      </c>
      <c r="E41" s="83" t="str">
        <f aca="false">IF(OR($A41="",E$5="",E$7&lt;&gt;"W"),"",IF(SUMPRODUCT(MAX(('Leave Register'!$B$6:$B$305=$A41)*('Leave Register'!$E$6:$E$305&lt;=E$5)*('Leave Register'!$F$6:$F$305&gt;=E$5)*('Leave Register'!$J$6:$J$305="Approved")*(ROW('Leave Register'!$B$6:$B$305)-5)))=0,"",INDEX('Leave Register'!$D$6:$D$305,SUMPRODUCT(MAX(('Leave Register'!$B$6:$B$305=$A41)*('Leave Register'!$E$6:$E$305&lt;=E$5)*('Leave Register'!$F$6:$F$305&gt;=E$5)*('Leave Register'!$J$6:$J$305="Approved")*(ROW('Leave Register'!$B$6:$B$305)-5))))))</f>
        <v/>
      </c>
      <c r="F41" s="83" t="str">
        <f aca="false">IF(OR($A41="",F$5="",F$7&lt;&gt;"W"),"",IF(SUMPRODUCT(MAX(('Leave Register'!$B$6:$B$305=$A41)*('Leave Register'!$E$6:$E$305&lt;=F$5)*('Leave Register'!$F$6:$F$305&gt;=F$5)*('Leave Register'!$J$6:$J$305="Approved")*(ROW('Leave Register'!$B$6:$B$305)-5)))=0,"",INDEX('Leave Register'!$D$6:$D$305,SUMPRODUCT(MAX(('Leave Register'!$B$6:$B$305=$A41)*('Leave Register'!$E$6:$E$305&lt;=F$5)*('Leave Register'!$F$6:$F$305&gt;=F$5)*('Leave Register'!$J$6:$J$305="Approved")*(ROW('Leave Register'!$B$6:$B$305)-5))))))</f>
        <v/>
      </c>
      <c r="G41" s="83" t="str">
        <f aca="false">IF(OR($A41="",G$5="",G$7&lt;&gt;"W"),"",IF(SUMPRODUCT(MAX(('Leave Register'!$B$6:$B$305=$A41)*('Leave Register'!$E$6:$E$305&lt;=G$5)*('Leave Register'!$F$6:$F$305&gt;=G$5)*('Leave Register'!$J$6:$J$305="Approved")*(ROW('Leave Register'!$B$6:$B$305)-5)))=0,"",INDEX('Leave Register'!$D$6:$D$305,SUMPRODUCT(MAX(('Leave Register'!$B$6:$B$305=$A41)*('Leave Register'!$E$6:$E$305&lt;=G$5)*('Leave Register'!$F$6:$F$305&gt;=G$5)*('Leave Register'!$J$6:$J$305="Approved")*(ROW('Leave Register'!$B$6:$B$305)-5))))))</f>
        <v/>
      </c>
      <c r="H41" s="83" t="str">
        <f aca="false">IF(OR($A41="",H$5="",H$7&lt;&gt;"W"),"",IF(SUMPRODUCT(MAX(('Leave Register'!$B$6:$B$305=$A41)*('Leave Register'!$E$6:$E$305&lt;=H$5)*('Leave Register'!$F$6:$F$305&gt;=H$5)*('Leave Register'!$J$6:$J$305="Approved")*(ROW('Leave Register'!$B$6:$B$305)-5)))=0,"",INDEX('Leave Register'!$D$6:$D$305,SUMPRODUCT(MAX(('Leave Register'!$B$6:$B$305=$A41)*('Leave Register'!$E$6:$E$305&lt;=H$5)*('Leave Register'!$F$6:$F$305&gt;=H$5)*('Leave Register'!$J$6:$J$305="Approved")*(ROW('Leave Register'!$B$6:$B$305)-5))))))</f>
        <v/>
      </c>
      <c r="I41" s="83" t="str">
        <f aca="false">IF(OR($A41="",I$5="",I$7&lt;&gt;"W"),"",IF(SUMPRODUCT(MAX(('Leave Register'!$B$6:$B$305=$A41)*('Leave Register'!$E$6:$E$305&lt;=I$5)*('Leave Register'!$F$6:$F$305&gt;=I$5)*('Leave Register'!$J$6:$J$305="Approved")*(ROW('Leave Register'!$B$6:$B$305)-5)))=0,"",INDEX('Leave Register'!$D$6:$D$305,SUMPRODUCT(MAX(('Leave Register'!$B$6:$B$305=$A41)*('Leave Register'!$E$6:$E$305&lt;=I$5)*('Leave Register'!$F$6:$F$305&gt;=I$5)*('Leave Register'!$J$6:$J$305="Approved")*(ROW('Leave Register'!$B$6:$B$305)-5))))))</f>
        <v/>
      </c>
      <c r="J41" s="83" t="str">
        <f aca="false">IF(OR($A41="",J$5="",J$7&lt;&gt;"W"),"",IF(SUMPRODUCT(MAX(('Leave Register'!$B$6:$B$305=$A41)*('Leave Register'!$E$6:$E$305&lt;=J$5)*('Leave Register'!$F$6:$F$305&gt;=J$5)*('Leave Register'!$J$6:$J$305="Approved")*(ROW('Leave Register'!$B$6:$B$305)-5)))=0,"",INDEX('Leave Register'!$D$6:$D$305,SUMPRODUCT(MAX(('Leave Register'!$B$6:$B$305=$A41)*('Leave Register'!$E$6:$E$305&lt;=J$5)*('Leave Register'!$F$6:$F$305&gt;=J$5)*('Leave Register'!$J$6:$J$305="Approved")*(ROW('Leave Register'!$B$6:$B$305)-5))))))</f>
        <v/>
      </c>
      <c r="K41" s="83" t="str">
        <f aca="false">IF(OR($A41="",K$5="",K$7&lt;&gt;"W"),"",IF(SUMPRODUCT(MAX(('Leave Register'!$B$6:$B$305=$A41)*('Leave Register'!$E$6:$E$305&lt;=K$5)*('Leave Register'!$F$6:$F$305&gt;=K$5)*('Leave Register'!$J$6:$J$305="Approved")*(ROW('Leave Register'!$B$6:$B$305)-5)))=0,"",INDEX('Leave Register'!$D$6:$D$305,SUMPRODUCT(MAX(('Leave Register'!$B$6:$B$305=$A41)*('Leave Register'!$E$6:$E$305&lt;=K$5)*('Leave Register'!$F$6:$F$305&gt;=K$5)*('Leave Register'!$J$6:$J$305="Approved")*(ROW('Leave Register'!$B$6:$B$305)-5))))))</f>
        <v/>
      </c>
      <c r="L41" s="83" t="str">
        <f aca="false">IF(OR($A41="",L$5="",L$7&lt;&gt;"W"),"",IF(SUMPRODUCT(MAX(('Leave Register'!$B$6:$B$305=$A41)*('Leave Register'!$E$6:$E$305&lt;=L$5)*('Leave Register'!$F$6:$F$305&gt;=L$5)*('Leave Register'!$J$6:$J$305="Approved")*(ROW('Leave Register'!$B$6:$B$305)-5)))=0,"",INDEX('Leave Register'!$D$6:$D$305,SUMPRODUCT(MAX(('Leave Register'!$B$6:$B$305=$A41)*('Leave Register'!$E$6:$E$305&lt;=L$5)*('Leave Register'!$F$6:$F$305&gt;=L$5)*('Leave Register'!$J$6:$J$305="Approved")*(ROW('Leave Register'!$B$6:$B$305)-5))))))</f>
        <v/>
      </c>
      <c r="M41" s="83" t="str">
        <f aca="false">IF(OR($A41="",M$5="",M$7&lt;&gt;"W"),"",IF(SUMPRODUCT(MAX(('Leave Register'!$B$6:$B$305=$A41)*('Leave Register'!$E$6:$E$305&lt;=M$5)*('Leave Register'!$F$6:$F$305&gt;=M$5)*('Leave Register'!$J$6:$J$305="Approved")*(ROW('Leave Register'!$B$6:$B$305)-5)))=0,"",INDEX('Leave Register'!$D$6:$D$305,SUMPRODUCT(MAX(('Leave Register'!$B$6:$B$305=$A41)*('Leave Register'!$E$6:$E$305&lt;=M$5)*('Leave Register'!$F$6:$F$305&gt;=M$5)*('Leave Register'!$J$6:$J$305="Approved")*(ROW('Leave Register'!$B$6:$B$305)-5))))))</f>
        <v/>
      </c>
      <c r="N41" s="83" t="str">
        <f aca="false">IF(OR($A41="",N$5="",N$7&lt;&gt;"W"),"",IF(SUMPRODUCT(MAX(('Leave Register'!$B$6:$B$305=$A41)*('Leave Register'!$E$6:$E$305&lt;=N$5)*('Leave Register'!$F$6:$F$305&gt;=N$5)*('Leave Register'!$J$6:$J$305="Approved")*(ROW('Leave Register'!$B$6:$B$305)-5)))=0,"",INDEX('Leave Register'!$D$6:$D$305,SUMPRODUCT(MAX(('Leave Register'!$B$6:$B$305=$A41)*('Leave Register'!$E$6:$E$305&lt;=N$5)*('Leave Register'!$F$6:$F$305&gt;=N$5)*('Leave Register'!$J$6:$J$305="Approved")*(ROW('Leave Register'!$B$6:$B$305)-5))))))</f>
        <v/>
      </c>
      <c r="O41" s="83" t="str">
        <f aca="false">IF(OR($A41="",O$5="",O$7&lt;&gt;"W"),"",IF(SUMPRODUCT(MAX(('Leave Register'!$B$6:$B$305=$A41)*('Leave Register'!$E$6:$E$305&lt;=O$5)*('Leave Register'!$F$6:$F$305&gt;=O$5)*('Leave Register'!$J$6:$J$305="Approved")*(ROW('Leave Register'!$B$6:$B$305)-5)))=0,"",INDEX('Leave Register'!$D$6:$D$305,SUMPRODUCT(MAX(('Leave Register'!$B$6:$B$305=$A41)*('Leave Register'!$E$6:$E$305&lt;=O$5)*('Leave Register'!$F$6:$F$305&gt;=O$5)*('Leave Register'!$J$6:$J$305="Approved")*(ROW('Leave Register'!$B$6:$B$305)-5))))))</f>
        <v/>
      </c>
      <c r="P41" s="83" t="str">
        <f aca="false">IF(OR($A41="",P$5="",P$7&lt;&gt;"W"),"",IF(SUMPRODUCT(MAX(('Leave Register'!$B$6:$B$305=$A41)*('Leave Register'!$E$6:$E$305&lt;=P$5)*('Leave Register'!$F$6:$F$305&gt;=P$5)*('Leave Register'!$J$6:$J$305="Approved")*(ROW('Leave Register'!$B$6:$B$305)-5)))=0,"",INDEX('Leave Register'!$D$6:$D$305,SUMPRODUCT(MAX(('Leave Register'!$B$6:$B$305=$A41)*('Leave Register'!$E$6:$E$305&lt;=P$5)*('Leave Register'!$F$6:$F$305&gt;=P$5)*('Leave Register'!$J$6:$J$305="Approved")*(ROW('Leave Register'!$B$6:$B$305)-5))))))</f>
        <v/>
      </c>
      <c r="Q41" s="83" t="str">
        <f aca="false">IF(OR($A41="",Q$5="",Q$7&lt;&gt;"W"),"",IF(SUMPRODUCT(MAX(('Leave Register'!$B$6:$B$305=$A41)*('Leave Register'!$E$6:$E$305&lt;=Q$5)*('Leave Register'!$F$6:$F$305&gt;=Q$5)*('Leave Register'!$J$6:$J$305="Approved")*(ROW('Leave Register'!$B$6:$B$305)-5)))=0,"",INDEX('Leave Register'!$D$6:$D$305,SUMPRODUCT(MAX(('Leave Register'!$B$6:$B$305=$A41)*('Leave Register'!$E$6:$E$305&lt;=Q$5)*('Leave Register'!$F$6:$F$305&gt;=Q$5)*('Leave Register'!$J$6:$J$305="Approved")*(ROW('Leave Register'!$B$6:$B$305)-5))))))</f>
        <v/>
      </c>
      <c r="R41" s="83" t="str">
        <f aca="false">IF(OR($A41="",R$5="",R$7&lt;&gt;"W"),"",IF(SUMPRODUCT(MAX(('Leave Register'!$B$6:$B$305=$A41)*('Leave Register'!$E$6:$E$305&lt;=R$5)*('Leave Register'!$F$6:$F$305&gt;=R$5)*('Leave Register'!$J$6:$J$305="Approved")*(ROW('Leave Register'!$B$6:$B$305)-5)))=0,"",INDEX('Leave Register'!$D$6:$D$305,SUMPRODUCT(MAX(('Leave Register'!$B$6:$B$305=$A41)*('Leave Register'!$E$6:$E$305&lt;=R$5)*('Leave Register'!$F$6:$F$305&gt;=R$5)*('Leave Register'!$J$6:$J$305="Approved")*(ROW('Leave Register'!$B$6:$B$305)-5))))))</f>
        <v/>
      </c>
      <c r="S41" s="83" t="str">
        <f aca="false">IF(OR($A41="",S$5="",S$7&lt;&gt;"W"),"",IF(SUMPRODUCT(MAX(('Leave Register'!$B$6:$B$305=$A41)*('Leave Register'!$E$6:$E$305&lt;=S$5)*('Leave Register'!$F$6:$F$305&gt;=S$5)*('Leave Register'!$J$6:$J$305="Approved")*(ROW('Leave Register'!$B$6:$B$305)-5)))=0,"",INDEX('Leave Register'!$D$6:$D$305,SUMPRODUCT(MAX(('Leave Register'!$B$6:$B$305=$A41)*('Leave Register'!$E$6:$E$305&lt;=S$5)*('Leave Register'!$F$6:$F$305&gt;=S$5)*('Leave Register'!$J$6:$J$305="Approved")*(ROW('Leave Register'!$B$6:$B$305)-5))))))</f>
        <v/>
      </c>
      <c r="T41" s="83" t="str">
        <f aca="false">IF(OR($A41="",T$5="",T$7&lt;&gt;"W"),"",IF(SUMPRODUCT(MAX(('Leave Register'!$B$6:$B$305=$A41)*('Leave Register'!$E$6:$E$305&lt;=T$5)*('Leave Register'!$F$6:$F$305&gt;=T$5)*('Leave Register'!$J$6:$J$305="Approved")*(ROW('Leave Register'!$B$6:$B$305)-5)))=0,"",INDEX('Leave Register'!$D$6:$D$305,SUMPRODUCT(MAX(('Leave Register'!$B$6:$B$305=$A41)*('Leave Register'!$E$6:$E$305&lt;=T$5)*('Leave Register'!$F$6:$F$305&gt;=T$5)*('Leave Register'!$J$6:$J$305="Approved")*(ROW('Leave Register'!$B$6:$B$305)-5))))))</f>
        <v/>
      </c>
      <c r="U41" s="83" t="str">
        <f aca="false">IF(OR($A41="",U$5="",U$7&lt;&gt;"W"),"",IF(SUMPRODUCT(MAX(('Leave Register'!$B$6:$B$305=$A41)*('Leave Register'!$E$6:$E$305&lt;=U$5)*('Leave Register'!$F$6:$F$305&gt;=U$5)*('Leave Register'!$J$6:$J$305="Approved")*(ROW('Leave Register'!$B$6:$B$305)-5)))=0,"",INDEX('Leave Register'!$D$6:$D$305,SUMPRODUCT(MAX(('Leave Register'!$B$6:$B$305=$A41)*('Leave Register'!$E$6:$E$305&lt;=U$5)*('Leave Register'!$F$6:$F$305&gt;=U$5)*('Leave Register'!$J$6:$J$305="Approved")*(ROW('Leave Register'!$B$6:$B$305)-5))))))</f>
        <v/>
      </c>
      <c r="V41" s="83" t="str">
        <f aca="false">IF(OR($A41="",V$5="",V$7&lt;&gt;"W"),"",IF(SUMPRODUCT(MAX(('Leave Register'!$B$6:$B$305=$A41)*('Leave Register'!$E$6:$E$305&lt;=V$5)*('Leave Register'!$F$6:$F$305&gt;=V$5)*('Leave Register'!$J$6:$J$305="Approved")*(ROW('Leave Register'!$B$6:$B$305)-5)))=0,"",INDEX('Leave Register'!$D$6:$D$305,SUMPRODUCT(MAX(('Leave Register'!$B$6:$B$305=$A41)*('Leave Register'!$E$6:$E$305&lt;=V$5)*('Leave Register'!$F$6:$F$305&gt;=V$5)*('Leave Register'!$J$6:$J$305="Approved")*(ROW('Leave Register'!$B$6:$B$305)-5))))))</f>
        <v/>
      </c>
      <c r="W41" s="83" t="str">
        <f aca="false">IF(OR($A41="",W$5="",W$7&lt;&gt;"W"),"",IF(SUMPRODUCT(MAX(('Leave Register'!$B$6:$B$305=$A41)*('Leave Register'!$E$6:$E$305&lt;=W$5)*('Leave Register'!$F$6:$F$305&gt;=W$5)*('Leave Register'!$J$6:$J$305="Approved")*(ROW('Leave Register'!$B$6:$B$305)-5)))=0,"",INDEX('Leave Register'!$D$6:$D$305,SUMPRODUCT(MAX(('Leave Register'!$B$6:$B$305=$A41)*('Leave Register'!$E$6:$E$305&lt;=W$5)*('Leave Register'!$F$6:$F$305&gt;=W$5)*('Leave Register'!$J$6:$J$305="Approved")*(ROW('Leave Register'!$B$6:$B$305)-5))))))</f>
        <v/>
      </c>
      <c r="X41" s="83" t="str">
        <f aca="false">IF(OR($A41="",X$5="",X$7&lt;&gt;"W"),"",IF(SUMPRODUCT(MAX(('Leave Register'!$B$6:$B$305=$A41)*('Leave Register'!$E$6:$E$305&lt;=X$5)*('Leave Register'!$F$6:$F$305&gt;=X$5)*('Leave Register'!$J$6:$J$305="Approved")*(ROW('Leave Register'!$B$6:$B$305)-5)))=0,"",INDEX('Leave Register'!$D$6:$D$305,SUMPRODUCT(MAX(('Leave Register'!$B$6:$B$305=$A41)*('Leave Register'!$E$6:$E$305&lt;=X$5)*('Leave Register'!$F$6:$F$305&gt;=X$5)*('Leave Register'!$J$6:$J$305="Approved")*(ROW('Leave Register'!$B$6:$B$305)-5))))))</f>
        <v/>
      </c>
      <c r="Y41" s="83" t="str">
        <f aca="false">IF(OR($A41="",Y$5="",Y$7&lt;&gt;"W"),"",IF(SUMPRODUCT(MAX(('Leave Register'!$B$6:$B$305=$A41)*('Leave Register'!$E$6:$E$305&lt;=Y$5)*('Leave Register'!$F$6:$F$305&gt;=Y$5)*('Leave Register'!$J$6:$J$305="Approved")*(ROW('Leave Register'!$B$6:$B$305)-5)))=0,"",INDEX('Leave Register'!$D$6:$D$305,SUMPRODUCT(MAX(('Leave Register'!$B$6:$B$305=$A41)*('Leave Register'!$E$6:$E$305&lt;=Y$5)*('Leave Register'!$F$6:$F$305&gt;=Y$5)*('Leave Register'!$J$6:$J$305="Approved")*(ROW('Leave Register'!$B$6:$B$305)-5))))))</f>
        <v/>
      </c>
      <c r="Z41" s="83" t="str">
        <f aca="false">IF(OR($A41="",Z$5="",Z$7&lt;&gt;"W"),"",IF(SUMPRODUCT(MAX(('Leave Register'!$B$6:$B$305=$A41)*('Leave Register'!$E$6:$E$305&lt;=Z$5)*('Leave Register'!$F$6:$F$305&gt;=Z$5)*('Leave Register'!$J$6:$J$305="Approved")*(ROW('Leave Register'!$B$6:$B$305)-5)))=0,"",INDEX('Leave Register'!$D$6:$D$305,SUMPRODUCT(MAX(('Leave Register'!$B$6:$B$305=$A41)*('Leave Register'!$E$6:$E$305&lt;=Z$5)*('Leave Register'!$F$6:$F$305&gt;=Z$5)*('Leave Register'!$J$6:$J$305="Approved")*(ROW('Leave Register'!$B$6:$B$305)-5))))))</f>
        <v/>
      </c>
      <c r="AA41" s="83" t="str">
        <f aca="false">IF(OR($A41="",AA$5="",AA$7&lt;&gt;"W"),"",IF(SUMPRODUCT(MAX(('Leave Register'!$B$6:$B$305=$A41)*('Leave Register'!$E$6:$E$305&lt;=AA$5)*('Leave Register'!$F$6:$F$305&gt;=AA$5)*('Leave Register'!$J$6:$J$305="Approved")*(ROW('Leave Register'!$B$6:$B$305)-5)))=0,"",INDEX('Leave Register'!$D$6:$D$305,SUMPRODUCT(MAX(('Leave Register'!$B$6:$B$305=$A41)*('Leave Register'!$E$6:$E$305&lt;=AA$5)*('Leave Register'!$F$6:$F$305&gt;=AA$5)*('Leave Register'!$J$6:$J$305="Approved")*(ROW('Leave Register'!$B$6:$B$305)-5))))))</f>
        <v/>
      </c>
      <c r="AB41" s="83" t="str">
        <f aca="false">IF(OR($A41="",AB$5="",AB$7&lt;&gt;"W"),"",IF(SUMPRODUCT(MAX(('Leave Register'!$B$6:$B$305=$A41)*('Leave Register'!$E$6:$E$305&lt;=AB$5)*('Leave Register'!$F$6:$F$305&gt;=AB$5)*('Leave Register'!$J$6:$J$305="Approved")*(ROW('Leave Register'!$B$6:$B$305)-5)))=0,"",INDEX('Leave Register'!$D$6:$D$305,SUMPRODUCT(MAX(('Leave Register'!$B$6:$B$305=$A41)*('Leave Register'!$E$6:$E$305&lt;=AB$5)*('Leave Register'!$F$6:$F$305&gt;=AB$5)*('Leave Register'!$J$6:$J$305="Approved")*(ROW('Leave Register'!$B$6:$B$305)-5))))))</f>
        <v/>
      </c>
      <c r="AC41" s="83" t="str">
        <f aca="false">IF(OR($A41="",AC$5="",AC$7&lt;&gt;"W"),"",IF(SUMPRODUCT(MAX(('Leave Register'!$B$6:$B$305=$A41)*('Leave Register'!$E$6:$E$305&lt;=AC$5)*('Leave Register'!$F$6:$F$305&gt;=AC$5)*('Leave Register'!$J$6:$J$305="Approved")*(ROW('Leave Register'!$B$6:$B$305)-5)))=0,"",INDEX('Leave Register'!$D$6:$D$305,SUMPRODUCT(MAX(('Leave Register'!$B$6:$B$305=$A41)*('Leave Register'!$E$6:$E$305&lt;=AC$5)*('Leave Register'!$F$6:$F$305&gt;=AC$5)*('Leave Register'!$J$6:$J$305="Approved")*(ROW('Leave Register'!$B$6:$B$305)-5))))))</f>
        <v/>
      </c>
      <c r="AD41" s="83" t="str">
        <f aca="false">IF(OR($A41="",AD$5="",AD$7&lt;&gt;"W"),"",IF(SUMPRODUCT(MAX(('Leave Register'!$B$6:$B$305=$A41)*('Leave Register'!$E$6:$E$305&lt;=AD$5)*('Leave Register'!$F$6:$F$305&gt;=AD$5)*('Leave Register'!$J$6:$J$305="Approved")*(ROW('Leave Register'!$B$6:$B$305)-5)))=0,"",INDEX('Leave Register'!$D$6:$D$305,SUMPRODUCT(MAX(('Leave Register'!$B$6:$B$305=$A41)*('Leave Register'!$E$6:$E$305&lt;=AD$5)*('Leave Register'!$F$6:$F$305&gt;=AD$5)*('Leave Register'!$J$6:$J$305="Approved")*(ROW('Leave Register'!$B$6:$B$305)-5))))))</f>
        <v/>
      </c>
      <c r="AE41" s="83" t="str">
        <f aca="false">IF(OR($A41="",AE$5="",AE$7&lt;&gt;"W"),"",IF(SUMPRODUCT(MAX(('Leave Register'!$B$6:$B$305=$A41)*('Leave Register'!$E$6:$E$305&lt;=AE$5)*('Leave Register'!$F$6:$F$305&gt;=AE$5)*('Leave Register'!$J$6:$J$305="Approved")*(ROW('Leave Register'!$B$6:$B$305)-5)))=0,"",INDEX('Leave Register'!$D$6:$D$305,SUMPRODUCT(MAX(('Leave Register'!$B$6:$B$305=$A41)*('Leave Register'!$E$6:$E$305&lt;=AE$5)*('Leave Register'!$F$6:$F$305&gt;=AE$5)*('Leave Register'!$J$6:$J$305="Approved")*(ROW('Leave Register'!$B$6:$B$305)-5))))))</f>
        <v/>
      </c>
      <c r="AF41" s="83" t="str">
        <f aca="false">IF(OR($A41="",AF$5="",AF$7&lt;&gt;"W"),"",IF(SUMPRODUCT(MAX(('Leave Register'!$B$6:$B$305=$A41)*('Leave Register'!$E$6:$E$305&lt;=AF$5)*('Leave Register'!$F$6:$F$305&gt;=AF$5)*('Leave Register'!$J$6:$J$305="Approved")*(ROW('Leave Register'!$B$6:$B$305)-5)))=0,"",INDEX('Leave Register'!$D$6:$D$305,SUMPRODUCT(MAX(('Leave Register'!$B$6:$B$305=$A41)*('Leave Register'!$E$6:$E$305&lt;=AF$5)*('Leave Register'!$F$6:$F$305&gt;=AF$5)*('Leave Register'!$J$6:$J$305="Approved")*(ROW('Leave Register'!$B$6:$B$305)-5))))))</f>
        <v/>
      </c>
      <c r="AG41" s="83" t="str">
        <f aca="false">IF(OR($A41="",AG$5="",AG$7&lt;&gt;"W"),"",IF(SUMPRODUCT(MAX(('Leave Register'!$B$6:$B$305=$A41)*('Leave Register'!$E$6:$E$305&lt;=AG$5)*('Leave Register'!$F$6:$F$305&gt;=AG$5)*('Leave Register'!$J$6:$J$305="Approved")*(ROW('Leave Register'!$B$6:$B$305)-5)))=0,"",INDEX('Leave Register'!$D$6:$D$305,SUMPRODUCT(MAX(('Leave Register'!$B$6:$B$305=$A41)*('Leave Register'!$E$6:$E$305&lt;=AG$5)*('Leave Register'!$F$6:$F$305&gt;=AG$5)*('Leave Register'!$J$6:$J$305="Approved")*(ROW('Leave Register'!$B$6:$B$305)-5))))))</f>
        <v/>
      </c>
      <c r="AH41" s="84" t="str">
        <f aca="false">IF(A41="","",COUNTIF(C41:AG41,"?*"))</f>
        <v/>
      </c>
    </row>
    <row r="42" customFormat="false" ht="15" hidden="false" customHeight="false" outlineLevel="0" collapsed="false">
      <c r="A42" s="81" t="str">
        <f aca="false">IF(Employees!$B$39="","",Employees!$B$39)</f>
        <v/>
      </c>
      <c r="B42" s="82" t="str">
        <f aca="false">IF(A42="","",Employees!$C$39)</f>
        <v/>
      </c>
      <c r="C42" s="83" t="str">
        <f aca="false">IF(OR($A42="",C$5="",C$7&lt;&gt;"W"),"",IF(SUMPRODUCT(MAX(('Leave Register'!$B$6:$B$305=$A42)*('Leave Register'!$E$6:$E$305&lt;=C$5)*('Leave Register'!$F$6:$F$305&gt;=C$5)*('Leave Register'!$J$6:$J$305="Approved")*(ROW('Leave Register'!$B$6:$B$305)-5)))=0,"",INDEX('Leave Register'!$D$6:$D$305,SUMPRODUCT(MAX(('Leave Register'!$B$6:$B$305=$A42)*('Leave Register'!$E$6:$E$305&lt;=C$5)*('Leave Register'!$F$6:$F$305&gt;=C$5)*('Leave Register'!$J$6:$J$305="Approved")*(ROW('Leave Register'!$B$6:$B$305)-5))))))</f>
        <v/>
      </c>
      <c r="D42" s="83" t="str">
        <f aca="false">IF(OR($A42="",D$5="",D$7&lt;&gt;"W"),"",IF(SUMPRODUCT(MAX(('Leave Register'!$B$6:$B$305=$A42)*('Leave Register'!$E$6:$E$305&lt;=D$5)*('Leave Register'!$F$6:$F$305&gt;=D$5)*('Leave Register'!$J$6:$J$305="Approved")*(ROW('Leave Register'!$B$6:$B$305)-5)))=0,"",INDEX('Leave Register'!$D$6:$D$305,SUMPRODUCT(MAX(('Leave Register'!$B$6:$B$305=$A42)*('Leave Register'!$E$6:$E$305&lt;=D$5)*('Leave Register'!$F$6:$F$305&gt;=D$5)*('Leave Register'!$J$6:$J$305="Approved")*(ROW('Leave Register'!$B$6:$B$305)-5))))))</f>
        <v/>
      </c>
      <c r="E42" s="83" t="str">
        <f aca="false">IF(OR($A42="",E$5="",E$7&lt;&gt;"W"),"",IF(SUMPRODUCT(MAX(('Leave Register'!$B$6:$B$305=$A42)*('Leave Register'!$E$6:$E$305&lt;=E$5)*('Leave Register'!$F$6:$F$305&gt;=E$5)*('Leave Register'!$J$6:$J$305="Approved")*(ROW('Leave Register'!$B$6:$B$305)-5)))=0,"",INDEX('Leave Register'!$D$6:$D$305,SUMPRODUCT(MAX(('Leave Register'!$B$6:$B$305=$A42)*('Leave Register'!$E$6:$E$305&lt;=E$5)*('Leave Register'!$F$6:$F$305&gt;=E$5)*('Leave Register'!$J$6:$J$305="Approved")*(ROW('Leave Register'!$B$6:$B$305)-5))))))</f>
        <v/>
      </c>
      <c r="F42" s="83" t="str">
        <f aca="false">IF(OR($A42="",F$5="",F$7&lt;&gt;"W"),"",IF(SUMPRODUCT(MAX(('Leave Register'!$B$6:$B$305=$A42)*('Leave Register'!$E$6:$E$305&lt;=F$5)*('Leave Register'!$F$6:$F$305&gt;=F$5)*('Leave Register'!$J$6:$J$305="Approved")*(ROW('Leave Register'!$B$6:$B$305)-5)))=0,"",INDEX('Leave Register'!$D$6:$D$305,SUMPRODUCT(MAX(('Leave Register'!$B$6:$B$305=$A42)*('Leave Register'!$E$6:$E$305&lt;=F$5)*('Leave Register'!$F$6:$F$305&gt;=F$5)*('Leave Register'!$J$6:$J$305="Approved")*(ROW('Leave Register'!$B$6:$B$305)-5))))))</f>
        <v/>
      </c>
      <c r="G42" s="83" t="str">
        <f aca="false">IF(OR($A42="",G$5="",G$7&lt;&gt;"W"),"",IF(SUMPRODUCT(MAX(('Leave Register'!$B$6:$B$305=$A42)*('Leave Register'!$E$6:$E$305&lt;=G$5)*('Leave Register'!$F$6:$F$305&gt;=G$5)*('Leave Register'!$J$6:$J$305="Approved")*(ROW('Leave Register'!$B$6:$B$305)-5)))=0,"",INDEX('Leave Register'!$D$6:$D$305,SUMPRODUCT(MAX(('Leave Register'!$B$6:$B$305=$A42)*('Leave Register'!$E$6:$E$305&lt;=G$5)*('Leave Register'!$F$6:$F$305&gt;=G$5)*('Leave Register'!$J$6:$J$305="Approved")*(ROW('Leave Register'!$B$6:$B$305)-5))))))</f>
        <v/>
      </c>
      <c r="H42" s="83" t="str">
        <f aca="false">IF(OR($A42="",H$5="",H$7&lt;&gt;"W"),"",IF(SUMPRODUCT(MAX(('Leave Register'!$B$6:$B$305=$A42)*('Leave Register'!$E$6:$E$305&lt;=H$5)*('Leave Register'!$F$6:$F$305&gt;=H$5)*('Leave Register'!$J$6:$J$305="Approved")*(ROW('Leave Register'!$B$6:$B$305)-5)))=0,"",INDEX('Leave Register'!$D$6:$D$305,SUMPRODUCT(MAX(('Leave Register'!$B$6:$B$305=$A42)*('Leave Register'!$E$6:$E$305&lt;=H$5)*('Leave Register'!$F$6:$F$305&gt;=H$5)*('Leave Register'!$J$6:$J$305="Approved")*(ROW('Leave Register'!$B$6:$B$305)-5))))))</f>
        <v/>
      </c>
      <c r="I42" s="83" t="str">
        <f aca="false">IF(OR($A42="",I$5="",I$7&lt;&gt;"W"),"",IF(SUMPRODUCT(MAX(('Leave Register'!$B$6:$B$305=$A42)*('Leave Register'!$E$6:$E$305&lt;=I$5)*('Leave Register'!$F$6:$F$305&gt;=I$5)*('Leave Register'!$J$6:$J$305="Approved")*(ROW('Leave Register'!$B$6:$B$305)-5)))=0,"",INDEX('Leave Register'!$D$6:$D$305,SUMPRODUCT(MAX(('Leave Register'!$B$6:$B$305=$A42)*('Leave Register'!$E$6:$E$305&lt;=I$5)*('Leave Register'!$F$6:$F$305&gt;=I$5)*('Leave Register'!$J$6:$J$305="Approved")*(ROW('Leave Register'!$B$6:$B$305)-5))))))</f>
        <v/>
      </c>
      <c r="J42" s="83" t="str">
        <f aca="false">IF(OR($A42="",J$5="",J$7&lt;&gt;"W"),"",IF(SUMPRODUCT(MAX(('Leave Register'!$B$6:$B$305=$A42)*('Leave Register'!$E$6:$E$305&lt;=J$5)*('Leave Register'!$F$6:$F$305&gt;=J$5)*('Leave Register'!$J$6:$J$305="Approved")*(ROW('Leave Register'!$B$6:$B$305)-5)))=0,"",INDEX('Leave Register'!$D$6:$D$305,SUMPRODUCT(MAX(('Leave Register'!$B$6:$B$305=$A42)*('Leave Register'!$E$6:$E$305&lt;=J$5)*('Leave Register'!$F$6:$F$305&gt;=J$5)*('Leave Register'!$J$6:$J$305="Approved")*(ROW('Leave Register'!$B$6:$B$305)-5))))))</f>
        <v/>
      </c>
      <c r="K42" s="83" t="str">
        <f aca="false">IF(OR($A42="",K$5="",K$7&lt;&gt;"W"),"",IF(SUMPRODUCT(MAX(('Leave Register'!$B$6:$B$305=$A42)*('Leave Register'!$E$6:$E$305&lt;=K$5)*('Leave Register'!$F$6:$F$305&gt;=K$5)*('Leave Register'!$J$6:$J$305="Approved")*(ROW('Leave Register'!$B$6:$B$305)-5)))=0,"",INDEX('Leave Register'!$D$6:$D$305,SUMPRODUCT(MAX(('Leave Register'!$B$6:$B$305=$A42)*('Leave Register'!$E$6:$E$305&lt;=K$5)*('Leave Register'!$F$6:$F$305&gt;=K$5)*('Leave Register'!$J$6:$J$305="Approved")*(ROW('Leave Register'!$B$6:$B$305)-5))))))</f>
        <v/>
      </c>
      <c r="L42" s="83" t="str">
        <f aca="false">IF(OR($A42="",L$5="",L$7&lt;&gt;"W"),"",IF(SUMPRODUCT(MAX(('Leave Register'!$B$6:$B$305=$A42)*('Leave Register'!$E$6:$E$305&lt;=L$5)*('Leave Register'!$F$6:$F$305&gt;=L$5)*('Leave Register'!$J$6:$J$305="Approved")*(ROW('Leave Register'!$B$6:$B$305)-5)))=0,"",INDEX('Leave Register'!$D$6:$D$305,SUMPRODUCT(MAX(('Leave Register'!$B$6:$B$305=$A42)*('Leave Register'!$E$6:$E$305&lt;=L$5)*('Leave Register'!$F$6:$F$305&gt;=L$5)*('Leave Register'!$J$6:$J$305="Approved")*(ROW('Leave Register'!$B$6:$B$305)-5))))))</f>
        <v/>
      </c>
      <c r="M42" s="83" t="str">
        <f aca="false">IF(OR($A42="",M$5="",M$7&lt;&gt;"W"),"",IF(SUMPRODUCT(MAX(('Leave Register'!$B$6:$B$305=$A42)*('Leave Register'!$E$6:$E$305&lt;=M$5)*('Leave Register'!$F$6:$F$305&gt;=M$5)*('Leave Register'!$J$6:$J$305="Approved")*(ROW('Leave Register'!$B$6:$B$305)-5)))=0,"",INDEX('Leave Register'!$D$6:$D$305,SUMPRODUCT(MAX(('Leave Register'!$B$6:$B$305=$A42)*('Leave Register'!$E$6:$E$305&lt;=M$5)*('Leave Register'!$F$6:$F$305&gt;=M$5)*('Leave Register'!$J$6:$J$305="Approved")*(ROW('Leave Register'!$B$6:$B$305)-5))))))</f>
        <v/>
      </c>
      <c r="N42" s="83" t="str">
        <f aca="false">IF(OR($A42="",N$5="",N$7&lt;&gt;"W"),"",IF(SUMPRODUCT(MAX(('Leave Register'!$B$6:$B$305=$A42)*('Leave Register'!$E$6:$E$305&lt;=N$5)*('Leave Register'!$F$6:$F$305&gt;=N$5)*('Leave Register'!$J$6:$J$305="Approved")*(ROW('Leave Register'!$B$6:$B$305)-5)))=0,"",INDEX('Leave Register'!$D$6:$D$305,SUMPRODUCT(MAX(('Leave Register'!$B$6:$B$305=$A42)*('Leave Register'!$E$6:$E$305&lt;=N$5)*('Leave Register'!$F$6:$F$305&gt;=N$5)*('Leave Register'!$J$6:$J$305="Approved")*(ROW('Leave Register'!$B$6:$B$305)-5))))))</f>
        <v/>
      </c>
      <c r="O42" s="83" t="str">
        <f aca="false">IF(OR($A42="",O$5="",O$7&lt;&gt;"W"),"",IF(SUMPRODUCT(MAX(('Leave Register'!$B$6:$B$305=$A42)*('Leave Register'!$E$6:$E$305&lt;=O$5)*('Leave Register'!$F$6:$F$305&gt;=O$5)*('Leave Register'!$J$6:$J$305="Approved")*(ROW('Leave Register'!$B$6:$B$305)-5)))=0,"",INDEX('Leave Register'!$D$6:$D$305,SUMPRODUCT(MAX(('Leave Register'!$B$6:$B$305=$A42)*('Leave Register'!$E$6:$E$305&lt;=O$5)*('Leave Register'!$F$6:$F$305&gt;=O$5)*('Leave Register'!$J$6:$J$305="Approved")*(ROW('Leave Register'!$B$6:$B$305)-5))))))</f>
        <v/>
      </c>
      <c r="P42" s="83" t="str">
        <f aca="false">IF(OR($A42="",P$5="",P$7&lt;&gt;"W"),"",IF(SUMPRODUCT(MAX(('Leave Register'!$B$6:$B$305=$A42)*('Leave Register'!$E$6:$E$305&lt;=P$5)*('Leave Register'!$F$6:$F$305&gt;=P$5)*('Leave Register'!$J$6:$J$305="Approved")*(ROW('Leave Register'!$B$6:$B$305)-5)))=0,"",INDEX('Leave Register'!$D$6:$D$305,SUMPRODUCT(MAX(('Leave Register'!$B$6:$B$305=$A42)*('Leave Register'!$E$6:$E$305&lt;=P$5)*('Leave Register'!$F$6:$F$305&gt;=P$5)*('Leave Register'!$J$6:$J$305="Approved")*(ROW('Leave Register'!$B$6:$B$305)-5))))))</f>
        <v/>
      </c>
      <c r="Q42" s="83" t="str">
        <f aca="false">IF(OR($A42="",Q$5="",Q$7&lt;&gt;"W"),"",IF(SUMPRODUCT(MAX(('Leave Register'!$B$6:$B$305=$A42)*('Leave Register'!$E$6:$E$305&lt;=Q$5)*('Leave Register'!$F$6:$F$305&gt;=Q$5)*('Leave Register'!$J$6:$J$305="Approved")*(ROW('Leave Register'!$B$6:$B$305)-5)))=0,"",INDEX('Leave Register'!$D$6:$D$305,SUMPRODUCT(MAX(('Leave Register'!$B$6:$B$305=$A42)*('Leave Register'!$E$6:$E$305&lt;=Q$5)*('Leave Register'!$F$6:$F$305&gt;=Q$5)*('Leave Register'!$J$6:$J$305="Approved")*(ROW('Leave Register'!$B$6:$B$305)-5))))))</f>
        <v/>
      </c>
      <c r="R42" s="83" t="str">
        <f aca="false">IF(OR($A42="",R$5="",R$7&lt;&gt;"W"),"",IF(SUMPRODUCT(MAX(('Leave Register'!$B$6:$B$305=$A42)*('Leave Register'!$E$6:$E$305&lt;=R$5)*('Leave Register'!$F$6:$F$305&gt;=R$5)*('Leave Register'!$J$6:$J$305="Approved")*(ROW('Leave Register'!$B$6:$B$305)-5)))=0,"",INDEX('Leave Register'!$D$6:$D$305,SUMPRODUCT(MAX(('Leave Register'!$B$6:$B$305=$A42)*('Leave Register'!$E$6:$E$305&lt;=R$5)*('Leave Register'!$F$6:$F$305&gt;=R$5)*('Leave Register'!$J$6:$J$305="Approved")*(ROW('Leave Register'!$B$6:$B$305)-5))))))</f>
        <v/>
      </c>
      <c r="S42" s="83" t="str">
        <f aca="false">IF(OR($A42="",S$5="",S$7&lt;&gt;"W"),"",IF(SUMPRODUCT(MAX(('Leave Register'!$B$6:$B$305=$A42)*('Leave Register'!$E$6:$E$305&lt;=S$5)*('Leave Register'!$F$6:$F$305&gt;=S$5)*('Leave Register'!$J$6:$J$305="Approved")*(ROW('Leave Register'!$B$6:$B$305)-5)))=0,"",INDEX('Leave Register'!$D$6:$D$305,SUMPRODUCT(MAX(('Leave Register'!$B$6:$B$305=$A42)*('Leave Register'!$E$6:$E$305&lt;=S$5)*('Leave Register'!$F$6:$F$305&gt;=S$5)*('Leave Register'!$J$6:$J$305="Approved")*(ROW('Leave Register'!$B$6:$B$305)-5))))))</f>
        <v/>
      </c>
      <c r="T42" s="83" t="str">
        <f aca="false">IF(OR($A42="",T$5="",T$7&lt;&gt;"W"),"",IF(SUMPRODUCT(MAX(('Leave Register'!$B$6:$B$305=$A42)*('Leave Register'!$E$6:$E$305&lt;=T$5)*('Leave Register'!$F$6:$F$305&gt;=T$5)*('Leave Register'!$J$6:$J$305="Approved")*(ROW('Leave Register'!$B$6:$B$305)-5)))=0,"",INDEX('Leave Register'!$D$6:$D$305,SUMPRODUCT(MAX(('Leave Register'!$B$6:$B$305=$A42)*('Leave Register'!$E$6:$E$305&lt;=T$5)*('Leave Register'!$F$6:$F$305&gt;=T$5)*('Leave Register'!$J$6:$J$305="Approved")*(ROW('Leave Register'!$B$6:$B$305)-5))))))</f>
        <v/>
      </c>
      <c r="U42" s="83" t="str">
        <f aca="false">IF(OR($A42="",U$5="",U$7&lt;&gt;"W"),"",IF(SUMPRODUCT(MAX(('Leave Register'!$B$6:$B$305=$A42)*('Leave Register'!$E$6:$E$305&lt;=U$5)*('Leave Register'!$F$6:$F$305&gt;=U$5)*('Leave Register'!$J$6:$J$305="Approved")*(ROW('Leave Register'!$B$6:$B$305)-5)))=0,"",INDEX('Leave Register'!$D$6:$D$305,SUMPRODUCT(MAX(('Leave Register'!$B$6:$B$305=$A42)*('Leave Register'!$E$6:$E$305&lt;=U$5)*('Leave Register'!$F$6:$F$305&gt;=U$5)*('Leave Register'!$J$6:$J$305="Approved")*(ROW('Leave Register'!$B$6:$B$305)-5))))))</f>
        <v/>
      </c>
      <c r="V42" s="83" t="str">
        <f aca="false">IF(OR($A42="",V$5="",V$7&lt;&gt;"W"),"",IF(SUMPRODUCT(MAX(('Leave Register'!$B$6:$B$305=$A42)*('Leave Register'!$E$6:$E$305&lt;=V$5)*('Leave Register'!$F$6:$F$305&gt;=V$5)*('Leave Register'!$J$6:$J$305="Approved")*(ROW('Leave Register'!$B$6:$B$305)-5)))=0,"",INDEX('Leave Register'!$D$6:$D$305,SUMPRODUCT(MAX(('Leave Register'!$B$6:$B$305=$A42)*('Leave Register'!$E$6:$E$305&lt;=V$5)*('Leave Register'!$F$6:$F$305&gt;=V$5)*('Leave Register'!$J$6:$J$305="Approved")*(ROW('Leave Register'!$B$6:$B$305)-5))))))</f>
        <v/>
      </c>
      <c r="W42" s="83" t="str">
        <f aca="false">IF(OR($A42="",W$5="",W$7&lt;&gt;"W"),"",IF(SUMPRODUCT(MAX(('Leave Register'!$B$6:$B$305=$A42)*('Leave Register'!$E$6:$E$305&lt;=W$5)*('Leave Register'!$F$6:$F$305&gt;=W$5)*('Leave Register'!$J$6:$J$305="Approved")*(ROW('Leave Register'!$B$6:$B$305)-5)))=0,"",INDEX('Leave Register'!$D$6:$D$305,SUMPRODUCT(MAX(('Leave Register'!$B$6:$B$305=$A42)*('Leave Register'!$E$6:$E$305&lt;=W$5)*('Leave Register'!$F$6:$F$305&gt;=W$5)*('Leave Register'!$J$6:$J$305="Approved")*(ROW('Leave Register'!$B$6:$B$305)-5))))))</f>
        <v/>
      </c>
      <c r="X42" s="83" t="str">
        <f aca="false">IF(OR($A42="",X$5="",X$7&lt;&gt;"W"),"",IF(SUMPRODUCT(MAX(('Leave Register'!$B$6:$B$305=$A42)*('Leave Register'!$E$6:$E$305&lt;=X$5)*('Leave Register'!$F$6:$F$305&gt;=X$5)*('Leave Register'!$J$6:$J$305="Approved")*(ROW('Leave Register'!$B$6:$B$305)-5)))=0,"",INDEX('Leave Register'!$D$6:$D$305,SUMPRODUCT(MAX(('Leave Register'!$B$6:$B$305=$A42)*('Leave Register'!$E$6:$E$305&lt;=X$5)*('Leave Register'!$F$6:$F$305&gt;=X$5)*('Leave Register'!$J$6:$J$305="Approved")*(ROW('Leave Register'!$B$6:$B$305)-5))))))</f>
        <v/>
      </c>
      <c r="Y42" s="83" t="str">
        <f aca="false">IF(OR($A42="",Y$5="",Y$7&lt;&gt;"W"),"",IF(SUMPRODUCT(MAX(('Leave Register'!$B$6:$B$305=$A42)*('Leave Register'!$E$6:$E$305&lt;=Y$5)*('Leave Register'!$F$6:$F$305&gt;=Y$5)*('Leave Register'!$J$6:$J$305="Approved")*(ROW('Leave Register'!$B$6:$B$305)-5)))=0,"",INDEX('Leave Register'!$D$6:$D$305,SUMPRODUCT(MAX(('Leave Register'!$B$6:$B$305=$A42)*('Leave Register'!$E$6:$E$305&lt;=Y$5)*('Leave Register'!$F$6:$F$305&gt;=Y$5)*('Leave Register'!$J$6:$J$305="Approved")*(ROW('Leave Register'!$B$6:$B$305)-5))))))</f>
        <v/>
      </c>
      <c r="Z42" s="83" t="str">
        <f aca="false">IF(OR($A42="",Z$5="",Z$7&lt;&gt;"W"),"",IF(SUMPRODUCT(MAX(('Leave Register'!$B$6:$B$305=$A42)*('Leave Register'!$E$6:$E$305&lt;=Z$5)*('Leave Register'!$F$6:$F$305&gt;=Z$5)*('Leave Register'!$J$6:$J$305="Approved")*(ROW('Leave Register'!$B$6:$B$305)-5)))=0,"",INDEX('Leave Register'!$D$6:$D$305,SUMPRODUCT(MAX(('Leave Register'!$B$6:$B$305=$A42)*('Leave Register'!$E$6:$E$305&lt;=Z$5)*('Leave Register'!$F$6:$F$305&gt;=Z$5)*('Leave Register'!$J$6:$J$305="Approved")*(ROW('Leave Register'!$B$6:$B$305)-5))))))</f>
        <v/>
      </c>
      <c r="AA42" s="83" t="str">
        <f aca="false">IF(OR($A42="",AA$5="",AA$7&lt;&gt;"W"),"",IF(SUMPRODUCT(MAX(('Leave Register'!$B$6:$B$305=$A42)*('Leave Register'!$E$6:$E$305&lt;=AA$5)*('Leave Register'!$F$6:$F$305&gt;=AA$5)*('Leave Register'!$J$6:$J$305="Approved")*(ROW('Leave Register'!$B$6:$B$305)-5)))=0,"",INDEX('Leave Register'!$D$6:$D$305,SUMPRODUCT(MAX(('Leave Register'!$B$6:$B$305=$A42)*('Leave Register'!$E$6:$E$305&lt;=AA$5)*('Leave Register'!$F$6:$F$305&gt;=AA$5)*('Leave Register'!$J$6:$J$305="Approved")*(ROW('Leave Register'!$B$6:$B$305)-5))))))</f>
        <v/>
      </c>
      <c r="AB42" s="83" t="str">
        <f aca="false">IF(OR($A42="",AB$5="",AB$7&lt;&gt;"W"),"",IF(SUMPRODUCT(MAX(('Leave Register'!$B$6:$B$305=$A42)*('Leave Register'!$E$6:$E$305&lt;=AB$5)*('Leave Register'!$F$6:$F$305&gt;=AB$5)*('Leave Register'!$J$6:$J$305="Approved")*(ROW('Leave Register'!$B$6:$B$305)-5)))=0,"",INDEX('Leave Register'!$D$6:$D$305,SUMPRODUCT(MAX(('Leave Register'!$B$6:$B$305=$A42)*('Leave Register'!$E$6:$E$305&lt;=AB$5)*('Leave Register'!$F$6:$F$305&gt;=AB$5)*('Leave Register'!$J$6:$J$305="Approved")*(ROW('Leave Register'!$B$6:$B$305)-5))))))</f>
        <v/>
      </c>
      <c r="AC42" s="83" t="str">
        <f aca="false">IF(OR($A42="",AC$5="",AC$7&lt;&gt;"W"),"",IF(SUMPRODUCT(MAX(('Leave Register'!$B$6:$B$305=$A42)*('Leave Register'!$E$6:$E$305&lt;=AC$5)*('Leave Register'!$F$6:$F$305&gt;=AC$5)*('Leave Register'!$J$6:$J$305="Approved")*(ROW('Leave Register'!$B$6:$B$305)-5)))=0,"",INDEX('Leave Register'!$D$6:$D$305,SUMPRODUCT(MAX(('Leave Register'!$B$6:$B$305=$A42)*('Leave Register'!$E$6:$E$305&lt;=AC$5)*('Leave Register'!$F$6:$F$305&gt;=AC$5)*('Leave Register'!$J$6:$J$305="Approved")*(ROW('Leave Register'!$B$6:$B$305)-5))))))</f>
        <v/>
      </c>
      <c r="AD42" s="83" t="str">
        <f aca="false">IF(OR($A42="",AD$5="",AD$7&lt;&gt;"W"),"",IF(SUMPRODUCT(MAX(('Leave Register'!$B$6:$B$305=$A42)*('Leave Register'!$E$6:$E$305&lt;=AD$5)*('Leave Register'!$F$6:$F$305&gt;=AD$5)*('Leave Register'!$J$6:$J$305="Approved")*(ROW('Leave Register'!$B$6:$B$305)-5)))=0,"",INDEX('Leave Register'!$D$6:$D$305,SUMPRODUCT(MAX(('Leave Register'!$B$6:$B$305=$A42)*('Leave Register'!$E$6:$E$305&lt;=AD$5)*('Leave Register'!$F$6:$F$305&gt;=AD$5)*('Leave Register'!$J$6:$J$305="Approved")*(ROW('Leave Register'!$B$6:$B$305)-5))))))</f>
        <v/>
      </c>
      <c r="AE42" s="83" t="str">
        <f aca="false">IF(OR($A42="",AE$5="",AE$7&lt;&gt;"W"),"",IF(SUMPRODUCT(MAX(('Leave Register'!$B$6:$B$305=$A42)*('Leave Register'!$E$6:$E$305&lt;=AE$5)*('Leave Register'!$F$6:$F$305&gt;=AE$5)*('Leave Register'!$J$6:$J$305="Approved")*(ROW('Leave Register'!$B$6:$B$305)-5)))=0,"",INDEX('Leave Register'!$D$6:$D$305,SUMPRODUCT(MAX(('Leave Register'!$B$6:$B$305=$A42)*('Leave Register'!$E$6:$E$305&lt;=AE$5)*('Leave Register'!$F$6:$F$305&gt;=AE$5)*('Leave Register'!$J$6:$J$305="Approved")*(ROW('Leave Register'!$B$6:$B$305)-5))))))</f>
        <v/>
      </c>
      <c r="AF42" s="83" t="str">
        <f aca="false">IF(OR($A42="",AF$5="",AF$7&lt;&gt;"W"),"",IF(SUMPRODUCT(MAX(('Leave Register'!$B$6:$B$305=$A42)*('Leave Register'!$E$6:$E$305&lt;=AF$5)*('Leave Register'!$F$6:$F$305&gt;=AF$5)*('Leave Register'!$J$6:$J$305="Approved")*(ROW('Leave Register'!$B$6:$B$305)-5)))=0,"",INDEX('Leave Register'!$D$6:$D$305,SUMPRODUCT(MAX(('Leave Register'!$B$6:$B$305=$A42)*('Leave Register'!$E$6:$E$305&lt;=AF$5)*('Leave Register'!$F$6:$F$305&gt;=AF$5)*('Leave Register'!$J$6:$J$305="Approved")*(ROW('Leave Register'!$B$6:$B$305)-5))))))</f>
        <v/>
      </c>
      <c r="AG42" s="83" t="str">
        <f aca="false">IF(OR($A42="",AG$5="",AG$7&lt;&gt;"W"),"",IF(SUMPRODUCT(MAX(('Leave Register'!$B$6:$B$305=$A42)*('Leave Register'!$E$6:$E$305&lt;=AG$5)*('Leave Register'!$F$6:$F$305&gt;=AG$5)*('Leave Register'!$J$6:$J$305="Approved")*(ROW('Leave Register'!$B$6:$B$305)-5)))=0,"",INDEX('Leave Register'!$D$6:$D$305,SUMPRODUCT(MAX(('Leave Register'!$B$6:$B$305=$A42)*('Leave Register'!$E$6:$E$305&lt;=AG$5)*('Leave Register'!$F$6:$F$305&gt;=AG$5)*('Leave Register'!$J$6:$J$305="Approved")*(ROW('Leave Register'!$B$6:$B$305)-5))))))</f>
        <v/>
      </c>
      <c r="AH42" s="84" t="str">
        <f aca="false">IF(A42="","",COUNTIF(C42:AG42,"?*"))</f>
        <v/>
      </c>
    </row>
    <row r="43" customFormat="false" ht="15" hidden="false" customHeight="false" outlineLevel="0" collapsed="false">
      <c r="A43" s="81" t="str">
        <f aca="false">IF(Employees!$B$40="","",Employees!$B$40)</f>
        <v/>
      </c>
      <c r="B43" s="82" t="str">
        <f aca="false">IF(A43="","",Employees!$C$40)</f>
        <v/>
      </c>
      <c r="C43" s="83" t="str">
        <f aca="false">IF(OR($A43="",C$5="",C$7&lt;&gt;"W"),"",IF(SUMPRODUCT(MAX(('Leave Register'!$B$6:$B$305=$A43)*('Leave Register'!$E$6:$E$305&lt;=C$5)*('Leave Register'!$F$6:$F$305&gt;=C$5)*('Leave Register'!$J$6:$J$305="Approved")*(ROW('Leave Register'!$B$6:$B$305)-5)))=0,"",INDEX('Leave Register'!$D$6:$D$305,SUMPRODUCT(MAX(('Leave Register'!$B$6:$B$305=$A43)*('Leave Register'!$E$6:$E$305&lt;=C$5)*('Leave Register'!$F$6:$F$305&gt;=C$5)*('Leave Register'!$J$6:$J$305="Approved")*(ROW('Leave Register'!$B$6:$B$305)-5))))))</f>
        <v/>
      </c>
      <c r="D43" s="83" t="str">
        <f aca="false">IF(OR($A43="",D$5="",D$7&lt;&gt;"W"),"",IF(SUMPRODUCT(MAX(('Leave Register'!$B$6:$B$305=$A43)*('Leave Register'!$E$6:$E$305&lt;=D$5)*('Leave Register'!$F$6:$F$305&gt;=D$5)*('Leave Register'!$J$6:$J$305="Approved")*(ROW('Leave Register'!$B$6:$B$305)-5)))=0,"",INDEX('Leave Register'!$D$6:$D$305,SUMPRODUCT(MAX(('Leave Register'!$B$6:$B$305=$A43)*('Leave Register'!$E$6:$E$305&lt;=D$5)*('Leave Register'!$F$6:$F$305&gt;=D$5)*('Leave Register'!$J$6:$J$305="Approved")*(ROW('Leave Register'!$B$6:$B$305)-5))))))</f>
        <v/>
      </c>
      <c r="E43" s="83" t="str">
        <f aca="false">IF(OR($A43="",E$5="",E$7&lt;&gt;"W"),"",IF(SUMPRODUCT(MAX(('Leave Register'!$B$6:$B$305=$A43)*('Leave Register'!$E$6:$E$305&lt;=E$5)*('Leave Register'!$F$6:$F$305&gt;=E$5)*('Leave Register'!$J$6:$J$305="Approved")*(ROW('Leave Register'!$B$6:$B$305)-5)))=0,"",INDEX('Leave Register'!$D$6:$D$305,SUMPRODUCT(MAX(('Leave Register'!$B$6:$B$305=$A43)*('Leave Register'!$E$6:$E$305&lt;=E$5)*('Leave Register'!$F$6:$F$305&gt;=E$5)*('Leave Register'!$J$6:$J$305="Approved")*(ROW('Leave Register'!$B$6:$B$305)-5))))))</f>
        <v/>
      </c>
      <c r="F43" s="83" t="str">
        <f aca="false">IF(OR($A43="",F$5="",F$7&lt;&gt;"W"),"",IF(SUMPRODUCT(MAX(('Leave Register'!$B$6:$B$305=$A43)*('Leave Register'!$E$6:$E$305&lt;=F$5)*('Leave Register'!$F$6:$F$305&gt;=F$5)*('Leave Register'!$J$6:$J$305="Approved")*(ROW('Leave Register'!$B$6:$B$305)-5)))=0,"",INDEX('Leave Register'!$D$6:$D$305,SUMPRODUCT(MAX(('Leave Register'!$B$6:$B$305=$A43)*('Leave Register'!$E$6:$E$305&lt;=F$5)*('Leave Register'!$F$6:$F$305&gt;=F$5)*('Leave Register'!$J$6:$J$305="Approved")*(ROW('Leave Register'!$B$6:$B$305)-5))))))</f>
        <v/>
      </c>
      <c r="G43" s="83" t="str">
        <f aca="false">IF(OR($A43="",G$5="",G$7&lt;&gt;"W"),"",IF(SUMPRODUCT(MAX(('Leave Register'!$B$6:$B$305=$A43)*('Leave Register'!$E$6:$E$305&lt;=G$5)*('Leave Register'!$F$6:$F$305&gt;=G$5)*('Leave Register'!$J$6:$J$305="Approved")*(ROW('Leave Register'!$B$6:$B$305)-5)))=0,"",INDEX('Leave Register'!$D$6:$D$305,SUMPRODUCT(MAX(('Leave Register'!$B$6:$B$305=$A43)*('Leave Register'!$E$6:$E$305&lt;=G$5)*('Leave Register'!$F$6:$F$305&gt;=G$5)*('Leave Register'!$J$6:$J$305="Approved")*(ROW('Leave Register'!$B$6:$B$305)-5))))))</f>
        <v/>
      </c>
      <c r="H43" s="83" t="str">
        <f aca="false">IF(OR($A43="",H$5="",H$7&lt;&gt;"W"),"",IF(SUMPRODUCT(MAX(('Leave Register'!$B$6:$B$305=$A43)*('Leave Register'!$E$6:$E$305&lt;=H$5)*('Leave Register'!$F$6:$F$305&gt;=H$5)*('Leave Register'!$J$6:$J$305="Approved")*(ROW('Leave Register'!$B$6:$B$305)-5)))=0,"",INDEX('Leave Register'!$D$6:$D$305,SUMPRODUCT(MAX(('Leave Register'!$B$6:$B$305=$A43)*('Leave Register'!$E$6:$E$305&lt;=H$5)*('Leave Register'!$F$6:$F$305&gt;=H$5)*('Leave Register'!$J$6:$J$305="Approved")*(ROW('Leave Register'!$B$6:$B$305)-5))))))</f>
        <v/>
      </c>
      <c r="I43" s="83" t="str">
        <f aca="false">IF(OR($A43="",I$5="",I$7&lt;&gt;"W"),"",IF(SUMPRODUCT(MAX(('Leave Register'!$B$6:$B$305=$A43)*('Leave Register'!$E$6:$E$305&lt;=I$5)*('Leave Register'!$F$6:$F$305&gt;=I$5)*('Leave Register'!$J$6:$J$305="Approved")*(ROW('Leave Register'!$B$6:$B$305)-5)))=0,"",INDEX('Leave Register'!$D$6:$D$305,SUMPRODUCT(MAX(('Leave Register'!$B$6:$B$305=$A43)*('Leave Register'!$E$6:$E$305&lt;=I$5)*('Leave Register'!$F$6:$F$305&gt;=I$5)*('Leave Register'!$J$6:$J$305="Approved")*(ROW('Leave Register'!$B$6:$B$305)-5))))))</f>
        <v/>
      </c>
      <c r="J43" s="83" t="str">
        <f aca="false">IF(OR($A43="",J$5="",J$7&lt;&gt;"W"),"",IF(SUMPRODUCT(MAX(('Leave Register'!$B$6:$B$305=$A43)*('Leave Register'!$E$6:$E$305&lt;=J$5)*('Leave Register'!$F$6:$F$305&gt;=J$5)*('Leave Register'!$J$6:$J$305="Approved")*(ROW('Leave Register'!$B$6:$B$305)-5)))=0,"",INDEX('Leave Register'!$D$6:$D$305,SUMPRODUCT(MAX(('Leave Register'!$B$6:$B$305=$A43)*('Leave Register'!$E$6:$E$305&lt;=J$5)*('Leave Register'!$F$6:$F$305&gt;=J$5)*('Leave Register'!$J$6:$J$305="Approved")*(ROW('Leave Register'!$B$6:$B$305)-5))))))</f>
        <v/>
      </c>
      <c r="K43" s="83" t="str">
        <f aca="false">IF(OR($A43="",K$5="",K$7&lt;&gt;"W"),"",IF(SUMPRODUCT(MAX(('Leave Register'!$B$6:$B$305=$A43)*('Leave Register'!$E$6:$E$305&lt;=K$5)*('Leave Register'!$F$6:$F$305&gt;=K$5)*('Leave Register'!$J$6:$J$305="Approved")*(ROW('Leave Register'!$B$6:$B$305)-5)))=0,"",INDEX('Leave Register'!$D$6:$D$305,SUMPRODUCT(MAX(('Leave Register'!$B$6:$B$305=$A43)*('Leave Register'!$E$6:$E$305&lt;=K$5)*('Leave Register'!$F$6:$F$305&gt;=K$5)*('Leave Register'!$J$6:$J$305="Approved")*(ROW('Leave Register'!$B$6:$B$305)-5))))))</f>
        <v/>
      </c>
      <c r="L43" s="83" t="str">
        <f aca="false">IF(OR($A43="",L$5="",L$7&lt;&gt;"W"),"",IF(SUMPRODUCT(MAX(('Leave Register'!$B$6:$B$305=$A43)*('Leave Register'!$E$6:$E$305&lt;=L$5)*('Leave Register'!$F$6:$F$305&gt;=L$5)*('Leave Register'!$J$6:$J$305="Approved")*(ROW('Leave Register'!$B$6:$B$305)-5)))=0,"",INDEX('Leave Register'!$D$6:$D$305,SUMPRODUCT(MAX(('Leave Register'!$B$6:$B$305=$A43)*('Leave Register'!$E$6:$E$305&lt;=L$5)*('Leave Register'!$F$6:$F$305&gt;=L$5)*('Leave Register'!$J$6:$J$305="Approved")*(ROW('Leave Register'!$B$6:$B$305)-5))))))</f>
        <v/>
      </c>
      <c r="M43" s="83" t="str">
        <f aca="false">IF(OR($A43="",M$5="",M$7&lt;&gt;"W"),"",IF(SUMPRODUCT(MAX(('Leave Register'!$B$6:$B$305=$A43)*('Leave Register'!$E$6:$E$305&lt;=M$5)*('Leave Register'!$F$6:$F$305&gt;=M$5)*('Leave Register'!$J$6:$J$305="Approved")*(ROW('Leave Register'!$B$6:$B$305)-5)))=0,"",INDEX('Leave Register'!$D$6:$D$305,SUMPRODUCT(MAX(('Leave Register'!$B$6:$B$305=$A43)*('Leave Register'!$E$6:$E$305&lt;=M$5)*('Leave Register'!$F$6:$F$305&gt;=M$5)*('Leave Register'!$J$6:$J$305="Approved")*(ROW('Leave Register'!$B$6:$B$305)-5))))))</f>
        <v/>
      </c>
      <c r="N43" s="83" t="str">
        <f aca="false">IF(OR($A43="",N$5="",N$7&lt;&gt;"W"),"",IF(SUMPRODUCT(MAX(('Leave Register'!$B$6:$B$305=$A43)*('Leave Register'!$E$6:$E$305&lt;=N$5)*('Leave Register'!$F$6:$F$305&gt;=N$5)*('Leave Register'!$J$6:$J$305="Approved")*(ROW('Leave Register'!$B$6:$B$305)-5)))=0,"",INDEX('Leave Register'!$D$6:$D$305,SUMPRODUCT(MAX(('Leave Register'!$B$6:$B$305=$A43)*('Leave Register'!$E$6:$E$305&lt;=N$5)*('Leave Register'!$F$6:$F$305&gt;=N$5)*('Leave Register'!$J$6:$J$305="Approved")*(ROW('Leave Register'!$B$6:$B$305)-5))))))</f>
        <v/>
      </c>
      <c r="O43" s="83" t="str">
        <f aca="false">IF(OR($A43="",O$5="",O$7&lt;&gt;"W"),"",IF(SUMPRODUCT(MAX(('Leave Register'!$B$6:$B$305=$A43)*('Leave Register'!$E$6:$E$305&lt;=O$5)*('Leave Register'!$F$6:$F$305&gt;=O$5)*('Leave Register'!$J$6:$J$305="Approved")*(ROW('Leave Register'!$B$6:$B$305)-5)))=0,"",INDEX('Leave Register'!$D$6:$D$305,SUMPRODUCT(MAX(('Leave Register'!$B$6:$B$305=$A43)*('Leave Register'!$E$6:$E$305&lt;=O$5)*('Leave Register'!$F$6:$F$305&gt;=O$5)*('Leave Register'!$J$6:$J$305="Approved")*(ROW('Leave Register'!$B$6:$B$305)-5))))))</f>
        <v/>
      </c>
      <c r="P43" s="83" t="str">
        <f aca="false">IF(OR($A43="",P$5="",P$7&lt;&gt;"W"),"",IF(SUMPRODUCT(MAX(('Leave Register'!$B$6:$B$305=$A43)*('Leave Register'!$E$6:$E$305&lt;=P$5)*('Leave Register'!$F$6:$F$305&gt;=P$5)*('Leave Register'!$J$6:$J$305="Approved")*(ROW('Leave Register'!$B$6:$B$305)-5)))=0,"",INDEX('Leave Register'!$D$6:$D$305,SUMPRODUCT(MAX(('Leave Register'!$B$6:$B$305=$A43)*('Leave Register'!$E$6:$E$305&lt;=P$5)*('Leave Register'!$F$6:$F$305&gt;=P$5)*('Leave Register'!$J$6:$J$305="Approved")*(ROW('Leave Register'!$B$6:$B$305)-5))))))</f>
        <v/>
      </c>
      <c r="Q43" s="83" t="str">
        <f aca="false">IF(OR($A43="",Q$5="",Q$7&lt;&gt;"W"),"",IF(SUMPRODUCT(MAX(('Leave Register'!$B$6:$B$305=$A43)*('Leave Register'!$E$6:$E$305&lt;=Q$5)*('Leave Register'!$F$6:$F$305&gt;=Q$5)*('Leave Register'!$J$6:$J$305="Approved")*(ROW('Leave Register'!$B$6:$B$305)-5)))=0,"",INDEX('Leave Register'!$D$6:$D$305,SUMPRODUCT(MAX(('Leave Register'!$B$6:$B$305=$A43)*('Leave Register'!$E$6:$E$305&lt;=Q$5)*('Leave Register'!$F$6:$F$305&gt;=Q$5)*('Leave Register'!$J$6:$J$305="Approved")*(ROW('Leave Register'!$B$6:$B$305)-5))))))</f>
        <v/>
      </c>
      <c r="R43" s="83" t="str">
        <f aca="false">IF(OR($A43="",R$5="",R$7&lt;&gt;"W"),"",IF(SUMPRODUCT(MAX(('Leave Register'!$B$6:$B$305=$A43)*('Leave Register'!$E$6:$E$305&lt;=R$5)*('Leave Register'!$F$6:$F$305&gt;=R$5)*('Leave Register'!$J$6:$J$305="Approved")*(ROW('Leave Register'!$B$6:$B$305)-5)))=0,"",INDEX('Leave Register'!$D$6:$D$305,SUMPRODUCT(MAX(('Leave Register'!$B$6:$B$305=$A43)*('Leave Register'!$E$6:$E$305&lt;=R$5)*('Leave Register'!$F$6:$F$305&gt;=R$5)*('Leave Register'!$J$6:$J$305="Approved")*(ROW('Leave Register'!$B$6:$B$305)-5))))))</f>
        <v/>
      </c>
      <c r="S43" s="83" t="str">
        <f aca="false">IF(OR($A43="",S$5="",S$7&lt;&gt;"W"),"",IF(SUMPRODUCT(MAX(('Leave Register'!$B$6:$B$305=$A43)*('Leave Register'!$E$6:$E$305&lt;=S$5)*('Leave Register'!$F$6:$F$305&gt;=S$5)*('Leave Register'!$J$6:$J$305="Approved")*(ROW('Leave Register'!$B$6:$B$305)-5)))=0,"",INDEX('Leave Register'!$D$6:$D$305,SUMPRODUCT(MAX(('Leave Register'!$B$6:$B$305=$A43)*('Leave Register'!$E$6:$E$305&lt;=S$5)*('Leave Register'!$F$6:$F$305&gt;=S$5)*('Leave Register'!$J$6:$J$305="Approved")*(ROW('Leave Register'!$B$6:$B$305)-5))))))</f>
        <v/>
      </c>
      <c r="T43" s="83" t="str">
        <f aca="false">IF(OR($A43="",T$5="",T$7&lt;&gt;"W"),"",IF(SUMPRODUCT(MAX(('Leave Register'!$B$6:$B$305=$A43)*('Leave Register'!$E$6:$E$305&lt;=T$5)*('Leave Register'!$F$6:$F$305&gt;=T$5)*('Leave Register'!$J$6:$J$305="Approved")*(ROW('Leave Register'!$B$6:$B$305)-5)))=0,"",INDEX('Leave Register'!$D$6:$D$305,SUMPRODUCT(MAX(('Leave Register'!$B$6:$B$305=$A43)*('Leave Register'!$E$6:$E$305&lt;=T$5)*('Leave Register'!$F$6:$F$305&gt;=T$5)*('Leave Register'!$J$6:$J$305="Approved")*(ROW('Leave Register'!$B$6:$B$305)-5))))))</f>
        <v/>
      </c>
      <c r="U43" s="83" t="str">
        <f aca="false">IF(OR($A43="",U$5="",U$7&lt;&gt;"W"),"",IF(SUMPRODUCT(MAX(('Leave Register'!$B$6:$B$305=$A43)*('Leave Register'!$E$6:$E$305&lt;=U$5)*('Leave Register'!$F$6:$F$305&gt;=U$5)*('Leave Register'!$J$6:$J$305="Approved")*(ROW('Leave Register'!$B$6:$B$305)-5)))=0,"",INDEX('Leave Register'!$D$6:$D$305,SUMPRODUCT(MAX(('Leave Register'!$B$6:$B$305=$A43)*('Leave Register'!$E$6:$E$305&lt;=U$5)*('Leave Register'!$F$6:$F$305&gt;=U$5)*('Leave Register'!$J$6:$J$305="Approved")*(ROW('Leave Register'!$B$6:$B$305)-5))))))</f>
        <v/>
      </c>
      <c r="V43" s="83" t="str">
        <f aca="false">IF(OR($A43="",V$5="",V$7&lt;&gt;"W"),"",IF(SUMPRODUCT(MAX(('Leave Register'!$B$6:$B$305=$A43)*('Leave Register'!$E$6:$E$305&lt;=V$5)*('Leave Register'!$F$6:$F$305&gt;=V$5)*('Leave Register'!$J$6:$J$305="Approved")*(ROW('Leave Register'!$B$6:$B$305)-5)))=0,"",INDEX('Leave Register'!$D$6:$D$305,SUMPRODUCT(MAX(('Leave Register'!$B$6:$B$305=$A43)*('Leave Register'!$E$6:$E$305&lt;=V$5)*('Leave Register'!$F$6:$F$305&gt;=V$5)*('Leave Register'!$J$6:$J$305="Approved")*(ROW('Leave Register'!$B$6:$B$305)-5))))))</f>
        <v/>
      </c>
      <c r="W43" s="83" t="str">
        <f aca="false">IF(OR($A43="",W$5="",W$7&lt;&gt;"W"),"",IF(SUMPRODUCT(MAX(('Leave Register'!$B$6:$B$305=$A43)*('Leave Register'!$E$6:$E$305&lt;=W$5)*('Leave Register'!$F$6:$F$305&gt;=W$5)*('Leave Register'!$J$6:$J$305="Approved")*(ROW('Leave Register'!$B$6:$B$305)-5)))=0,"",INDEX('Leave Register'!$D$6:$D$305,SUMPRODUCT(MAX(('Leave Register'!$B$6:$B$305=$A43)*('Leave Register'!$E$6:$E$305&lt;=W$5)*('Leave Register'!$F$6:$F$305&gt;=W$5)*('Leave Register'!$J$6:$J$305="Approved")*(ROW('Leave Register'!$B$6:$B$305)-5))))))</f>
        <v/>
      </c>
      <c r="X43" s="83" t="str">
        <f aca="false">IF(OR($A43="",X$5="",X$7&lt;&gt;"W"),"",IF(SUMPRODUCT(MAX(('Leave Register'!$B$6:$B$305=$A43)*('Leave Register'!$E$6:$E$305&lt;=X$5)*('Leave Register'!$F$6:$F$305&gt;=X$5)*('Leave Register'!$J$6:$J$305="Approved")*(ROW('Leave Register'!$B$6:$B$305)-5)))=0,"",INDEX('Leave Register'!$D$6:$D$305,SUMPRODUCT(MAX(('Leave Register'!$B$6:$B$305=$A43)*('Leave Register'!$E$6:$E$305&lt;=X$5)*('Leave Register'!$F$6:$F$305&gt;=X$5)*('Leave Register'!$J$6:$J$305="Approved")*(ROW('Leave Register'!$B$6:$B$305)-5))))))</f>
        <v/>
      </c>
      <c r="Y43" s="83" t="str">
        <f aca="false">IF(OR($A43="",Y$5="",Y$7&lt;&gt;"W"),"",IF(SUMPRODUCT(MAX(('Leave Register'!$B$6:$B$305=$A43)*('Leave Register'!$E$6:$E$305&lt;=Y$5)*('Leave Register'!$F$6:$F$305&gt;=Y$5)*('Leave Register'!$J$6:$J$305="Approved")*(ROW('Leave Register'!$B$6:$B$305)-5)))=0,"",INDEX('Leave Register'!$D$6:$D$305,SUMPRODUCT(MAX(('Leave Register'!$B$6:$B$305=$A43)*('Leave Register'!$E$6:$E$305&lt;=Y$5)*('Leave Register'!$F$6:$F$305&gt;=Y$5)*('Leave Register'!$J$6:$J$305="Approved")*(ROW('Leave Register'!$B$6:$B$305)-5))))))</f>
        <v/>
      </c>
      <c r="Z43" s="83" t="str">
        <f aca="false">IF(OR($A43="",Z$5="",Z$7&lt;&gt;"W"),"",IF(SUMPRODUCT(MAX(('Leave Register'!$B$6:$B$305=$A43)*('Leave Register'!$E$6:$E$305&lt;=Z$5)*('Leave Register'!$F$6:$F$305&gt;=Z$5)*('Leave Register'!$J$6:$J$305="Approved")*(ROW('Leave Register'!$B$6:$B$305)-5)))=0,"",INDEX('Leave Register'!$D$6:$D$305,SUMPRODUCT(MAX(('Leave Register'!$B$6:$B$305=$A43)*('Leave Register'!$E$6:$E$305&lt;=Z$5)*('Leave Register'!$F$6:$F$305&gt;=Z$5)*('Leave Register'!$J$6:$J$305="Approved")*(ROW('Leave Register'!$B$6:$B$305)-5))))))</f>
        <v/>
      </c>
      <c r="AA43" s="83" t="str">
        <f aca="false">IF(OR($A43="",AA$5="",AA$7&lt;&gt;"W"),"",IF(SUMPRODUCT(MAX(('Leave Register'!$B$6:$B$305=$A43)*('Leave Register'!$E$6:$E$305&lt;=AA$5)*('Leave Register'!$F$6:$F$305&gt;=AA$5)*('Leave Register'!$J$6:$J$305="Approved")*(ROW('Leave Register'!$B$6:$B$305)-5)))=0,"",INDEX('Leave Register'!$D$6:$D$305,SUMPRODUCT(MAX(('Leave Register'!$B$6:$B$305=$A43)*('Leave Register'!$E$6:$E$305&lt;=AA$5)*('Leave Register'!$F$6:$F$305&gt;=AA$5)*('Leave Register'!$J$6:$J$305="Approved")*(ROW('Leave Register'!$B$6:$B$305)-5))))))</f>
        <v/>
      </c>
      <c r="AB43" s="83" t="str">
        <f aca="false">IF(OR($A43="",AB$5="",AB$7&lt;&gt;"W"),"",IF(SUMPRODUCT(MAX(('Leave Register'!$B$6:$B$305=$A43)*('Leave Register'!$E$6:$E$305&lt;=AB$5)*('Leave Register'!$F$6:$F$305&gt;=AB$5)*('Leave Register'!$J$6:$J$305="Approved")*(ROW('Leave Register'!$B$6:$B$305)-5)))=0,"",INDEX('Leave Register'!$D$6:$D$305,SUMPRODUCT(MAX(('Leave Register'!$B$6:$B$305=$A43)*('Leave Register'!$E$6:$E$305&lt;=AB$5)*('Leave Register'!$F$6:$F$305&gt;=AB$5)*('Leave Register'!$J$6:$J$305="Approved")*(ROW('Leave Register'!$B$6:$B$305)-5))))))</f>
        <v/>
      </c>
      <c r="AC43" s="83" t="str">
        <f aca="false">IF(OR($A43="",AC$5="",AC$7&lt;&gt;"W"),"",IF(SUMPRODUCT(MAX(('Leave Register'!$B$6:$B$305=$A43)*('Leave Register'!$E$6:$E$305&lt;=AC$5)*('Leave Register'!$F$6:$F$305&gt;=AC$5)*('Leave Register'!$J$6:$J$305="Approved")*(ROW('Leave Register'!$B$6:$B$305)-5)))=0,"",INDEX('Leave Register'!$D$6:$D$305,SUMPRODUCT(MAX(('Leave Register'!$B$6:$B$305=$A43)*('Leave Register'!$E$6:$E$305&lt;=AC$5)*('Leave Register'!$F$6:$F$305&gt;=AC$5)*('Leave Register'!$J$6:$J$305="Approved")*(ROW('Leave Register'!$B$6:$B$305)-5))))))</f>
        <v/>
      </c>
      <c r="AD43" s="83" t="str">
        <f aca="false">IF(OR($A43="",AD$5="",AD$7&lt;&gt;"W"),"",IF(SUMPRODUCT(MAX(('Leave Register'!$B$6:$B$305=$A43)*('Leave Register'!$E$6:$E$305&lt;=AD$5)*('Leave Register'!$F$6:$F$305&gt;=AD$5)*('Leave Register'!$J$6:$J$305="Approved")*(ROW('Leave Register'!$B$6:$B$305)-5)))=0,"",INDEX('Leave Register'!$D$6:$D$305,SUMPRODUCT(MAX(('Leave Register'!$B$6:$B$305=$A43)*('Leave Register'!$E$6:$E$305&lt;=AD$5)*('Leave Register'!$F$6:$F$305&gt;=AD$5)*('Leave Register'!$J$6:$J$305="Approved")*(ROW('Leave Register'!$B$6:$B$305)-5))))))</f>
        <v/>
      </c>
      <c r="AE43" s="83" t="str">
        <f aca="false">IF(OR($A43="",AE$5="",AE$7&lt;&gt;"W"),"",IF(SUMPRODUCT(MAX(('Leave Register'!$B$6:$B$305=$A43)*('Leave Register'!$E$6:$E$305&lt;=AE$5)*('Leave Register'!$F$6:$F$305&gt;=AE$5)*('Leave Register'!$J$6:$J$305="Approved")*(ROW('Leave Register'!$B$6:$B$305)-5)))=0,"",INDEX('Leave Register'!$D$6:$D$305,SUMPRODUCT(MAX(('Leave Register'!$B$6:$B$305=$A43)*('Leave Register'!$E$6:$E$305&lt;=AE$5)*('Leave Register'!$F$6:$F$305&gt;=AE$5)*('Leave Register'!$J$6:$J$305="Approved")*(ROW('Leave Register'!$B$6:$B$305)-5))))))</f>
        <v/>
      </c>
      <c r="AF43" s="83" t="str">
        <f aca="false">IF(OR($A43="",AF$5="",AF$7&lt;&gt;"W"),"",IF(SUMPRODUCT(MAX(('Leave Register'!$B$6:$B$305=$A43)*('Leave Register'!$E$6:$E$305&lt;=AF$5)*('Leave Register'!$F$6:$F$305&gt;=AF$5)*('Leave Register'!$J$6:$J$305="Approved")*(ROW('Leave Register'!$B$6:$B$305)-5)))=0,"",INDEX('Leave Register'!$D$6:$D$305,SUMPRODUCT(MAX(('Leave Register'!$B$6:$B$305=$A43)*('Leave Register'!$E$6:$E$305&lt;=AF$5)*('Leave Register'!$F$6:$F$305&gt;=AF$5)*('Leave Register'!$J$6:$J$305="Approved")*(ROW('Leave Register'!$B$6:$B$305)-5))))))</f>
        <v/>
      </c>
      <c r="AG43" s="83" t="str">
        <f aca="false">IF(OR($A43="",AG$5="",AG$7&lt;&gt;"W"),"",IF(SUMPRODUCT(MAX(('Leave Register'!$B$6:$B$305=$A43)*('Leave Register'!$E$6:$E$305&lt;=AG$5)*('Leave Register'!$F$6:$F$305&gt;=AG$5)*('Leave Register'!$J$6:$J$305="Approved")*(ROW('Leave Register'!$B$6:$B$305)-5)))=0,"",INDEX('Leave Register'!$D$6:$D$305,SUMPRODUCT(MAX(('Leave Register'!$B$6:$B$305=$A43)*('Leave Register'!$E$6:$E$305&lt;=AG$5)*('Leave Register'!$F$6:$F$305&gt;=AG$5)*('Leave Register'!$J$6:$J$305="Approved")*(ROW('Leave Register'!$B$6:$B$305)-5))))))</f>
        <v/>
      </c>
      <c r="AH43" s="84" t="str">
        <f aca="false">IF(A43="","",COUNTIF(C43:AG43,"?*"))</f>
        <v/>
      </c>
    </row>
    <row r="44" customFormat="false" ht="15" hidden="false" customHeight="false" outlineLevel="0" collapsed="false">
      <c r="A44" s="81" t="str">
        <f aca="false">IF(Employees!$B$41="","",Employees!$B$41)</f>
        <v/>
      </c>
      <c r="B44" s="82" t="str">
        <f aca="false">IF(A44="","",Employees!$C$41)</f>
        <v/>
      </c>
      <c r="C44" s="83" t="str">
        <f aca="false">IF(OR($A44="",C$5="",C$7&lt;&gt;"W"),"",IF(SUMPRODUCT(MAX(('Leave Register'!$B$6:$B$305=$A44)*('Leave Register'!$E$6:$E$305&lt;=C$5)*('Leave Register'!$F$6:$F$305&gt;=C$5)*('Leave Register'!$J$6:$J$305="Approved")*(ROW('Leave Register'!$B$6:$B$305)-5)))=0,"",INDEX('Leave Register'!$D$6:$D$305,SUMPRODUCT(MAX(('Leave Register'!$B$6:$B$305=$A44)*('Leave Register'!$E$6:$E$305&lt;=C$5)*('Leave Register'!$F$6:$F$305&gt;=C$5)*('Leave Register'!$J$6:$J$305="Approved")*(ROW('Leave Register'!$B$6:$B$305)-5))))))</f>
        <v/>
      </c>
      <c r="D44" s="83" t="str">
        <f aca="false">IF(OR($A44="",D$5="",D$7&lt;&gt;"W"),"",IF(SUMPRODUCT(MAX(('Leave Register'!$B$6:$B$305=$A44)*('Leave Register'!$E$6:$E$305&lt;=D$5)*('Leave Register'!$F$6:$F$305&gt;=D$5)*('Leave Register'!$J$6:$J$305="Approved")*(ROW('Leave Register'!$B$6:$B$305)-5)))=0,"",INDEX('Leave Register'!$D$6:$D$305,SUMPRODUCT(MAX(('Leave Register'!$B$6:$B$305=$A44)*('Leave Register'!$E$6:$E$305&lt;=D$5)*('Leave Register'!$F$6:$F$305&gt;=D$5)*('Leave Register'!$J$6:$J$305="Approved")*(ROW('Leave Register'!$B$6:$B$305)-5))))))</f>
        <v/>
      </c>
      <c r="E44" s="83" t="str">
        <f aca="false">IF(OR($A44="",E$5="",E$7&lt;&gt;"W"),"",IF(SUMPRODUCT(MAX(('Leave Register'!$B$6:$B$305=$A44)*('Leave Register'!$E$6:$E$305&lt;=E$5)*('Leave Register'!$F$6:$F$305&gt;=E$5)*('Leave Register'!$J$6:$J$305="Approved")*(ROW('Leave Register'!$B$6:$B$305)-5)))=0,"",INDEX('Leave Register'!$D$6:$D$305,SUMPRODUCT(MAX(('Leave Register'!$B$6:$B$305=$A44)*('Leave Register'!$E$6:$E$305&lt;=E$5)*('Leave Register'!$F$6:$F$305&gt;=E$5)*('Leave Register'!$J$6:$J$305="Approved")*(ROW('Leave Register'!$B$6:$B$305)-5))))))</f>
        <v/>
      </c>
      <c r="F44" s="83" t="str">
        <f aca="false">IF(OR($A44="",F$5="",F$7&lt;&gt;"W"),"",IF(SUMPRODUCT(MAX(('Leave Register'!$B$6:$B$305=$A44)*('Leave Register'!$E$6:$E$305&lt;=F$5)*('Leave Register'!$F$6:$F$305&gt;=F$5)*('Leave Register'!$J$6:$J$305="Approved")*(ROW('Leave Register'!$B$6:$B$305)-5)))=0,"",INDEX('Leave Register'!$D$6:$D$305,SUMPRODUCT(MAX(('Leave Register'!$B$6:$B$305=$A44)*('Leave Register'!$E$6:$E$305&lt;=F$5)*('Leave Register'!$F$6:$F$305&gt;=F$5)*('Leave Register'!$J$6:$J$305="Approved")*(ROW('Leave Register'!$B$6:$B$305)-5))))))</f>
        <v/>
      </c>
      <c r="G44" s="83" t="str">
        <f aca="false">IF(OR($A44="",G$5="",G$7&lt;&gt;"W"),"",IF(SUMPRODUCT(MAX(('Leave Register'!$B$6:$B$305=$A44)*('Leave Register'!$E$6:$E$305&lt;=G$5)*('Leave Register'!$F$6:$F$305&gt;=G$5)*('Leave Register'!$J$6:$J$305="Approved")*(ROW('Leave Register'!$B$6:$B$305)-5)))=0,"",INDEX('Leave Register'!$D$6:$D$305,SUMPRODUCT(MAX(('Leave Register'!$B$6:$B$305=$A44)*('Leave Register'!$E$6:$E$305&lt;=G$5)*('Leave Register'!$F$6:$F$305&gt;=G$5)*('Leave Register'!$J$6:$J$305="Approved")*(ROW('Leave Register'!$B$6:$B$305)-5))))))</f>
        <v/>
      </c>
      <c r="H44" s="83" t="str">
        <f aca="false">IF(OR($A44="",H$5="",H$7&lt;&gt;"W"),"",IF(SUMPRODUCT(MAX(('Leave Register'!$B$6:$B$305=$A44)*('Leave Register'!$E$6:$E$305&lt;=H$5)*('Leave Register'!$F$6:$F$305&gt;=H$5)*('Leave Register'!$J$6:$J$305="Approved")*(ROW('Leave Register'!$B$6:$B$305)-5)))=0,"",INDEX('Leave Register'!$D$6:$D$305,SUMPRODUCT(MAX(('Leave Register'!$B$6:$B$305=$A44)*('Leave Register'!$E$6:$E$305&lt;=H$5)*('Leave Register'!$F$6:$F$305&gt;=H$5)*('Leave Register'!$J$6:$J$305="Approved")*(ROW('Leave Register'!$B$6:$B$305)-5))))))</f>
        <v/>
      </c>
      <c r="I44" s="83" t="str">
        <f aca="false">IF(OR($A44="",I$5="",I$7&lt;&gt;"W"),"",IF(SUMPRODUCT(MAX(('Leave Register'!$B$6:$B$305=$A44)*('Leave Register'!$E$6:$E$305&lt;=I$5)*('Leave Register'!$F$6:$F$305&gt;=I$5)*('Leave Register'!$J$6:$J$305="Approved")*(ROW('Leave Register'!$B$6:$B$305)-5)))=0,"",INDEX('Leave Register'!$D$6:$D$305,SUMPRODUCT(MAX(('Leave Register'!$B$6:$B$305=$A44)*('Leave Register'!$E$6:$E$305&lt;=I$5)*('Leave Register'!$F$6:$F$305&gt;=I$5)*('Leave Register'!$J$6:$J$305="Approved")*(ROW('Leave Register'!$B$6:$B$305)-5))))))</f>
        <v/>
      </c>
      <c r="J44" s="83" t="str">
        <f aca="false">IF(OR($A44="",J$5="",J$7&lt;&gt;"W"),"",IF(SUMPRODUCT(MAX(('Leave Register'!$B$6:$B$305=$A44)*('Leave Register'!$E$6:$E$305&lt;=J$5)*('Leave Register'!$F$6:$F$305&gt;=J$5)*('Leave Register'!$J$6:$J$305="Approved")*(ROW('Leave Register'!$B$6:$B$305)-5)))=0,"",INDEX('Leave Register'!$D$6:$D$305,SUMPRODUCT(MAX(('Leave Register'!$B$6:$B$305=$A44)*('Leave Register'!$E$6:$E$305&lt;=J$5)*('Leave Register'!$F$6:$F$305&gt;=J$5)*('Leave Register'!$J$6:$J$305="Approved")*(ROW('Leave Register'!$B$6:$B$305)-5))))))</f>
        <v/>
      </c>
      <c r="K44" s="83" t="str">
        <f aca="false">IF(OR($A44="",K$5="",K$7&lt;&gt;"W"),"",IF(SUMPRODUCT(MAX(('Leave Register'!$B$6:$B$305=$A44)*('Leave Register'!$E$6:$E$305&lt;=K$5)*('Leave Register'!$F$6:$F$305&gt;=K$5)*('Leave Register'!$J$6:$J$305="Approved")*(ROW('Leave Register'!$B$6:$B$305)-5)))=0,"",INDEX('Leave Register'!$D$6:$D$305,SUMPRODUCT(MAX(('Leave Register'!$B$6:$B$305=$A44)*('Leave Register'!$E$6:$E$305&lt;=K$5)*('Leave Register'!$F$6:$F$305&gt;=K$5)*('Leave Register'!$J$6:$J$305="Approved")*(ROW('Leave Register'!$B$6:$B$305)-5))))))</f>
        <v/>
      </c>
      <c r="L44" s="83" t="str">
        <f aca="false">IF(OR($A44="",L$5="",L$7&lt;&gt;"W"),"",IF(SUMPRODUCT(MAX(('Leave Register'!$B$6:$B$305=$A44)*('Leave Register'!$E$6:$E$305&lt;=L$5)*('Leave Register'!$F$6:$F$305&gt;=L$5)*('Leave Register'!$J$6:$J$305="Approved")*(ROW('Leave Register'!$B$6:$B$305)-5)))=0,"",INDEX('Leave Register'!$D$6:$D$305,SUMPRODUCT(MAX(('Leave Register'!$B$6:$B$305=$A44)*('Leave Register'!$E$6:$E$305&lt;=L$5)*('Leave Register'!$F$6:$F$305&gt;=L$5)*('Leave Register'!$J$6:$J$305="Approved")*(ROW('Leave Register'!$B$6:$B$305)-5))))))</f>
        <v/>
      </c>
      <c r="M44" s="83" t="str">
        <f aca="false">IF(OR($A44="",M$5="",M$7&lt;&gt;"W"),"",IF(SUMPRODUCT(MAX(('Leave Register'!$B$6:$B$305=$A44)*('Leave Register'!$E$6:$E$305&lt;=M$5)*('Leave Register'!$F$6:$F$305&gt;=M$5)*('Leave Register'!$J$6:$J$305="Approved")*(ROW('Leave Register'!$B$6:$B$305)-5)))=0,"",INDEX('Leave Register'!$D$6:$D$305,SUMPRODUCT(MAX(('Leave Register'!$B$6:$B$305=$A44)*('Leave Register'!$E$6:$E$305&lt;=M$5)*('Leave Register'!$F$6:$F$305&gt;=M$5)*('Leave Register'!$J$6:$J$305="Approved")*(ROW('Leave Register'!$B$6:$B$305)-5))))))</f>
        <v/>
      </c>
      <c r="N44" s="83" t="str">
        <f aca="false">IF(OR($A44="",N$5="",N$7&lt;&gt;"W"),"",IF(SUMPRODUCT(MAX(('Leave Register'!$B$6:$B$305=$A44)*('Leave Register'!$E$6:$E$305&lt;=N$5)*('Leave Register'!$F$6:$F$305&gt;=N$5)*('Leave Register'!$J$6:$J$305="Approved")*(ROW('Leave Register'!$B$6:$B$305)-5)))=0,"",INDEX('Leave Register'!$D$6:$D$305,SUMPRODUCT(MAX(('Leave Register'!$B$6:$B$305=$A44)*('Leave Register'!$E$6:$E$305&lt;=N$5)*('Leave Register'!$F$6:$F$305&gt;=N$5)*('Leave Register'!$J$6:$J$305="Approved")*(ROW('Leave Register'!$B$6:$B$305)-5))))))</f>
        <v/>
      </c>
      <c r="O44" s="83" t="str">
        <f aca="false">IF(OR($A44="",O$5="",O$7&lt;&gt;"W"),"",IF(SUMPRODUCT(MAX(('Leave Register'!$B$6:$B$305=$A44)*('Leave Register'!$E$6:$E$305&lt;=O$5)*('Leave Register'!$F$6:$F$305&gt;=O$5)*('Leave Register'!$J$6:$J$305="Approved")*(ROW('Leave Register'!$B$6:$B$305)-5)))=0,"",INDEX('Leave Register'!$D$6:$D$305,SUMPRODUCT(MAX(('Leave Register'!$B$6:$B$305=$A44)*('Leave Register'!$E$6:$E$305&lt;=O$5)*('Leave Register'!$F$6:$F$305&gt;=O$5)*('Leave Register'!$J$6:$J$305="Approved")*(ROW('Leave Register'!$B$6:$B$305)-5))))))</f>
        <v/>
      </c>
      <c r="P44" s="83" t="str">
        <f aca="false">IF(OR($A44="",P$5="",P$7&lt;&gt;"W"),"",IF(SUMPRODUCT(MAX(('Leave Register'!$B$6:$B$305=$A44)*('Leave Register'!$E$6:$E$305&lt;=P$5)*('Leave Register'!$F$6:$F$305&gt;=P$5)*('Leave Register'!$J$6:$J$305="Approved")*(ROW('Leave Register'!$B$6:$B$305)-5)))=0,"",INDEX('Leave Register'!$D$6:$D$305,SUMPRODUCT(MAX(('Leave Register'!$B$6:$B$305=$A44)*('Leave Register'!$E$6:$E$305&lt;=P$5)*('Leave Register'!$F$6:$F$305&gt;=P$5)*('Leave Register'!$J$6:$J$305="Approved")*(ROW('Leave Register'!$B$6:$B$305)-5))))))</f>
        <v/>
      </c>
      <c r="Q44" s="83" t="str">
        <f aca="false">IF(OR($A44="",Q$5="",Q$7&lt;&gt;"W"),"",IF(SUMPRODUCT(MAX(('Leave Register'!$B$6:$B$305=$A44)*('Leave Register'!$E$6:$E$305&lt;=Q$5)*('Leave Register'!$F$6:$F$305&gt;=Q$5)*('Leave Register'!$J$6:$J$305="Approved")*(ROW('Leave Register'!$B$6:$B$305)-5)))=0,"",INDEX('Leave Register'!$D$6:$D$305,SUMPRODUCT(MAX(('Leave Register'!$B$6:$B$305=$A44)*('Leave Register'!$E$6:$E$305&lt;=Q$5)*('Leave Register'!$F$6:$F$305&gt;=Q$5)*('Leave Register'!$J$6:$J$305="Approved")*(ROW('Leave Register'!$B$6:$B$305)-5))))))</f>
        <v/>
      </c>
      <c r="R44" s="83" t="str">
        <f aca="false">IF(OR($A44="",R$5="",R$7&lt;&gt;"W"),"",IF(SUMPRODUCT(MAX(('Leave Register'!$B$6:$B$305=$A44)*('Leave Register'!$E$6:$E$305&lt;=R$5)*('Leave Register'!$F$6:$F$305&gt;=R$5)*('Leave Register'!$J$6:$J$305="Approved")*(ROW('Leave Register'!$B$6:$B$305)-5)))=0,"",INDEX('Leave Register'!$D$6:$D$305,SUMPRODUCT(MAX(('Leave Register'!$B$6:$B$305=$A44)*('Leave Register'!$E$6:$E$305&lt;=R$5)*('Leave Register'!$F$6:$F$305&gt;=R$5)*('Leave Register'!$J$6:$J$305="Approved")*(ROW('Leave Register'!$B$6:$B$305)-5))))))</f>
        <v/>
      </c>
      <c r="S44" s="83" t="str">
        <f aca="false">IF(OR($A44="",S$5="",S$7&lt;&gt;"W"),"",IF(SUMPRODUCT(MAX(('Leave Register'!$B$6:$B$305=$A44)*('Leave Register'!$E$6:$E$305&lt;=S$5)*('Leave Register'!$F$6:$F$305&gt;=S$5)*('Leave Register'!$J$6:$J$305="Approved")*(ROW('Leave Register'!$B$6:$B$305)-5)))=0,"",INDEX('Leave Register'!$D$6:$D$305,SUMPRODUCT(MAX(('Leave Register'!$B$6:$B$305=$A44)*('Leave Register'!$E$6:$E$305&lt;=S$5)*('Leave Register'!$F$6:$F$305&gt;=S$5)*('Leave Register'!$J$6:$J$305="Approved")*(ROW('Leave Register'!$B$6:$B$305)-5))))))</f>
        <v/>
      </c>
      <c r="T44" s="83" t="str">
        <f aca="false">IF(OR($A44="",T$5="",T$7&lt;&gt;"W"),"",IF(SUMPRODUCT(MAX(('Leave Register'!$B$6:$B$305=$A44)*('Leave Register'!$E$6:$E$305&lt;=T$5)*('Leave Register'!$F$6:$F$305&gt;=T$5)*('Leave Register'!$J$6:$J$305="Approved")*(ROW('Leave Register'!$B$6:$B$305)-5)))=0,"",INDEX('Leave Register'!$D$6:$D$305,SUMPRODUCT(MAX(('Leave Register'!$B$6:$B$305=$A44)*('Leave Register'!$E$6:$E$305&lt;=T$5)*('Leave Register'!$F$6:$F$305&gt;=T$5)*('Leave Register'!$J$6:$J$305="Approved")*(ROW('Leave Register'!$B$6:$B$305)-5))))))</f>
        <v/>
      </c>
      <c r="U44" s="83" t="str">
        <f aca="false">IF(OR($A44="",U$5="",U$7&lt;&gt;"W"),"",IF(SUMPRODUCT(MAX(('Leave Register'!$B$6:$B$305=$A44)*('Leave Register'!$E$6:$E$305&lt;=U$5)*('Leave Register'!$F$6:$F$305&gt;=U$5)*('Leave Register'!$J$6:$J$305="Approved")*(ROW('Leave Register'!$B$6:$B$305)-5)))=0,"",INDEX('Leave Register'!$D$6:$D$305,SUMPRODUCT(MAX(('Leave Register'!$B$6:$B$305=$A44)*('Leave Register'!$E$6:$E$305&lt;=U$5)*('Leave Register'!$F$6:$F$305&gt;=U$5)*('Leave Register'!$J$6:$J$305="Approved")*(ROW('Leave Register'!$B$6:$B$305)-5))))))</f>
        <v/>
      </c>
      <c r="V44" s="83" t="str">
        <f aca="false">IF(OR($A44="",V$5="",V$7&lt;&gt;"W"),"",IF(SUMPRODUCT(MAX(('Leave Register'!$B$6:$B$305=$A44)*('Leave Register'!$E$6:$E$305&lt;=V$5)*('Leave Register'!$F$6:$F$305&gt;=V$5)*('Leave Register'!$J$6:$J$305="Approved")*(ROW('Leave Register'!$B$6:$B$305)-5)))=0,"",INDEX('Leave Register'!$D$6:$D$305,SUMPRODUCT(MAX(('Leave Register'!$B$6:$B$305=$A44)*('Leave Register'!$E$6:$E$305&lt;=V$5)*('Leave Register'!$F$6:$F$305&gt;=V$5)*('Leave Register'!$J$6:$J$305="Approved")*(ROW('Leave Register'!$B$6:$B$305)-5))))))</f>
        <v/>
      </c>
      <c r="W44" s="83" t="str">
        <f aca="false">IF(OR($A44="",W$5="",W$7&lt;&gt;"W"),"",IF(SUMPRODUCT(MAX(('Leave Register'!$B$6:$B$305=$A44)*('Leave Register'!$E$6:$E$305&lt;=W$5)*('Leave Register'!$F$6:$F$305&gt;=W$5)*('Leave Register'!$J$6:$J$305="Approved")*(ROW('Leave Register'!$B$6:$B$305)-5)))=0,"",INDEX('Leave Register'!$D$6:$D$305,SUMPRODUCT(MAX(('Leave Register'!$B$6:$B$305=$A44)*('Leave Register'!$E$6:$E$305&lt;=W$5)*('Leave Register'!$F$6:$F$305&gt;=W$5)*('Leave Register'!$J$6:$J$305="Approved")*(ROW('Leave Register'!$B$6:$B$305)-5))))))</f>
        <v/>
      </c>
      <c r="X44" s="83" t="str">
        <f aca="false">IF(OR($A44="",X$5="",X$7&lt;&gt;"W"),"",IF(SUMPRODUCT(MAX(('Leave Register'!$B$6:$B$305=$A44)*('Leave Register'!$E$6:$E$305&lt;=X$5)*('Leave Register'!$F$6:$F$305&gt;=X$5)*('Leave Register'!$J$6:$J$305="Approved")*(ROW('Leave Register'!$B$6:$B$305)-5)))=0,"",INDEX('Leave Register'!$D$6:$D$305,SUMPRODUCT(MAX(('Leave Register'!$B$6:$B$305=$A44)*('Leave Register'!$E$6:$E$305&lt;=X$5)*('Leave Register'!$F$6:$F$305&gt;=X$5)*('Leave Register'!$J$6:$J$305="Approved")*(ROW('Leave Register'!$B$6:$B$305)-5))))))</f>
        <v/>
      </c>
      <c r="Y44" s="83" t="str">
        <f aca="false">IF(OR($A44="",Y$5="",Y$7&lt;&gt;"W"),"",IF(SUMPRODUCT(MAX(('Leave Register'!$B$6:$B$305=$A44)*('Leave Register'!$E$6:$E$305&lt;=Y$5)*('Leave Register'!$F$6:$F$305&gt;=Y$5)*('Leave Register'!$J$6:$J$305="Approved")*(ROW('Leave Register'!$B$6:$B$305)-5)))=0,"",INDEX('Leave Register'!$D$6:$D$305,SUMPRODUCT(MAX(('Leave Register'!$B$6:$B$305=$A44)*('Leave Register'!$E$6:$E$305&lt;=Y$5)*('Leave Register'!$F$6:$F$305&gt;=Y$5)*('Leave Register'!$J$6:$J$305="Approved")*(ROW('Leave Register'!$B$6:$B$305)-5))))))</f>
        <v/>
      </c>
      <c r="Z44" s="83" t="str">
        <f aca="false">IF(OR($A44="",Z$5="",Z$7&lt;&gt;"W"),"",IF(SUMPRODUCT(MAX(('Leave Register'!$B$6:$B$305=$A44)*('Leave Register'!$E$6:$E$305&lt;=Z$5)*('Leave Register'!$F$6:$F$305&gt;=Z$5)*('Leave Register'!$J$6:$J$305="Approved")*(ROW('Leave Register'!$B$6:$B$305)-5)))=0,"",INDEX('Leave Register'!$D$6:$D$305,SUMPRODUCT(MAX(('Leave Register'!$B$6:$B$305=$A44)*('Leave Register'!$E$6:$E$305&lt;=Z$5)*('Leave Register'!$F$6:$F$305&gt;=Z$5)*('Leave Register'!$J$6:$J$305="Approved")*(ROW('Leave Register'!$B$6:$B$305)-5))))))</f>
        <v/>
      </c>
      <c r="AA44" s="83" t="str">
        <f aca="false">IF(OR($A44="",AA$5="",AA$7&lt;&gt;"W"),"",IF(SUMPRODUCT(MAX(('Leave Register'!$B$6:$B$305=$A44)*('Leave Register'!$E$6:$E$305&lt;=AA$5)*('Leave Register'!$F$6:$F$305&gt;=AA$5)*('Leave Register'!$J$6:$J$305="Approved")*(ROW('Leave Register'!$B$6:$B$305)-5)))=0,"",INDEX('Leave Register'!$D$6:$D$305,SUMPRODUCT(MAX(('Leave Register'!$B$6:$B$305=$A44)*('Leave Register'!$E$6:$E$305&lt;=AA$5)*('Leave Register'!$F$6:$F$305&gt;=AA$5)*('Leave Register'!$J$6:$J$305="Approved")*(ROW('Leave Register'!$B$6:$B$305)-5))))))</f>
        <v/>
      </c>
      <c r="AB44" s="83" t="str">
        <f aca="false">IF(OR($A44="",AB$5="",AB$7&lt;&gt;"W"),"",IF(SUMPRODUCT(MAX(('Leave Register'!$B$6:$B$305=$A44)*('Leave Register'!$E$6:$E$305&lt;=AB$5)*('Leave Register'!$F$6:$F$305&gt;=AB$5)*('Leave Register'!$J$6:$J$305="Approved")*(ROW('Leave Register'!$B$6:$B$305)-5)))=0,"",INDEX('Leave Register'!$D$6:$D$305,SUMPRODUCT(MAX(('Leave Register'!$B$6:$B$305=$A44)*('Leave Register'!$E$6:$E$305&lt;=AB$5)*('Leave Register'!$F$6:$F$305&gt;=AB$5)*('Leave Register'!$J$6:$J$305="Approved")*(ROW('Leave Register'!$B$6:$B$305)-5))))))</f>
        <v/>
      </c>
      <c r="AC44" s="83" t="str">
        <f aca="false">IF(OR($A44="",AC$5="",AC$7&lt;&gt;"W"),"",IF(SUMPRODUCT(MAX(('Leave Register'!$B$6:$B$305=$A44)*('Leave Register'!$E$6:$E$305&lt;=AC$5)*('Leave Register'!$F$6:$F$305&gt;=AC$5)*('Leave Register'!$J$6:$J$305="Approved")*(ROW('Leave Register'!$B$6:$B$305)-5)))=0,"",INDEX('Leave Register'!$D$6:$D$305,SUMPRODUCT(MAX(('Leave Register'!$B$6:$B$305=$A44)*('Leave Register'!$E$6:$E$305&lt;=AC$5)*('Leave Register'!$F$6:$F$305&gt;=AC$5)*('Leave Register'!$J$6:$J$305="Approved")*(ROW('Leave Register'!$B$6:$B$305)-5))))))</f>
        <v/>
      </c>
      <c r="AD44" s="83" t="str">
        <f aca="false">IF(OR($A44="",AD$5="",AD$7&lt;&gt;"W"),"",IF(SUMPRODUCT(MAX(('Leave Register'!$B$6:$B$305=$A44)*('Leave Register'!$E$6:$E$305&lt;=AD$5)*('Leave Register'!$F$6:$F$305&gt;=AD$5)*('Leave Register'!$J$6:$J$305="Approved")*(ROW('Leave Register'!$B$6:$B$305)-5)))=0,"",INDEX('Leave Register'!$D$6:$D$305,SUMPRODUCT(MAX(('Leave Register'!$B$6:$B$305=$A44)*('Leave Register'!$E$6:$E$305&lt;=AD$5)*('Leave Register'!$F$6:$F$305&gt;=AD$5)*('Leave Register'!$J$6:$J$305="Approved")*(ROW('Leave Register'!$B$6:$B$305)-5))))))</f>
        <v/>
      </c>
      <c r="AE44" s="83" t="str">
        <f aca="false">IF(OR($A44="",AE$5="",AE$7&lt;&gt;"W"),"",IF(SUMPRODUCT(MAX(('Leave Register'!$B$6:$B$305=$A44)*('Leave Register'!$E$6:$E$305&lt;=AE$5)*('Leave Register'!$F$6:$F$305&gt;=AE$5)*('Leave Register'!$J$6:$J$305="Approved")*(ROW('Leave Register'!$B$6:$B$305)-5)))=0,"",INDEX('Leave Register'!$D$6:$D$305,SUMPRODUCT(MAX(('Leave Register'!$B$6:$B$305=$A44)*('Leave Register'!$E$6:$E$305&lt;=AE$5)*('Leave Register'!$F$6:$F$305&gt;=AE$5)*('Leave Register'!$J$6:$J$305="Approved")*(ROW('Leave Register'!$B$6:$B$305)-5))))))</f>
        <v/>
      </c>
      <c r="AF44" s="83" t="str">
        <f aca="false">IF(OR($A44="",AF$5="",AF$7&lt;&gt;"W"),"",IF(SUMPRODUCT(MAX(('Leave Register'!$B$6:$B$305=$A44)*('Leave Register'!$E$6:$E$305&lt;=AF$5)*('Leave Register'!$F$6:$F$305&gt;=AF$5)*('Leave Register'!$J$6:$J$305="Approved")*(ROW('Leave Register'!$B$6:$B$305)-5)))=0,"",INDEX('Leave Register'!$D$6:$D$305,SUMPRODUCT(MAX(('Leave Register'!$B$6:$B$305=$A44)*('Leave Register'!$E$6:$E$305&lt;=AF$5)*('Leave Register'!$F$6:$F$305&gt;=AF$5)*('Leave Register'!$J$6:$J$305="Approved")*(ROW('Leave Register'!$B$6:$B$305)-5))))))</f>
        <v/>
      </c>
      <c r="AG44" s="83" t="str">
        <f aca="false">IF(OR($A44="",AG$5="",AG$7&lt;&gt;"W"),"",IF(SUMPRODUCT(MAX(('Leave Register'!$B$6:$B$305=$A44)*('Leave Register'!$E$6:$E$305&lt;=AG$5)*('Leave Register'!$F$6:$F$305&gt;=AG$5)*('Leave Register'!$J$6:$J$305="Approved")*(ROW('Leave Register'!$B$6:$B$305)-5)))=0,"",INDEX('Leave Register'!$D$6:$D$305,SUMPRODUCT(MAX(('Leave Register'!$B$6:$B$305=$A44)*('Leave Register'!$E$6:$E$305&lt;=AG$5)*('Leave Register'!$F$6:$F$305&gt;=AG$5)*('Leave Register'!$J$6:$J$305="Approved")*(ROW('Leave Register'!$B$6:$B$305)-5))))))</f>
        <v/>
      </c>
      <c r="AH44" s="84" t="str">
        <f aca="false">IF(A44="","",COUNTIF(C44:AG44,"?*"))</f>
        <v/>
      </c>
    </row>
    <row r="45" customFormat="false" ht="15" hidden="false" customHeight="false" outlineLevel="0" collapsed="false">
      <c r="A45" s="81" t="str">
        <f aca="false">IF(Employees!$B$42="","",Employees!$B$42)</f>
        <v/>
      </c>
      <c r="B45" s="82" t="str">
        <f aca="false">IF(A45="","",Employees!$C$42)</f>
        <v/>
      </c>
      <c r="C45" s="83" t="str">
        <f aca="false">IF(OR($A45="",C$5="",C$7&lt;&gt;"W"),"",IF(SUMPRODUCT(MAX(('Leave Register'!$B$6:$B$305=$A45)*('Leave Register'!$E$6:$E$305&lt;=C$5)*('Leave Register'!$F$6:$F$305&gt;=C$5)*('Leave Register'!$J$6:$J$305="Approved")*(ROW('Leave Register'!$B$6:$B$305)-5)))=0,"",INDEX('Leave Register'!$D$6:$D$305,SUMPRODUCT(MAX(('Leave Register'!$B$6:$B$305=$A45)*('Leave Register'!$E$6:$E$305&lt;=C$5)*('Leave Register'!$F$6:$F$305&gt;=C$5)*('Leave Register'!$J$6:$J$305="Approved")*(ROW('Leave Register'!$B$6:$B$305)-5))))))</f>
        <v/>
      </c>
      <c r="D45" s="83" t="str">
        <f aca="false">IF(OR($A45="",D$5="",D$7&lt;&gt;"W"),"",IF(SUMPRODUCT(MAX(('Leave Register'!$B$6:$B$305=$A45)*('Leave Register'!$E$6:$E$305&lt;=D$5)*('Leave Register'!$F$6:$F$305&gt;=D$5)*('Leave Register'!$J$6:$J$305="Approved")*(ROW('Leave Register'!$B$6:$B$305)-5)))=0,"",INDEX('Leave Register'!$D$6:$D$305,SUMPRODUCT(MAX(('Leave Register'!$B$6:$B$305=$A45)*('Leave Register'!$E$6:$E$305&lt;=D$5)*('Leave Register'!$F$6:$F$305&gt;=D$5)*('Leave Register'!$J$6:$J$305="Approved")*(ROW('Leave Register'!$B$6:$B$305)-5))))))</f>
        <v/>
      </c>
      <c r="E45" s="83" t="str">
        <f aca="false">IF(OR($A45="",E$5="",E$7&lt;&gt;"W"),"",IF(SUMPRODUCT(MAX(('Leave Register'!$B$6:$B$305=$A45)*('Leave Register'!$E$6:$E$305&lt;=E$5)*('Leave Register'!$F$6:$F$305&gt;=E$5)*('Leave Register'!$J$6:$J$305="Approved")*(ROW('Leave Register'!$B$6:$B$305)-5)))=0,"",INDEX('Leave Register'!$D$6:$D$305,SUMPRODUCT(MAX(('Leave Register'!$B$6:$B$305=$A45)*('Leave Register'!$E$6:$E$305&lt;=E$5)*('Leave Register'!$F$6:$F$305&gt;=E$5)*('Leave Register'!$J$6:$J$305="Approved")*(ROW('Leave Register'!$B$6:$B$305)-5))))))</f>
        <v/>
      </c>
      <c r="F45" s="83" t="str">
        <f aca="false">IF(OR($A45="",F$5="",F$7&lt;&gt;"W"),"",IF(SUMPRODUCT(MAX(('Leave Register'!$B$6:$B$305=$A45)*('Leave Register'!$E$6:$E$305&lt;=F$5)*('Leave Register'!$F$6:$F$305&gt;=F$5)*('Leave Register'!$J$6:$J$305="Approved")*(ROW('Leave Register'!$B$6:$B$305)-5)))=0,"",INDEX('Leave Register'!$D$6:$D$305,SUMPRODUCT(MAX(('Leave Register'!$B$6:$B$305=$A45)*('Leave Register'!$E$6:$E$305&lt;=F$5)*('Leave Register'!$F$6:$F$305&gt;=F$5)*('Leave Register'!$J$6:$J$305="Approved")*(ROW('Leave Register'!$B$6:$B$305)-5))))))</f>
        <v/>
      </c>
      <c r="G45" s="83" t="str">
        <f aca="false">IF(OR($A45="",G$5="",G$7&lt;&gt;"W"),"",IF(SUMPRODUCT(MAX(('Leave Register'!$B$6:$B$305=$A45)*('Leave Register'!$E$6:$E$305&lt;=G$5)*('Leave Register'!$F$6:$F$305&gt;=G$5)*('Leave Register'!$J$6:$J$305="Approved")*(ROW('Leave Register'!$B$6:$B$305)-5)))=0,"",INDEX('Leave Register'!$D$6:$D$305,SUMPRODUCT(MAX(('Leave Register'!$B$6:$B$305=$A45)*('Leave Register'!$E$6:$E$305&lt;=G$5)*('Leave Register'!$F$6:$F$305&gt;=G$5)*('Leave Register'!$J$6:$J$305="Approved")*(ROW('Leave Register'!$B$6:$B$305)-5))))))</f>
        <v/>
      </c>
      <c r="H45" s="83" t="str">
        <f aca="false">IF(OR($A45="",H$5="",H$7&lt;&gt;"W"),"",IF(SUMPRODUCT(MAX(('Leave Register'!$B$6:$B$305=$A45)*('Leave Register'!$E$6:$E$305&lt;=H$5)*('Leave Register'!$F$6:$F$305&gt;=H$5)*('Leave Register'!$J$6:$J$305="Approved")*(ROW('Leave Register'!$B$6:$B$305)-5)))=0,"",INDEX('Leave Register'!$D$6:$D$305,SUMPRODUCT(MAX(('Leave Register'!$B$6:$B$305=$A45)*('Leave Register'!$E$6:$E$305&lt;=H$5)*('Leave Register'!$F$6:$F$305&gt;=H$5)*('Leave Register'!$J$6:$J$305="Approved")*(ROW('Leave Register'!$B$6:$B$305)-5))))))</f>
        <v/>
      </c>
      <c r="I45" s="83" t="str">
        <f aca="false">IF(OR($A45="",I$5="",I$7&lt;&gt;"W"),"",IF(SUMPRODUCT(MAX(('Leave Register'!$B$6:$B$305=$A45)*('Leave Register'!$E$6:$E$305&lt;=I$5)*('Leave Register'!$F$6:$F$305&gt;=I$5)*('Leave Register'!$J$6:$J$305="Approved")*(ROW('Leave Register'!$B$6:$B$305)-5)))=0,"",INDEX('Leave Register'!$D$6:$D$305,SUMPRODUCT(MAX(('Leave Register'!$B$6:$B$305=$A45)*('Leave Register'!$E$6:$E$305&lt;=I$5)*('Leave Register'!$F$6:$F$305&gt;=I$5)*('Leave Register'!$J$6:$J$305="Approved")*(ROW('Leave Register'!$B$6:$B$305)-5))))))</f>
        <v/>
      </c>
      <c r="J45" s="83" t="str">
        <f aca="false">IF(OR($A45="",J$5="",J$7&lt;&gt;"W"),"",IF(SUMPRODUCT(MAX(('Leave Register'!$B$6:$B$305=$A45)*('Leave Register'!$E$6:$E$305&lt;=J$5)*('Leave Register'!$F$6:$F$305&gt;=J$5)*('Leave Register'!$J$6:$J$305="Approved")*(ROW('Leave Register'!$B$6:$B$305)-5)))=0,"",INDEX('Leave Register'!$D$6:$D$305,SUMPRODUCT(MAX(('Leave Register'!$B$6:$B$305=$A45)*('Leave Register'!$E$6:$E$305&lt;=J$5)*('Leave Register'!$F$6:$F$305&gt;=J$5)*('Leave Register'!$J$6:$J$305="Approved")*(ROW('Leave Register'!$B$6:$B$305)-5))))))</f>
        <v/>
      </c>
      <c r="K45" s="83" t="str">
        <f aca="false">IF(OR($A45="",K$5="",K$7&lt;&gt;"W"),"",IF(SUMPRODUCT(MAX(('Leave Register'!$B$6:$B$305=$A45)*('Leave Register'!$E$6:$E$305&lt;=K$5)*('Leave Register'!$F$6:$F$305&gt;=K$5)*('Leave Register'!$J$6:$J$305="Approved")*(ROW('Leave Register'!$B$6:$B$305)-5)))=0,"",INDEX('Leave Register'!$D$6:$D$305,SUMPRODUCT(MAX(('Leave Register'!$B$6:$B$305=$A45)*('Leave Register'!$E$6:$E$305&lt;=K$5)*('Leave Register'!$F$6:$F$305&gt;=K$5)*('Leave Register'!$J$6:$J$305="Approved")*(ROW('Leave Register'!$B$6:$B$305)-5))))))</f>
        <v/>
      </c>
      <c r="L45" s="83" t="str">
        <f aca="false">IF(OR($A45="",L$5="",L$7&lt;&gt;"W"),"",IF(SUMPRODUCT(MAX(('Leave Register'!$B$6:$B$305=$A45)*('Leave Register'!$E$6:$E$305&lt;=L$5)*('Leave Register'!$F$6:$F$305&gt;=L$5)*('Leave Register'!$J$6:$J$305="Approved")*(ROW('Leave Register'!$B$6:$B$305)-5)))=0,"",INDEX('Leave Register'!$D$6:$D$305,SUMPRODUCT(MAX(('Leave Register'!$B$6:$B$305=$A45)*('Leave Register'!$E$6:$E$305&lt;=L$5)*('Leave Register'!$F$6:$F$305&gt;=L$5)*('Leave Register'!$J$6:$J$305="Approved")*(ROW('Leave Register'!$B$6:$B$305)-5))))))</f>
        <v/>
      </c>
      <c r="M45" s="83" t="str">
        <f aca="false">IF(OR($A45="",M$5="",M$7&lt;&gt;"W"),"",IF(SUMPRODUCT(MAX(('Leave Register'!$B$6:$B$305=$A45)*('Leave Register'!$E$6:$E$305&lt;=M$5)*('Leave Register'!$F$6:$F$305&gt;=M$5)*('Leave Register'!$J$6:$J$305="Approved")*(ROW('Leave Register'!$B$6:$B$305)-5)))=0,"",INDEX('Leave Register'!$D$6:$D$305,SUMPRODUCT(MAX(('Leave Register'!$B$6:$B$305=$A45)*('Leave Register'!$E$6:$E$305&lt;=M$5)*('Leave Register'!$F$6:$F$305&gt;=M$5)*('Leave Register'!$J$6:$J$305="Approved")*(ROW('Leave Register'!$B$6:$B$305)-5))))))</f>
        <v/>
      </c>
      <c r="N45" s="83" t="str">
        <f aca="false">IF(OR($A45="",N$5="",N$7&lt;&gt;"W"),"",IF(SUMPRODUCT(MAX(('Leave Register'!$B$6:$B$305=$A45)*('Leave Register'!$E$6:$E$305&lt;=N$5)*('Leave Register'!$F$6:$F$305&gt;=N$5)*('Leave Register'!$J$6:$J$305="Approved")*(ROW('Leave Register'!$B$6:$B$305)-5)))=0,"",INDEX('Leave Register'!$D$6:$D$305,SUMPRODUCT(MAX(('Leave Register'!$B$6:$B$305=$A45)*('Leave Register'!$E$6:$E$305&lt;=N$5)*('Leave Register'!$F$6:$F$305&gt;=N$5)*('Leave Register'!$J$6:$J$305="Approved")*(ROW('Leave Register'!$B$6:$B$305)-5))))))</f>
        <v/>
      </c>
      <c r="O45" s="83" t="str">
        <f aca="false">IF(OR($A45="",O$5="",O$7&lt;&gt;"W"),"",IF(SUMPRODUCT(MAX(('Leave Register'!$B$6:$B$305=$A45)*('Leave Register'!$E$6:$E$305&lt;=O$5)*('Leave Register'!$F$6:$F$305&gt;=O$5)*('Leave Register'!$J$6:$J$305="Approved")*(ROW('Leave Register'!$B$6:$B$305)-5)))=0,"",INDEX('Leave Register'!$D$6:$D$305,SUMPRODUCT(MAX(('Leave Register'!$B$6:$B$305=$A45)*('Leave Register'!$E$6:$E$305&lt;=O$5)*('Leave Register'!$F$6:$F$305&gt;=O$5)*('Leave Register'!$J$6:$J$305="Approved")*(ROW('Leave Register'!$B$6:$B$305)-5))))))</f>
        <v/>
      </c>
      <c r="P45" s="83" t="str">
        <f aca="false">IF(OR($A45="",P$5="",P$7&lt;&gt;"W"),"",IF(SUMPRODUCT(MAX(('Leave Register'!$B$6:$B$305=$A45)*('Leave Register'!$E$6:$E$305&lt;=P$5)*('Leave Register'!$F$6:$F$305&gt;=P$5)*('Leave Register'!$J$6:$J$305="Approved")*(ROW('Leave Register'!$B$6:$B$305)-5)))=0,"",INDEX('Leave Register'!$D$6:$D$305,SUMPRODUCT(MAX(('Leave Register'!$B$6:$B$305=$A45)*('Leave Register'!$E$6:$E$305&lt;=P$5)*('Leave Register'!$F$6:$F$305&gt;=P$5)*('Leave Register'!$J$6:$J$305="Approved")*(ROW('Leave Register'!$B$6:$B$305)-5))))))</f>
        <v/>
      </c>
      <c r="Q45" s="83" t="str">
        <f aca="false">IF(OR($A45="",Q$5="",Q$7&lt;&gt;"W"),"",IF(SUMPRODUCT(MAX(('Leave Register'!$B$6:$B$305=$A45)*('Leave Register'!$E$6:$E$305&lt;=Q$5)*('Leave Register'!$F$6:$F$305&gt;=Q$5)*('Leave Register'!$J$6:$J$305="Approved")*(ROW('Leave Register'!$B$6:$B$305)-5)))=0,"",INDEX('Leave Register'!$D$6:$D$305,SUMPRODUCT(MAX(('Leave Register'!$B$6:$B$305=$A45)*('Leave Register'!$E$6:$E$305&lt;=Q$5)*('Leave Register'!$F$6:$F$305&gt;=Q$5)*('Leave Register'!$J$6:$J$305="Approved")*(ROW('Leave Register'!$B$6:$B$305)-5))))))</f>
        <v/>
      </c>
      <c r="R45" s="83" t="str">
        <f aca="false">IF(OR($A45="",R$5="",R$7&lt;&gt;"W"),"",IF(SUMPRODUCT(MAX(('Leave Register'!$B$6:$B$305=$A45)*('Leave Register'!$E$6:$E$305&lt;=R$5)*('Leave Register'!$F$6:$F$305&gt;=R$5)*('Leave Register'!$J$6:$J$305="Approved")*(ROW('Leave Register'!$B$6:$B$305)-5)))=0,"",INDEX('Leave Register'!$D$6:$D$305,SUMPRODUCT(MAX(('Leave Register'!$B$6:$B$305=$A45)*('Leave Register'!$E$6:$E$305&lt;=R$5)*('Leave Register'!$F$6:$F$305&gt;=R$5)*('Leave Register'!$J$6:$J$305="Approved")*(ROW('Leave Register'!$B$6:$B$305)-5))))))</f>
        <v/>
      </c>
      <c r="S45" s="83" t="str">
        <f aca="false">IF(OR($A45="",S$5="",S$7&lt;&gt;"W"),"",IF(SUMPRODUCT(MAX(('Leave Register'!$B$6:$B$305=$A45)*('Leave Register'!$E$6:$E$305&lt;=S$5)*('Leave Register'!$F$6:$F$305&gt;=S$5)*('Leave Register'!$J$6:$J$305="Approved")*(ROW('Leave Register'!$B$6:$B$305)-5)))=0,"",INDEX('Leave Register'!$D$6:$D$305,SUMPRODUCT(MAX(('Leave Register'!$B$6:$B$305=$A45)*('Leave Register'!$E$6:$E$305&lt;=S$5)*('Leave Register'!$F$6:$F$305&gt;=S$5)*('Leave Register'!$J$6:$J$305="Approved")*(ROW('Leave Register'!$B$6:$B$305)-5))))))</f>
        <v/>
      </c>
      <c r="T45" s="83" t="str">
        <f aca="false">IF(OR($A45="",T$5="",T$7&lt;&gt;"W"),"",IF(SUMPRODUCT(MAX(('Leave Register'!$B$6:$B$305=$A45)*('Leave Register'!$E$6:$E$305&lt;=T$5)*('Leave Register'!$F$6:$F$305&gt;=T$5)*('Leave Register'!$J$6:$J$305="Approved")*(ROW('Leave Register'!$B$6:$B$305)-5)))=0,"",INDEX('Leave Register'!$D$6:$D$305,SUMPRODUCT(MAX(('Leave Register'!$B$6:$B$305=$A45)*('Leave Register'!$E$6:$E$305&lt;=T$5)*('Leave Register'!$F$6:$F$305&gt;=T$5)*('Leave Register'!$J$6:$J$305="Approved")*(ROW('Leave Register'!$B$6:$B$305)-5))))))</f>
        <v/>
      </c>
      <c r="U45" s="83" t="str">
        <f aca="false">IF(OR($A45="",U$5="",U$7&lt;&gt;"W"),"",IF(SUMPRODUCT(MAX(('Leave Register'!$B$6:$B$305=$A45)*('Leave Register'!$E$6:$E$305&lt;=U$5)*('Leave Register'!$F$6:$F$305&gt;=U$5)*('Leave Register'!$J$6:$J$305="Approved")*(ROW('Leave Register'!$B$6:$B$305)-5)))=0,"",INDEX('Leave Register'!$D$6:$D$305,SUMPRODUCT(MAX(('Leave Register'!$B$6:$B$305=$A45)*('Leave Register'!$E$6:$E$305&lt;=U$5)*('Leave Register'!$F$6:$F$305&gt;=U$5)*('Leave Register'!$J$6:$J$305="Approved")*(ROW('Leave Register'!$B$6:$B$305)-5))))))</f>
        <v/>
      </c>
      <c r="V45" s="83" t="str">
        <f aca="false">IF(OR($A45="",V$5="",V$7&lt;&gt;"W"),"",IF(SUMPRODUCT(MAX(('Leave Register'!$B$6:$B$305=$A45)*('Leave Register'!$E$6:$E$305&lt;=V$5)*('Leave Register'!$F$6:$F$305&gt;=V$5)*('Leave Register'!$J$6:$J$305="Approved")*(ROW('Leave Register'!$B$6:$B$305)-5)))=0,"",INDEX('Leave Register'!$D$6:$D$305,SUMPRODUCT(MAX(('Leave Register'!$B$6:$B$305=$A45)*('Leave Register'!$E$6:$E$305&lt;=V$5)*('Leave Register'!$F$6:$F$305&gt;=V$5)*('Leave Register'!$J$6:$J$305="Approved")*(ROW('Leave Register'!$B$6:$B$305)-5))))))</f>
        <v/>
      </c>
      <c r="W45" s="83" t="str">
        <f aca="false">IF(OR($A45="",W$5="",W$7&lt;&gt;"W"),"",IF(SUMPRODUCT(MAX(('Leave Register'!$B$6:$B$305=$A45)*('Leave Register'!$E$6:$E$305&lt;=W$5)*('Leave Register'!$F$6:$F$305&gt;=W$5)*('Leave Register'!$J$6:$J$305="Approved")*(ROW('Leave Register'!$B$6:$B$305)-5)))=0,"",INDEX('Leave Register'!$D$6:$D$305,SUMPRODUCT(MAX(('Leave Register'!$B$6:$B$305=$A45)*('Leave Register'!$E$6:$E$305&lt;=W$5)*('Leave Register'!$F$6:$F$305&gt;=W$5)*('Leave Register'!$J$6:$J$305="Approved")*(ROW('Leave Register'!$B$6:$B$305)-5))))))</f>
        <v/>
      </c>
      <c r="X45" s="83" t="str">
        <f aca="false">IF(OR($A45="",X$5="",X$7&lt;&gt;"W"),"",IF(SUMPRODUCT(MAX(('Leave Register'!$B$6:$B$305=$A45)*('Leave Register'!$E$6:$E$305&lt;=X$5)*('Leave Register'!$F$6:$F$305&gt;=X$5)*('Leave Register'!$J$6:$J$305="Approved")*(ROW('Leave Register'!$B$6:$B$305)-5)))=0,"",INDEX('Leave Register'!$D$6:$D$305,SUMPRODUCT(MAX(('Leave Register'!$B$6:$B$305=$A45)*('Leave Register'!$E$6:$E$305&lt;=X$5)*('Leave Register'!$F$6:$F$305&gt;=X$5)*('Leave Register'!$J$6:$J$305="Approved")*(ROW('Leave Register'!$B$6:$B$305)-5))))))</f>
        <v/>
      </c>
      <c r="Y45" s="83" t="str">
        <f aca="false">IF(OR($A45="",Y$5="",Y$7&lt;&gt;"W"),"",IF(SUMPRODUCT(MAX(('Leave Register'!$B$6:$B$305=$A45)*('Leave Register'!$E$6:$E$305&lt;=Y$5)*('Leave Register'!$F$6:$F$305&gt;=Y$5)*('Leave Register'!$J$6:$J$305="Approved")*(ROW('Leave Register'!$B$6:$B$305)-5)))=0,"",INDEX('Leave Register'!$D$6:$D$305,SUMPRODUCT(MAX(('Leave Register'!$B$6:$B$305=$A45)*('Leave Register'!$E$6:$E$305&lt;=Y$5)*('Leave Register'!$F$6:$F$305&gt;=Y$5)*('Leave Register'!$J$6:$J$305="Approved")*(ROW('Leave Register'!$B$6:$B$305)-5))))))</f>
        <v/>
      </c>
      <c r="Z45" s="83" t="str">
        <f aca="false">IF(OR($A45="",Z$5="",Z$7&lt;&gt;"W"),"",IF(SUMPRODUCT(MAX(('Leave Register'!$B$6:$B$305=$A45)*('Leave Register'!$E$6:$E$305&lt;=Z$5)*('Leave Register'!$F$6:$F$305&gt;=Z$5)*('Leave Register'!$J$6:$J$305="Approved")*(ROW('Leave Register'!$B$6:$B$305)-5)))=0,"",INDEX('Leave Register'!$D$6:$D$305,SUMPRODUCT(MAX(('Leave Register'!$B$6:$B$305=$A45)*('Leave Register'!$E$6:$E$305&lt;=Z$5)*('Leave Register'!$F$6:$F$305&gt;=Z$5)*('Leave Register'!$J$6:$J$305="Approved")*(ROW('Leave Register'!$B$6:$B$305)-5))))))</f>
        <v/>
      </c>
      <c r="AA45" s="83" t="str">
        <f aca="false">IF(OR($A45="",AA$5="",AA$7&lt;&gt;"W"),"",IF(SUMPRODUCT(MAX(('Leave Register'!$B$6:$B$305=$A45)*('Leave Register'!$E$6:$E$305&lt;=AA$5)*('Leave Register'!$F$6:$F$305&gt;=AA$5)*('Leave Register'!$J$6:$J$305="Approved")*(ROW('Leave Register'!$B$6:$B$305)-5)))=0,"",INDEX('Leave Register'!$D$6:$D$305,SUMPRODUCT(MAX(('Leave Register'!$B$6:$B$305=$A45)*('Leave Register'!$E$6:$E$305&lt;=AA$5)*('Leave Register'!$F$6:$F$305&gt;=AA$5)*('Leave Register'!$J$6:$J$305="Approved")*(ROW('Leave Register'!$B$6:$B$305)-5))))))</f>
        <v/>
      </c>
      <c r="AB45" s="83" t="str">
        <f aca="false">IF(OR($A45="",AB$5="",AB$7&lt;&gt;"W"),"",IF(SUMPRODUCT(MAX(('Leave Register'!$B$6:$B$305=$A45)*('Leave Register'!$E$6:$E$305&lt;=AB$5)*('Leave Register'!$F$6:$F$305&gt;=AB$5)*('Leave Register'!$J$6:$J$305="Approved")*(ROW('Leave Register'!$B$6:$B$305)-5)))=0,"",INDEX('Leave Register'!$D$6:$D$305,SUMPRODUCT(MAX(('Leave Register'!$B$6:$B$305=$A45)*('Leave Register'!$E$6:$E$305&lt;=AB$5)*('Leave Register'!$F$6:$F$305&gt;=AB$5)*('Leave Register'!$J$6:$J$305="Approved")*(ROW('Leave Register'!$B$6:$B$305)-5))))))</f>
        <v/>
      </c>
      <c r="AC45" s="83" t="str">
        <f aca="false">IF(OR($A45="",AC$5="",AC$7&lt;&gt;"W"),"",IF(SUMPRODUCT(MAX(('Leave Register'!$B$6:$B$305=$A45)*('Leave Register'!$E$6:$E$305&lt;=AC$5)*('Leave Register'!$F$6:$F$305&gt;=AC$5)*('Leave Register'!$J$6:$J$305="Approved")*(ROW('Leave Register'!$B$6:$B$305)-5)))=0,"",INDEX('Leave Register'!$D$6:$D$305,SUMPRODUCT(MAX(('Leave Register'!$B$6:$B$305=$A45)*('Leave Register'!$E$6:$E$305&lt;=AC$5)*('Leave Register'!$F$6:$F$305&gt;=AC$5)*('Leave Register'!$J$6:$J$305="Approved")*(ROW('Leave Register'!$B$6:$B$305)-5))))))</f>
        <v/>
      </c>
      <c r="AD45" s="83" t="str">
        <f aca="false">IF(OR($A45="",AD$5="",AD$7&lt;&gt;"W"),"",IF(SUMPRODUCT(MAX(('Leave Register'!$B$6:$B$305=$A45)*('Leave Register'!$E$6:$E$305&lt;=AD$5)*('Leave Register'!$F$6:$F$305&gt;=AD$5)*('Leave Register'!$J$6:$J$305="Approved")*(ROW('Leave Register'!$B$6:$B$305)-5)))=0,"",INDEX('Leave Register'!$D$6:$D$305,SUMPRODUCT(MAX(('Leave Register'!$B$6:$B$305=$A45)*('Leave Register'!$E$6:$E$305&lt;=AD$5)*('Leave Register'!$F$6:$F$305&gt;=AD$5)*('Leave Register'!$J$6:$J$305="Approved")*(ROW('Leave Register'!$B$6:$B$305)-5))))))</f>
        <v/>
      </c>
      <c r="AE45" s="83" t="str">
        <f aca="false">IF(OR($A45="",AE$5="",AE$7&lt;&gt;"W"),"",IF(SUMPRODUCT(MAX(('Leave Register'!$B$6:$B$305=$A45)*('Leave Register'!$E$6:$E$305&lt;=AE$5)*('Leave Register'!$F$6:$F$305&gt;=AE$5)*('Leave Register'!$J$6:$J$305="Approved")*(ROW('Leave Register'!$B$6:$B$305)-5)))=0,"",INDEX('Leave Register'!$D$6:$D$305,SUMPRODUCT(MAX(('Leave Register'!$B$6:$B$305=$A45)*('Leave Register'!$E$6:$E$305&lt;=AE$5)*('Leave Register'!$F$6:$F$305&gt;=AE$5)*('Leave Register'!$J$6:$J$305="Approved")*(ROW('Leave Register'!$B$6:$B$305)-5))))))</f>
        <v/>
      </c>
      <c r="AF45" s="83" t="str">
        <f aca="false">IF(OR($A45="",AF$5="",AF$7&lt;&gt;"W"),"",IF(SUMPRODUCT(MAX(('Leave Register'!$B$6:$B$305=$A45)*('Leave Register'!$E$6:$E$305&lt;=AF$5)*('Leave Register'!$F$6:$F$305&gt;=AF$5)*('Leave Register'!$J$6:$J$305="Approved")*(ROW('Leave Register'!$B$6:$B$305)-5)))=0,"",INDEX('Leave Register'!$D$6:$D$305,SUMPRODUCT(MAX(('Leave Register'!$B$6:$B$305=$A45)*('Leave Register'!$E$6:$E$305&lt;=AF$5)*('Leave Register'!$F$6:$F$305&gt;=AF$5)*('Leave Register'!$J$6:$J$305="Approved")*(ROW('Leave Register'!$B$6:$B$305)-5))))))</f>
        <v/>
      </c>
      <c r="AG45" s="83" t="str">
        <f aca="false">IF(OR($A45="",AG$5="",AG$7&lt;&gt;"W"),"",IF(SUMPRODUCT(MAX(('Leave Register'!$B$6:$B$305=$A45)*('Leave Register'!$E$6:$E$305&lt;=AG$5)*('Leave Register'!$F$6:$F$305&gt;=AG$5)*('Leave Register'!$J$6:$J$305="Approved")*(ROW('Leave Register'!$B$6:$B$305)-5)))=0,"",INDEX('Leave Register'!$D$6:$D$305,SUMPRODUCT(MAX(('Leave Register'!$B$6:$B$305=$A45)*('Leave Register'!$E$6:$E$305&lt;=AG$5)*('Leave Register'!$F$6:$F$305&gt;=AG$5)*('Leave Register'!$J$6:$J$305="Approved")*(ROW('Leave Register'!$B$6:$B$305)-5))))))</f>
        <v/>
      </c>
      <c r="AH45" s="84" t="str">
        <f aca="false">IF(A45="","",COUNTIF(C45:AG45,"?*"))</f>
        <v/>
      </c>
    </row>
    <row r="46" customFormat="false" ht="15" hidden="false" customHeight="false" outlineLevel="0" collapsed="false">
      <c r="A46" s="81" t="str">
        <f aca="false">IF(Employees!$B$43="","",Employees!$B$43)</f>
        <v/>
      </c>
      <c r="B46" s="82" t="str">
        <f aca="false">IF(A46="","",Employees!$C$43)</f>
        <v/>
      </c>
      <c r="C46" s="83" t="str">
        <f aca="false">IF(OR($A46="",C$5="",C$7&lt;&gt;"W"),"",IF(SUMPRODUCT(MAX(('Leave Register'!$B$6:$B$305=$A46)*('Leave Register'!$E$6:$E$305&lt;=C$5)*('Leave Register'!$F$6:$F$305&gt;=C$5)*('Leave Register'!$J$6:$J$305="Approved")*(ROW('Leave Register'!$B$6:$B$305)-5)))=0,"",INDEX('Leave Register'!$D$6:$D$305,SUMPRODUCT(MAX(('Leave Register'!$B$6:$B$305=$A46)*('Leave Register'!$E$6:$E$305&lt;=C$5)*('Leave Register'!$F$6:$F$305&gt;=C$5)*('Leave Register'!$J$6:$J$305="Approved")*(ROW('Leave Register'!$B$6:$B$305)-5))))))</f>
        <v/>
      </c>
      <c r="D46" s="83" t="str">
        <f aca="false">IF(OR($A46="",D$5="",D$7&lt;&gt;"W"),"",IF(SUMPRODUCT(MAX(('Leave Register'!$B$6:$B$305=$A46)*('Leave Register'!$E$6:$E$305&lt;=D$5)*('Leave Register'!$F$6:$F$305&gt;=D$5)*('Leave Register'!$J$6:$J$305="Approved")*(ROW('Leave Register'!$B$6:$B$305)-5)))=0,"",INDEX('Leave Register'!$D$6:$D$305,SUMPRODUCT(MAX(('Leave Register'!$B$6:$B$305=$A46)*('Leave Register'!$E$6:$E$305&lt;=D$5)*('Leave Register'!$F$6:$F$305&gt;=D$5)*('Leave Register'!$J$6:$J$305="Approved")*(ROW('Leave Register'!$B$6:$B$305)-5))))))</f>
        <v/>
      </c>
      <c r="E46" s="83" t="str">
        <f aca="false">IF(OR($A46="",E$5="",E$7&lt;&gt;"W"),"",IF(SUMPRODUCT(MAX(('Leave Register'!$B$6:$B$305=$A46)*('Leave Register'!$E$6:$E$305&lt;=E$5)*('Leave Register'!$F$6:$F$305&gt;=E$5)*('Leave Register'!$J$6:$J$305="Approved")*(ROW('Leave Register'!$B$6:$B$305)-5)))=0,"",INDEX('Leave Register'!$D$6:$D$305,SUMPRODUCT(MAX(('Leave Register'!$B$6:$B$305=$A46)*('Leave Register'!$E$6:$E$305&lt;=E$5)*('Leave Register'!$F$6:$F$305&gt;=E$5)*('Leave Register'!$J$6:$J$305="Approved")*(ROW('Leave Register'!$B$6:$B$305)-5))))))</f>
        <v/>
      </c>
      <c r="F46" s="83" t="str">
        <f aca="false">IF(OR($A46="",F$5="",F$7&lt;&gt;"W"),"",IF(SUMPRODUCT(MAX(('Leave Register'!$B$6:$B$305=$A46)*('Leave Register'!$E$6:$E$305&lt;=F$5)*('Leave Register'!$F$6:$F$305&gt;=F$5)*('Leave Register'!$J$6:$J$305="Approved")*(ROW('Leave Register'!$B$6:$B$305)-5)))=0,"",INDEX('Leave Register'!$D$6:$D$305,SUMPRODUCT(MAX(('Leave Register'!$B$6:$B$305=$A46)*('Leave Register'!$E$6:$E$305&lt;=F$5)*('Leave Register'!$F$6:$F$305&gt;=F$5)*('Leave Register'!$J$6:$J$305="Approved")*(ROW('Leave Register'!$B$6:$B$305)-5))))))</f>
        <v/>
      </c>
      <c r="G46" s="83" t="str">
        <f aca="false">IF(OR($A46="",G$5="",G$7&lt;&gt;"W"),"",IF(SUMPRODUCT(MAX(('Leave Register'!$B$6:$B$305=$A46)*('Leave Register'!$E$6:$E$305&lt;=G$5)*('Leave Register'!$F$6:$F$305&gt;=G$5)*('Leave Register'!$J$6:$J$305="Approved")*(ROW('Leave Register'!$B$6:$B$305)-5)))=0,"",INDEX('Leave Register'!$D$6:$D$305,SUMPRODUCT(MAX(('Leave Register'!$B$6:$B$305=$A46)*('Leave Register'!$E$6:$E$305&lt;=G$5)*('Leave Register'!$F$6:$F$305&gt;=G$5)*('Leave Register'!$J$6:$J$305="Approved")*(ROW('Leave Register'!$B$6:$B$305)-5))))))</f>
        <v/>
      </c>
      <c r="H46" s="83" t="str">
        <f aca="false">IF(OR($A46="",H$5="",H$7&lt;&gt;"W"),"",IF(SUMPRODUCT(MAX(('Leave Register'!$B$6:$B$305=$A46)*('Leave Register'!$E$6:$E$305&lt;=H$5)*('Leave Register'!$F$6:$F$305&gt;=H$5)*('Leave Register'!$J$6:$J$305="Approved")*(ROW('Leave Register'!$B$6:$B$305)-5)))=0,"",INDEX('Leave Register'!$D$6:$D$305,SUMPRODUCT(MAX(('Leave Register'!$B$6:$B$305=$A46)*('Leave Register'!$E$6:$E$305&lt;=H$5)*('Leave Register'!$F$6:$F$305&gt;=H$5)*('Leave Register'!$J$6:$J$305="Approved")*(ROW('Leave Register'!$B$6:$B$305)-5))))))</f>
        <v/>
      </c>
      <c r="I46" s="83" t="str">
        <f aca="false">IF(OR($A46="",I$5="",I$7&lt;&gt;"W"),"",IF(SUMPRODUCT(MAX(('Leave Register'!$B$6:$B$305=$A46)*('Leave Register'!$E$6:$E$305&lt;=I$5)*('Leave Register'!$F$6:$F$305&gt;=I$5)*('Leave Register'!$J$6:$J$305="Approved")*(ROW('Leave Register'!$B$6:$B$305)-5)))=0,"",INDEX('Leave Register'!$D$6:$D$305,SUMPRODUCT(MAX(('Leave Register'!$B$6:$B$305=$A46)*('Leave Register'!$E$6:$E$305&lt;=I$5)*('Leave Register'!$F$6:$F$305&gt;=I$5)*('Leave Register'!$J$6:$J$305="Approved")*(ROW('Leave Register'!$B$6:$B$305)-5))))))</f>
        <v/>
      </c>
      <c r="J46" s="83" t="str">
        <f aca="false">IF(OR($A46="",J$5="",J$7&lt;&gt;"W"),"",IF(SUMPRODUCT(MAX(('Leave Register'!$B$6:$B$305=$A46)*('Leave Register'!$E$6:$E$305&lt;=J$5)*('Leave Register'!$F$6:$F$305&gt;=J$5)*('Leave Register'!$J$6:$J$305="Approved")*(ROW('Leave Register'!$B$6:$B$305)-5)))=0,"",INDEX('Leave Register'!$D$6:$D$305,SUMPRODUCT(MAX(('Leave Register'!$B$6:$B$305=$A46)*('Leave Register'!$E$6:$E$305&lt;=J$5)*('Leave Register'!$F$6:$F$305&gt;=J$5)*('Leave Register'!$J$6:$J$305="Approved")*(ROW('Leave Register'!$B$6:$B$305)-5))))))</f>
        <v/>
      </c>
      <c r="K46" s="83" t="str">
        <f aca="false">IF(OR($A46="",K$5="",K$7&lt;&gt;"W"),"",IF(SUMPRODUCT(MAX(('Leave Register'!$B$6:$B$305=$A46)*('Leave Register'!$E$6:$E$305&lt;=K$5)*('Leave Register'!$F$6:$F$305&gt;=K$5)*('Leave Register'!$J$6:$J$305="Approved")*(ROW('Leave Register'!$B$6:$B$305)-5)))=0,"",INDEX('Leave Register'!$D$6:$D$305,SUMPRODUCT(MAX(('Leave Register'!$B$6:$B$305=$A46)*('Leave Register'!$E$6:$E$305&lt;=K$5)*('Leave Register'!$F$6:$F$305&gt;=K$5)*('Leave Register'!$J$6:$J$305="Approved")*(ROW('Leave Register'!$B$6:$B$305)-5))))))</f>
        <v/>
      </c>
      <c r="L46" s="83" t="str">
        <f aca="false">IF(OR($A46="",L$5="",L$7&lt;&gt;"W"),"",IF(SUMPRODUCT(MAX(('Leave Register'!$B$6:$B$305=$A46)*('Leave Register'!$E$6:$E$305&lt;=L$5)*('Leave Register'!$F$6:$F$305&gt;=L$5)*('Leave Register'!$J$6:$J$305="Approved")*(ROW('Leave Register'!$B$6:$B$305)-5)))=0,"",INDEX('Leave Register'!$D$6:$D$305,SUMPRODUCT(MAX(('Leave Register'!$B$6:$B$305=$A46)*('Leave Register'!$E$6:$E$305&lt;=L$5)*('Leave Register'!$F$6:$F$305&gt;=L$5)*('Leave Register'!$J$6:$J$305="Approved")*(ROW('Leave Register'!$B$6:$B$305)-5))))))</f>
        <v/>
      </c>
      <c r="M46" s="83" t="str">
        <f aca="false">IF(OR($A46="",M$5="",M$7&lt;&gt;"W"),"",IF(SUMPRODUCT(MAX(('Leave Register'!$B$6:$B$305=$A46)*('Leave Register'!$E$6:$E$305&lt;=M$5)*('Leave Register'!$F$6:$F$305&gt;=M$5)*('Leave Register'!$J$6:$J$305="Approved")*(ROW('Leave Register'!$B$6:$B$305)-5)))=0,"",INDEX('Leave Register'!$D$6:$D$305,SUMPRODUCT(MAX(('Leave Register'!$B$6:$B$305=$A46)*('Leave Register'!$E$6:$E$305&lt;=M$5)*('Leave Register'!$F$6:$F$305&gt;=M$5)*('Leave Register'!$J$6:$J$305="Approved")*(ROW('Leave Register'!$B$6:$B$305)-5))))))</f>
        <v/>
      </c>
      <c r="N46" s="83" t="str">
        <f aca="false">IF(OR($A46="",N$5="",N$7&lt;&gt;"W"),"",IF(SUMPRODUCT(MAX(('Leave Register'!$B$6:$B$305=$A46)*('Leave Register'!$E$6:$E$305&lt;=N$5)*('Leave Register'!$F$6:$F$305&gt;=N$5)*('Leave Register'!$J$6:$J$305="Approved")*(ROW('Leave Register'!$B$6:$B$305)-5)))=0,"",INDEX('Leave Register'!$D$6:$D$305,SUMPRODUCT(MAX(('Leave Register'!$B$6:$B$305=$A46)*('Leave Register'!$E$6:$E$305&lt;=N$5)*('Leave Register'!$F$6:$F$305&gt;=N$5)*('Leave Register'!$J$6:$J$305="Approved")*(ROW('Leave Register'!$B$6:$B$305)-5))))))</f>
        <v/>
      </c>
      <c r="O46" s="83" t="str">
        <f aca="false">IF(OR($A46="",O$5="",O$7&lt;&gt;"W"),"",IF(SUMPRODUCT(MAX(('Leave Register'!$B$6:$B$305=$A46)*('Leave Register'!$E$6:$E$305&lt;=O$5)*('Leave Register'!$F$6:$F$305&gt;=O$5)*('Leave Register'!$J$6:$J$305="Approved")*(ROW('Leave Register'!$B$6:$B$305)-5)))=0,"",INDEX('Leave Register'!$D$6:$D$305,SUMPRODUCT(MAX(('Leave Register'!$B$6:$B$305=$A46)*('Leave Register'!$E$6:$E$305&lt;=O$5)*('Leave Register'!$F$6:$F$305&gt;=O$5)*('Leave Register'!$J$6:$J$305="Approved")*(ROW('Leave Register'!$B$6:$B$305)-5))))))</f>
        <v/>
      </c>
      <c r="P46" s="83" t="str">
        <f aca="false">IF(OR($A46="",P$5="",P$7&lt;&gt;"W"),"",IF(SUMPRODUCT(MAX(('Leave Register'!$B$6:$B$305=$A46)*('Leave Register'!$E$6:$E$305&lt;=P$5)*('Leave Register'!$F$6:$F$305&gt;=P$5)*('Leave Register'!$J$6:$J$305="Approved")*(ROW('Leave Register'!$B$6:$B$305)-5)))=0,"",INDEX('Leave Register'!$D$6:$D$305,SUMPRODUCT(MAX(('Leave Register'!$B$6:$B$305=$A46)*('Leave Register'!$E$6:$E$305&lt;=P$5)*('Leave Register'!$F$6:$F$305&gt;=P$5)*('Leave Register'!$J$6:$J$305="Approved")*(ROW('Leave Register'!$B$6:$B$305)-5))))))</f>
        <v/>
      </c>
      <c r="Q46" s="83" t="str">
        <f aca="false">IF(OR($A46="",Q$5="",Q$7&lt;&gt;"W"),"",IF(SUMPRODUCT(MAX(('Leave Register'!$B$6:$B$305=$A46)*('Leave Register'!$E$6:$E$305&lt;=Q$5)*('Leave Register'!$F$6:$F$305&gt;=Q$5)*('Leave Register'!$J$6:$J$305="Approved")*(ROW('Leave Register'!$B$6:$B$305)-5)))=0,"",INDEX('Leave Register'!$D$6:$D$305,SUMPRODUCT(MAX(('Leave Register'!$B$6:$B$305=$A46)*('Leave Register'!$E$6:$E$305&lt;=Q$5)*('Leave Register'!$F$6:$F$305&gt;=Q$5)*('Leave Register'!$J$6:$J$305="Approved")*(ROW('Leave Register'!$B$6:$B$305)-5))))))</f>
        <v/>
      </c>
      <c r="R46" s="83" t="str">
        <f aca="false">IF(OR($A46="",R$5="",R$7&lt;&gt;"W"),"",IF(SUMPRODUCT(MAX(('Leave Register'!$B$6:$B$305=$A46)*('Leave Register'!$E$6:$E$305&lt;=R$5)*('Leave Register'!$F$6:$F$305&gt;=R$5)*('Leave Register'!$J$6:$J$305="Approved")*(ROW('Leave Register'!$B$6:$B$305)-5)))=0,"",INDEX('Leave Register'!$D$6:$D$305,SUMPRODUCT(MAX(('Leave Register'!$B$6:$B$305=$A46)*('Leave Register'!$E$6:$E$305&lt;=R$5)*('Leave Register'!$F$6:$F$305&gt;=R$5)*('Leave Register'!$J$6:$J$305="Approved")*(ROW('Leave Register'!$B$6:$B$305)-5))))))</f>
        <v/>
      </c>
      <c r="S46" s="83" t="str">
        <f aca="false">IF(OR($A46="",S$5="",S$7&lt;&gt;"W"),"",IF(SUMPRODUCT(MAX(('Leave Register'!$B$6:$B$305=$A46)*('Leave Register'!$E$6:$E$305&lt;=S$5)*('Leave Register'!$F$6:$F$305&gt;=S$5)*('Leave Register'!$J$6:$J$305="Approved")*(ROW('Leave Register'!$B$6:$B$305)-5)))=0,"",INDEX('Leave Register'!$D$6:$D$305,SUMPRODUCT(MAX(('Leave Register'!$B$6:$B$305=$A46)*('Leave Register'!$E$6:$E$305&lt;=S$5)*('Leave Register'!$F$6:$F$305&gt;=S$5)*('Leave Register'!$J$6:$J$305="Approved")*(ROW('Leave Register'!$B$6:$B$305)-5))))))</f>
        <v/>
      </c>
      <c r="T46" s="83" t="str">
        <f aca="false">IF(OR($A46="",T$5="",T$7&lt;&gt;"W"),"",IF(SUMPRODUCT(MAX(('Leave Register'!$B$6:$B$305=$A46)*('Leave Register'!$E$6:$E$305&lt;=T$5)*('Leave Register'!$F$6:$F$305&gt;=T$5)*('Leave Register'!$J$6:$J$305="Approved")*(ROW('Leave Register'!$B$6:$B$305)-5)))=0,"",INDEX('Leave Register'!$D$6:$D$305,SUMPRODUCT(MAX(('Leave Register'!$B$6:$B$305=$A46)*('Leave Register'!$E$6:$E$305&lt;=T$5)*('Leave Register'!$F$6:$F$305&gt;=T$5)*('Leave Register'!$J$6:$J$305="Approved")*(ROW('Leave Register'!$B$6:$B$305)-5))))))</f>
        <v/>
      </c>
      <c r="U46" s="83" t="str">
        <f aca="false">IF(OR($A46="",U$5="",U$7&lt;&gt;"W"),"",IF(SUMPRODUCT(MAX(('Leave Register'!$B$6:$B$305=$A46)*('Leave Register'!$E$6:$E$305&lt;=U$5)*('Leave Register'!$F$6:$F$305&gt;=U$5)*('Leave Register'!$J$6:$J$305="Approved")*(ROW('Leave Register'!$B$6:$B$305)-5)))=0,"",INDEX('Leave Register'!$D$6:$D$305,SUMPRODUCT(MAX(('Leave Register'!$B$6:$B$305=$A46)*('Leave Register'!$E$6:$E$305&lt;=U$5)*('Leave Register'!$F$6:$F$305&gt;=U$5)*('Leave Register'!$J$6:$J$305="Approved")*(ROW('Leave Register'!$B$6:$B$305)-5))))))</f>
        <v/>
      </c>
      <c r="V46" s="83" t="str">
        <f aca="false">IF(OR($A46="",V$5="",V$7&lt;&gt;"W"),"",IF(SUMPRODUCT(MAX(('Leave Register'!$B$6:$B$305=$A46)*('Leave Register'!$E$6:$E$305&lt;=V$5)*('Leave Register'!$F$6:$F$305&gt;=V$5)*('Leave Register'!$J$6:$J$305="Approved")*(ROW('Leave Register'!$B$6:$B$305)-5)))=0,"",INDEX('Leave Register'!$D$6:$D$305,SUMPRODUCT(MAX(('Leave Register'!$B$6:$B$305=$A46)*('Leave Register'!$E$6:$E$305&lt;=V$5)*('Leave Register'!$F$6:$F$305&gt;=V$5)*('Leave Register'!$J$6:$J$305="Approved")*(ROW('Leave Register'!$B$6:$B$305)-5))))))</f>
        <v/>
      </c>
      <c r="W46" s="83" t="str">
        <f aca="false">IF(OR($A46="",W$5="",W$7&lt;&gt;"W"),"",IF(SUMPRODUCT(MAX(('Leave Register'!$B$6:$B$305=$A46)*('Leave Register'!$E$6:$E$305&lt;=W$5)*('Leave Register'!$F$6:$F$305&gt;=W$5)*('Leave Register'!$J$6:$J$305="Approved")*(ROW('Leave Register'!$B$6:$B$305)-5)))=0,"",INDEX('Leave Register'!$D$6:$D$305,SUMPRODUCT(MAX(('Leave Register'!$B$6:$B$305=$A46)*('Leave Register'!$E$6:$E$305&lt;=W$5)*('Leave Register'!$F$6:$F$305&gt;=W$5)*('Leave Register'!$J$6:$J$305="Approved")*(ROW('Leave Register'!$B$6:$B$305)-5))))))</f>
        <v/>
      </c>
      <c r="X46" s="83" t="str">
        <f aca="false">IF(OR($A46="",X$5="",X$7&lt;&gt;"W"),"",IF(SUMPRODUCT(MAX(('Leave Register'!$B$6:$B$305=$A46)*('Leave Register'!$E$6:$E$305&lt;=X$5)*('Leave Register'!$F$6:$F$305&gt;=X$5)*('Leave Register'!$J$6:$J$305="Approved")*(ROW('Leave Register'!$B$6:$B$305)-5)))=0,"",INDEX('Leave Register'!$D$6:$D$305,SUMPRODUCT(MAX(('Leave Register'!$B$6:$B$305=$A46)*('Leave Register'!$E$6:$E$305&lt;=X$5)*('Leave Register'!$F$6:$F$305&gt;=X$5)*('Leave Register'!$J$6:$J$305="Approved")*(ROW('Leave Register'!$B$6:$B$305)-5))))))</f>
        <v/>
      </c>
      <c r="Y46" s="83" t="str">
        <f aca="false">IF(OR($A46="",Y$5="",Y$7&lt;&gt;"W"),"",IF(SUMPRODUCT(MAX(('Leave Register'!$B$6:$B$305=$A46)*('Leave Register'!$E$6:$E$305&lt;=Y$5)*('Leave Register'!$F$6:$F$305&gt;=Y$5)*('Leave Register'!$J$6:$J$305="Approved")*(ROW('Leave Register'!$B$6:$B$305)-5)))=0,"",INDEX('Leave Register'!$D$6:$D$305,SUMPRODUCT(MAX(('Leave Register'!$B$6:$B$305=$A46)*('Leave Register'!$E$6:$E$305&lt;=Y$5)*('Leave Register'!$F$6:$F$305&gt;=Y$5)*('Leave Register'!$J$6:$J$305="Approved")*(ROW('Leave Register'!$B$6:$B$305)-5))))))</f>
        <v/>
      </c>
      <c r="Z46" s="83" t="str">
        <f aca="false">IF(OR($A46="",Z$5="",Z$7&lt;&gt;"W"),"",IF(SUMPRODUCT(MAX(('Leave Register'!$B$6:$B$305=$A46)*('Leave Register'!$E$6:$E$305&lt;=Z$5)*('Leave Register'!$F$6:$F$305&gt;=Z$5)*('Leave Register'!$J$6:$J$305="Approved")*(ROW('Leave Register'!$B$6:$B$305)-5)))=0,"",INDEX('Leave Register'!$D$6:$D$305,SUMPRODUCT(MAX(('Leave Register'!$B$6:$B$305=$A46)*('Leave Register'!$E$6:$E$305&lt;=Z$5)*('Leave Register'!$F$6:$F$305&gt;=Z$5)*('Leave Register'!$J$6:$J$305="Approved")*(ROW('Leave Register'!$B$6:$B$305)-5))))))</f>
        <v/>
      </c>
      <c r="AA46" s="83" t="str">
        <f aca="false">IF(OR($A46="",AA$5="",AA$7&lt;&gt;"W"),"",IF(SUMPRODUCT(MAX(('Leave Register'!$B$6:$B$305=$A46)*('Leave Register'!$E$6:$E$305&lt;=AA$5)*('Leave Register'!$F$6:$F$305&gt;=AA$5)*('Leave Register'!$J$6:$J$305="Approved")*(ROW('Leave Register'!$B$6:$B$305)-5)))=0,"",INDEX('Leave Register'!$D$6:$D$305,SUMPRODUCT(MAX(('Leave Register'!$B$6:$B$305=$A46)*('Leave Register'!$E$6:$E$305&lt;=AA$5)*('Leave Register'!$F$6:$F$305&gt;=AA$5)*('Leave Register'!$J$6:$J$305="Approved")*(ROW('Leave Register'!$B$6:$B$305)-5))))))</f>
        <v/>
      </c>
      <c r="AB46" s="83" t="str">
        <f aca="false">IF(OR($A46="",AB$5="",AB$7&lt;&gt;"W"),"",IF(SUMPRODUCT(MAX(('Leave Register'!$B$6:$B$305=$A46)*('Leave Register'!$E$6:$E$305&lt;=AB$5)*('Leave Register'!$F$6:$F$305&gt;=AB$5)*('Leave Register'!$J$6:$J$305="Approved")*(ROW('Leave Register'!$B$6:$B$305)-5)))=0,"",INDEX('Leave Register'!$D$6:$D$305,SUMPRODUCT(MAX(('Leave Register'!$B$6:$B$305=$A46)*('Leave Register'!$E$6:$E$305&lt;=AB$5)*('Leave Register'!$F$6:$F$305&gt;=AB$5)*('Leave Register'!$J$6:$J$305="Approved")*(ROW('Leave Register'!$B$6:$B$305)-5))))))</f>
        <v/>
      </c>
      <c r="AC46" s="83" t="str">
        <f aca="false">IF(OR($A46="",AC$5="",AC$7&lt;&gt;"W"),"",IF(SUMPRODUCT(MAX(('Leave Register'!$B$6:$B$305=$A46)*('Leave Register'!$E$6:$E$305&lt;=AC$5)*('Leave Register'!$F$6:$F$305&gt;=AC$5)*('Leave Register'!$J$6:$J$305="Approved")*(ROW('Leave Register'!$B$6:$B$305)-5)))=0,"",INDEX('Leave Register'!$D$6:$D$305,SUMPRODUCT(MAX(('Leave Register'!$B$6:$B$305=$A46)*('Leave Register'!$E$6:$E$305&lt;=AC$5)*('Leave Register'!$F$6:$F$305&gt;=AC$5)*('Leave Register'!$J$6:$J$305="Approved")*(ROW('Leave Register'!$B$6:$B$305)-5))))))</f>
        <v/>
      </c>
      <c r="AD46" s="83" t="str">
        <f aca="false">IF(OR($A46="",AD$5="",AD$7&lt;&gt;"W"),"",IF(SUMPRODUCT(MAX(('Leave Register'!$B$6:$B$305=$A46)*('Leave Register'!$E$6:$E$305&lt;=AD$5)*('Leave Register'!$F$6:$F$305&gt;=AD$5)*('Leave Register'!$J$6:$J$305="Approved")*(ROW('Leave Register'!$B$6:$B$305)-5)))=0,"",INDEX('Leave Register'!$D$6:$D$305,SUMPRODUCT(MAX(('Leave Register'!$B$6:$B$305=$A46)*('Leave Register'!$E$6:$E$305&lt;=AD$5)*('Leave Register'!$F$6:$F$305&gt;=AD$5)*('Leave Register'!$J$6:$J$305="Approved")*(ROW('Leave Register'!$B$6:$B$305)-5))))))</f>
        <v/>
      </c>
      <c r="AE46" s="83" t="str">
        <f aca="false">IF(OR($A46="",AE$5="",AE$7&lt;&gt;"W"),"",IF(SUMPRODUCT(MAX(('Leave Register'!$B$6:$B$305=$A46)*('Leave Register'!$E$6:$E$305&lt;=AE$5)*('Leave Register'!$F$6:$F$305&gt;=AE$5)*('Leave Register'!$J$6:$J$305="Approved")*(ROW('Leave Register'!$B$6:$B$305)-5)))=0,"",INDEX('Leave Register'!$D$6:$D$305,SUMPRODUCT(MAX(('Leave Register'!$B$6:$B$305=$A46)*('Leave Register'!$E$6:$E$305&lt;=AE$5)*('Leave Register'!$F$6:$F$305&gt;=AE$5)*('Leave Register'!$J$6:$J$305="Approved")*(ROW('Leave Register'!$B$6:$B$305)-5))))))</f>
        <v/>
      </c>
      <c r="AF46" s="83" t="str">
        <f aca="false">IF(OR($A46="",AF$5="",AF$7&lt;&gt;"W"),"",IF(SUMPRODUCT(MAX(('Leave Register'!$B$6:$B$305=$A46)*('Leave Register'!$E$6:$E$305&lt;=AF$5)*('Leave Register'!$F$6:$F$305&gt;=AF$5)*('Leave Register'!$J$6:$J$305="Approved")*(ROW('Leave Register'!$B$6:$B$305)-5)))=0,"",INDEX('Leave Register'!$D$6:$D$305,SUMPRODUCT(MAX(('Leave Register'!$B$6:$B$305=$A46)*('Leave Register'!$E$6:$E$305&lt;=AF$5)*('Leave Register'!$F$6:$F$305&gt;=AF$5)*('Leave Register'!$J$6:$J$305="Approved")*(ROW('Leave Register'!$B$6:$B$305)-5))))))</f>
        <v/>
      </c>
      <c r="AG46" s="83" t="str">
        <f aca="false">IF(OR($A46="",AG$5="",AG$7&lt;&gt;"W"),"",IF(SUMPRODUCT(MAX(('Leave Register'!$B$6:$B$305=$A46)*('Leave Register'!$E$6:$E$305&lt;=AG$5)*('Leave Register'!$F$6:$F$305&gt;=AG$5)*('Leave Register'!$J$6:$J$305="Approved")*(ROW('Leave Register'!$B$6:$B$305)-5)))=0,"",INDEX('Leave Register'!$D$6:$D$305,SUMPRODUCT(MAX(('Leave Register'!$B$6:$B$305=$A46)*('Leave Register'!$E$6:$E$305&lt;=AG$5)*('Leave Register'!$F$6:$F$305&gt;=AG$5)*('Leave Register'!$J$6:$J$305="Approved")*(ROW('Leave Register'!$B$6:$B$305)-5))))))</f>
        <v/>
      </c>
      <c r="AH46" s="84" t="str">
        <f aca="false">IF(A46="","",COUNTIF(C46:AG46,"?*"))</f>
        <v/>
      </c>
    </row>
    <row r="47" customFormat="false" ht="15" hidden="false" customHeight="false" outlineLevel="0" collapsed="false">
      <c r="A47" s="81" t="str">
        <f aca="false">IF(Employees!$B$44="","",Employees!$B$44)</f>
        <v/>
      </c>
      <c r="B47" s="82" t="str">
        <f aca="false">IF(A47="","",Employees!$C$44)</f>
        <v/>
      </c>
      <c r="C47" s="83" t="str">
        <f aca="false">IF(OR($A47="",C$5="",C$7&lt;&gt;"W"),"",IF(SUMPRODUCT(MAX(('Leave Register'!$B$6:$B$305=$A47)*('Leave Register'!$E$6:$E$305&lt;=C$5)*('Leave Register'!$F$6:$F$305&gt;=C$5)*('Leave Register'!$J$6:$J$305="Approved")*(ROW('Leave Register'!$B$6:$B$305)-5)))=0,"",INDEX('Leave Register'!$D$6:$D$305,SUMPRODUCT(MAX(('Leave Register'!$B$6:$B$305=$A47)*('Leave Register'!$E$6:$E$305&lt;=C$5)*('Leave Register'!$F$6:$F$305&gt;=C$5)*('Leave Register'!$J$6:$J$305="Approved")*(ROW('Leave Register'!$B$6:$B$305)-5))))))</f>
        <v/>
      </c>
      <c r="D47" s="83" t="str">
        <f aca="false">IF(OR($A47="",D$5="",D$7&lt;&gt;"W"),"",IF(SUMPRODUCT(MAX(('Leave Register'!$B$6:$B$305=$A47)*('Leave Register'!$E$6:$E$305&lt;=D$5)*('Leave Register'!$F$6:$F$305&gt;=D$5)*('Leave Register'!$J$6:$J$305="Approved")*(ROW('Leave Register'!$B$6:$B$305)-5)))=0,"",INDEX('Leave Register'!$D$6:$D$305,SUMPRODUCT(MAX(('Leave Register'!$B$6:$B$305=$A47)*('Leave Register'!$E$6:$E$305&lt;=D$5)*('Leave Register'!$F$6:$F$305&gt;=D$5)*('Leave Register'!$J$6:$J$305="Approved")*(ROW('Leave Register'!$B$6:$B$305)-5))))))</f>
        <v/>
      </c>
      <c r="E47" s="83" t="str">
        <f aca="false">IF(OR($A47="",E$5="",E$7&lt;&gt;"W"),"",IF(SUMPRODUCT(MAX(('Leave Register'!$B$6:$B$305=$A47)*('Leave Register'!$E$6:$E$305&lt;=E$5)*('Leave Register'!$F$6:$F$305&gt;=E$5)*('Leave Register'!$J$6:$J$305="Approved")*(ROW('Leave Register'!$B$6:$B$305)-5)))=0,"",INDEX('Leave Register'!$D$6:$D$305,SUMPRODUCT(MAX(('Leave Register'!$B$6:$B$305=$A47)*('Leave Register'!$E$6:$E$305&lt;=E$5)*('Leave Register'!$F$6:$F$305&gt;=E$5)*('Leave Register'!$J$6:$J$305="Approved")*(ROW('Leave Register'!$B$6:$B$305)-5))))))</f>
        <v/>
      </c>
      <c r="F47" s="83" t="str">
        <f aca="false">IF(OR($A47="",F$5="",F$7&lt;&gt;"W"),"",IF(SUMPRODUCT(MAX(('Leave Register'!$B$6:$B$305=$A47)*('Leave Register'!$E$6:$E$305&lt;=F$5)*('Leave Register'!$F$6:$F$305&gt;=F$5)*('Leave Register'!$J$6:$J$305="Approved")*(ROW('Leave Register'!$B$6:$B$305)-5)))=0,"",INDEX('Leave Register'!$D$6:$D$305,SUMPRODUCT(MAX(('Leave Register'!$B$6:$B$305=$A47)*('Leave Register'!$E$6:$E$305&lt;=F$5)*('Leave Register'!$F$6:$F$305&gt;=F$5)*('Leave Register'!$J$6:$J$305="Approved")*(ROW('Leave Register'!$B$6:$B$305)-5))))))</f>
        <v/>
      </c>
      <c r="G47" s="83" t="str">
        <f aca="false">IF(OR($A47="",G$5="",G$7&lt;&gt;"W"),"",IF(SUMPRODUCT(MAX(('Leave Register'!$B$6:$B$305=$A47)*('Leave Register'!$E$6:$E$305&lt;=G$5)*('Leave Register'!$F$6:$F$305&gt;=G$5)*('Leave Register'!$J$6:$J$305="Approved")*(ROW('Leave Register'!$B$6:$B$305)-5)))=0,"",INDEX('Leave Register'!$D$6:$D$305,SUMPRODUCT(MAX(('Leave Register'!$B$6:$B$305=$A47)*('Leave Register'!$E$6:$E$305&lt;=G$5)*('Leave Register'!$F$6:$F$305&gt;=G$5)*('Leave Register'!$J$6:$J$305="Approved")*(ROW('Leave Register'!$B$6:$B$305)-5))))))</f>
        <v/>
      </c>
      <c r="H47" s="83" t="str">
        <f aca="false">IF(OR($A47="",H$5="",H$7&lt;&gt;"W"),"",IF(SUMPRODUCT(MAX(('Leave Register'!$B$6:$B$305=$A47)*('Leave Register'!$E$6:$E$305&lt;=H$5)*('Leave Register'!$F$6:$F$305&gt;=H$5)*('Leave Register'!$J$6:$J$305="Approved")*(ROW('Leave Register'!$B$6:$B$305)-5)))=0,"",INDEX('Leave Register'!$D$6:$D$305,SUMPRODUCT(MAX(('Leave Register'!$B$6:$B$305=$A47)*('Leave Register'!$E$6:$E$305&lt;=H$5)*('Leave Register'!$F$6:$F$305&gt;=H$5)*('Leave Register'!$J$6:$J$305="Approved")*(ROW('Leave Register'!$B$6:$B$305)-5))))))</f>
        <v/>
      </c>
      <c r="I47" s="83" t="str">
        <f aca="false">IF(OR($A47="",I$5="",I$7&lt;&gt;"W"),"",IF(SUMPRODUCT(MAX(('Leave Register'!$B$6:$B$305=$A47)*('Leave Register'!$E$6:$E$305&lt;=I$5)*('Leave Register'!$F$6:$F$305&gt;=I$5)*('Leave Register'!$J$6:$J$305="Approved")*(ROW('Leave Register'!$B$6:$B$305)-5)))=0,"",INDEX('Leave Register'!$D$6:$D$305,SUMPRODUCT(MAX(('Leave Register'!$B$6:$B$305=$A47)*('Leave Register'!$E$6:$E$305&lt;=I$5)*('Leave Register'!$F$6:$F$305&gt;=I$5)*('Leave Register'!$J$6:$J$305="Approved")*(ROW('Leave Register'!$B$6:$B$305)-5))))))</f>
        <v/>
      </c>
      <c r="J47" s="83" t="str">
        <f aca="false">IF(OR($A47="",J$5="",J$7&lt;&gt;"W"),"",IF(SUMPRODUCT(MAX(('Leave Register'!$B$6:$B$305=$A47)*('Leave Register'!$E$6:$E$305&lt;=J$5)*('Leave Register'!$F$6:$F$305&gt;=J$5)*('Leave Register'!$J$6:$J$305="Approved")*(ROW('Leave Register'!$B$6:$B$305)-5)))=0,"",INDEX('Leave Register'!$D$6:$D$305,SUMPRODUCT(MAX(('Leave Register'!$B$6:$B$305=$A47)*('Leave Register'!$E$6:$E$305&lt;=J$5)*('Leave Register'!$F$6:$F$305&gt;=J$5)*('Leave Register'!$J$6:$J$305="Approved")*(ROW('Leave Register'!$B$6:$B$305)-5))))))</f>
        <v/>
      </c>
      <c r="K47" s="83" t="str">
        <f aca="false">IF(OR($A47="",K$5="",K$7&lt;&gt;"W"),"",IF(SUMPRODUCT(MAX(('Leave Register'!$B$6:$B$305=$A47)*('Leave Register'!$E$6:$E$305&lt;=K$5)*('Leave Register'!$F$6:$F$305&gt;=K$5)*('Leave Register'!$J$6:$J$305="Approved")*(ROW('Leave Register'!$B$6:$B$305)-5)))=0,"",INDEX('Leave Register'!$D$6:$D$305,SUMPRODUCT(MAX(('Leave Register'!$B$6:$B$305=$A47)*('Leave Register'!$E$6:$E$305&lt;=K$5)*('Leave Register'!$F$6:$F$305&gt;=K$5)*('Leave Register'!$J$6:$J$305="Approved")*(ROW('Leave Register'!$B$6:$B$305)-5))))))</f>
        <v/>
      </c>
      <c r="L47" s="83" t="str">
        <f aca="false">IF(OR($A47="",L$5="",L$7&lt;&gt;"W"),"",IF(SUMPRODUCT(MAX(('Leave Register'!$B$6:$B$305=$A47)*('Leave Register'!$E$6:$E$305&lt;=L$5)*('Leave Register'!$F$6:$F$305&gt;=L$5)*('Leave Register'!$J$6:$J$305="Approved")*(ROW('Leave Register'!$B$6:$B$305)-5)))=0,"",INDEX('Leave Register'!$D$6:$D$305,SUMPRODUCT(MAX(('Leave Register'!$B$6:$B$305=$A47)*('Leave Register'!$E$6:$E$305&lt;=L$5)*('Leave Register'!$F$6:$F$305&gt;=L$5)*('Leave Register'!$J$6:$J$305="Approved")*(ROW('Leave Register'!$B$6:$B$305)-5))))))</f>
        <v/>
      </c>
      <c r="M47" s="83" t="str">
        <f aca="false">IF(OR($A47="",M$5="",M$7&lt;&gt;"W"),"",IF(SUMPRODUCT(MAX(('Leave Register'!$B$6:$B$305=$A47)*('Leave Register'!$E$6:$E$305&lt;=M$5)*('Leave Register'!$F$6:$F$305&gt;=M$5)*('Leave Register'!$J$6:$J$305="Approved")*(ROW('Leave Register'!$B$6:$B$305)-5)))=0,"",INDEX('Leave Register'!$D$6:$D$305,SUMPRODUCT(MAX(('Leave Register'!$B$6:$B$305=$A47)*('Leave Register'!$E$6:$E$305&lt;=M$5)*('Leave Register'!$F$6:$F$305&gt;=M$5)*('Leave Register'!$J$6:$J$305="Approved")*(ROW('Leave Register'!$B$6:$B$305)-5))))))</f>
        <v/>
      </c>
      <c r="N47" s="83" t="str">
        <f aca="false">IF(OR($A47="",N$5="",N$7&lt;&gt;"W"),"",IF(SUMPRODUCT(MAX(('Leave Register'!$B$6:$B$305=$A47)*('Leave Register'!$E$6:$E$305&lt;=N$5)*('Leave Register'!$F$6:$F$305&gt;=N$5)*('Leave Register'!$J$6:$J$305="Approved")*(ROW('Leave Register'!$B$6:$B$305)-5)))=0,"",INDEX('Leave Register'!$D$6:$D$305,SUMPRODUCT(MAX(('Leave Register'!$B$6:$B$305=$A47)*('Leave Register'!$E$6:$E$305&lt;=N$5)*('Leave Register'!$F$6:$F$305&gt;=N$5)*('Leave Register'!$J$6:$J$305="Approved")*(ROW('Leave Register'!$B$6:$B$305)-5))))))</f>
        <v/>
      </c>
      <c r="O47" s="83" t="str">
        <f aca="false">IF(OR($A47="",O$5="",O$7&lt;&gt;"W"),"",IF(SUMPRODUCT(MAX(('Leave Register'!$B$6:$B$305=$A47)*('Leave Register'!$E$6:$E$305&lt;=O$5)*('Leave Register'!$F$6:$F$305&gt;=O$5)*('Leave Register'!$J$6:$J$305="Approved")*(ROW('Leave Register'!$B$6:$B$305)-5)))=0,"",INDEX('Leave Register'!$D$6:$D$305,SUMPRODUCT(MAX(('Leave Register'!$B$6:$B$305=$A47)*('Leave Register'!$E$6:$E$305&lt;=O$5)*('Leave Register'!$F$6:$F$305&gt;=O$5)*('Leave Register'!$J$6:$J$305="Approved")*(ROW('Leave Register'!$B$6:$B$305)-5))))))</f>
        <v/>
      </c>
      <c r="P47" s="83" t="str">
        <f aca="false">IF(OR($A47="",P$5="",P$7&lt;&gt;"W"),"",IF(SUMPRODUCT(MAX(('Leave Register'!$B$6:$B$305=$A47)*('Leave Register'!$E$6:$E$305&lt;=P$5)*('Leave Register'!$F$6:$F$305&gt;=P$5)*('Leave Register'!$J$6:$J$305="Approved")*(ROW('Leave Register'!$B$6:$B$305)-5)))=0,"",INDEX('Leave Register'!$D$6:$D$305,SUMPRODUCT(MAX(('Leave Register'!$B$6:$B$305=$A47)*('Leave Register'!$E$6:$E$305&lt;=P$5)*('Leave Register'!$F$6:$F$305&gt;=P$5)*('Leave Register'!$J$6:$J$305="Approved")*(ROW('Leave Register'!$B$6:$B$305)-5))))))</f>
        <v/>
      </c>
      <c r="Q47" s="83" t="str">
        <f aca="false">IF(OR($A47="",Q$5="",Q$7&lt;&gt;"W"),"",IF(SUMPRODUCT(MAX(('Leave Register'!$B$6:$B$305=$A47)*('Leave Register'!$E$6:$E$305&lt;=Q$5)*('Leave Register'!$F$6:$F$305&gt;=Q$5)*('Leave Register'!$J$6:$J$305="Approved")*(ROW('Leave Register'!$B$6:$B$305)-5)))=0,"",INDEX('Leave Register'!$D$6:$D$305,SUMPRODUCT(MAX(('Leave Register'!$B$6:$B$305=$A47)*('Leave Register'!$E$6:$E$305&lt;=Q$5)*('Leave Register'!$F$6:$F$305&gt;=Q$5)*('Leave Register'!$J$6:$J$305="Approved")*(ROW('Leave Register'!$B$6:$B$305)-5))))))</f>
        <v/>
      </c>
      <c r="R47" s="83" t="str">
        <f aca="false">IF(OR($A47="",R$5="",R$7&lt;&gt;"W"),"",IF(SUMPRODUCT(MAX(('Leave Register'!$B$6:$B$305=$A47)*('Leave Register'!$E$6:$E$305&lt;=R$5)*('Leave Register'!$F$6:$F$305&gt;=R$5)*('Leave Register'!$J$6:$J$305="Approved")*(ROW('Leave Register'!$B$6:$B$305)-5)))=0,"",INDEX('Leave Register'!$D$6:$D$305,SUMPRODUCT(MAX(('Leave Register'!$B$6:$B$305=$A47)*('Leave Register'!$E$6:$E$305&lt;=R$5)*('Leave Register'!$F$6:$F$305&gt;=R$5)*('Leave Register'!$J$6:$J$305="Approved")*(ROW('Leave Register'!$B$6:$B$305)-5))))))</f>
        <v/>
      </c>
      <c r="S47" s="83" t="str">
        <f aca="false">IF(OR($A47="",S$5="",S$7&lt;&gt;"W"),"",IF(SUMPRODUCT(MAX(('Leave Register'!$B$6:$B$305=$A47)*('Leave Register'!$E$6:$E$305&lt;=S$5)*('Leave Register'!$F$6:$F$305&gt;=S$5)*('Leave Register'!$J$6:$J$305="Approved")*(ROW('Leave Register'!$B$6:$B$305)-5)))=0,"",INDEX('Leave Register'!$D$6:$D$305,SUMPRODUCT(MAX(('Leave Register'!$B$6:$B$305=$A47)*('Leave Register'!$E$6:$E$305&lt;=S$5)*('Leave Register'!$F$6:$F$305&gt;=S$5)*('Leave Register'!$J$6:$J$305="Approved")*(ROW('Leave Register'!$B$6:$B$305)-5))))))</f>
        <v/>
      </c>
      <c r="T47" s="83" t="str">
        <f aca="false">IF(OR($A47="",T$5="",T$7&lt;&gt;"W"),"",IF(SUMPRODUCT(MAX(('Leave Register'!$B$6:$B$305=$A47)*('Leave Register'!$E$6:$E$305&lt;=T$5)*('Leave Register'!$F$6:$F$305&gt;=T$5)*('Leave Register'!$J$6:$J$305="Approved")*(ROW('Leave Register'!$B$6:$B$305)-5)))=0,"",INDEX('Leave Register'!$D$6:$D$305,SUMPRODUCT(MAX(('Leave Register'!$B$6:$B$305=$A47)*('Leave Register'!$E$6:$E$305&lt;=T$5)*('Leave Register'!$F$6:$F$305&gt;=T$5)*('Leave Register'!$J$6:$J$305="Approved")*(ROW('Leave Register'!$B$6:$B$305)-5))))))</f>
        <v/>
      </c>
      <c r="U47" s="83" t="str">
        <f aca="false">IF(OR($A47="",U$5="",U$7&lt;&gt;"W"),"",IF(SUMPRODUCT(MAX(('Leave Register'!$B$6:$B$305=$A47)*('Leave Register'!$E$6:$E$305&lt;=U$5)*('Leave Register'!$F$6:$F$305&gt;=U$5)*('Leave Register'!$J$6:$J$305="Approved")*(ROW('Leave Register'!$B$6:$B$305)-5)))=0,"",INDEX('Leave Register'!$D$6:$D$305,SUMPRODUCT(MAX(('Leave Register'!$B$6:$B$305=$A47)*('Leave Register'!$E$6:$E$305&lt;=U$5)*('Leave Register'!$F$6:$F$305&gt;=U$5)*('Leave Register'!$J$6:$J$305="Approved")*(ROW('Leave Register'!$B$6:$B$305)-5))))))</f>
        <v/>
      </c>
      <c r="V47" s="83" t="str">
        <f aca="false">IF(OR($A47="",V$5="",V$7&lt;&gt;"W"),"",IF(SUMPRODUCT(MAX(('Leave Register'!$B$6:$B$305=$A47)*('Leave Register'!$E$6:$E$305&lt;=V$5)*('Leave Register'!$F$6:$F$305&gt;=V$5)*('Leave Register'!$J$6:$J$305="Approved")*(ROW('Leave Register'!$B$6:$B$305)-5)))=0,"",INDEX('Leave Register'!$D$6:$D$305,SUMPRODUCT(MAX(('Leave Register'!$B$6:$B$305=$A47)*('Leave Register'!$E$6:$E$305&lt;=V$5)*('Leave Register'!$F$6:$F$305&gt;=V$5)*('Leave Register'!$J$6:$J$305="Approved")*(ROW('Leave Register'!$B$6:$B$305)-5))))))</f>
        <v/>
      </c>
      <c r="W47" s="83" t="str">
        <f aca="false">IF(OR($A47="",W$5="",W$7&lt;&gt;"W"),"",IF(SUMPRODUCT(MAX(('Leave Register'!$B$6:$B$305=$A47)*('Leave Register'!$E$6:$E$305&lt;=W$5)*('Leave Register'!$F$6:$F$305&gt;=W$5)*('Leave Register'!$J$6:$J$305="Approved")*(ROW('Leave Register'!$B$6:$B$305)-5)))=0,"",INDEX('Leave Register'!$D$6:$D$305,SUMPRODUCT(MAX(('Leave Register'!$B$6:$B$305=$A47)*('Leave Register'!$E$6:$E$305&lt;=W$5)*('Leave Register'!$F$6:$F$305&gt;=W$5)*('Leave Register'!$J$6:$J$305="Approved")*(ROW('Leave Register'!$B$6:$B$305)-5))))))</f>
        <v/>
      </c>
      <c r="X47" s="83" t="str">
        <f aca="false">IF(OR($A47="",X$5="",X$7&lt;&gt;"W"),"",IF(SUMPRODUCT(MAX(('Leave Register'!$B$6:$B$305=$A47)*('Leave Register'!$E$6:$E$305&lt;=X$5)*('Leave Register'!$F$6:$F$305&gt;=X$5)*('Leave Register'!$J$6:$J$305="Approved")*(ROW('Leave Register'!$B$6:$B$305)-5)))=0,"",INDEX('Leave Register'!$D$6:$D$305,SUMPRODUCT(MAX(('Leave Register'!$B$6:$B$305=$A47)*('Leave Register'!$E$6:$E$305&lt;=X$5)*('Leave Register'!$F$6:$F$305&gt;=X$5)*('Leave Register'!$J$6:$J$305="Approved")*(ROW('Leave Register'!$B$6:$B$305)-5))))))</f>
        <v/>
      </c>
      <c r="Y47" s="83" t="str">
        <f aca="false">IF(OR($A47="",Y$5="",Y$7&lt;&gt;"W"),"",IF(SUMPRODUCT(MAX(('Leave Register'!$B$6:$B$305=$A47)*('Leave Register'!$E$6:$E$305&lt;=Y$5)*('Leave Register'!$F$6:$F$305&gt;=Y$5)*('Leave Register'!$J$6:$J$305="Approved")*(ROW('Leave Register'!$B$6:$B$305)-5)))=0,"",INDEX('Leave Register'!$D$6:$D$305,SUMPRODUCT(MAX(('Leave Register'!$B$6:$B$305=$A47)*('Leave Register'!$E$6:$E$305&lt;=Y$5)*('Leave Register'!$F$6:$F$305&gt;=Y$5)*('Leave Register'!$J$6:$J$305="Approved")*(ROW('Leave Register'!$B$6:$B$305)-5))))))</f>
        <v/>
      </c>
      <c r="Z47" s="83" t="str">
        <f aca="false">IF(OR($A47="",Z$5="",Z$7&lt;&gt;"W"),"",IF(SUMPRODUCT(MAX(('Leave Register'!$B$6:$B$305=$A47)*('Leave Register'!$E$6:$E$305&lt;=Z$5)*('Leave Register'!$F$6:$F$305&gt;=Z$5)*('Leave Register'!$J$6:$J$305="Approved")*(ROW('Leave Register'!$B$6:$B$305)-5)))=0,"",INDEX('Leave Register'!$D$6:$D$305,SUMPRODUCT(MAX(('Leave Register'!$B$6:$B$305=$A47)*('Leave Register'!$E$6:$E$305&lt;=Z$5)*('Leave Register'!$F$6:$F$305&gt;=Z$5)*('Leave Register'!$J$6:$J$305="Approved")*(ROW('Leave Register'!$B$6:$B$305)-5))))))</f>
        <v/>
      </c>
      <c r="AA47" s="83" t="str">
        <f aca="false">IF(OR($A47="",AA$5="",AA$7&lt;&gt;"W"),"",IF(SUMPRODUCT(MAX(('Leave Register'!$B$6:$B$305=$A47)*('Leave Register'!$E$6:$E$305&lt;=AA$5)*('Leave Register'!$F$6:$F$305&gt;=AA$5)*('Leave Register'!$J$6:$J$305="Approved")*(ROW('Leave Register'!$B$6:$B$305)-5)))=0,"",INDEX('Leave Register'!$D$6:$D$305,SUMPRODUCT(MAX(('Leave Register'!$B$6:$B$305=$A47)*('Leave Register'!$E$6:$E$305&lt;=AA$5)*('Leave Register'!$F$6:$F$305&gt;=AA$5)*('Leave Register'!$J$6:$J$305="Approved")*(ROW('Leave Register'!$B$6:$B$305)-5))))))</f>
        <v/>
      </c>
      <c r="AB47" s="83" t="str">
        <f aca="false">IF(OR($A47="",AB$5="",AB$7&lt;&gt;"W"),"",IF(SUMPRODUCT(MAX(('Leave Register'!$B$6:$B$305=$A47)*('Leave Register'!$E$6:$E$305&lt;=AB$5)*('Leave Register'!$F$6:$F$305&gt;=AB$5)*('Leave Register'!$J$6:$J$305="Approved")*(ROW('Leave Register'!$B$6:$B$305)-5)))=0,"",INDEX('Leave Register'!$D$6:$D$305,SUMPRODUCT(MAX(('Leave Register'!$B$6:$B$305=$A47)*('Leave Register'!$E$6:$E$305&lt;=AB$5)*('Leave Register'!$F$6:$F$305&gt;=AB$5)*('Leave Register'!$J$6:$J$305="Approved")*(ROW('Leave Register'!$B$6:$B$305)-5))))))</f>
        <v/>
      </c>
      <c r="AC47" s="83" t="str">
        <f aca="false">IF(OR($A47="",AC$5="",AC$7&lt;&gt;"W"),"",IF(SUMPRODUCT(MAX(('Leave Register'!$B$6:$B$305=$A47)*('Leave Register'!$E$6:$E$305&lt;=AC$5)*('Leave Register'!$F$6:$F$305&gt;=AC$5)*('Leave Register'!$J$6:$J$305="Approved")*(ROW('Leave Register'!$B$6:$B$305)-5)))=0,"",INDEX('Leave Register'!$D$6:$D$305,SUMPRODUCT(MAX(('Leave Register'!$B$6:$B$305=$A47)*('Leave Register'!$E$6:$E$305&lt;=AC$5)*('Leave Register'!$F$6:$F$305&gt;=AC$5)*('Leave Register'!$J$6:$J$305="Approved")*(ROW('Leave Register'!$B$6:$B$305)-5))))))</f>
        <v/>
      </c>
      <c r="AD47" s="83" t="str">
        <f aca="false">IF(OR($A47="",AD$5="",AD$7&lt;&gt;"W"),"",IF(SUMPRODUCT(MAX(('Leave Register'!$B$6:$B$305=$A47)*('Leave Register'!$E$6:$E$305&lt;=AD$5)*('Leave Register'!$F$6:$F$305&gt;=AD$5)*('Leave Register'!$J$6:$J$305="Approved")*(ROW('Leave Register'!$B$6:$B$305)-5)))=0,"",INDEX('Leave Register'!$D$6:$D$305,SUMPRODUCT(MAX(('Leave Register'!$B$6:$B$305=$A47)*('Leave Register'!$E$6:$E$305&lt;=AD$5)*('Leave Register'!$F$6:$F$305&gt;=AD$5)*('Leave Register'!$J$6:$J$305="Approved")*(ROW('Leave Register'!$B$6:$B$305)-5))))))</f>
        <v/>
      </c>
      <c r="AE47" s="83" t="str">
        <f aca="false">IF(OR($A47="",AE$5="",AE$7&lt;&gt;"W"),"",IF(SUMPRODUCT(MAX(('Leave Register'!$B$6:$B$305=$A47)*('Leave Register'!$E$6:$E$305&lt;=AE$5)*('Leave Register'!$F$6:$F$305&gt;=AE$5)*('Leave Register'!$J$6:$J$305="Approved")*(ROW('Leave Register'!$B$6:$B$305)-5)))=0,"",INDEX('Leave Register'!$D$6:$D$305,SUMPRODUCT(MAX(('Leave Register'!$B$6:$B$305=$A47)*('Leave Register'!$E$6:$E$305&lt;=AE$5)*('Leave Register'!$F$6:$F$305&gt;=AE$5)*('Leave Register'!$J$6:$J$305="Approved")*(ROW('Leave Register'!$B$6:$B$305)-5))))))</f>
        <v/>
      </c>
      <c r="AF47" s="83" t="str">
        <f aca="false">IF(OR($A47="",AF$5="",AF$7&lt;&gt;"W"),"",IF(SUMPRODUCT(MAX(('Leave Register'!$B$6:$B$305=$A47)*('Leave Register'!$E$6:$E$305&lt;=AF$5)*('Leave Register'!$F$6:$F$305&gt;=AF$5)*('Leave Register'!$J$6:$J$305="Approved")*(ROW('Leave Register'!$B$6:$B$305)-5)))=0,"",INDEX('Leave Register'!$D$6:$D$305,SUMPRODUCT(MAX(('Leave Register'!$B$6:$B$305=$A47)*('Leave Register'!$E$6:$E$305&lt;=AF$5)*('Leave Register'!$F$6:$F$305&gt;=AF$5)*('Leave Register'!$J$6:$J$305="Approved")*(ROW('Leave Register'!$B$6:$B$305)-5))))))</f>
        <v/>
      </c>
      <c r="AG47" s="83" t="str">
        <f aca="false">IF(OR($A47="",AG$5="",AG$7&lt;&gt;"W"),"",IF(SUMPRODUCT(MAX(('Leave Register'!$B$6:$B$305=$A47)*('Leave Register'!$E$6:$E$305&lt;=AG$5)*('Leave Register'!$F$6:$F$305&gt;=AG$5)*('Leave Register'!$J$6:$J$305="Approved")*(ROW('Leave Register'!$B$6:$B$305)-5)))=0,"",INDEX('Leave Register'!$D$6:$D$305,SUMPRODUCT(MAX(('Leave Register'!$B$6:$B$305=$A47)*('Leave Register'!$E$6:$E$305&lt;=AG$5)*('Leave Register'!$F$6:$F$305&gt;=AG$5)*('Leave Register'!$J$6:$J$305="Approved")*(ROW('Leave Register'!$B$6:$B$305)-5))))))</f>
        <v/>
      </c>
      <c r="AH47" s="84" t="str">
        <f aca="false">IF(A47="","",COUNTIF(C47:AG47,"?*"))</f>
        <v/>
      </c>
    </row>
    <row r="48" customFormat="false" ht="15" hidden="false" customHeight="false" outlineLevel="0" collapsed="false">
      <c r="A48" s="81" t="str">
        <f aca="false">IF(Employees!$B$45="","",Employees!$B$45)</f>
        <v/>
      </c>
      <c r="B48" s="82" t="str">
        <f aca="false">IF(A48="","",Employees!$C$45)</f>
        <v/>
      </c>
      <c r="C48" s="83" t="str">
        <f aca="false">IF(OR($A48="",C$5="",C$7&lt;&gt;"W"),"",IF(SUMPRODUCT(MAX(('Leave Register'!$B$6:$B$305=$A48)*('Leave Register'!$E$6:$E$305&lt;=C$5)*('Leave Register'!$F$6:$F$305&gt;=C$5)*('Leave Register'!$J$6:$J$305="Approved")*(ROW('Leave Register'!$B$6:$B$305)-5)))=0,"",INDEX('Leave Register'!$D$6:$D$305,SUMPRODUCT(MAX(('Leave Register'!$B$6:$B$305=$A48)*('Leave Register'!$E$6:$E$305&lt;=C$5)*('Leave Register'!$F$6:$F$305&gt;=C$5)*('Leave Register'!$J$6:$J$305="Approved")*(ROW('Leave Register'!$B$6:$B$305)-5))))))</f>
        <v/>
      </c>
      <c r="D48" s="83" t="str">
        <f aca="false">IF(OR($A48="",D$5="",D$7&lt;&gt;"W"),"",IF(SUMPRODUCT(MAX(('Leave Register'!$B$6:$B$305=$A48)*('Leave Register'!$E$6:$E$305&lt;=D$5)*('Leave Register'!$F$6:$F$305&gt;=D$5)*('Leave Register'!$J$6:$J$305="Approved")*(ROW('Leave Register'!$B$6:$B$305)-5)))=0,"",INDEX('Leave Register'!$D$6:$D$305,SUMPRODUCT(MAX(('Leave Register'!$B$6:$B$305=$A48)*('Leave Register'!$E$6:$E$305&lt;=D$5)*('Leave Register'!$F$6:$F$305&gt;=D$5)*('Leave Register'!$J$6:$J$305="Approved")*(ROW('Leave Register'!$B$6:$B$305)-5))))))</f>
        <v/>
      </c>
      <c r="E48" s="83" t="str">
        <f aca="false">IF(OR($A48="",E$5="",E$7&lt;&gt;"W"),"",IF(SUMPRODUCT(MAX(('Leave Register'!$B$6:$B$305=$A48)*('Leave Register'!$E$6:$E$305&lt;=E$5)*('Leave Register'!$F$6:$F$305&gt;=E$5)*('Leave Register'!$J$6:$J$305="Approved")*(ROW('Leave Register'!$B$6:$B$305)-5)))=0,"",INDEX('Leave Register'!$D$6:$D$305,SUMPRODUCT(MAX(('Leave Register'!$B$6:$B$305=$A48)*('Leave Register'!$E$6:$E$305&lt;=E$5)*('Leave Register'!$F$6:$F$305&gt;=E$5)*('Leave Register'!$J$6:$J$305="Approved")*(ROW('Leave Register'!$B$6:$B$305)-5))))))</f>
        <v/>
      </c>
      <c r="F48" s="83" t="str">
        <f aca="false">IF(OR($A48="",F$5="",F$7&lt;&gt;"W"),"",IF(SUMPRODUCT(MAX(('Leave Register'!$B$6:$B$305=$A48)*('Leave Register'!$E$6:$E$305&lt;=F$5)*('Leave Register'!$F$6:$F$305&gt;=F$5)*('Leave Register'!$J$6:$J$305="Approved")*(ROW('Leave Register'!$B$6:$B$305)-5)))=0,"",INDEX('Leave Register'!$D$6:$D$305,SUMPRODUCT(MAX(('Leave Register'!$B$6:$B$305=$A48)*('Leave Register'!$E$6:$E$305&lt;=F$5)*('Leave Register'!$F$6:$F$305&gt;=F$5)*('Leave Register'!$J$6:$J$305="Approved")*(ROW('Leave Register'!$B$6:$B$305)-5))))))</f>
        <v/>
      </c>
      <c r="G48" s="83" t="str">
        <f aca="false">IF(OR($A48="",G$5="",G$7&lt;&gt;"W"),"",IF(SUMPRODUCT(MAX(('Leave Register'!$B$6:$B$305=$A48)*('Leave Register'!$E$6:$E$305&lt;=G$5)*('Leave Register'!$F$6:$F$305&gt;=G$5)*('Leave Register'!$J$6:$J$305="Approved")*(ROW('Leave Register'!$B$6:$B$305)-5)))=0,"",INDEX('Leave Register'!$D$6:$D$305,SUMPRODUCT(MAX(('Leave Register'!$B$6:$B$305=$A48)*('Leave Register'!$E$6:$E$305&lt;=G$5)*('Leave Register'!$F$6:$F$305&gt;=G$5)*('Leave Register'!$J$6:$J$305="Approved")*(ROW('Leave Register'!$B$6:$B$305)-5))))))</f>
        <v/>
      </c>
      <c r="H48" s="83" t="str">
        <f aca="false">IF(OR($A48="",H$5="",H$7&lt;&gt;"W"),"",IF(SUMPRODUCT(MAX(('Leave Register'!$B$6:$B$305=$A48)*('Leave Register'!$E$6:$E$305&lt;=H$5)*('Leave Register'!$F$6:$F$305&gt;=H$5)*('Leave Register'!$J$6:$J$305="Approved")*(ROW('Leave Register'!$B$6:$B$305)-5)))=0,"",INDEX('Leave Register'!$D$6:$D$305,SUMPRODUCT(MAX(('Leave Register'!$B$6:$B$305=$A48)*('Leave Register'!$E$6:$E$305&lt;=H$5)*('Leave Register'!$F$6:$F$305&gt;=H$5)*('Leave Register'!$J$6:$J$305="Approved")*(ROW('Leave Register'!$B$6:$B$305)-5))))))</f>
        <v/>
      </c>
      <c r="I48" s="83" t="str">
        <f aca="false">IF(OR($A48="",I$5="",I$7&lt;&gt;"W"),"",IF(SUMPRODUCT(MAX(('Leave Register'!$B$6:$B$305=$A48)*('Leave Register'!$E$6:$E$305&lt;=I$5)*('Leave Register'!$F$6:$F$305&gt;=I$5)*('Leave Register'!$J$6:$J$305="Approved")*(ROW('Leave Register'!$B$6:$B$305)-5)))=0,"",INDEX('Leave Register'!$D$6:$D$305,SUMPRODUCT(MAX(('Leave Register'!$B$6:$B$305=$A48)*('Leave Register'!$E$6:$E$305&lt;=I$5)*('Leave Register'!$F$6:$F$305&gt;=I$5)*('Leave Register'!$J$6:$J$305="Approved")*(ROW('Leave Register'!$B$6:$B$305)-5))))))</f>
        <v/>
      </c>
      <c r="J48" s="83" t="str">
        <f aca="false">IF(OR($A48="",J$5="",J$7&lt;&gt;"W"),"",IF(SUMPRODUCT(MAX(('Leave Register'!$B$6:$B$305=$A48)*('Leave Register'!$E$6:$E$305&lt;=J$5)*('Leave Register'!$F$6:$F$305&gt;=J$5)*('Leave Register'!$J$6:$J$305="Approved")*(ROW('Leave Register'!$B$6:$B$305)-5)))=0,"",INDEX('Leave Register'!$D$6:$D$305,SUMPRODUCT(MAX(('Leave Register'!$B$6:$B$305=$A48)*('Leave Register'!$E$6:$E$305&lt;=J$5)*('Leave Register'!$F$6:$F$305&gt;=J$5)*('Leave Register'!$J$6:$J$305="Approved")*(ROW('Leave Register'!$B$6:$B$305)-5))))))</f>
        <v/>
      </c>
      <c r="K48" s="83" t="str">
        <f aca="false">IF(OR($A48="",K$5="",K$7&lt;&gt;"W"),"",IF(SUMPRODUCT(MAX(('Leave Register'!$B$6:$B$305=$A48)*('Leave Register'!$E$6:$E$305&lt;=K$5)*('Leave Register'!$F$6:$F$305&gt;=K$5)*('Leave Register'!$J$6:$J$305="Approved")*(ROW('Leave Register'!$B$6:$B$305)-5)))=0,"",INDEX('Leave Register'!$D$6:$D$305,SUMPRODUCT(MAX(('Leave Register'!$B$6:$B$305=$A48)*('Leave Register'!$E$6:$E$305&lt;=K$5)*('Leave Register'!$F$6:$F$305&gt;=K$5)*('Leave Register'!$J$6:$J$305="Approved")*(ROW('Leave Register'!$B$6:$B$305)-5))))))</f>
        <v/>
      </c>
      <c r="L48" s="83" t="str">
        <f aca="false">IF(OR($A48="",L$5="",L$7&lt;&gt;"W"),"",IF(SUMPRODUCT(MAX(('Leave Register'!$B$6:$B$305=$A48)*('Leave Register'!$E$6:$E$305&lt;=L$5)*('Leave Register'!$F$6:$F$305&gt;=L$5)*('Leave Register'!$J$6:$J$305="Approved")*(ROW('Leave Register'!$B$6:$B$305)-5)))=0,"",INDEX('Leave Register'!$D$6:$D$305,SUMPRODUCT(MAX(('Leave Register'!$B$6:$B$305=$A48)*('Leave Register'!$E$6:$E$305&lt;=L$5)*('Leave Register'!$F$6:$F$305&gt;=L$5)*('Leave Register'!$J$6:$J$305="Approved")*(ROW('Leave Register'!$B$6:$B$305)-5))))))</f>
        <v/>
      </c>
      <c r="M48" s="83" t="str">
        <f aca="false">IF(OR($A48="",M$5="",M$7&lt;&gt;"W"),"",IF(SUMPRODUCT(MAX(('Leave Register'!$B$6:$B$305=$A48)*('Leave Register'!$E$6:$E$305&lt;=M$5)*('Leave Register'!$F$6:$F$305&gt;=M$5)*('Leave Register'!$J$6:$J$305="Approved")*(ROW('Leave Register'!$B$6:$B$305)-5)))=0,"",INDEX('Leave Register'!$D$6:$D$305,SUMPRODUCT(MAX(('Leave Register'!$B$6:$B$305=$A48)*('Leave Register'!$E$6:$E$305&lt;=M$5)*('Leave Register'!$F$6:$F$305&gt;=M$5)*('Leave Register'!$J$6:$J$305="Approved")*(ROW('Leave Register'!$B$6:$B$305)-5))))))</f>
        <v/>
      </c>
      <c r="N48" s="83" t="str">
        <f aca="false">IF(OR($A48="",N$5="",N$7&lt;&gt;"W"),"",IF(SUMPRODUCT(MAX(('Leave Register'!$B$6:$B$305=$A48)*('Leave Register'!$E$6:$E$305&lt;=N$5)*('Leave Register'!$F$6:$F$305&gt;=N$5)*('Leave Register'!$J$6:$J$305="Approved")*(ROW('Leave Register'!$B$6:$B$305)-5)))=0,"",INDEX('Leave Register'!$D$6:$D$305,SUMPRODUCT(MAX(('Leave Register'!$B$6:$B$305=$A48)*('Leave Register'!$E$6:$E$305&lt;=N$5)*('Leave Register'!$F$6:$F$305&gt;=N$5)*('Leave Register'!$J$6:$J$305="Approved")*(ROW('Leave Register'!$B$6:$B$305)-5))))))</f>
        <v/>
      </c>
      <c r="O48" s="83" t="str">
        <f aca="false">IF(OR($A48="",O$5="",O$7&lt;&gt;"W"),"",IF(SUMPRODUCT(MAX(('Leave Register'!$B$6:$B$305=$A48)*('Leave Register'!$E$6:$E$305&lt;=O$5)*('Leave Register'!$F$6:$F$305&gt;=O$5)*('Leave Register'!$J$6:$J$305="Approved")*(ROW('Leave Register'!$B$6:$B$305)-5)))=0,"",INDEX('Leave Register'!$D$6:$D$305,SUMPRODUCT(MAX(('Leave Register'!$B$6:$B$305=$A48)*('Leave Register'!$E$6:$E$305&lt;=O$5)*('Leave Register'!$F$6:$F$305&gt;=O$5)*('Leave Register'!$J$6:$J$305="Approved")*(ROW('Leave Register'!$B$6:$B$305)-5))))))</f>
        <v/>
      </c>
      <c r="P48" s="83" t="str">
        <f aca="false">IF(OR($A48="",P$5="",P$7&lt;&gt;"W"),"",IF(SUMPRODUCT(MAX(('Leave Register'!$B$6:$B$305=$A48)*('Leave Register'!$E$6:$E$305&lt;=P$5)*('Leave Register'!$F$6:$F$305&gt;=P$5)*('Leave Register'!$J$6:$J$305="Approved")*(ROW('Leave Register'!$B$6:$B$305)-5)))=0,"",INDEX('Leave Register'!$D$6:$D$305,SUMPRODUCT(MAX(('Leave Register'!$B$6:$B$305=$A48)*('Leave Register'!$E$6:$E$305&lt;=P$5)*('Leave Register'!$F$6:$F$305&gt;=P$5)*('Leave Register'!$J$6:$J$305="Approved")*(ROW('Leave Register'!$B$6:$B$305)-5))))))</f>
        <v/>
      </c>
      <c r="Q48" s="83" t="str">
        <f aca="false">IF(OR($A48="",Q$5="",Q$7&lt;&gt;"W"),"",IF(SUMPRODUCT(MAX(('Leave Register'!$B$6:$B$305=$A48)*('Leave Register'!$E$6:$E$305&lt;=Q$5)*('Leave Register'!$F$6:$F$305&gt;=Q$5)*('Leave Register'!$J$6:$J$305="Approved")*(ROW('Leave Register'!$B$6:$B$305)-5)))=0,"",INDEX('Leave Register'!$D$6:$D$305,SUMPRODUCT(MAX(('Leave Register'!$B$6:$B$305=$A48)*('Leave Register'!$E$6:$E$305&lt;=Q$5)*('Leave Register'!$F$6:$F$305&gt;=Q$5)*('Leave Register'!$J$6:$J$305="Approved")*(ROW('Leave Register'!$B$6:$B$305)-5))))))</f>
        <v/>
      </c>
      <c r="R48" s="83" t="str">
        <f aca="false">IF(OR($A48="",R$5="",R$7&lt;&gt;"W"),"",IF(SUMPRODUCT(MAX(('Leave Register'!$B$6:$B$305=$A48)*('Leave Register'!$E$6:$E$305&lt;=R$5)*('Leave Register'!$F$6:$F$305&gt;=R$5)*('Leave Register'!$J$6:$J$305="Approved")*(ROW('Leave Register'!$B$6:$B$305)-5)))=0,"",INDEX('Leave Register'!$D$6:$D$305,SUMPRODUCT(MAX(('Leave Register'!$B$6:$B$305=$A48)*('Leave Register'!$E$6:$E$305&lt;=R$5)*('Leave Register'!$F$6:$F$305&gt;=R$5)*('Leave Register'!$J$6:$J$305="Approved")*(ROW('Leave Register'!$B$6:$B$305)-5))))))</f>
        <v/>
      </c>
      <c r="S48" s="83" t="str">
        <f aca="false">IF(OR($A48="",S$5="",S$7&lt;&gt;"W"),"",IF(SUMPRODUCT(MAX(('Leave Register'!$B$6:$B$305=$A48)*('Leave Register'!$E$6:$E$305&lt;=S$5)*('Leave Register'!$F$6:$F$305&gt;=S$5)*('Leave Register'!$J$6:$J$305="Approved")*(ROW('Leave Register'!$B$6:$B$305)-5)))=0,"",INDEX('Leave Register'!$D$6:$D$305,SUMPRODUCT(MAX(('Leave Register'!$B$6:$B$305=$A48)*('Leave Register'!$E$6:$E$305&lt;=S$5)*('Leave Register'!$F$6:$F$305&gt;=S$5)*('Leave Register'!$J$6:$J$305="Approved")*(ROW('Leave Register'!$B$6:$B$305)-5))))))</f>
        <v/>
      </c>
      <c r="T48" s="83" t="str">
        <f aca="false">IF(OR($A48="",T$5="",T$7&lt;&gt;"W"),"",IF(SUMPRODUCT(MAX(('Leave Register'!$B$6:$B$305=$A48)*('Leave Register'!$E$6:$E$305&lt;=T$5)*('Leave Register'!$F$6:$F$305&gt;=T$5)*('Leave Register'!$J$6:$J$305="Approved")*(ROW('Leave Register'!$B$6:$B$305)-5)))=0,"",INDEX('Leave Register'!$D$6:$D$305,SUMPRODUCT(MAX(('Leave Register'!$B$6:$B$305=$A48)*('Leave Register'!$E$6:$E$305&lt;=T$5)*('Leave Register'!$F$6:$F$305&gt;=T$5)*('Leave Register'!$J$6:$J$305="Approved")*(ROW('Leave Register'!$B$6:$B$305)-5))))))</f>
        <v/>
      </c>
      <c r="U48" s="83" t="str">
        <f aca="false">IF(OR($A48="",U$5="",U$7&lt;&gt;"W"),"",IF(SUMPRODUCT(MAX(('Leave Register'!$B$6:$B$305=$A48)*('Leave Register'!$E$6:$E$305&lt;=U$5)*('Leave Register'!$F$6:$F$305&gt;=U$5)*('Leave Register'!$J$6:$J$305="Approved")*(ROW('Leave Register'!$B$6:$B$305)-5)))=0,"",INDEX('Leave Register'!$D$6:$D$305,SUMPRODUCT(MAX(('Leave Register'!$B$6:$B$305=$A48)*('Leave Register'!$E$6:$E$305&lt;=U$5)*('Leave Register'!$F$6:$F$305&gt;=U$5)*('Leave Register'!$J$6:$J$305="Approved")*(ROW('Leave Register'!$B$6:$B$305)-5))))))</f>
        <v/>
      </c>
      <c r="V48" s="83" t="str">
        <f aca="false">IF(OR($A48="",V$5="",V$7&lt;&gt;"W"),"",IF(SUMPRODUCT(MAX(('Leave Register'!$B$6:$B$305=$A48)*('Leave Register'!$E$6:$E$305&lt;=V$5)*('Leave Register'!$F$6:$F$305&gt;=V$5)*('Leave Register'!$J$6:$J$305="Approved")*(ROW('Leave Register'!$B$6:$B$305)-5)))=0,"",INDEX('Leave Register'!$D$6:$D$305,SUMPRODUCT(MAX(('Leave Register'!$B$6:$B$305=$A48)*('Leave Register'!$E$6:$E$305&lt;=V$5)*('Leave Register'!$F$6:$F$305&gt;=V$5)*('Leave Register'!$J$6:$J$305="Approved")*(ROW('Leave Register'!$B$6:$B$305)-5))))))</f>
        <v/>
      </c>
      <c r="W48" s="83" t="str">
        <f aca="false">IF(OR($A48="",W$5="",W$7&lt;&gt;"W"),"",IF(SUMPRODUCT(MAX(('Leave Register'!$B$6:$B$305=$A48)*('Leave Register'!$E$6:$E$305&lt;=W$5)*('Leave Register'!$F$6:$F$305&gt;=W$5)*('Leave Register'!$J$6:$J$305="Approved")*(ROW('Leave Register'!$B$6:$B$305)-5)))=0,"",INDEX('Leave Register'!$D$6:$D$305,SUMPRODUCT(MAX(('Leave Register'!$B$6:$B$305=$A48)*('Leave Register'!$E$6:$E$305&lt;=W$5)*('Leave Register'!$F$6:$F$305&gt;=W$5)*('Leave Register'!$J$6:$J$305="Approved")*(ROW('Leave Register'!$B$6:$B$305)-5))))))</f>
        <v/>
      </c>
      <c r="X48" s="83" t="str">
        <f aca="false">IF(OR($A48="",X$5="",X$7&lt;&gt;"W"),"",IF(SUMPRODUCT(MAX(('Leave Register'!$B$6:$B$305=$A48)*('Leave Register'!$E$6:$E$305&lt;=X$5)*('Leave Register'!$F$6:$F$305&gt;=X$5)*('Leave Register'!$J$6:$J$305="Approved")*(ROW('Leave Register'!$B$6:$B$305)-5)))=0,"",INDEX('Leave Register'!$D$6:$D$305,SUMPRODUCT(MAX(('Leave Register'!$B$6:$B$305=$A48)*('Leave Register'!$E$6:$E$305&lt;=X$5)*('Leave Register'!$F$6:$F$305&gt;=X$5)*('Leave Register'!$J$6:$J$305="Approved")*(ROW('Leave Register'!$B$6:$B$305)-5))))))</f>
        <v/>
      </c>
      <c r="Y48" s="83" t="str">
        <f aca="false">IF(OR($A48="",Y$5="",Y$7&lt;&gt;"W"),"",IF(SUMPRODUCT(MAX(('Leave Register'!$B$6:$B$305=$A48)*('Leave Register'!$E$6:$E$305&lt;=Y$5)*('Leave Register'!$F$6:$F$305&gt;=Y$5)*('Leave Register'!$J$6:$J$305="Approved")*(ROW('Leave Register'!$B$6:$B$305)-5)))=0,"",INDEX('Leave Register'!$D$6:$D$305,SUMPRODUCT(MAX(('Leave Register'!$B$6:$B$305=$A48)*('Leave Register'!$E$6:$E$305&lt;=Y$5)*('Leave Register'!$F$6:$F$305&gt;=Y$5)*('Leave Register'!$J$6:$J$305="Approved")*(ROW('Leave Register'!$B$6:$B$305)-5))))))</f>
        <v/>
      </c>
      <c r="Z48" s="83" t="str">
        <f aca="false">IF(OR($A48="",Z$5="",Z$7&lt;&gt;"W"),"",IF(SUMPRODUCT(MAX(('Leave Register'!$B$6:$B$305=$A48)*('Leave Register'!$E$6:$E$305&lt;=Z$5)*('Leave Register'!$F$6:$F$305&gt;=Z$5)*('Leave Register'!$J$6:$J$305="Approved")*(ROW('Leave Register'!$B$6:$B$305)-5)))=0,"",INDEX('Leave Register'!$D$6:$D$305,SUMPRODUCT(MAX(('Leave Register'!$B$6:$B$305=$A48)*('Leave Register'!$E$6:$E$305&lt;=Z$5)*('Leave Register'!$F$6:$F$305&gt;=Z$5)*('Leave Register'!$J$6:$J$305="Approved")*(ROW('Leave Register'!$B$6:$B$305)-5))))))</f>
        <v/>
      </c>
      <c r="AA48" s="83" t="str">
        <f aca="false">IF(OR($A48="",AA$5="",AA$7&lt;&gt;"W"),"",IF(SUMPRODUCT(MAX(('Leave Register'!$B$6:$B$305=$A48)*('Leave Register'!$E$6:$E$305&lt;=AA$5)*('Leave Register'!$F$6:$F$305&gt;=AA$5)*('Leave Register'!$J$6:$J$305="Approved")*(ROW('Leave Register'!$B$6:$B$305)-5)))=0,"",INDEX('Leave Register'!$D$6:$D$305,SUMPRODUCT(MAX(('Leave Register'!$B$6:$B$305=$A48)*('Leave Register'!$E$6:$E$305&lt;=AA$5)*('Leave Register'!$F$6:$F$305&gt;=AA$5)*('Leave Register'!$J$6:$J$305="Approved")*(ROW('Leave Register'!$B$6:$B$305)-5))))))</f>
        <v/>
      </c>
      <c r="AB48" s="83" t="str">
        <f aca="false">IF(OR($A48="",AB$5="",AB$7&lt;&gt;"W"),"",IF(SUMPRODUCT(MAX(('Leave Register'!$B$6:$B$305=$A48)*('Leave Register'!$E$6:$E$305&lt;=AB$5)*('Leave Register'!$F$6:$F$305&gt;=AB$5)*('Leave Register'!$J$6:$J$305="Approved")*(ROW('Leave Register'!$B$6:$B$305)-5)))=0,"",INDEX('Leave Register'!$D$6:$D$305,SUMPRODUCT(MAX(('Leave Register'!$B$6:$B$305=$A48)*('Leave Register'!$E$6:$E$305&lt;=AB$5)*('Leave Register'!$F$6:$F$305&gt;=AB$5)*('Leave Register'!$J$6:$J$305="Approved")*(ROW('Leave Register'!$B$6:$B$305)-5))))))</f>
        <v/>
      </c>
      <c r="AC48" s="83" t="str">
        <f aca="false">IF(OR($A48="",AC$5="",AC$7&lt;&gt;"W"),"",IF(SUMPRODUCT(MAX(('Leave Register'!$B$6:$B$305=$A48)*('Leave Register'!$E$6:$E$305&lt;=AC$5)*('Leave Register'!$F$6:$F$305&gt;=AC$5)*('Leave Register'!$J$6:$J$305="Approved")*(ROW('Leave Register'!$B$6:$B$305)-5)))=0,"",INDEX('Leave Register'!$D$6:$D$305,SUMPRODUCT(MAX(('Leave Register'!$B$6:$B$305=$A48)*('Leave Register'!$E$6:$E$305&lt;=AC$5)*('Leave Register'!$F$6:$F$305&gt;=AC$5)*('Leave Register'!$J$6:$J$305="Approved")*(ROW('Leave Register'!$B$6:$B$305)-5))))))</f>
        <v/>
      </c>
      <c r="AD48" s="83" t="str">
        <f aca="false">IF(OR($A48="",AD$5="",AD$7&lt;&gt;"W"),"",IF(SUMPRODUCT(MAX(('Leave Register'!$B$6:$B$305=$A48)*('Leave Register'!$E$6:$E$305&lt;=AD$5)*('Leave Register'!$F$6:$F$305&gt;=AD$5)*('Leave Register'!$J$6:$J$305="Approved")*(ROW('Leave Register'!$B$6:$B$305)-5)))=0,"",INDEX('Leave Register'!$D$6:$D$305,SUMPRODUCT(MAX(('Leave Register'!$B$6:$B$305=$A48)*('Leave Register'!$E$6:$E$305&lt;=AD$5)*('Leave Register'!$F$6:$F$305&gt;=AD$5)*('Leave Register'!$J$6:$J$305="Approved")*(ROW('Leave Register'!$B$6:$B$305)-5))))))</f>
        <v/>
      </c>
      <c r="AE48" s="83" t="str">
        <f aca="false">IF(OR($A48="",AE$5="",AE$7&lt;&gt;"W"),"",IF(SUMPRODUCT(MAX(('Leave Register'!$B$6:$B$305=$A48)*('Leave Register'!$E$6:$E$305&lt;=AE$5)*('Leave Register'!$F$6:$F$305&gt;=AE$5)*('Leave Register'!$J$6:$J$305="Approved")*(ROW('Leave Register'!$B$6:$B$305)-5)))=0,"",INDEX('Leave Register'!$D$6:$D$305,SUMPRODUCT(MAX(('Leave Register'!$B$6:$B$305=$A48)*('Leave Register'!$E$6:$E$305&lt;=AE$5)*('Leave Register'!$F$6:$F$305&gt;=AE$5)*('Leave Register'!$J$6:$J$305="Approved")*(ROW('Leave Register'!$B$6:$B$305)-5))))))</f>
        <v/>
      </c>
      <c r="AF48" s="83" t="str">
        <f aca="false">IF(OR($A48="",AF$5="",AF$7&lt;&gt;"W"),"",IF(SUMPRODUCT(MAX(('Leave Register'!$B$6:$B$305=$A48)*('Leave Register'!$E$6:$E$305&lt;=AF$5)*('Leave Register'!$F$6:$F$305&gt;=AF$5)*('Leave Register'!$J$6:$J$305="Approved")*(ROW('Leave Register'!$B$6:$B$305)-5)))=0,"",INDEX('Leave Register'!$D$6:$D$305,SUMPRODUCT(MAX(('Leave Register'!$B$6:$B$305=$A48)*('Leave Register'!$E$6:$E$305&lt;=AF$5)*('Leave Register'!$F$6:$F$305&gt;=AF$5)*('Leave Register'!$J$6:$J$305="Approved")*(ROW('Leave Register'!$B$6:$B$305)-5))))))</f>
        <v/>
      </c>
      <c r="AG48" s="83" t="str">
        <f aca="false">IF(OR($A48="",AG$5="",AG$7&lt;&gt;"W"),"",IF(SUMPRODUCT(MAX(('Leave Register'!$B$6:$B$305=$A48)*('Leave Register'!$E$6:$E$305&lt;=AG$5)*('Leave Register'!$F$6:$F$305&gt;=AG$5)*('Leave Register'!$J$6:$J$305="Approved")*(ROW('Leave Register'!$B$6:$B$305)-5)))=0,"",INDEX('Leave Register'!$D$6:$D$305,SUMPRODUCT(MAX(('Leave Register'!$B$6:$B$305=$A48)*('Leave Register'!$E$6:$E$305&lt;=AG$5)*('Leave Register'!$F$6:$F$305&gt;=AG$5)*('Leave Register'!$J$6:$J$305="Approved")*(ROW('Leave Register'!$B$6:$B$305)-5))))))</f>
        <v/>
      </c>
      <c r="AH48" s="84" t="str">
        <f aca="false">IF(A48="","",COUNTIF(C48:AG48,"?*"))</f>
        <v/>
      </c>
    </row>
    <row r="49" customFormat="false" ht="15" hidden="false" customHeight="false" outlineLevel="0" collapsed="false">
      <c r="A49" s="81" t="str">
        <f aca="false">IF(Employees!$B$46="","",Employees!$B$46)</f>
        <v/>
      </c>
      <c r="B49" s="82" t="str">
        <f aca="false">IF(A49="","",Employees!$C$46)</f>
        <v/>
      </c>
      <c r="C49" s="83" t="str">
        <f aca="false">IF(OR($A49="",C$5="",C$7&lt;&gt;"W"),"",IF(SUMPRODUCT(MAX(('Leave Register'!$B$6:$B$305=$A49)*('Leave Register'!$E$6:$E$305&lt;=C$5)*('Leave Register'!$F$6:$F$305&gt;=C$5)*('Leave Register'!$J$6:$J$305="Approved")*(ROW('Leave Register'!$B$6:$B$305)-5)))=0,"",INDEX('Leave Register'!$D$6:$D$305,SUMPRODUCT(MAX(('Leave Register'!$B$6:$B$305=$A49)*('Leave Register'!$E$6:$E$305&lt;=C$5)*('Leave Register'!$F$6:$F$305&gt;=C$5)*('Leave Register'!$J$6:$J$305="Approved")*(ROW('Leave Register'!$B$6:$B$305)-5))))))</f>
        <v/>
      </c>
      <c r="D49" s="83" t="str">
        <f aca="false">IF(OR($A49="",D$5="",D$7&lt;&gt;"W"),"",IF(SUMPRODUCT(MAX(('Leave Register'!$B$6:$B$305=$A49)*('Leave Register'!$E$6:$E$305&lt;=D$5)*('Leave Register'!$F$6:$F$305&gt;=D$5)*('Leave Register'!$J$6:$J$305="Approved")*(ROW('Leave Register'!$B$6:$B$305)-5)))=0,"",INDEX('Leave Register'!$D$6:$D$305,SUMPRODUCT(MAX(('Leave Register'!$B$6:$B$305=$A49)*('Leave Register'!$E$6:$E$305&lt;=D$5)*('Leave Register'!$F$6:$F$305&gt;=D$5)*('Leave Register'!$J$6:$J$305="Approved")*(ROW('Leave Register'!$B$6:$B$305)-5))))))</f>
        <v/>
      </c>
      <c r="E49" s="83" t="str">
        <f aca="false">IF(OR($A49="",E$5="",E$7&lt;&gt;"W"),"",IF(SUMPRODUCT(MAX(('Leave Register'!$B$6:$B$305=$A49)*('Leave Register'!$E$6:$E$305&lt;=E$5)*('Leave Register'!$F$6:$F$305&gt;=E$5)*('Leave Register'!$J$6:$J$305="Approved")*(ROW('Leave Register'!$B$6:$B$305)-5)))=0,"",INDEX('Leave Register'!$D$6:$D$305,SUMPRODUCT(MAX(('Leave Register'!$B$6:$B$305=$A49)*('Leave Register'!$E$6:$E$305&lt;=E$5)*('Leave Register'!$F$6:$F$305&gt;=E$5)*('Leave Register'!$J$6:$J$305="Approved")*(ROW('Leave Register'!$B$6:$B$305)-5))))))</f>
        <v/>
      </c>
      <c r="F49" s="83" t="str">
        <f aca="false">IF(OR($A49="",F$5="",F$7&lt;&gt;"W"),"",IF(SUMPRODUCT(MAX(('Leave Register'!$B$6:$B$305=$A49)*('Leave Register'!$E$6:$E$305&lt;=F$5)*('Leave Register'!$F$6:$F$305&gt;=F$5)*('Leave Register'!$J$6:$J$305="Approved")*(ROW('Leave Register'!$B$6:$B$305)-5)))=0,"",INDEX('Leave Register'!$D$6:$D$305,SUMPRODUCT(MAX(('Leave Register'!$B$6:$B$305=$A49)*('Leave Register'!$E$6:$E$305&lt;=F$5)*('Leave Register'!$F$6:$F$305&gt;=F$5)*('Leave Register'!$J$6:$J$305="Approved")*(ROW('Leave Register'!$B$6:$B$305)-5))))))</f>
        <v/>
      </c>
      <c r="G49" s="83" t="str">
        <f aca="false">IF(OR($A49="",G$5="",G$7&lt;&gt;"W"),"",IF(SUMPRODUCT(MAX(('Leave Register'!$B$6:$B$305=$A49)*('Leave Register'!$E$6:$E$305&lt;=G$5)*('Leave Register'!$F$6:$F$305&gt;=G$5)*('Leave Register'!$J$6:$J$305="Approved")*(ROW('Leave Register'!$B$6:$B$305)-5)))=0,"",INDEX('Leave Register'!$D$6:$D$305,SUMPRODUCT(MAX(('Leave Register'!$B$6:$B$305=$A49)*('Leave Register'!$E$6:$E$305&lt;=G$5)*('Leave Register'!$F$6:$F$305&gt;=G$5)*('Leave Register'!$J$6:$J$305="Approved")*(ROW('Leave Register'!$B$6:$B$305)-5))))))</f>
        <v/>
      </c>
      <c r="H49" s="83" t="str">
        <f aca="false">IF(OR($A49="",H$5="",H$7&lt;&gt;"W"),"",IF(SUMPRODUCT(MAX(('Leave Register'!$B$6:$B$305=$A49)*('Leave Register'!$E$6:$E$305&lt;=H$5)*('Leave Register'!$F$6:$F$305&gt;=H$5)*('Leave Register'!$J$6:$J$305="Approved")*(ROW('Leave Register'!$B$6:$B$305)-5)))=0,"",INDEX('Leave Register'!$D$6:$D$305,SUMPRODUCT(MAX(('Leave Register'!$B$6:$B$305=$A49)*('Leave Register'!$E$6:$E$305&lt;=H$5)*('Leave Register'!$F$6:$F$305&gt;=H$5)*('Leave Register'!$J$6:$J$305="Approved")*(ROW('Leave Register'!$B$6:$B$305)-5))))))</f>
        <v/>
      </c>
      <c r="I49" s="83" t="str">
        <f aca="false">IF(OR($A49="",I$5="",I$7&lt;&gt;"W"),"",IF(SUMPRODUCT(MAX(('Leave Register'!$B$6:$B$305=$A49)*('Leave Register'!$E$6:$E$305&lt;=I$5)*('Leave Register'!$F$6:$F$305&gt;=I$5)*('Leave Register'!$J$6:$J$305="Approved")*(ROW('Leave Register'!$B$6:$B$305)-5)))=0,"",INDEX('Leave Register'!$D$6:$D$305,SUMPRODUCT(MAX(('Leave Register'!$B$6:$B$305=$A49)*('Leave Register'!$E$6:$E$305&lt;=I$5)*('Leave Register'!$F$6:$F$305&gt;=I$5)*('Leave Register'!$J$6:$J$305="Approved")*(ROW('Leave Register'!$B$6:$B$305)-5))))))</f>
        <v/>
      </c>
      <c r="J49" s="83" t="str">
        <f aca="false">IF(OR($A49="",J$5="",J$7&lt;&gt;"W"),"",IF(SUMPRODUCT(MAX(('Leave Register'!$B$6:$B$305=$A49)*('Leave Register'!$E$6:$E$305&lt;=J$5)*('Leave Register'!$F$6:$F$305&gt;=J$5)*('Leave Register'!$J$6:$J$305="Approved")*(ROW('Leave Register'!$B$6:$B$305)-5)))=0,"",INDEX('Leave Register'!$D$6:$D$305,SUMPRODUCT(MAX(('Leave Register'!$B$6:$B$305=$A49)*('Leave Register'!$E$6:$E$305&lt;=J$5)*('Leave Register'!$F$6:$F$305&gt;=J$5)*('Leave Register'!$J$6:$J$305="Approved")*(ROW('Leave Register'!$B$6:$B$305)-5))))))</f>
        <v/>
      </c>
      <c r="K49" s="83" t="str">
        <f aca="false">IF(OR($A49="",K$5="",K$7&lt;&gt;"W"),"",IF(SUMPRODUCT(MAX(('Leave Register'!$B$6:$B$305=$A49)*('Leave Register'!$E$6:$E$305&lt;=K$5)*('Leave Register'!$F$6:$F$305&gt;=K$5)*('Leave Register'!$J$6:$J$305="Approved")*(ROW('Leave Register'!$B$6:$B$305)-5)))=0,"",INDEX('Leave Register'!$D$6:$D$305,SUMPRODUCT(MAX(('Leave Register'!$B$6:$B$305=$A49)*('Leave Register'!$E$6:$E$305&lt;=K$5)*('Leave Register'!$F$6:$F$305&gt;=K$5)*('Leave Register'!$J$6:$J$305="Approved")*(ROW('Leave Register'!$B$6:$B$305)-5))))))</f>
        <v/>
      </c>
      <c r="L49" s="83" t="str">
        <f aca="false">IF(OR($A49="",L$5="",L$7&lt;&gt;"W"),"",IF(SUMPRODUCT(MAX(('Leave Register'!$B$6:$B$305=$A49)*('Leave Register'!$E$6:$E$305&lt;=L$5)*('Leave Register'!$F$6:$F$305&gt;=L$5)*('Leave Register'!$J$6:$J$305="Approved")*(ROW('Leave Register'!$B$6:$B$305)-5)))=0,"",INDEX('Leave Register'!$D$6:$D$305,SUMPRODUCT(MAX(('Leave Register'!$B$6:$B$305=$A49)*('Leave Register'!$E$6:$E$305&lt;=L$5)*('Leave Register'!$F$6:$F$305&gt;=L$5)*('Leave Register'!$J$6:$J$305="Approved")*(ROW('Leave Register'!$B$6:$B$305)-5))))))</f>
        <v/>
      </c>
      <c r="M49" s="83" t="str">
        <f aca="false">IF(OR($A49="",M$5="",M$7&lt;&gt;"W"),"",IF(SUMPRODUCT(MAX(('Leave Register'!$B$6:$B$305=$A49)*('Leave Register'!$E$6:$E$305&lt;=M$5)*('Leave Register'!$F$6:$F$305&gt;=M$5)*('Leave Register'!$J$6:$J$305="Approved")*(ROW('Leave Register'!$B$6:$B$305)-5)))=0,"",INDEX('Leave Register'!$D$6:$D$305,SUMPRODUCT(MAX(('Leave Register'!$B$6:$B$305=$A49)*('Leave Register'!$E$6:$E$305&lt;=M$5)*('Leave Register'!$F$6:$F$305&gt;=M$5)*('Leave Register'!$J$6:$J$305="Approved")*(ROW('Leave Register'!$B$6:$B$305)-5))))))</f>
        <v/>
      </c>
      <c r="N49" s="83" t="str">
        <f aca="false">IF(OR($A49="",N$5="",N$7&lt;&gt;"W"),"",IF(SUMPRODUCT(MAX(('Leave Register'!$B$6:$B$305=$A49)*('Leave Register'!$E$6:$E$305&lt;=N$5)*('Leave Register'!$F$6:$F$305&gt;=N$5)*('Leave Register'!$J$6:$J$305="Approved")*(ROW('Leave Register'!$B$6:$B$305)-5)))=0,"",INDEX('Leave Register'!$D$6:$D$305,SUMPRODUCT(MAX(('Leave Register'!$B$6:$B$305=$A49)*('Leave Register'!$E$6:$E$305&lt;=N$5)*('Leave Register'!$F$6:$F$305&gt;=N$5)*('Leave Register'!$J$6:$J$305="Approved")*(ROW('Leave Register'!$B$6:$B$305)-5))))))</f>
        <v/>
      </c>
      <c r="O49" s="83" t="str">
        <f aca="false">IF(OR($A49="",O$5="",O$7&lt;&gt;"W"),"",IF(SUMPRODUCT(MAX(('Leave Register'!$B$6:$B$305=$A49)*('Leave Register'!$E$6:$E$305&lt;=O$5)*('Leave Register'!$F$6:$F$305&gt;=O$5)*('Leave Register'!$J$6:$J$305="Approved")*(ROW('Leave Register'!$B$6:$B$305)-5)))=0,"",INDEX('Leave Register'!$D$6:$D$305,SUMPRODUCT(MAX(('Leave Register'!$B$6:$B$305=$A49)*('Leave Register'!$E$6:$E$305&lt;=O$5)*('Leave Register'!$F$6:$F$305&gt;=O$5)*('Leave Register'!$J$6:$J$305="Approved")*(ROW('Leave Register'!$B$6:$B$305)-5))))))</f>
        <v/>
      </c>
      <c r="P49" s="83" t="str">
        <f aca="false">IF(OR($A49="",P$5="",P$7&lt;&gt;"W"),"",IF(SUMPRODUCT(MAX(('Leave Register'!$B$6:$B$305=$A49)*('Leave Register'!$E$6:$E$305&lt;=P$5)*('Leave Register'!$F$6:$F$305&gt;=P$5)*('Leave Register'!$J$6:$J$305="Approved")*(ROW('Leave Register'!$B$6:$B$305)-5)))=0,"",INDEX('Leave Register'!$D$6:$D$305,SUMPRODUCT(MAX(('Leave Register'!$B$6:$B$305=$A49)*('Leave Register'!$E$6:$E$305&lt;=P$5)*('Leave Register'!$F$6:$F$305&gt;=P$5)*('Leave Register'!$J$6:$J$305="Approved")*(ROW('Leave Register'!$B$6:$B$305)-5))))))</f>
        <v/>
      </c>
      <c r="Q49" s="83" t="str">
        <f aca="false">IF(OR($A49="",Q$5="",Q$7&lt;&gt;"W"),"",IF(SUMPRODUCT(MAX(('Leave Register'!$B$6:$B$305=$A49)*('Leave Register'!$E$6:$E$305&lt;=Q$5)*('Leave Register'!$F$6:$F$305&gt;=Q$5)*('Leave Register'!$J$6:$J$305="Approved")*(ROW('Leave Register'!$B$6:$B$305)-5)))=0,"",INDEX('Leave Register'!$D$6:$D$305,SUMPRODUCT(MAX(('Leave Register'!$B$6:$B$305=$A49)*('Leave Register'!$E$6:$E$305&lt;=Q$5)*('Leave Register'!$F$6:$F$305&gt;=Q$5)*('Leave Register'!$J$6:$J$305="Approved")*(ROW('Leave Register'!$B$6:$B$305)-5))))))</f>
        <v/>
      </c>
      <c r="R49" s="83" t="str">
        <f aca="false">IF(OR($A49="",R$5="",R$7&lt;&gt;"W"),"",IF(SUMPRODUCT(MAX(('Leave Register'!$B$6:$B$305=$A49)*('Leave Register'!$E$6:$E$305&lt;=R$5)*('Leave Register'!$F$6:$F$305&gt;=R$5)*('Leave Register'!$J$6:$J$305="Approved")*(ROW('Leave Register'!$B$6:$B$305)-5)))=0,"",INDEX('Leave Register'!$D$6:$D$305,SUMPRODUCT(MAX(('Leave Register'!$B$6:$B$305=$A49)*('Leave Register'!$E$6:$E$305&lt;=R$5)*('Leave Register'!$F$6:$F$305&gt;=R$5)*('Leave Register'!$J$6:$J$305="Approved")*(ROW('Leave Register'!$B$6:$B$305)-5))))))</f>
        <v/>
      </c>
      <c r="S49" s="83" t="str">
        <f aca="false">IF(OR($A49="",S$5="",S$7&lt;&gt;"W"),"",IF(SUMPRODUCT(MAX(('Leave Register'!$B$6:$B$305=$A49)*('Leave Register'!$E$6:$E$305&lt;=S$5)*('Leave Register'!$F$6:$F$305&gt;=S$5)*('Leave Register'!$J$6:$J$305="Approved")*(ROW('Leave Register'!$B$6:$B$305)-5)))=0,"",INDEX('Leave Register'!$D$6:$D$305,SUMPRODUCT(MAX(('Leave Register'!$B$6:$B$305=$A49)*('Leave Register'!$E$6:$E$305&lt;=S$5)*('Leave Register'!$F$6:$F$305&gt;=S$5)*('Leave Register'!$J$6:$J$305="Approved")*(ROW('Leave Register'!$B$6:$B$305)-5))))))</f>
        <v/>
      </c>
      <c r="T49" s="83" t="str">
        <f aca="false">IF(OR($A49="",T$5="",T$7&lt;&gt;"W"),"",IF(SUMPRODUCT(MAX(('Leave Register'!$B$6:$B$305=$A49)*('Leave Register'!$E$6:$E$305&lt;=T$5)*('Leave Register'!$F$6:$F$305&gt;=T$5)*('Leave Register'!$J$6:$J$305="Approved")*(ROW('Leave Register'!$B$6:$B$305)-5)))=0,"",INDEX('Leave Register'!$D$6:$D$305,SUMPRODUCT(MAX(('Leave Register'!$B$6:$B$305=$A49)*('Leave Register'!$E$6:$E$305&lt;=T$5)*('Leave Register'!$F$6:$F$305&gt;=T$5)*('Leave Register'!$J$6:$J$305="Approved")*(ROW('Leave Register'!$B$6:$B$305)-5))))))</f>
        <v/>
      </c>
      <c r="U49" s="83" t="str">
        <f aca="false">IF(OR($A49="",U$5="",U$7&lt;&gt;"W"),"",IF(SUMPRODUCT(MAX(('Leave Register'!$B$6:$B$305=$A49)*('Leave Register'!$E$6:$E$305&lt;=U$5)*('Leave Register'!$F$6:$F$305&gt;=U$5)*('Leave Register'!$J$6:$J$305="Approved")*(ROW('Leave Register'!$B$6:$B$305)-5)))=0,"",INDEX('Leave Register'!$D$6:$D$305,SUMPRODUCT(MAX(('Leave Register'!$B$6:$B$305=$A49)*('Leave Register'!$E$6:$E$305&lt;=U$5)*('Leave Register'!$F$6:$F$305&gt;=U$5)*('Leave Register'!$J$6:$J$305="Approved")*(ROW('Leave Register'!$B$6:$B$305)-5))))))</f>
        <v/>
      </c>
      <c r="V49" s="83" t="str">
        <f aca="false">IF(OR($A49="",V$5="",V$7&lt;&gt;"W"),"",IF(SUMPRODUCT(MAX(('Leave Register'!$B$6:$B$305=$A49)*('Leave Register'!$E$6:$E$305&lt;=V$5)*('Leave Register'!$F$6:$F$305&gt;=V$5)*('Leave Register'!$J$6:$J$305="Approved")*(ROW('Leave Register'!$B$6:$B$305)-5)))=0,"",INDEX('Leave Register'!$D$6:$D$305,SUMPRODUCT(MAX(('Leave Register'!$B$6:$B$305=$A49)*('Leave Register'!$E$6:$E$305&lt;=V$5)*('Leave Register'!$F$6:$F$305&gt;=V$5)*('Leave Register'!$J$6:$J$305="Approved")*(ROW('Leave Register'!$B$6:$B$305)-5))))))</f>
        <v/>
      </c>
      <c r="W49" s="83" t="str">
        <f aca="false">IF(OR($A49="",W$5="",W$7&lt;&gt;"W"),"",IF(SUMPRODUCT(MAX(('Leave Register'!$B$6:$B$305=$A49)*('Leave Register'!$E$6:$E$305&lt;=W$5)*('Leave Register'!$F$6:$F$305&gt;=W$5)*('Leave Register'!$J$6:$J$305="Approved")*(ROW('Leave Register'!$B$6:$B$305)-5)))=0,"",INDEX('Leave Register'!$D$6:$D$305,SUMPRODUCT(MAX(('Leave Register'!$B$6:$B$305=$A49)*('Leave Register'!$E$6:$E$305&lt;=W$5)*('Leave Register'!$F$6:$F$305&gt;=W$5)*('Leave Register'!$J$6:$J$305="Approved")*(ROW('Leave Register'!$B$6:$B$305)-5))))))</f>
        <v/>
      </c>
      <c r="X49" s="83" t="str">
        <f aca="false">IF(OR($A49="",X$5="",X$7&lt;&gt;"W"),"",IF(SUMPRODUCT(MAX(('Leave Register'!$B$6:$B$305=$A49)*('Leave Register'!$E$6:$E$305&lt;=X$5)*('Leave Register'!$F$6:$F$305&gt;=X$5)*('Leave Register'!$J$6:$J$305="Approved")*(ROW('Leave Register'!$B$6:$B$305)-5)))=0,"",INDEX('Leave Register'!$D$6:$D$305,SUMPRODUCT(MAX(('Leave Register'!$B$6:$B$305=$A49)*('Leave Register'!$E$6:$E$305&lt;=X$5)*('Leave Register'!$F$6:$F$305&gt;=X$5)*('Leave Register'!$J$6:$J$305="Approved")*(ROW('Leave Register'!$B$6:$B$305)-5))))))</f>
        <v/>
      </c>
      <c r="Y49" s="83" t="str">
        <f aca="false">IF(OR($A49="",Y$5="",Y$7&lt;&gt;"W"),"",IF(SUMPRODUCT(MAX(('Leave Register'!$B$6:$B$305=$A49)*('Leave Register'!$E$6:$E$305&lt;=Y$5)*('Leave Register'!$F$6:$F$305&gt;=Y$5)*('Leave Register'!$J$6:$J$305="Approved")*(ROW('Leave Register'!$B$6:$B$305)-5)))=0,"",INDEX('Leave Register'!$D$6:$D$305,SUMPRODUCT(MAX(('Leave Register'!$B$6:$B$305=$A49)*('Leave Register'!$E$6:$E$305&lt;=Y$5)*('Leave Register'!$F$6:$F$305&gt;=Y$5)*('Leave Register'!$J$6:$J$305="Approved")*(ROW('Leave Register'!$B$6:$B$305)-5))))))</f>
        <v/>
      </c>
      <c r="Z49" s="83" t="str">
        <f aca="false">IF(OR($A49="",Z$5="",Z$7&lt;&gt;"W"),"",IF(SUMPRODUCT(MAX(('Leave Register'!$B$6:$B$305=$A49)*('Leave Register'!$E$6:$E$305&lt;=Z$5)*('Leave Register'!$F$6:$F$305&gt;=Z$5)*('Leave Register'!$J$6:$J$305="Approved")*(ROW('Leave Register'!$B$6:$B$305)-5)))=0,"",INDEX('Leave Register'!$D$6:$D$305,SUMPRODUCT(MAX(('Leave Register'!$B$6:$B$305=$A49)*('Leave Register'!$E$6:$E$305&lt;=Z$5)*('Leave Register'!$F$6:$F$305&gt;=Z$5)*('Leave Register'!$J$6:$J$305="Approved")*(ROW('Leave Register'!$B$6:$B$305)-5))))))</f>
        <v/>
      </c>
      <c r="AA49" s="83" t="str">
        <f aca="false">IF(OR($A49="",AA$5="",AA$7&lt;&gt;"W"),"",IF(SUMPRODUCT(MAX(('Leave Register'!$B$6:$B$305=$A49)*('Leave Register'!$E$6:$E$305&lt;=AA$5)*('Leave Register'!$F$6:$F$305&gt;=AA$5)*('Leave Register'!$J$6:$J$305="Approved")*(ROW('Leave Register'!$B$6:$B$305)-5)))=0,"",INDEX('Leave Register'!$D$6:$D$305,SUMPRODUCT(MAX(('Leave Register'!$B$6:$B$305=$A49)*('Leave Register'!$E$6:$E$305&lt;=AA$5)*('Leave Register'!$F$6:$F$305&gt;=AA$5)*('Leave Register'!$J$6:$J$305="Approved")*(ROW('Leave Register'!$B$6:$B$305)-5))))))</f>
        <v/>
      </c>
      <c r="AB49" s="83" t="str">
        <f aca="false">IF(OR($A49="",AB$5="",AB$7&lt;&gt;"W"),"",IF(SUMPRODUCT(MAX(('Leave Register'!$B$6:$B$305=$A49)*('Leave Register'!$E$6:$E$305&lt;=AB$5)*('Leave Register'!$F$6:$F$305&gt;=AB$5)*('Leave Register'!$J$6:$J$305="Approved")*(ROW('Leave Register'!$B$6:$B$305)-5)))=0,"",INDEX('Leave Register'!$D$6:$D$305,SUMPRODUCT(MAX(('Leave Register'!$B$6:$B$305=$A49)*('Leave Register'!$E$6:$E$305&lt;=AB$5)*('Leave Register'!$F$6:$F$305&gt;=AB$5)*('Leave Register'!$J$6:$J$305="Approved")*(ROW('Leave Register'!$B$6:$B$305)-5))))))</f>
        <v/>
      </c>
      <c r="AC49" s="83" t="str">
        <f aca="false">IF(OR($A49="",AC$5="",AC$7&lt;&gt;"W"),"",IF(SUMPRODUCT(MAX(('Leave Register'!$B$6:$B$305=$A49)*('Leave Register'!$E$6:$E$305&lt;=AC$5)*('Leave Register'!$F$6:$F$305&gt;=AC$5)*('Leave Register'!$J$6:$J$305="Approved")*(ROW('Leave Register'!$B$6:$B$305)-5)))=0,"",INDEX('Leave Register'!$D$6:$D$305,SUMPRODUCT(MAX(('Leave Register'!$B$6:$B$305=$A49)*('Leave Register'!$E$6:$E$305&lt;=AC$5)*('Leave Register'!$F$6:$F$305&gt;=AC$5)*('Leave Register'!$J$6:$J$305="Approved")*(ROW('Leave Register'!$B$6:$B$305)-5))))))</f>
        <v/>
      </c>
      <c r="AD49" s="83" t="str">
        <f aca="false">IF(OR($A49="",AD$5="",AD$7&lt;&gt;"W"),"",IF(SUMPRODUCT(MAX(('Leave Register'!$B$6:$B$305=$A49)*('Leave Register'!$E$6:$E$305&lt;=AD$5)*('Leave Register'!$F$6:$F$305&gt;=AD$5)*('Leave Register'!$J$6:$J$305="Approved")*(ROW('Leave Register'!$B$6:$B$305)-5)))=0,"",INDEX('Leave Register'!$D$6:$D$305,SUMPRODUCT(MAX(('Leave Register'!$B$6:$B$305=$A49)*('Leave Register'!$E$6:$E$305&lt;=AD$5)*('Leave Register'!$F$6:$F$305&gt;=AD$5)*('Leave Register'!$J$6:$J$305="Approved")*(ROW('Leave Register'!$B$6:$B$305)-5))))))</f>
        <v/>
      </c>
      <c r="AE49" s="83" t="str">
        <f aca="false">IF(OR($A49="",AE$5="",AE$7&lt;&gt;"W"),"",IF(SUMPRODUCT(MAX(('Leave Register'!$B$6:$B$305=$A49)*('Leave Register'!$E$6:$E$305&lt;=AE$5)*('Leave Register'!$F$6:$F$305&gt;=AE$5)*('Leave Register'!$J$6:$J$305="Approved")*(ROW('Leave Register'!$B$6:$B$305)-5)))=0,"",INDEX('Leave Register'!$D$6:$D$305,SUMPRODUCT(MAX(('Leave Register'!$B$6:$B$305=$A49)*('Leave Register'!$E$6:$E$305&lt;=AE$5)*('Leave Register'!$F$6:$F$305&gt;=AE$5)*('Leave Register'!$J$6:$J$305="Approved")*(ROW('Leave Register'!$B$6:$B$305)-5))))))</f>
        <v/>
      </c>
      <c r="AF49" s="83" t="str">
        <f aca="false">IF(OR($A49="",AF$5="",AF$7&lt;&gt;"W"),"",IF(SUMPRODUCT(MAX(('Leave Register'!$B$6:$B$305=$A49)*('Leave Register'!$E$6:$E$305&lt;=AF$5)*('Leave Register'!$F$6:$F$305&gt;=AF$5)*('Leave Register'!$J$6:$J$305="Approved")*(ROW('Leave Register'!$B$6:$B$305)-5)))=0,"",INDEX('Leave Register'!$D$6:$D$305,SUMPRODUCT(MAX(('Leave Register'!$B$6:$B$305=$A49)*('Leave Register'!$E$6:$E$305&lt;=AF$5)*('Leave Register'!$F$6:$F$305&gt;=AF$5)*('Leave Register'!$J$6:$J$305="Approved")*(ROW('Leave Register'!$B$6:$B$305)-5))))))</f>
        <v/>
      </c>
      <c r="AG49" s="83" t="str">
        <f aca="false">IF(OR($A49="",AG$5="",AG$7&lt;&gt;"W"),"",IF(SUMPRODUCT(MAX(('Leave Register'!$B$6:$B$305=$A49)*('Leave Register'!$E$6:$E$305&lt;=AG$5)*('Leave Register'!$F$6:$F$305&gt;=AG$5)*('Leave Register'!$J$6:$J$305="Approved")*(ROW('Leave Register'!$B$6:$B$305)-5)))=0,"",INDEX('Leave Register'!$D$6:$D$305,SUMPRODUCT(MAX(('Leave Register'!$B$6:$B$305=$A49)*('Leave Register'!$E$6:$E$305&lt;=AG$5)*('Leave Register'!$F$6:$F$305&gt;=AG$5)*('Leave Register'!$J$6:$J$305="Approved")*(ROW('Leave Register'!$B$6:$B$305)-5))))))</f>
        <v/>
      </c>
      <c r="AH49" s="84" t="str">
        <f aca="false">IF(A49="","",COUNTIF(C49:AG49,"?*"))</f>
        <v/>
      </c>
    </row>
    <row r="50" customFormat="false" ht="15" hidden="false" customHeight="false" outlineLevel="0" collapsed="false">
      <c r="A50" s="81" t="str">
        <f aca="false">IF(Employees!$B$47="","",Employees!$B$47)</f>
        <v/>
      </c>
      <c r="B50" s="82" t="str">
        <f aca="false">IF(A50="","",Employees!$C$47)</f>
        <v/>
      </c>
      <c r="C50" s="83" t="str">
        <f aca="false">IF(OR($A50="",C$5="",C$7&lt;&gt;"W"),"",IF(SUMPRODUCT(MAX(('Leave Register'!$B$6:$B$305=$A50)*('Leave Register'!$E$6:$E$305&lt;=C$5)*('Leave Register'!$F$6:$F$305&gt;=C$5)*('Leave Register'!$J$6:$J$305="Approved")*(ROW('Leave Register'!$B$6:$B$305)-5)))=0,"",INDEX('Leave Register'!$D$6:$D$305,SUMPRODUCT(MAX(('Leave Register'!$B$6:$B$305=$A50)*('Leave Register'!$E$6:$E$305&lt;=C$5)*('Leave Register'!$F$6:$F$305&gt;=C$5)*('Leave Register'!$J$6:$J$305="Approved")*(ROW('Leave Register'!$B$6:$B$305)-5))))))</f>
        <v/>
      </c>
      <c r="D50" s="83" t="str">
        <f aca="false">IF(OR($A50="",D$5="",D$7&lt;&gt;"W"),"",IF(SUMPRODUCT(MAX(('Leave Register'!$B$6:$B$305=$A50)*('Leave Register'!$E$6:$E$305&lt;=D$5)*('Leave Register'!$F$6:$F$305&gt;=D$5)*('Leave Register'!$J$6:$J$305="Approved")*(ROW('Leave Register'!$B$6:$B$305)-5)))=0,"",INDEX('Leave Register'!$D$6:$D$305,SUMPRODUCT(MAX(('Leave Register'!$B$6:$B$305=$A50)*('Leave Register'!$E$6:$E$305&lt;=D$5)*('Leave Register'!$F$6:$F$305&gt;=D$5)*('Leave Register'!$J$6:$J$305="Approved")*(ROW('Leave Register'!$B$6:$B$305)-5))))))</f>
        <v/>
      </c>
      <c r="E50" s="83" t="str">
        <f aca="false">IF(OR($A50="",E$5="",E$7&lt;&gt;"W"),"",IF(SUMPRODUCT(MAX(('Leave Register'!$B$6:$B$305=$A50)*('Leave Register'!$E$6:$E$305&lt;=E$5)*('Leave Register'!$F$6:$F$305&gt;=E$5)*('Leave Register'!$J$6:$J$305="Approved")*(ROW('Leave Register'!$B$6:$B$305)-5)))=0,"",INDEX('Leave Register'!$D$6:$D$305,SUMPRODUCT(MAX(('Leave Register'!$B$6:$B$305=$A50)*('Leave Register'!$E$6:$E$305&lt;=E$5)*('Leave Register'!$F$6:$F$305&gt;=E$5)*('Leave Register'!$J$6:$J$305="Approved")*(ROW('Leave Register'!$B$6:$B$305)-5))))))</f>
        <v/>
      </c>
      <c r="F50" s="83" t="str">
        <f aca="false">IF(OR($A50="",F$5="",F$7&lt;&gt;"W"),"",IF(SUMPRODUCT(MAX(('Leave Register'!$B$6:$B$305=$A50)*('Leave Register'!$E$6:$E$305&lt;=F$5)*('Leave Register'!$F$6:$F$305&gt;=F$5)*('Leave Register'!$J$6:$J$305="Approved")*(ROW('Leave Register'!$B$6:$B$305)-5)))=0,"",INDEX('Leave Register'!$D$6:$D$305,SUMPRODUCT(MAX(('Leave Register'!$B$6:$B$305=$A50)*('Leave Register'!$E$6:$E$305&lt;=F$5)*('Leave Register'!$F$6:$F$305&gt;=F$5)*('Leave Register'!$J$6:$J$305="Approved")*(ROW('Leave Register'!$B$6:$B$305)-5))))))</f>
        <v/>
      </c>
      <c r="G50" s="83" t="str">
        <f aca="false">IF(OR($A50="",G$5="",G$7&lt;&gt;"W"),"",IF(SUMPRODUCT(MAX(('Leave Register'!$B$6:$B$305=$A50)*('Leave Register'!$E$6:$E$305&lt;=G$5)*('Leave Register'!$F$6:$F$305&gt;=G$5)*('Leave Register'!$J$6:$J$305="Approved")*(ROW('Leave Register'!$B$6:$B$305)-5)))=0,"",INDEX('Leave Register'!$D$6:$D$305,SUMPRODUCT(MAX(('Leave Register'!$B$6:$B$305=$A50)*('Leave Register'!$E$6:$E$305&lt;=G$5)*('Leave Register'!$F$6:$F$305&gt;=G$5)*('Leave Register'!$J$6:$J$305="Approved")*(ROW('Leave Register'!$B$6:$B$305)-5))))))</f>
        <v/>
      </c>
      <c r="H50" s="83" t="str">
        <f aca="false">IF(OR($A50="",H$5="",H$7&lt;&gt;"W"),"",IF(SUMPRODUCT(MAX(('Leave Register'!$B$6:$B$305=$A50)*('Leave Register'!$E$6:$E$305&lt;=H$5)*('Leave Register'!$F$6:$F$305&gt;=H$5)*('Leave Register'!$J$6:$J$305="Approved")*(ROW('Leave Register'!$B$6:$B$305)-5)))=0,"",INDEX('Leave Register'!$D$6:$D$305,SUMPRODUCT(MAX(('Leave Register'!$B$6:$B$305=$A50)*('Leave Register'!$E$6:$E$305&lt;=H$5)*('Leave Register'!$F$6:$F$305&gt;=H$5)*('Leave Register'!$J$6:$J$305="Approved")*(ROW('Leave Register'!$B$6:$B$305)-5))))))</f>
        <v/>
      </c>
      <c r="I50" s="83" t="str">
        <f aca="false">IF(OR($A50="",I$5="",I$7&lt;&gt;"W"),"",IF(SUMPRODUCT(MAX(('Leave Register'!$B$6:$B$305=$A50)*('Leave Register'!$E$6:$E$305&lt;=I$5)*('Leave Register'!$F$6:$F$305&gt;=I$5)*('Leave Register'!$J$6:$J$305="Approved")*(ROW('Leave Register'!$B$6:$B$305)-5)))=0,"",INDEX('Leave Register'!$D$6:$D$305,SUMPRODUCT(MAX(('Leave Register'!$B$6:$B$305=$A50)*('Leave Register'!$E$6:$E$305&lt;=I$5)*('Leave Register'!$F$6:$F$305&gt;=I$5)*('Leave Register'!$J$6:$J$305="Approved")*(ROW('Leave Register'!$B$6:$B$305)-5))))))</f>
        <v/>
      </c>
      <c r="J50" s="83" t="str">
        <f aca="false">IF(OR($A50="",J$5="",J$7&lt;&gt;"W"),"",IF(SUMPRODUCT(MAX(('Leave Register'!$B$6:$B$305=$A50)*('Leave Register'!$E$6:$E$305&lt;=J$5)*('Leave Register'!$F$6:$F$305&gt;=J$5)*('Leave Register'!$J$6:$J$305="Approved")*(ROW('Leave Register'!$B$6:$B$305)-5)))=0,"",INDEX('Leave Register'!$D$6:$D$305,SUMPRODUCT(MAX(('Leave Register'!$B$6:$B$305=$A50)*('Leave Register'!$E$6:$E$305&lt;=J$5)*('Leave Register'!$F$6:$F$305&gt;=J$5)*('Leave Register'!$J$6:$J$305="Approved")*(ROW('Leave Register'!$B$6:$B$305)-5))))))</f>
        <v/>
      </c>
      <c r="K50" s="83" t="str">
        <f aca="false">IF(OR($A50="",K$5="",K$7&lt;&gt;"W"),"",IF(SUMPRODUCT(MAX(('Leave Register'!$B$6:$B$305=$A50)*('Leave Register'!$E$6:$E$305&lt;=K$5)*('Leave Register'!$F$6:$F$305&gt;=K$5)*('Leave Register'!$J$6:$J$305="Approved")*(ROW('Leave Register'!$B$6:$B$305)-5)))=0,"",INDEX('Leave Register'!$D$6:$D$305,SUMPRODUCT(MAX(('Leave Register'!$B$6:$B$305=$A50)*('Leave Register'!$E$6:$E$305&lt;=K$5)*('Leave Register'!$F$6:$F$305&gt;=K$5)*('Leave Register'!$J$6:$J$305="Approved")*(ROW('Leave Register'!$B$6:$B$305)-5))))))</f>
        <v/>
      </c>
      <c r="L50" s="83" t="str">
        <f aca="false">IF(OR($A50="",L$5="",L$7&lt;&gt;"W"),"",IF(SUMPRODUCT(MAX(('Leave Register'!$B$6:$B$305=$A50)*('Leave Register'!$E$6:$E$305&lt;=L$5)*('Leave Register'!$F$6:$F$305&gt;=L$5)*('Leave Register'!$J$6:$J$305="Approved")*(ROW('Leave Register'!$B$6:$B$305)-5)))=0,"",INDEX('Leave Register'!$D$6:$D$305,SUMPRODUCT(MAX(('Leave Register'!$B$6:$B$305=$A50)*('Leave Register'!$E$6:$E$305&lt;=L$5)*('Leave Register'!$F$6:$F$305&gt;=L$5)*('Leave Register'!$J$6:$J$305="Approved")*(ROW('Leave Register'!$B$6:$B$305)-5))))))</f>
        <v/>
      </c>
      <c r="M50" s="83" t="str">
        <f aca="false">IF(OR($A50="",M$5="",M$7&lt;&gt;"W"),"",IF(SUMPRODUCT(MAX(('Leave Register'!$B$6:$B$305=$A50)*('Leave Register'!$E$6:$E$305&lt;=M$5)*('Leave Register'!$F$6:$F$305&gt;=M$5)*('Leave Register'!$J$6:$J$305="Approved")*(ROW('Leave Register'!$B$6:$B$305)-5)))=0,"",INDEX('Leave Register'!$D$6:$D$305,SUMPRODUCT(MAX(('Leave Register'!$B$6:$B$305=$A50)*('Leave Register'!$E$6:$E$305&lt;=M$5)*('Leave Register'!$F$6:$F$305&gt;=M$5)*('Leave Register'!$J$6:$J$305="Approved")*(ROW('Leave Register'!$B$6:$B$305)-5))))))</f>
        <v/>
      </c>
      <c r="N50" s="83" t="str">
        <f aca="false">IF(OR($A50="",N$5="",N$7&lt;&gt;"W"),"",IF(SUMPRODUCT(MAX(('Leave Register'!$B$6:$B$305=$A50)*('Leave Register'!$E$6:$E$305&lt;=N$5)*('Leave Register'!$F$6:$F$305&gt;=N$5)*('Leave Register'!$J$6:$J$305="Approved")*(ROW('Leave Register'!$B$6:$B$305)-5)))=0,"",INDEX('Leave Register'!$D$6:$D$305,SUMPRODUCT(MAX(('Leave Register'!$B$6:$B$305=$A50)*('Leave Register'!$E$6:$E$305&lt;=N$5)*('Leave Register'!$F$6:$F$305&gt;=N$5)*('Leave Register'!$J$6:$J$305="Approved")*(ROW('Leave Register'!$B$6:$B$305)-5))))))</f>
        <v/>
      </c>
      <c r="O50" s="83" t="str">
        <f aca="false">IF(OR($A50="",O$5="",O$7&lt;&gt;"W"),"",IF(SUMPRODUCT(MAX(('Leave Register'!$B$6:$B$305=$A50)*('Leave Register'!$E$6:$E$305&lt;=O$5)*('Leave Register'!$F$6:$F$305&gt;=O$5)*('Leave Register'!$J$6:$J$305="Approved")*(ROW('Leave Register'!$B$6:$B$305)-5)))=0,"",INDEX('Leave Register'!$D$6:$D$305,SUMPRODUCT(MAX(('Leave Register'!$B$6:$B$305=$A50)*('Leave Register'!$E$6:$E$305&lt;=O$5)*('Leave Register'!$F$6:$F$305&gt;=O$5)*('Leave Register'!$J$6:$J$305="Approved")*(ROW('Leave Register'!$B$6:$B$305)-5))))))</f>
        <v/>
      </c>
      <c r="P50" s="83" t="str">
        <f aca="false">IF(OR($A50="",P$5="",P$7&lt;&gt;"W"),"",IF(SUMPRODUCT(MAX(('Leave Register'!$B$6:$B$305=$A50)*('Leave Register'!$E$6:$E$305&lt;=P$5)*('Leave Register'!$F$6:$F$305&gt;=P$5)*('Leave Register'!$J$6:$J$305="Approved")*(ROW('Leave Register'!$B$6:$B$305)-5)))=0,"",INDEX('Leave Register'!$D$6:$D$305,SUMPRODUCT(MAX(('Leave Register'!$B$6:$B$305=$A50)*('Leave Register'!$E$6:$E$305&lt;=P$5)*('Leave Register'!$F$6:$F$305&gt;=P$5)*('Leave Register'!$J$6:$J$305="Approved")*(ROW('Leave Register'!$B$6:$B$305)-5))))))</f>
        <v/>
      </c>
      <c r="Q50" s="83" t="str">
        <f aca="false">IF(OR($A50="",Q$5="",Q$7&lt;&gt;"W"),"",IF(SUMPRODUCT(MAX(('Leave Register'!$B$6:$B$305=$A50)*('Leave Register'!$E$6:$E$305&lt;=Q$5)*('Leave Register'!$F$6:$F$305&gt;=Q$5)*('Leave Register'!$J$6:$J$305="Approved")*(ROW('Leave Register'!$B$6:$B$305)-5)))=0,"",INDEX('Leave Register'!$D$6:$D$305,SUMPRODUCT(MAX(('Leave Register'!$B$6:$B$305=$A50)*('Leave Register'!$E$6:$E$305&lt;=Q$5)*('Leave Register'!$F$6:$F$305&gt;=Q$5)*('Leave Register'!$J$6:$J$305="Approved")*(ROW('Leave Register'!$B$6:$B$305)-5))))))</f>
        <v/>
      </c>
      <c r="R50" s="83" t="str">
        <f aca="false">IF(OR($A50="",R$5="",R$7&lt;&gt;"W"),"",IF(SUMPRODUCT(MAX(('Leave Register'!$B$6:$B$305=$A50)*('Leave Register'!$E$6:$E$305&lt;=R$5)*('Leave Register'!$F$6:$F$305&gt;=R$5)*('Leave Register'!$J$6:$J$305="Approved")*(ROW('Leave Register'!$B$6:$B$305)-5)))=0,"",INDEX('Leave Register'!$D$6:$D$305,SUMPRODUCT(MAX(('Leave Register'!$B$6:$B$305=$A50)*('Leave Register'!$E$6:$E$305&lt;=R$5)*('Leave Register'!$F$6:$F$305&gt;=R$5)*('Leave Register'!$J$6:$J$305="Approved")*(ROW('Leave Register'!$B$6:$B$305)-5))))))</f>
        <v/>
      </c>
      <c r="S50" s="83" t="str">
        <f aca="false">IF(OR($A50="",S$5="",S$7&lt;&gt;"W"),"",IF(SUMPRODUCT(MAX(('Leave Register'!$B$6:$B$305=$A50)*('Leave Register'!$E$6:$E$305&lt;=S$5)*('Leave Register'!$F$6:$F$305&gt;=S$5)*('Leave Register'!$J$6:$J$305="Approved")*(ROW('Leave Register'!$B$6:$B$305)-5)))=0,"",INDEX('Leave Register'!$D$6:$D$305,SUMPRODUCT(MAX(('Leave Register'!$B$6:$B$305=$A50)*('Leave Register'!$E$6:$E$305&lt;=S$5)*('Leave Register'!$F$6:$F$305&gt;=S$5)*('Leave Register'!$J$6:$J$305="Approved")*(ROW('Leave Register'!$B$6:$B$305)-5))))))</f>
        <v/>
      </c>
      <c r="T50" s="83" t="str">
        <f aca="false">IF(OR($A50="",T$5="",T$7&lt;&gt;"W"),"",IF(SUMPRODUCT(MAX(('Leave Register'!$B$6:$B$305=$A50)*('Leave Register'!$E$6:$E$305&lt;=T$5)*('Leave Register'!$F$6:$F$305&gt;=T$5)*('Leave Register'!$J$6:$J$305="Approved")*(ROW('Leave Register'!$B$6:$B$305)-5)))=0,"",INDEX('Leave Register'!$D$6:$D$305,SUMPRODUCT(MAX(('Leave Register'!$B$6:$B$305=$A50)*('Leave Register'!$E$6:$E$305&lt;=T$5)*('Leave Register'!$F$6:$F$305&gt;=T$5)*('Leave Register'!$J$6:$J$305="Approved")*(ROW('Leave Register'!$B$6:$B$305)-5))))))</f>
        <v/>
      </c>
      <c r="U50" s="83" t="str">
        <f aca="false">IF(OR($A50="",U$5="",U$7&lt;&gt;"W"),"",IF(SUMPRODUCT(MAX(('Leave Register'!$B$6:$B$305=$A50)*('Leave Register'!$E$6:$E$305&lt;=U$5)*('Leave Register'!$F$6:$F$305&gt;=U$5)*('Leave Register'!$J$6:$J$305="Approved")*(ROW('Leave Register'!$B$6:$B$305)-5)))=0,"",INDEX('Leave Register'!$D$6:$D$305,SUMPRODUCT(MAX(('Leave Register'!$B$6:$B$305=$A50)*('Leave Register'!$E$6:$E$305&lt;=U$5)*('Leave Register'!$F$6:$F$305&gt;=U$5)*('Leave Register'!$J$6:$J$305="Approved")*(ROW('Leave Register'!$B$6:$B$305)-5))))))</f>
        <v/>
      </c>
      <c r="V50" s="83" t="str">
        <f aca="false">IF(OR($A50="",V$5="",V$7&lt;&gt;"W"),"",IF(SUMPRODUCT(MAX(('Leave Register'!$B$6:$B$305=$A50)*('Leave Register'!$E$6:$E$305&lt;=V$5)*('Leave Register'!$F$6:$F$305&gt;=V$5)*('Leave Register'!$J$6:$J$305="Approved")*(ROW('Leave Register'!$B$6:$B$305)-5)))=0,"",INDEX('Leave Register'!$D$6:$D$305,SUMPRODUCT(MAX(('Leave Register'!$B$6:$B$305=$A50)*('Leave Register'!$E$6:$E$305&lt;=V$5)*('Leave Register'!$F$6:$F$305&gt;=V$5)*('Leave Register'!$J$6:$J$305="Approved")*(ROW('Leave Register'!$B$6:$B$305)-5))))))</f>
        <v/>
      </c>
      <c r="W50" s="83" t="str">
        <f aca="false">IF(OR($A50="",W$5="",W$7&lt;&gt;"W"),"",IF(SUMPRODUCT(MAX(('Leave Register'!$B$6:$B$305=$A50)*('Leave Register'!$E$6:$E$305&lt;=W$5)*('Leave Register'!$F$6:$F$305&gt;=W$5)*('Leave Register'!$J$6:$J$305="Approved")*(ROW('Leave Register'!$B$6:$B$305)-5)))=0,"",INDEX('Leave Register'!$D$6:$D$305,SUMPRODUCT(MAX(('Leave Register'!$B$6:$B$305=$A50)*('Leave Register'!$E$6:$E$305&lt;=W$5)*('Leave Register'!$F$6:$F$305&gt;=W$5)*('Leave Register'!$J$6:$J$305="Approved")*(ROW('Leave Register'!$B$6:$B$305)-5))))))</f>
        <v/>
      </c>
      <c r="X50" s="83" t="str">
        <f aca="false">IF(OR($A50="",X$5="",X$7&lt;&gt;"W"),"",IF(SUMPRODUCT(MAX(('Leave Register'!$B$6:$B$305=$A50)*('Leave Register'!$E$6:$E$305&lt;=X$5)*('Leave Register'!$F$6:$F$305&gt;=X$5)*('Leave Register'!$J$6:$J$305="Approved")*(ROW('Leave Register'!$B$6:$B$305)-5)))=0,"",INDEX('Leave Register'!$D$6:$D$305,SUMPRODUCT(MAX(('Leave Register'!$B$6:$B$305=$A50)*('Leave Register'!$E$6:$E$305&lt;=X$5)*('Leave Register'!$F$6:$F$305&gt;=X$5)*('Leave Register'!$J$6:$J$305="Approved")*(ROW('Leave Register'!$B$6:$B$305)-5))))))</f>
        <v/>
      </c>
      <c r="Y50" s="83" t="str">
        <f aca="false">IF(OR($A50="",Y$5="",Y$7&lt;&gt;"W"),"",IF(SUMPRODUCT(MAX(('Leave Register'!$B$6:$B$305=$A50)*('Leave Register'!$E$6:$E$305&lt;=Y$5)*('Leave Register'!$F$6:$F$305&gt;=Y$5)*('Leave Register'!$J$6:$J$305="Approved")*(ROW('Leave Register'!$B$6:$B$305)-5)))=0,"",INDEX('Leave Register'!$D$6:$D$305,SUMPRODUCT(MAX(('Leave Register'!$B$6:$B$305=$A50)*('Leave Register'!$E$6:$E$305&lt;=Y$5)*('Leave Register'!$F$6:$F$305&gt;=Y$5)*('Leave Register'!$J$6:$J$305="Approved")*(ROW('Leave Register'!$B$6:$B$305)-5))))))</f>
        <v/>
      </c>
      <c r="Z50" s="83" t="str">
        <f aca="false">IF(OR($A50="",Z$5="",Z$7&lt;&gt;"W"),"",IF(SUMPRODUCT(MAX(('Leave Register'!$B$6:$B$305=$A50)*('Leave Register'!$E$6:$E$305&lt;=Z$5)*('Leave Register'!$F$6:$F$305&gt;=Z$5)*('Leave Register'!$J$6:$J$305="Approved")*(ROW('Leave Register'!$B$6:$B$305)-5)))=0,"",INDEX('Leave Register'!$D$6:$D$305,SUMPRODUCT(MAX(('Leave Register'!$B$6:$B$305=$A50)*('Leave Register'!$E$6:$E$305&lt;=Z$5)*('Leave Register'!$F$6:$F$305&gt;=Z$5)*('Leave Register'!$J$6:$J$305="Approved")*(ROW('Leave Register'!$B$6:$B$305)-5))))))</f>
        <v/>
      </c>
      <c r="AA50" s="83" t="str">
        <f aca="false">IF(OR($A50="",AA$5="",AA$7&lt;&gt;"W"),"",IF(SUMPRODUCT(MAX(('Leave Register'!$B$6:$B$305=$A50)*('Leave Register'!$E$6:$E$305&lt;=AA$5)*('Leave Register'!$F$6:$F$305&gt;=AA$5)*('Leave Register'!$J$6:$J$305="Approved")*(ROW('Leave Register'!$B$6:$B$305)-5)))=0,"",INDEX('Leave Register'!$D$6:$D$305,SUMPRODUCT(MAX(('Leave Register'!$B$6:$B$305=$A50)*('Leave Register'!$E$6:$E$305&lt;=AA$5)*('Leave Register'!$F$6:$F$305&gt;=AA$5)*('Leave Register'!$J$6:$J$305="Approved")*(ROW('Leave Register'!$B$6:$B$305)-5))))))</f>
        <v/>
      </c>
      <c r="AB50" s="83" t="str">
        <f aca="false">IF(OR($A50="",AB$5="",AB$7&lt;&gt;"W"),"",IF(SUMPRODUCT(MAX(('Leave Register'!$B$6:$B$305=$A50)*('Leave Register'!$E$6:$E$305&lt;=AB$5)*('Leave Register'!$F$6:$F$305&gt;=AB$5)*('Leave Register'!$J$6:$J$305="Approved")*(ROW('Leave Register'!$B$6:$B$305)-5)))=0,"",INDEX('Leave Register'!$D$6:$D$305,SUMPRODUCT(MAX(('Leave Register'!$B$6:$B$305=$A50)*('Leave Register'!$E$6:$E$305&lt;=AB$5)*('Leave Register'!$F$6:$F$305&gt;=AB$5)*('Leave Register'!$J$6:$J$305="Approved")*(ROW('Leave Register'!$B$6:$B$305)-5))))))</f>
        <v/>
      </c>
      <c r="AC50" s="83" t="str">
        <f aca="false">IF(OR($A50="",AC$5="",AC$7&lt;&gt;"W"),"",IF(SUMPRODUCT(MAX(('Leave Register'!$B$6:$B$305=$A50)*('Leave Register'!$E$6:$E$305&lt;=AC$5)*('Leave Register'!$F$6:$F$305&gt;=AC$5)*('Leave Register'!$J$6:$J$305="Approved")*(ROW('Leave Register'!$B$6:$B$305)-5)))=0,"",INDEX('Leave Register'!$D$6:$D$305,SUMPRODUCT(MAX(('Leave Register'!$B$6:$B$305=$A50)*('Leave Register'!$E$6:$E$305&lt;=AC$5)*('Leave Register'!$F$6:$F$305&gt;=AC$5)*('Leave Register'!$J$6:$J$305="Approved")*(ROW('Leave Register'!$B$6:$B$305)-5))))))</f>
        <v/>
      </c>
      <c r="AD50" s="83" t="str">
        <f aca="false">IF(OR($A50="",AD$5="",AD$7&lt;&gt;"W"),"",IF(SUMPRODUCT(MAX(('Leave Register'!$B$6:$B$305=$A50)*('Leave Register'!$E$6:$E$305&lt;=AD$5)*('Leave Register'!$F$6:$F$305&gt;=AD$5)*('Leave Register'!$J$6:$J$305="Approved")*(ROW('Leave Register'!$B$6:$B$305)-5)))=0,"",INDEX('Leave Register'!$D$6:$D$305,SUMPRODUCT(MAX(('Leave Register'!$B$6:$B$305=$A50)*('Leave Register'!$E$6:$E$305&lt;=AD$5)*('Leave Register'!$F$6:$F$305&gt;=AD$5)*('Leave Register'!$J$6:$J$305="Approved")*(ROW('Leave Register'!$B$6:$B$305)-5))))))</f>
        <v/>
      </c>
      <c r="AE50" s="83" t="str">
        <f aca="false">IF(OR($A50="",AE$5="",AE$7&lt;&gt;"W"),"",IF(SUMPRODUCT(MAX(('Leave Register'!$B$6:$B$305=$A50)*('Leave Register'!$E$6:$E$305&lt;=AE$5)*('Leave Register'!$F$6:$F$305&gt;=AE$5)*('Leave Register'!$J$6:$J$305="Approved")*(ROW('Leave Register'!$B$6:$B$305)-5)))=0,"",INDEX('Leave Register'!$D$6:$D$305,SUMPRODUCT(MAX(('Leave Register'!$B$6:$B$305=$A50)*('Leave Register'!$E$6:$E$305&lt;=AE$5)*('Leave Register'!$F$6:$F$305&gt;=AE$5)*('Leave Register'!$J$6:$J$305="Approved")*(ROW('Leave Register'!$B$6:$B$305)-5))))))</f>
        <v/>
      </c>
      <c r="AF50" s="83" t="str">
        <f aca="false">IF(OR($A50="",AF$5="",AF$7&lt;&gt;"W"),"",IF(SUMPRODUCT(MAX(('Leave Register'!$B$6:$B$305=$A50)*('Leave Register'!$E$6:$E$305&lt;=AF$5)*('Leave Register'!$F$6:$F$305&gt;=AF$5)*('Leave Register'!$J$6:$J$305="Approved")*(ROW('Leave Register'!$B$6:$B$305)-5)))=0,"",INDEX('Leave Register'!$D$6:$D$305,SUMPRODUCT(MAX(('Leave Register'!$B$6:$B$305=$A50)*('Leave Register'!$E$6:$E$305&lt;=AF$5)*('Leave Register'!$F$6:$F$305&gt;=AF$5)*('Leave Register'!$J$6:$J$305="Approved")*(ROW('Leave Register'!$B$6:$B$305)-5))))))</f>
        <v/>
      </c>
      <c r="AG50" s="83" t="str">
        <f aca="false">IF(OR($A50="",AG$5="",AG$7&lt;&gt;"W"),"",IF(SUMPRODUCT(MAX(('Leave Register'!$B$6:$B$305=$A50)*('Leave Register'!$E$6:$E$305&lt;=AG$5)*('Leave Register'!$F$6:$F$305&gt;=AG$5)*('Leave Register'!$J$6:$J$305="Approved")*(ROW('Leave Register'!$B$6:$B$305)-5)))=0,"",INDEX('Leave Register'!$D$6:$D$305,SUMPRODUCT(MAX(('Leave Register'!$B$6:$B$305=$A50)*('Leave Register'!$E$6:$E$305&lt;=AG$5)*('Leave Register'!$F$6:$F$305&gt;=AG$5)*('Leave Register'!$J$6:$J$305="Approved")*(ROW('Leave Register'!$B$6:$B$305)-5))))))</f>
        <v/>
      </c>
      <c r="AH50" s="84" t="str">
        <f aca="false">IF(A50="","",COUNTIF(C50:AG50,"?*"))</f>
        <v/>
      </c>
    </row>
    <row r="51" customFormat="false" ht="15" hidden="false" customHeight="false" outlineLevel="0" collapsed="false">
      <c r="A51" s="81" t="str">
        <f aca="false">IF(Employees!$B$48="","",Employees!$B$48)</f>
        <v/>
      </c>
      <c r="B51" s="82" t="str">
        <f aca="false">IF(A51="","",Employees!$C$48)</f>
        <v/>
      </c>
      <c r="C51" s="83" t="str">
        <f aca="false">IF(OR($A51="",C$5="",C$7&lt;&gt;"W"),"",IF(SUMPRODUCT(MAX(('Leave Register'!$B$6:$B$305=$A51)*('Leave Register'!$E$6:$E$305&lt;=C$5)*('Leave Register'!$F$6:$F$305&gt;=C$5)*('Leave Register'!$J$6:$J$305="Approved")*(ROW('Leave Register'!$B$6:$B$305)-5)))=0,"",INDEX('Leave Register'!$D$6:$D$305,SUMPRODUCT(MAX(('Leave Register'!$B$6:$B$305=$A51)*('Leave Register'!$E$6:$E$305&lt;=C$5)*('Leave Register'!$F$6:$F$305&gt;=C$5)*('Leave Register'!$J$6:$J$305="Approved")*(ROW('Leave Register'!$B$6:$B$305)-5))))))</f>
        <v/>
      </c>
      <c r="D51" s="83" t="str">
        <f aca="false">IF(OR($A51="",D$5="",D$7&lt;&gt;"W"),"",IF(SUMPRODUCT(MAX(('Leave Register'!$B$6:$B$305=$A51)*('Leave Register'!$E$6:$E$305&lt;=D$5)*('Leave Register'!$F$6:$F$305&gt;=D$5)*('Leave Register'!$J$6:$J$305="Approved")*(ROW('Leave Register'!$B$6:$B$305)-5)))=0,"",INDEX('Leave Register'!$D$6:$D$305,SUMPRODUCT(MAX(('Leave Register'!$B$6:$B$305=$A51)*('Leave Register'!$E$6:$E$305&lt;=D$5)*('Leave Register'!$F$6:$F$305&gt;=D$5)*('Leave Register'!$J$6:$J$305="Approved")*(ROW('Leave Register'!$B$6:$B$305)-5))))))</f>
        <v/>
      </c>
      <c r="E51" s="83" t="str">
        <f aca="false">IF(OR($A51="",E$5="",E$7&lt;&gt;"W"),"",IF(SUMPRODUCT(MAX(('Leave Register'!$B$6:$B$305=$A51)*('Leave Register'!$E$6:$E$305&lt;=E$5)*('Leave Register'!$F$6:$F$305&gt;=E$5)*('Leave Register'!$J$6:$J$305="Approved")*(ROW('Leave Register'!$B$6:$B$305)-5)))=0,"",INDEX('Leave Register'!$D$6:$D$305,SUMPRODUCT(MAX(('Leave Register'!$B$6:$B$305=$A51)*('Leave Register'!$E$6:$E$305&lt;=E$5)*('Leave Register'!$F$6:$F$305&gt;=E$5)*('Leave Register'!$J$6:$J$305="Approved")*(ROW('Leave Register'!$B$6:$B$305)-5))))))</f>
        <v/>
      </c>
      <c r="F51" s="83" t="str">
        <f aca="false">IF(OR($A51="",F$5="",F$7&lt;&gt;"W"),"",IF(SUMPRODUCT(MAX(('Leave Register'!$B$6:$B$305=$A51)*('Leave Register'!$E$6:$E$305&lt;=F$5)*('Leave Register'!$F$6:$F$305&gt;=F$5)*('Leave Register'!$J$6:$J$305="Approved")*(ROW('Leave Register'!$B$6:$B$305)-5)))=0,"",INDEX('Leave Register'!$D$6:$D$305,SUMPRODUCT(MAX(('Leave Register'!$B$6:$B$305=$A51)*('Leave Register'!$E$6:$E$305&lt;=F$5)*('Leave Register'!$F$6:$F$305&gt;=F$5)*('Leave Register'!$J$6:$J$305="Approved")*(ROW('Leave Register'!$B$6:$B$305)-5))))))</f>
        <v/>
      </c>
      <c r="G51" s="83" t="str">
        <f aca="false">IF(OR($A51="",G$5="",G$7&lt;&gt;"W"),"",IF(SUMPRODUCT(MAX(('Leave Register'!$B$6:$B$305=$A51)*('Leave Register'!$E$6:$E$305&lt;=G$5)*('Leave Register'!$F$6:$F$305&gt;=G$5)*('Leave Register'!$J$6:$J$305="Approved")*(ROW('Leave Register'!$B$6:$B$305)-5)))=0,"",INDEX('Leave Register'!$D$6:$D$305,SUMPRODUCT(MAX(('Leave Register'!$B$6:$B$305=$A51)*('Leave Register'!$E$6:$E$305&lt;=G$5)*('Leave Register'!$F$6:$F$305&gt;=G$5)*('Leave Register'!$J$6:$J$305="Approved")*(ROW('Leave Register'!$B$6:$B$305)-5))))))</f>
        <v/>
      </c>
      <c r="H51" s="83" t="str">
        <f aca="false">IF(OR($A51="",H$5="",H$7&lt;&gt;"W"),"",IF(SUMPRODUCT(MAX(('Leave Register'!$B$6:$B$305=$A51)*('Leave Register'!$E$6:$E$305&lt;=H$5)*('Leave Register'!$F$6:$F$305&gt;=H$5)*('Leave Register'!$J$6:$J$305="Approved")*(ROW('Leave Register'!$B$6:$B$305)-5)))=0,"",INDEX('Leave Register'!$D$6:$D$305,SUMPRODUCT(MAX(('Leave Register'!$B$6:$B$305=$A51)*('Leave Register'!$E$6:$E$305&lt;=H$5)*('Leave Register'!$F$6:$F$305&gt;=H$5)*('Leave Register'!$J$6:$J$305="Approved")*(ROW('Leave Register'!$B$6:$B$305)-5))))))</f>
        <v/>
      </c>
      <c r="I51" s="83" t="str">
        <f aca="false">IF(OR($A51="",I$5="",I$7&lt;&gt;"W"),"",IF(SUMPRODUCT(MAX(('Leave Register'!$B$6:$B$305=$A51)*('Leave Register'!$E$6:$E$305&lt;=I$5)*('Leave Register'!$F$6:$F$305&gt;=I$5)*('Leave Register'!$J$6:$J$305="Approved")*(ROW('Leave Register'!$B$6:$B$305)-5)))=0,"",INDEX('Leave Register'!$D$6:$D$305,SUMPRODUCT(MAX(('Leave Register'!$B$6:$B$305=$A51)*('Leave Register'!$E$6:$E$305&lt;=I$5)*('Leave Register'!$F$6:$F$305&gt;=I$5)*('Leave Register'!$J$6:$J$305="Approved")*(ROW('Leave Register'!$B$6:$B$305)-5))))))</f>
        <v/>
      </c>
      <c r="J51" s="83" t="str">
        <f aca="false">IF(OR($A51="",J$5="",J$7&lt;&gt;"W"),"",IF(SUMPRODUCT(MAX(('Leave Register'!$B$6:$B$305=$A51)*('Leave Register'!$E$6:$E$305&lt;=J$5)*('Leave Register'!$F$6:$F$305&gt;=J$5)*('Leave Register'!$J$6:$J$305="Approved")*(ROW('Leave Register'!$B$6:$B$305)-5)))=0,"",INDEX('Leave Register'!$D$6:$D$305,SUMPRODUCT(MAX(('Leave Register'!$B$6:$B$305=$A51)*('Leave Register'!$E$6:$E$305&lt;=J$5)*('Leave Register'!$F$6:$F$305&gt;=J$5)*('Leave Register'!$J$6:$J$305="Approved")*(ROW('Leave Register'!$B$6:$B$305)-5))))))</f>
        <v/>
      </c>
      <c r="K51" s="83" t="str">
        <f aca="false">IF(OR($A51="",K$5="",K$7&lt;&gt;"W"),"",IF(SUMPRODUCT(MAX(('Leave Register'!$B$6:$B$305=$A51)*('Leave Register'!$E$6:$E$305&lt;=K$5)*('Leave Register'!$F$6:$F$305&gt;=K$5)*('Leave Register'!$J$6:$J$305="Approved")*(ROW('Leave Register'!$B$6:$B$305)-5)))=0,"",INDEX('Leave Register'!$D$6:$D$305,SUMPRODUCT(MAX(('Leave Register'!$B$6:$B$305=$A51)*('Leave Register'!$E$6:$E$305&lt;=K$5)*('Leave Register'!$F$6:$F$305&gt;=K$5)*('Leave Register'!$J$6:$J$305="Approved")*(ROW('Leave Register'!$B$6:$B$305)-5))))))</f>
        <v/>
      </c>
      <c r="L51" s="83" t="str">
        <f aca="false">IF(OR($A51="",L$5="",L$7&lt;&gt;"W"),"",IF(SUMPRODUCT(MAX(('Leave Register'!$B$6:$B$305=$A51)*('Leave Register'!$E$6:$E$305&lt;=L$5)*('Leave Register'!$F$6:$F$305&gt;=L$5)*('Leave Register'!$J$6:$J$305="Approved")*(ROW('Leave Register'!$B$6:$B$305)-5)))=0,"",INDEX('Leave Register'!$D$6:$D$305,SUMPRODUCT(MAX(('Leave Register'!$B$6:$B$305=$A51)*('Leave Register'!$E$6:$E$305&lt;=L$5)*('Leave Register'!$F$6:$F$305&gt;=L$5)*('Leave Register'!$J$6:$J$305="Approved")*(ROW('Leave Register'!$B$6:$B$305)-5))))))</f>
        <v/>
      </c>
      <c r="M51" s="83" t="str">
        <f aca="false">IF(OR($A51="",M$5="",M$7&lt;&gt;"W"),"",IF(SUMPRODUCT(MAX(('Leave Register'!$B$6:$B$305=$A51)*('Leave Register'!$E$6:$E$305&lt;=M$5)*('Leave Register'!$F$6:$F$305&gt;=M$5)*('Leave Register'!$J$6:$J$305="Approved")*(ROW('Leave Register'!$B$6:$B$305)-5)))=0,"",INDEX('Leave Register'!$D$6:$D$305,SUMPRODUCT(MAX(('Leave Register'!$B$6:$B$305=$A51)*('Leave Register'!$E$6:$E$305&lt;=M$5)*('Leave Register'!$F$6:$F$305&gt;=M$5)*('Leave Register'!$J$6:$J$305="Approved")*(ROW('Leave Register'!$B$6:$B$305)-5))))))</f>
        <v/>
      </c>
      <c r="N51" s="83" t="str">
        <f aca="false">IF(OR($A51="",N$5="",N$7&lt;&gt;"W"),"",IF(SUMPRODUCT(MAX(('Leave Register'!$B$6:$B$305=$A51)*('Leave Register'!$E$6:$E$305&lt;=N$5)*('Leave Register'!$F$6:$F$305&gt;=N$5)*('Leave Register'!$J$6:$J$305="Approved")*(ROW('Leave Register'!$B$6:$B$305)-5)))=0,"",INDEX('Leave Register'!$D$6:$D$305,SUMPRODUCT(MAX(('Leave Register'!$B$6:$B$305=$A51)*('Leave Register'!$E$6:$E$305&lt;=N$5)*('Leave Register'!$F$6:$F$305&gt;=N$5)*('Leave Register'!$J$6:$J$305="Approved")*(ROW('Leave Register'!$B$6:$B$305)-5))))))</f>
        <v/>
      </c>
      <c r="O51" s="83" t="str">
        <f aca="false">IF(OR($A51="",O$5="",O$7&lt;&gt;"W"),"",IF(SUMPRODUCT(MAX(('Leave Register'!$B$6:$B$305=$A51)*('Leave Register'!$E$6:$E$305&lt;=O$5)*('Leave Register'!$F$6:$F$305&gt;=O$5)*('Leave Register'!$J$6:$J$305="Approved")*(ROW('Leave Register'!$B$6:$B$305)-5)))=0,"",INDEX('Leave Register'!$D$6:$D$305,SUMPRODUCT(MAX(('Leave Register'!$B$6:$B$305=$A51)*('Leave Register'!$E$6:$E$305&lt;=O$5)*('Leave Register'!$F$6:$F$305&gt;=O$5)*('Leave Register'!$J$6:$J$305="Approved")*(ROW('Leave Register'!$B$6:$B$305)-5))))))</f>
        <v/>
      </c>
      <c r="P51" s="83" t="str">
        <f aca="false">IF(OR($A51="",P$5="",P$7&lt;&gt;"W"),"",IF(SUMPRODUCT(MAX(('Leave Register'!$B$6:$B$305=$A51)*('Leave Register'!$E$6:$E$305&lt;=P$5)*('Leave Register'!$F$6:$F$305&gt;=P$5)*('Leave Register'!$J$6:$J$305="Approved")*(ROW('Leave Register'!$B$6:$B$305)-5)))=0,"",INDEX('Leave Register'!$D$6:$D$305,SUMPRODUCT(MAX(('Leave Register'!$B$6:$B$305=$A51)*('Leave Register'!$E$6:$E$305&lt;=P$5)*('Leave Register'!$F$6:$F$305&gt;=P$5)*('Leave Register'!$J$6:$J$305="Approved")*(ROW('Leave Register'!$B$6:$B$305)-5))))))</f>
        <v/>
      </c>
      <c r="Q51" s="83" t="str">
        <f aca="false">IF(OR($A51="",Q$5="",Q$7&lt;&gt;"W"),"",IF(SUMPRODUCT(MAX(('Leave Register'!$B$6:$B$305=$A51)*('Leave Register'!$E$6:$E$305&lt;=Q$5)*('Leave Register'!$F$6:$F$305&gt;=Q$5)*('Leave Register'!$J$6:$J$305="Approved")*(ROW('Leave Register'!$B$6:$B$305)-5)))=0,"",INDEX('Leave Register'!$D$6:$D$305,SUMPRODUCT(MAX(('Leave Register'!$B$6:$B$305=$A51)*('Leave Register'!$E$6:$E$305&lt;=Q$5)*('Leave Register'!$F$6:$F$305&gt;=Q$5)*('Leave Register'!$J$6:$J$305="Approved")*(ROW('Leave Register'!$B$6:$B$305)-5))))))</f>
        <v/>
      </c>
      <c r="R51" s="83" t="str">
        <f aca="false">IF(OR($A51="",R$5="",R$7&lt;&gt;"W"),"",IF(SUMPRODUCT(MAX(('Leave Register'!$B$6:$B$305=$A51)*('Leave Register'!$E$6:$E$305&lt;=R$5)*('Leave Register'!$F$6:$F$305&gt;=R$5)*('Leave Register'!$J$6:$J$305="Approved")*(ROW('Leave Register'!$B$6:$B$305)-5)))=0,"",INDEX('Leave Register'!$D$6:$D$305,SUMPRODUCT(MAX(('Leave Register'!$B$6:$B$305=$A51)*('Leave Register'!$E$6:$E$305&lt;=R$5)*('Leave Register'!$F$6:$F$305&gt;=R$5)*('Leave Register'!$J$6:$J$305="Approved")*(ROW('Leave Register'!$B$6:$B$305)-5))))))</f>
        <v/>
      </c>
      <c r="S51" s="83" t="str">
        <f aca="false">IF(OR($A51="",S$5="",S$7&lt;&gt;"W"),"",IF(SUMPRODUCT(MAX(('Leave Register'!$B$6:$B$305=$A51)*('Leave Register'!$E$6:$E$305&lt;=S$5)*('Leave Register'!$F$6:$F$305&gt;=S$5)*('Leave Register'!$J$6:$J$305="Approved")*(ROW('Leave Register'!$B$6:$B$305)-5)))=0,"",INDEX('Leave Register'!$D$6:$D$305,SUMPRODUCT(MAX(('Leave Register'!$B$6:$B$305=$A51)*('Leave Register'!$E$6:$E$305&lt;=S$5)*('Leave Register'!$F$6:$F$305&gt;=S$5)*('Leave Register'!$J$6:$J$305="Approved")*(ROW('Leave Register'!$B$6:$B$305)-5))))))</f>
        <v/>
      </c>
      <c r="T51" s="83" t="str">
        <f aca="false">IF(OR($A51="",T$5="",T$7&lt;&gt;"W"),"",IF(SUMPRODUCT(MAX(('Leave Register'!$B$6:$B$305=$A51)*('Leave Register'!$E$6:$E$305&lt;=T$5)*('Leave Register'!$F$6:$F$305&gt;=T$5)*('Leave Register'!$J$6:$J$305="Approved")*(ROW('Leave Register'!$B$6:$B$305)-5)))=0,"",INDEX('Leave Register'!$D$6:$D$305,SUMPRODUCT(MAX(('Leave Register'!$B$6:$B$305=$A51)*('Leave Register'!$E$6:$E$305&lt;=T$5)*('Leave Register'!$F$6:$F$305&gt;=T$5)*('Leave Register'!$J$6:$J$305="Approved")*(ROW('Leave Register'!$B$6:$B$305)-5))))))</f>
        <v/>
      </c>
      <c r="U51" s="83" t="str">
        <f aca="false">IF(OR($A51="",U$5="",U$7&lt;&gt;"W"),"",IF(SUMPRODUCT(MAX(('Leave Register'!$B$6:$B$305=$A51)*('Leave Register'!$E$6:$E$305&lt;=U$5)*('Leave Register'!$F$6:$F$305&gt;=U$5)*('Leave Register'!$J$6:$J$305="Approved")*(ROW('Leave Register'!$B$6:$B$305)-5)))=0,"",INDEX('Leave Register'!$D$6:$D$305,SUMPRODUCT(MAX(('Leave Register'!$B$6:$B$305=$A51)*('Leave Register'!$E$6:$E$305&lt;=U$5)*('Leave Register'!$F$6:$F$305&gt;=U$5)*('Leave Register'!$J$6:$J$305="Approved")*(ROW('Leave Register'!$B$6:$B$305)-5))))))</f>
        <v/>
      </c>
      <c r="V51" s="83" t="str">
        <f aca="false">IF(OR($A51="",V$5="",V$7&lt;&gt;"W"),"",IF(SUMPRODUCT(MAX(('Leave Register'!$B$6:$B$305=$A51)*('Leave Register'!$E$6:$E$305&lt;=V$5)*('Leave Register'!$F$6:$F$305&gt;=V$5)*('Leave Register'!$J$6:$J$305="Approved")*(ROW('Leave Register'!$B$6:$B$305)-5)))=0,"",INDEX('Leave Register'!$D$6:$D$305,SUMPRODUCT(MAX(('Leave Register'!$B$6:$B$305=$A51)*('Leave Register'!$E$6:$E$305&lt;=V$5)*('Leave Register'!$F$6:$F$305&gt;=V$5)*('Leave Register'!$J$6:$J$305="Approved")*(ROW('Leave Register'!$B$6:$B$305)-5))))))</f>
        <v/>
      </c>
      <c r="W51" s="83" t="str">
        <f aca="false">IF(OR($A51="",W$5="",W$7&lt;&gt;"W"),"",IF(SUMPRODUCT(MAX(('Leave Register'!$B$6:$B$305=$A51)*('Leave Register'!$E$6:$E$305&lt;=W$5)*('Leave Register'!$F$6:$F$305&gt;=W$5)*('Leave Register'!$J$6:$J$305="Approved")*(ROW('Leave Register'!$B$6:$B$305)-5)))=0,"",INDEX('Leave Register'!$D$6:$D$305,SUMPRODUCT(MAX(('Leave Register'!$B$6:$B$305=$A51)*('Leave Register'!$E$6:$E$305&lt;=W$5)*('Leave Register'!$F$6:$F$305&gt;=W$5)*('Leave Register'!$J$6:$J$305="Approved")*(ROW('Leave Register'!$B$6:$B$305)-5))))))</f>
        <v/>
      </c>
      <c r="X51" s="83" t="str">
        <f aca="false">IF(OR($A51="",X$5="",X$7&lt;&gt;"W"),"",IF(SUMPRODUCT(MAX(('Leave Register'!$B$6:$B$305=$A51)*('Leave Register'!$E$6:$E$305&lt;=X$5)*('Leave Register'!$F$6:$F$305&gt;=X$5)*('Leave Register'!$J$6:$J$305="Approved")*(ROW('Leave Register'!$B$6:$B$305)-5)))=0,"",INDEX('Leave Register'!$D$6:$D$305,SUMPRODUCT(MAX(('Leave Register'!$B$6:$B$305=$A51)*('Leave Register'!$E$6:$E$305&lt;=X$5)*('Leave Register'!$F$6:$F$305&gt;=X$5)*('Leave Register'!$J$6:$J$305="Approved")*(ROW('Leave Register'!$B$6:$B$305)-5))))))</f>
        <v/>
      </c>
      <c r="Y51" s="83" t="str">
        <f aca="false">IF(OR($A51="",Y$5="",Y$7&lt;&gt;"W"),"",IF(SUMPRODUCT(MAX(('Leave Register'!$B$6:$B$305=$A51)*('Leave Register'!$E$6:$E$305&lt;=Y$5)*('Leave Register'!$F$6:$F$305&gt;=Y$5)*('Leave Register'!$J$6:$J$305="Approved")*(ROW('Leave Register'!$B$6:$B$305)-5)))=0,"",INDEX('Leave Register'!$D$6:$D$305,SUMPRODUCT(MAX(('Leave Register'!$B$6:$B$305=$A51)*('Leave Register'!$E$6:$E$305&lt;=Y$5)*('Leave Register'!$F$6:$F$305&gt;=Y$5)*('Leave Register'!$J$6:$J$305="Approved")*(ROW('Leave Register'!$B$6:$B$305)-5))))))</f>
        <v/>
      </c>
      <c r="Z51" s="83" t="str">
        <f aca="false">IF(OR($A51="",Z$5="",Z$7&lt;&gt;"W"),"",IF(SUMPRODUCT(MAX(('Leave Register'!$B$6:$B$305=$A51)*('Leave Register'!$E$6:$E$305&lt;=Z$5)*('Leave Register'!$F$6:$F$305&gt;=Z$5)*('Leave Register'!$J$6:$J$305="Approved")*(ROW('Leave Register'!$B$6:$B$305)-5)))=0,"",INDEX('Leave Register'!$D$6:$D$305,SUMPRODUCT(MAX(('Leave Register'!$B$6:$B$305=$A51)*('Leave Register'!$E$6:$E$305&lt;=Z$5)*('Leave Register'!$F$6:$F$305&gt;=Z$5)*('Leave Register'!$J$6:$J$305="Approved")*(ROW('Leave Register'!$B$6:$B$305)-5))))))</f>
        <v/>
      </c>
      <c r="AA51" s="83" t="str">
        <f aca="false">IF(OR($A51="",AA$5="",AA$7&lt;&gt;"W"),"",IF(SUMPRODUCT(MAX(('Leave Register'!$B$6:$B$305=$A51)*('Leave Register'!$E$6:$E$305&lt;=AA$5)*('Leave Register'!$F$6:$F$305&gt;=AA$5)*('Leave Register'!$J$6:$J$305="Approved")*(ROW('Leave Register'!$B$6:$B$305)-5)))=0,"",INDEX('Leave Register'!$D$6:$D$305,SUMPRODUCT(MAX(('Leave Register'!$B$6:$B$305=$A51)*('Leave Register'!$E$6:$E$305&lt;=AA$5)*('Leave Register'!$F$6:$F$305&gt;=AA$5)*('Leave Register'!$J$6:$J$305="Approved")*(ROW('Leave Register'!$B$6:$B$305)-5))))))</f>
        <v/>
      </c>
      <c r="AB51" s="83" t="str">
        <f aca="false">IF(OR($A51="",AB$5="",AB$7&lt;&gt;"W"),"",IF(SUMPRODUCT(MAX(('Leave Register'!$B$6:$B$305=$A51)*('Leave Register'!$E$6:$E$305&lt;=AB$5)*('Leave Register'!$F$6:$F$305&gt;=AB$5)*('Leave Register'!$J$6:$J$305="Approved")*(ROW('Leave Register'!$B$6:$B$305)-5)))=0,"",INDEX('Leave Register'!$D$6:$D$305,SUMPRODUCT(MAX(('Leave Register'!$B$6:$B$305=$A51)*('Leave Register'!$E$6:$E$305&lt;=AB$5)*('Leave Register'!$F$6:$F$305&gt;=AB$5)*('Leave Register'!$J$6:$J$305="Approved")*(ROW('Leave Register'!$B$6:$B$305)-5))))))</f>
        <v/>
      </c>
      <c r="AC51" s="83" t="str">
        <f aca="false">IF(OR($A51="",AC$5="",AC$7&lt;&gt;"W"),"",IF(SUMPRODUCT(MAX(('Leave Register'!$B$6:$B$305=$A51)*('Leave Register'!$E$6:$E$305&lt;=AC$5)*('Leave Register'!$F$6:$F$305&gt;=AC$5)*('Leave Register'!$J$6:$J$305="Approved")*(ROW('Leave Register'!$B$6:$B$305)-5)))=0,"",INDEX('Leave Register'!$D$6:$D$305,SUMPRODUCT(MAX(('Leave Register'!$B$6:$B$305=$A51)*('Leave Register'!$E$6:$E$305&lt;=AC$5)*('Leave Register'!$F$6:$F$305&gt;=AC$5)*('Leave Register'!$J$6:$J$305="Approved")*(ROW('Leave Register'!$B$6:$B$305)-5))))))</f>
        <v/>
      </c>
      <c r="AD51" s="83" t="str">
        <f aca="false">IF(OR($A51="",AD$5="",AD$7&lt;&gt;"W"),"",IF(SUMPRODUCT(MAX(('Leave Register'!$B$6:$B$305=$A51)*('Leave Register'!$E$6:$E$305&lt;=AD$5)*('Leave Register'!$F$6:$F$305&gt;=AD$5)*('Leave Register'!$J$6:$J$305="Approved")*(ROW('Leave Register'!$B$6:$B$305)-5)))=0,"",INDEX('Leave Register'!$D$6:$D$305,SUMPRODUCT(MAX(('Leave Register'!$B$6:$B$305=$A51)*('Leave Register'!$E$6:$E$305&lt;=AD$5)*('Leave Register'!$F$6:$F$305&gt;=AD$5)*('Leave Register'!$J$6:$J$305="Approved")*(ROW('Leave Register'!$B$6:$B$305)-5))))))</f>
        <v/>
      </c>
      <c r="AE51" s="83" t="str">
        <f aca="false">IF(OR($A51="",AE$5="",AE$7&lt;&gt;"W"),"",IF(SUMPRODUCT(MAX(('Leave Register'!$B$6:$B$305=$A51)*('Leave Register'!$E$6:$E$305&lt;=AE$5)*('Leave Register'!$F$6:$F$305&gt;=AE$5)*('Leave Register'!$J$6:$J$305="Approved")*(ROW('Leave Register'!$B$6:$B$305)-5)))=0,"",INDEX('Leave Register'!$D$6:$D$305,SUMPRODUCT(MAX(('Leave Register'!$B$6:$B$305=$A51)*('Leave Register'!$E$6:$E$305&lt;=AE$5)*('Leave Register'!$F$6:$F$305&gt;=AE$5)*('Leave Register'!$J$6:$J$305="Approved")*(ROW('Leave Register'!$B$6:$B$305)-5))))))</f>
        <v/>
      </c>
      <c r="AF51" s="83" t="str">
        <f aca="false">IF(OR($A51="",AF$5="",AF$7&lt;&gt;"W"),"",IF(SUMPRODUCT(MAX(('Leave Register'!$B$6:$B$305=$A51)*('Leave Register'!$E$6:$E$305&lt;=AF$5)*('Leave Register'!$F$6:$F$305&gt;=AF$5)*('Leave Register'!$J$6:$J$305="Approved")*(ROW('Leave Register'!$B$6:$B$305)-5)))=0,"",INDEX('Leave Register'!$D$6:$D$305,SUMPRODUCT(MAX(('Leave Register'!$B$6:$B$305=$A51)*('Leave Register'!$E$6:$E$305&lt;=AF$5)*('Leave Register'!$F$6:$F$305&gt;=AF$5)*('Leave Register'!$J$6:$J$305="Approved")*(ROW('Leave Register'!$B$6:$B$305)-5))))))</f>
        <v/>
      </c>
      <c r="AG51" s="83" t="str">
        <f aca="false">IF(OR($A51="",AG$5="",AG$7&lt;&gt;"W"),"",IF(SUMPRODUCT(MAX(('Leave Register'!$B$6:$B$305=$A51)*('Leave Register'!$E$6:$E$305&lt;=AG$5)*('Leave Register'!$F$6:$F$305&gt;=AG$5)*('Leave Register'!$J$6:$J$305="Approved")*(ROW('Leave Register'!$B$6:$B$305)-5)))=0,"",INDEX('Leave Register'!$D$6:$D$305,SUMPRODUCT(MAX(('Leave Register'!$B$6:$B$305=$A51)*('Leave Register'!$E$6:$E$305&lt;=AG$5)*('Leave Register'!$F$6:$F$305&gt;=AG$5)*('Leave Register'!$J$6:$J$305="Approved")*(ROW('Leave Register'!$B$6:$B$305)-5))))))</f>
        <v/>
      </c>
      <c r="AH51" s="84" t="str">
        <f aca="false">IF(A51="","",COUNTIF(C51:AG51,"?*"))</f>
        <v/>
      </c>
    </row>
    <row r="52" customFormat="false" ht="15" hidden="false" customHeight="false" outlineLevel="0" collapsed="false">
      <c r="A52" s="81" t="str">
        <f aca="false">IF(Employees!$B$49="","",Employees!$B$49)</f>
        <v/>
      </c>
      <c r="B52" s="82" t="str">
        <f aca="false">IF(A52="","",Employees!$C$49)</f>
        <v/>
      </c>
      <c r="C52" s="83" t="str">
        <f aca="false">IF(OR($A52="",C$5="",C$7&lt;&gt;"W"),"",IF(SUMPRODUCT(MAX(('Leave Register'!$B$6:$B$305=$A52)*('Leave Register'!$E$6:$E$305&lt;=C$5)*('Leave Register'!$F$6:$F$305&gt;=C$5)*('Leave Register'!$J$6:$J$305="Approved")*(ROW('Leave Register'!$B$6:$B$305)-5)))=0,"",INDEX('Leave Register'!$D$6:$D$305,SUMPRODUCT(MAX(('Leave Register'!$B$6:$B$305=$A52)*('Leave Register'!$E$6:$E$305&lt;=C$5)*('Leave Register'!$F$6:$F$305&gt;=C$5)*('Leave Register'!$J$6:$J$305="Approved")*(ROW('Leave Register'!$B$6:$B$305)-5))))))</f>
        <v/>
      </c>
      <c r="D52" s="83" t="str">
        <f aca="false">IF(OR($A52="",D$5="",D$7&lt;&gt;"W"),"",IF(SUMPRODUCT(MAX(('Leave Register'!$B$6:$B$305=$A52)*('Leave Register'!$E$6:$E$305&lt;=D$5)*('Leave Register'!$F$6:$F$305&gt;=D$5)*('Leave Register'!$J$6:$J$305="Approved")*(ROW('Leave Register'!$B$6:$B$305)-5)))=0,"",INDEX('Leave Register'!$D$6:$D$305,SUMPRODUCT(MAX(('Leave Register'!$B$6:$B$305=$A52)*('Leave Register'!$E$6:$E$305&lt;=D$5)*('Leave Register'!$F$6:$F$305&gt;=D$5)*('Leave Register'!$J$6:$J$305="Approved")*(ROW('Leave Register'!$B$6:$B$305)-5))))))</f>
        <v/>
      </c>
      <c r="E52" s="83" t="str">
        <f aca="false">IF(OR($A52="",E$5="",E$7&lt;&gt;"W"),"",IF(SUMPRODUCT(MAX(('Leave Register'!$B$6:$B$305=$A52)*('Leave Register'!$E$6:$E$305&lt;=E$5)*('Leave Register'!$F$6:$F$305&gt;=E$5)*('Leave Register'!$J$6:$J$305="Approved")*(ROW('Leave Register'!$B$6:$B$305)-5)))=0,"",INDEX('Leave Register'!$D$6:$D$305,SUMPRODUCT(MAX(('Leave Register'!$B$6:$B$305=$A52)*('Leave Register'!$E$6:$E$305&lt;=E$5)*('Leave Register'!$F$6:$F$305&gt;=E$5)*('Leave Register'!$J$6:$J$305="Approved")*(ROW('Leave Register'!$B$6:$B$305)-5))))))</f>
        <v/>
      </c>
      <c r="F52" s="83" t="str">
        <f aca="false">IF(OR($A52="",F$5="",F$7&lt;&gt;"W"),"",IF(SUMPRODUCT(MAX(('Leave Register'!$B$6:$B$305=$A52)*('Leave Register'!$E$6:$E$305&lt;=F$5)*('Leave Register'!$F$6:$F$305&gt;=F$5)*('Leave Register'!$J$6:$J$305="Approved")*(ROW('Leave Register'!$B$6:$B$305)-5)))=0,"",INDEX('Leave Register'!$D$6:$D$305,SUMPRODUCT(MAX(('Leave Register'!$B$6:$B$305=$A52)*('Leave Register'!$E$6:$E$305&lt;=F$5)*('Leave Register'!$F$6:$F$305&gt;=F$5)*('Leave Register'!$J$6:$J$305="Approved")*(ROW('Leave Register'!$B$6:$B$305)-5))))))</f>
        <v/>
      </c>
      <c r="G52" s="83" t="str">
        <f aca="false">IF(OR($A52="",G$5="",G$7&lt;&gt;"W"),"",IF(SUMPRODUCT(MAX(('Leave Register'!$B$6:$B$305=$A52)*('Leave Register'!$E$6:$E$305&lt;=G$5)*('Leave Register'!$F$6:$F$305&gt;=G$5)*('Leave Register'!$J$6:$J$305="Approved")*(ROW('Leave Register'!$B$6:$B$305)-5)))=0,"",INDEX('Leave Register'!$D$6:$D$305,SUMPRODUCT(MAX(('Leave Register'!$B$6:$B$305=$A52)*('Leave Register'!$E$6:$E$305&lt;=G$5)*('Leave Register'!$F$6:$F$305&gt;=G$5)*('Leave Register'!$J$6:$J$305="Approved")*(ROW('Leave Register'!$B$6:$B$305)-5))))))</f>
        <v/>
      </c>
      <c r="H52" s="83" t="str">
        <f aca="false">IF(OR($A52="",H$5="",H$7&lt;&gt;"W"),"",IF(SUMPRODUCT(MAX(('Leave Register'!$B$6:$B$305=$A52)*('Leave Register'!$E$6:$E$305&lt;=H$5)*('Leave Register'!$F$6:$F$305&gt;=H$5)*('Leave Register'!$J$6:$J$305="Approved")*(ROW('Leave Register'!$B$6:$B$305)-5)))=0,"",INDEX('Leave Register'!$D$6:$D$305,SUMPRODUCT(MAX(('Leave Register'!$B$6:$B$305=$A52)*('Leave Register'!$E$6:$E$305&lt;=H$5)*('Leave Register'!$F$6:$F$305&gt;=H$5)*('Leave Register'!$J$6:$J$305="Approved")*(ROW('Leave Register'!$B$6:$B$305)-5))))))</f>
        <v/>
      </c>
      <c r="I52" s="83" t="str">
        <f aca="false">IF(OR($A52="",I$5="",I$7&lt;&gt;"W"),"",IF(SUMPRODUCT(MAX(('Leave Register'!$B$6:$B$305=$A52)*('Leave Register'!$E$6:$E$305&lt;=I$5)*('Leave Register'!$F$6:$F$305&gt;=I$5)*('Leave Register'!$J$6:$J$305="Approved")*(ROW('Leave Register'!$B$6:$B$305)-5)))=0,"",INDEX('Leave Register'!$D$6:$D$305,SUMPRODUCT(MAX(('Leave Register'!$B$6:$B$305=$A52)*('Leave Register'!$E$6:$E$305&lt;=I$5)*('Leave Register'!$F$6:$F$305&gt;=I$5)*('Leave Register'!$J$6:$J$305="Approved")*(ROW('Leave Register'!$B$6:$B$305)-5))))))</f>
        <v/>
      </c>
      <c r="J52" s="83" t="str">
        <f aca="false">IF(OR($A52="",J$5="",J$7&lt;&gt;"W"),"",IF(SUMPRODUCT(MAX(('Leave Register'!$B$6:$B$305=$A52)*('Leave Register'!$E$6:$E$305&lt;=J$5)*('Leave Register'!$F$6:$F$305&gt;=J$5)*('Leave Register'!$J$6:$J$305="Approved")*(ROW('Leave Register'!$B$6:$B$305)-5)))=0,"",INDEX('Leave Register'!$D$6:$D$305,SUMPRODUCT(MAX(('Leave Register'!$B$6:$B$305=$A52)*('Leave Register'!$E$6:$E$305&lt;=J$5)*('Leave Register'!$F$6:$F$305&gt;=J$5)*('Leave Register'!$J$6:$J$305="Approved")*(ROW('Leave Register'!$B$6:$B$305)-5))))))</f>
        <v/>
      </c>
      <c r="K52" s="83" t="str">
        <f aca="false">IF(OR($A52="",K$5="",K$7&lt;&gt;"W"),"",IF(SUMPRODUCT(MAX(('Leave Register'!$B$6:$B$305=$A52)*('Leave Register'!$E$6:$E$305&lt;=K$5)*('Leave Register'!$F$6:$F$305&gt;=K$5)*('Leave Register'!$J$6:$J$305="Approved")*(ROW('Leave Register'!$B$6:$B$305)-5)))=0,"",INDEX('Leave Register'!$D$6:$D$305,SUMPRODUCT(MAX(('Leave Register'!$B$6:$B$305=$A52)*('Leave Register'!$E$6:$E$305&lt;=K$5)*('Leave Register'!$F$6:$F$305&gt;=K$5)*('Leave Register'!$J$6:$J$305="Approved")*(ROW('Leave Register'!$B$6:$B$305)-5))))))</f>
        <v/>
      </c>
      <c r="L52" s="83" t="str">
        <f aca="false">IF(OR($A52="",L$5="",L$7&lt;&gt;"W"),"",IF(SUMPRODUCT(MAX(('Leave Register'!$B$6:$B$305=$A52)*('Leave Register'!$E$6:$E$305&lt;=L$5)*('Leave Register'!$F$6:$F$305&gt;=L$5)*('Leave Register'!$J$6:$J$305="Approved")*(ROW('Leave Register'!$B$6:$B$305)-5)))=0,"",INDEX('Leave Register'!$D$6:$D$305,SUMPRODUCT(MAX(('Leave Register'!$B$6:$B$305=$A52)*('Leave Register'!$E$6:$E$305&lt;=L$5)*('Leave Register'!$F$6:$F$305&gt;=L$5)*('Leave Register'!$J$6:$J$305="Approved")*(ROW('Leave Register'!$B$6:$B$305)-5))))))</f>
        <v/>
      </c>
      <c r="M52" s="83" t="str">
        <f aca="false">IF(OR($A52="",M$5="",M$7&lt;&gt;"W"),"",IF(SUMPRODUCT(MAX(('Leave Register'!$B$6:$B$305=$A52)*('Leave Register'!$E$6:$E$305&lt;=M$5)*('Leave Register'!$F$6:$F$305&gt;=M$5)*('Leave Register'!$J$6:$J$305="Approved")*(ROW('Leave Register'!$B$6:$B$305)-5)))=0,"",INDEX('Leave Register'!$D$6:$D$305,SUMPRODUCT(MAX(('Leave Register'!$B$6:$B$305=$A52)*('Leave Register'!$E$6:$E$305&lt;=M$5)*('Leave Register'!$F$6:$F$305&gt;=M$5)*('Leave Register'!$J$6:$J$305="Approved")*(ROW('Leave Register'!$B$6:$B$305)-5))))))</f>
        <v/>
      </c>
      <c r="N52" s="83" t="str">
        <f aca="false">IF(OR($A52="",N$5="",N$7&lt;&gt;"W"),"",IF(SUMPRODUCT(MAX(('Leave Register'!$B$6:$B$305=$A52)*('Leave Register'!$E$6:$E$305&lt;=N$5)*('Leave Register'!$F$6:$F$305&gt;=N$5)*('Leave Register'!$J$6:$J$305="Approved")*(ROW('Leave Register'!$B$6:$B$305)-5)))=0,"",INDEX('Leave Register'!$D$6:$D$305,SUMPRODUCT(MAX(('Leave Register'!$B$6:$B$305=$A52)*('Leave Register'!$E$6:$E$305&lt;=N$5)*('Leave Register'!$F$6:$F$305&gt;=N$5)*('Leave Register'!$J$6:$J$305="Approved")*(ROW('Leave Register'!$B$6:$B$305)-5))))))</f>
        <v/>
      </c>
      <c r="O52" s="83" t="str">
        <f aca="false">IF(OR($A52="",O$5="",O$7&lt;&gt;"W"),"",IF(SUMPRODUCT(MAX(('Leave Register'!$B$6:$B$305=$A52)*('Leave Register'!$E$6:$E$305&lt;=O$5)*('Leave Register'!$F$6:$F$305&gt;=O$5)*('Leave Register'!$J$6:$J$305="Approved")*(ROW('Leave Register'!$B$6:$B$305)-5)))=0,"",INDEX('Leave Register'!$D$6:$D$305,SUMPRODUCT(MAX(('Leave Register'!$B$6:$B$305=$A52)*('Leave Register'!$E$6:$E$305&lt;=O$5)*('Leave Register'!$F$6:$F$305&gt;=O$5)*('Leave Register'!$J$6:$J$305="Approved")*(ROW('Leave Register'!$B$6:$B$305)-5))))))</f>
        <v/>
      </c>
      <c r="P52" s="83" t="str">
        <f aca="false">IF(OR($A52="",P$5="",P$7&lt;&gt;"W"),"",IF(SUMPRODUCT(MAX(('Leave Register'!$B$6:$B$305=$A52)*('Leave Register'!$E$6:$E$305&lt;=P$5)*('Leave Register'!$F$6:$F$305&gt;=P$5)*('Leave Register'!$J$6:$J$305="Approved")*(ROW('Leave Register'!$B$6:$B$305)-5)))=0,"",INDEX('Leave Register'!$D$6:$D$305,SUMPRODUCT(MAX(('Leave Register'!$B$6:$B$305=$A52)*('Leave Register'!$E$6:$E$305&lt;=P$5)*('Leave Register'!$F$6:$F$305&gt;=P$5)*('Leave Register'!$J$6:$J$305="Approved")*(ROW('Leave Register'!$B$6:$B$305)-5))))))</f>
        <v/>
      </c>
      <c r="Q52" s="83" t="str">
        <f aca="false">IF(OR($A52="",Q$5="",Q$7&lt;&gt;"W"),"",IF(SUMPRODUCT(MAX(('Leave Register'!$B$6:$B$305=$A52)*('Leave Register'!$E$6:$E$305&lt;=Q$5)*('Leave Register'!$F$6:$F$305&gt;=Q$5)*('Leave Register'!$J$6:$J$305="Approved")*(ROW('Leave Register'!$B$6:$B$305)-5)))=0,"",INDEX('Leave Register'!$D$6:$D$305,SUMPRODUCT(MAX(('Leave Register'!$B$6:$B$305=$A52)*('Leave Register'!$E$6:$E$305&lt;=Q$5)*('Leave Register'!$F$6:$F$305&gt;=Q$5)*('Leave Register'!$J$6:$J$305="Approved")*(ROW('Leave Register'!$B$6:$B$305)-5))))))</f>
        <v/>
      </c>
      <c r="R52" s="83" t="str">
        <f aca="false">IF(OR($A52="",R$5="",R$7&lt;&gt;"W"),"",IF(SUMPRODUCT(MAX(('Leave Register'!$B$6:$B$305=$A52)*('Leave Register'!$E$6:$E$305&lt;=R$5)*('Leave Register'!$F$6:$F$305&gt;=R$5)*('Leave Register'!$J$6:$J$305="Approved")*(ROW('Leave Register'!$B$6:$B$305)-5)))=0,"",INDEX('Leave Register'!$D$6:$D$305,SUMPRODUCT(MAX(('Leave Register'!$B$6:$B$305=$A52)*('Leave Register'!$E$6:$E$305&lt;=R$5)*('Leave Register'!$F$6:$F$305&gt;=R$5)*('Leave Register'!$J$6:$J$305="Approved")*(ROW('Leave Register'!$B$6:$B$305)-5))))))</f>
        <v/>
      </c>
      <c r="S52" s="83" t="str">
        <f aca="false">IF(OR($A52="",S$5="",S$7&lt;&gt;"W"),"",IF(SUMPRODUCT(MAX(('Leave Register'!$B$6:$B$305=$A52)*('Leave Register'!$E$6:$E$305&lt;=S$5)*('Leave Register'!$F$6:$F$305&gt;=S$5)*('Leave Register'!$J$6:$J$305="Approved")*(ROW('Leave Register'!$B$6:$B$305)-5)))=0,"",INDEX('Leave Register'!$D$6:$D$305,SUMPRODUCT(MAX(('Leave Register'!$B$6:$B$305=$A52)*('Leave Register'!$E$6:$E$305&lt;=S$5)*('Leave Register'!$F$6:$F$305&gt;=S$5)*('Leave Register'!$J$6:$J$305="Approved")*(ROW('Leave Register'!$B$6:$B$305)-5))))))</f>
        <v/>
      </c>
      <c r="T52" s="83" t="str">
        <f aca="false">IF(OR($A52="",T$5="",T$7&lt;&gt;"W"),"",IF(SUMPRODUCT(MAX(('Leave Register'!$B$6:$B$305=$A52)*('Leave Register'!$E$6:$E$305&lt;=T$5)*('Leave Register'!$F$6:$F$305&gt;=T$5)*('Leave Register'!$J$6:$J$305="Approved")*(ROW('Leave Register'!$B$6:$B$305)-5)))=0,"",INDEX('Leave Register'!$D$6:$D$305,SUMPRODUCT(MAX(('Leave Register'!$B$6:$B$305=$A52)*('Leave Register'!$E$6:$E$305&lt;=T$5)*('Leave Register'!$F$6:$F$305&gt;=T$5)*('Leave Register'!$J$6:$J$305="Approved")*(ROW('Leave Register'!$B$6:$B$305)-5))))))</f>
        <v/>
      </c>
      <c r="U52" s="83" t="str">
        <f aca="false">IF(OR($A52="",U$5="",U$7&lt;&gt;"W"),"",IF(SUMPRODUCT(MAX(('Leave Register'!$B$6:$B$305=$A52)*('Leave Register'!$E$6:$E$305&lt;=U$5)*('Leave Register'!$F$6:$F$305&gt;=U$5)*('Leave Register'!$J$6:$J$305="Approved")*(ROW('Leave Register'!$B$6:$B$305)-5)))=0,"",INDEX('Leave Register'!$D$6:$D$305,SUMPRODUCT(MAX(('Leave Register'!$B$6:$B$305=$A52)*('Leave Register'!$E$6:$E$305&lt;=U$5)*('Leave Register'!$F$6:$F$305&gt;=U$5)*('Leave Register'!$J$6:$J$305="Approved")*(ROW('Leave Register'!$B$6:$B$305)-5))))))</f>
        <v/>
      </c>
      <c r="V52" s="83" t="str">
        <f aca="false">IF(OR($A52="",V$5="",V$7&lt;&gt;"W"),"",IF(SUMPRODUCT(MAX(('Leave Register'!$B$6:$B$305=$A52)*('Leave Register'!$E$6:$E$305&lt;=V$5)*('Leave Register'!$F$6:$F$305&gt;=V$5)*('Leave Register'!$J$6:$J$305="Approved")*(ROW('Leave Register'!$B$6:$B$305)-5)))=0,"",INDEX('Leave Register'!$D$6:$D$305,SUMPRODUCT(MAX(('Leave Register'!$B$6:$B$305=$A52)*('Leave Register'!$E$6:$E$305&lt;=V$5)*('Leave Register'!$F$6:$F$305&gt;=V$5)*('Leave Register'!$J$6:$J$305="Approved")*(ROW('Leave Register'!$B$6:$B$305)-5))))))</f>
        <v/>
      </c>
      <c r="W52" s="83" t="str">
        <f aca="false">IF(OR($A52="",W$5="",W$7&lt;&gt;"W"),"",IF(SUMPRODUCT(MAX(('Leave Register'!$B$6:$B$305=$A52)*('Leave Register'!$E$6:$E$305&lt;=W$5)*('Leave Register'!$F$6:$F$305&gt;=W$5)*('Leave Register'!$J$6:$J$305="Approved")*(ROW('Leave Register'!$B$6:$B$305)-5)))=0,"",INDEX('Leave Register'!$D$6:$D$305,SUMPRODUCT(MAX(('Leave Register'!$B$6:$B$305=$A52)*('Leave Register'!$E$6:$E$305&lt;=W$5)*('Leave Register'!$F$6:$F$305&gt;=W$5)*('Leave Register'!$J$6:$J$305="Approved")*(ROW('Leave Register'!$B$6:$B$305)-5))))))</f>
        <v/>
      </c>
      <c r="X52" s="83" t="str">
        <f aca="false">IF(OR($A52="",X$5="",X$7&lt;&gt;"W"),"",IF(SUMPRODUCT(MAX(('Leave Register'!$B$6:$B$305=$A52)*('Leave Register'!$E$6:$E$305&lt;=X$5)*('Leave Register'!$F$6:$F$305&gt;=X$5)*('Leave Register'!$J$6:$J$305="Approved")*(ROW('Leave Register'!$B$6:$B$305)-5)))=0,"",INDEX('Leave Register'!$D$6:$D$305,SUMPRODUCT(MAX(('Leave Register'!$B$6:$B$305=$A52)*('Leave Register'!$E$6:$E$305&lt;=X$5)*('Leave Register'!$F$6:$F$305&gt;=X$5)*('Leave Register'!$J$6:$J$305="Approved")*(ROW('Leave Register'!$B$6:$B$305)-5))))))</f>
        <v/>
      </c>
      <c r="Y52" s="83" t="str">
        <f aca="false">IF(OR($A52="",Y$5="",Y$7&lt;&gt;"W"),"",IF(SUMPRODUCT(MAX(('Leave Register'!$B$6:$B$305=$A52)*('Leave Register'!$E$6:$E$305&lt;=Y$5)*('Leave Register'!$F$6:$F$305&gt;=Y$5)*('Leave Register'!$J$6:$J$305="Approved")*(ROW('Leave Register'!$B$6:$B$305)-5)))=0,"",INDEX('Leave Register'!$D$6:$D$305,SUMPRODUCT(MAX(('Leave Register'!$B$6:$B$305=$A52)*('Leave Register'!$E$6:$E$305&lt;=Y$5)*('Leave Register'!$F$6:$F$305&gt;=Y$5)*('Leave Register'!$J$6:$J$305="Approved")*(ROW('Leave Register'!$B$6:$B$305)-5))))))</f>
        <v/>
      </c>
      <c r="Z52" s="83" t="str">
        <f aca="false">IF(OR($A52="",Z$5="",Z$7&lt;&gt;"W"),"",IF(SUMPRODUCT(MAX(('Leave Register'!$B$6:$B$305=$A52)*('Leave Register'!$E$6:$E$305&lt;=Z$5)*('Leave Register'!$F$6:$F$305&gt;=Z$5)*('Leave Register'!$J$6:$J$305="Approved")*(ROW('Leave Register'!$B$6:$B$305)-5)))=0,"",INDEX('Leave Register'!$D$6:$D$305,SUMPRODUCT(MAX(('Leave Register'!$B$6:$B$305=$A52)*('Leave Register'!$E$6:$E$305&lt;=Z$5)*('Leave Register'!$F$6:$F$305&gt;=Z$5)*('Leave Register'!$J$6:$J$305="Approved")*(ROW('Leave Register'!$B$6:$B$305)-5))))))</f>
        <v/>
      </c>
      <c r="AA52" s="83" t="str">
        <f aca="false">IF(OR($A52="",AA$5="",AA$7&lt;&gt;"W"),"",IF(SUMPRODUCT(MAX(('Leave Register'!$B$6:$B$305=$A52)*('Leave Register'!$E$6:$E$305&lt;=AA$5)*('Leave Register'!$F$6:$F$305&gt;=AA$5)*('Leave Register'!$J$6:$J$305="Approved")*(ROW('Leave Register'!$B$6:$B$305)-5)))=0,"",INDEX('Leave Register'!$D$6:$D$305,SUMPRODUCT(MAX(('Leave Register'!$B$6:$B$305=$A52)*('Leave Register'!$E$6:$E$305&lt;=AA$5)*('Leave Register'!$F$6:$F$305&gt;=AA$5)*('Leave Register'!$J$6:$J$305="Approved")*(ROW('Leave Register'!$B$6:$B$305)-5))))))</f>
        <v/>
      </c>
      <c r="AB52" s="83" t="str">
        <f aca="false">IF(OR($A52="",AB$5="",AB$7&lt;&gt;"W"),"",IF(SUMPRODUCT(MAX(('Leave Register'!$B$6:$B$305=$A52)*('Leave Register'!$E$6:$E$305&lt;=AB$5)*('Leave Register'!$F$6:$F$305&gt;=AB$5)*('Leave Register'!$J$6:$J$305="Approved")*(ROW('Leave Register'!$B$6:$B$305)-5)))=0,"",INDEX('Leave Register'!$D$6:$D$305,SUMPRODUCT(MAX(('Leave Register'!$B$6:$B$305=$A52)*('Leave Register'!$E$6:$E$305&lt;=AB$5)*('Leave Register'!$F$6:$F$305&gt;=AB$5)*('Leave Register'!$J$6:$J$305="Approved")*(ROW('Leave Register'!$B$6:$B$305)-5))))))</f>
        <v/>
      </c>
      <c r="AC52" s="83" t="str">
        <f aca="false">IF(OR($A52="",AC$5="",AC$7&lt;&gt;"W"),"",IF(SUMPRODUCT(MAX(('Leave Register'!$B$6:$B$305=$A52)*('Leave Register'!$E$6:$E$305&lt;=AC$5)*('Leave Register'!$F$6:$F$305&gt;=AC$5)*('Leave Register'!$J$6:$J$305="Approved")*(ROW('Leave Register'!$B$6:$B$305)-5)))=0,"",INDEX('Leave Register'!$D$6:$D$305,SUMPRODUCT(MAX(('Leave Register'!$B$6:$B$305=$A52)*('Leave Register'!$E$6:$E$305&lt;=AC$5)*('Leave Register'!$F$6:$F$305&gt;=AC$5)*('Leave Register'!$J$6:$J$305="Approved")*(ROW('Leave Register'!$B$6:$B$305)-5))))))</f>
        <v/>
      </c>
      <c r="AD52" s="83" t="str">
        <f aca="false">IF(OR($A52="",AD$5="",AD$7&lt;&gt;"W"),"",IF(SUMPRODUCT(MAX(('Leave Register'!$B$6:$B$305=$A52)*('Leave Register'!$E$6:$E$305&lt;=AD$5)*('Leave Register'!$F$6:$F$305&gt;=AD$5)*('Leave Register'!$J$6:$J$305="Approved")*(ROW('Leave Register'!$B$6:$B$305)-5)))=0,"",INDEX('Leave Register'!$D$6:$D$305,SUMPRODUCT(MAX(('Leave Register'!$B$6:$B$305=$A52)*('Leave Register'!$E$6:$E$305&lt;=AD$5)*('Leave Register'!$F$6:$F$305&gt;=AD$5)*('Leave Register'!$J$6:$J$305="Approved")*(ROW('Leave Register'!$B$6:$B$305)-5))))))</f>
        <v/>
      </c>
      <c r="AE52" s="83" t="str">
        <f aca="false">IF(OR($A52="",AE$5="",AE$7&lt;&gt;"W"),"",IF(SUMPRODUCT(MAX(('Leave Register'!$B$6:$B$305=$A52)*('Leave Register'!$E$6:$E$305&lt;=AE$5)*('Leave Register'!$F$6:$F$305&gt;=AE$5)*('Leave Register'!$J$6:$J$305="Approved")*(ROW('Leave Register'!$B$6:$B$305)-5)))=0,"",INDEX('Leave Register'!$D$6:$D$305,SUMPRODUCT(MAX(('Leave Register'!$B$6:$B$305=$A52)*('Leave Register'!$E$6:$E$305&lt;=AE$5)*('Leave Register'!$F$6:$F$305&gt;=AE$5)*('Leave Register'!$J$6:$J$305="Approved")*(ROW('Leave Register'!$B$6:$B$305)-5))))))</f>
        <v/>
      </c>
      <c r="AF52" s="83" t="str">
        <f aca="false">IF(OR($A52="",AF$5="",AF$7&lt;&gt;"W"),"",IF(SUMPRODUCT(MAX(('Leave Register'!$B$6:$B$305=$A52)*('Leave Register'!$E$6:$E$305&lt;=AF$5)*('Leave Register'!$F$6:$F$305&gt;=AF$5)*('Leave Register'!$J$6:$J$305="Approved")*(ROW('Leave Register'!$B$6:$B$305)-5)))=0,"",INDEX('Leave Register'!$D$6:$D$305,SUMPRODUCT(MAX(('Leave Register'!$B$6:$B$305=$A52)*('Leave Register'!$E$6:$E$305&lt;=AF$5)*('Leave Register'!$F$6:$F$305&gt;=AF$5)*('Leave Register'!$J$6:$J$305="Approved")*(ROW('Leave Register'!$B$6:$B$305)-5))))))</f>
        <v/>
      </c>
      <c r="AG52" s="83" t="str">
        <f aca="false">IF(OR($A52="",AG$5="",AG$7&lt;&gt;"W"),"",IF(SUMPRODUCT(MAX(('Leave Register'!$B$6:$B$305=$A52)*('Leave Register'!$E$6:$E$305&lt;=AG$5)*('Leave Register'!$F$6:$F$305&gt;=AG$5)*('Leave Register'!$J$6:$J$305="Approved")*(ROW('Leave Register'!$B$6:$B$305)-5)))=0,"",INDEX('Leave Register'!$D$6:$D$305,SUMPRODUCT(MAX(('Leave Register'!$B$6:$B$305=$A52)*('Leave Register'!$E$6:$E$305&lt;=AG$5)*('Leave Register'!$F$6:$F$305&gt;=AG$5)*('Leave Register'!$J$6:$J$305="Approved")*(ROW('Leave Register'!$B$6:$B$305)-5))))))</f>
        <v/>
      </c>
      <c r="AH52" s="84" t="str">
        <f aca="false">IF(A52="","",COUNTIF(C52:AG52,"?*"))</f>
        <v/>
      </c>
    </row>
    <row r="53" customFormat="false" ht="15" hidden="false" customHeight="false" outlineLevel="0" collapsed="false">
      <c r="A53" s="81" t="str">
        <f aca="false">IF(Employees!$B$50="","",Employees!$B$50)</f>
        <v/>
      </c>
      <c r="B53" s="82" t="str">
        <f aca="false">IF(A53="","",Employees!$C$50)</f>
        <v/>
      </c>
      <c r="C53" s="83" t="str">
        <f aca="false">IF(OR($A53="",C$5="",C$7&lt;&gt;"W"),"",IF(SUMPRODUCT(MAX(('Leave Register'!$B$6:$B$305=$A53)*('Leave Register'!$E$6:$E$305&lt;=C$5)*('Leave Register'!$F$6:$F$305&gt;=C$5)*('Leave Register'!$J$6:$J$305="Approved")*(ROW('Leave Register'!$B$6:$B$305)-5)))=0,"",INDEX('Leave Register'!$D$6:$D$305,SUMPRODUCT(MAX(('Leave Register'!$B$6:$B$305=$A53)*('Leave Register'!$E$6:$E$305&lt;=C$5)*('Leave Register'!$F$6:$F$305&gt;=C$5)*('Leave Register'!$J$6:$J$305="Approved")*(ROW('Leave Register'!$B$6:$B$305)-5))))))</f>
        <v/>
      </c>
      <c r="D53" s="83" t="str">
        <f aca="false">IF(OR($A53="",D$5="",D$7&lt;&gt;"W"),"",IF(SUMPRODUCT(MAX(('Leave Register'!$B$6:$B$305=$A53)*('Leave Register'!$E$6:$E$305&lt;=D$5)*('Leave Register'!$F$6:$F$305&gt;=D$5)*('Leave Register'!$J$6:$J$305="Approved")*(ROW('Leave Register'!$B$6:$B$305)-5)))=0,"",INDEX('Leave Register'!$D$6:$D$305,SUMPRODUCT(MAX(('Leave Register'!$B$6:$B$305=$A53)*('Leave Register'!$E$6:$E$305&lt;=D$5)*('Leave Register'!$F$6:$F$305&gt;=D$5)*('Leave Register'!$J$6:$J$305="Approved")*(ROW('Leave Register'!$B$6:$B$305)-5))))))</f>
        <v/>
      </c>
      <c r="E53" s="83" t="str">
        <f aca="false">IF(OR($A53="",E$5="",E$7&lt;&gt;"W"),"",IF(SUMPRODUCT(MAX(('Leave Register'!$B$6:$B$305=$A53)*('Leave Register'!$E$6:$E$305&lt;=E$5)*('Leave Register'!$F$6:$F$305&gt;=E$5)*('Leave Register'!$J$6:$J$305="Approved")*(ROW('Leave Register'!$B$6:$B$305)-5)))=0,"",INDEX('Leave Register'!$D$6:$D$305,SUMPRODUCT(MAX(('Leave Register'!$B$6:$B$305=$A53)*('Leave Register'!$E$6:$E$305&lt;=E$5)*('Leave Register'!$F$6:$F$305&gt;=E$5)*('Leave Register'!$J$6:$J$305="Approved")*(ROW('Leave Register'!$B$6:$B$305)-5))))))</f>
        <v/>
      </c>
      <c r="F53" s="83" t="str">
        <f aca="false">IF(OR($A53="",F$5="",F$7&lt;&gt;"W"),"",IF(SUMPRODUCT(MAX(('Leave Register'!$B$6:$B$305=$A53)*('Leave Register'!$E$6:$E$305&lt;=F$5)*('Leave Register'!$F$6:$F$305&gt;=F$5)*('Leave Register'!$J$6:$J$305="Approved")*(ROW('Leave Register'!$B$6:$B$305)-5)))=0,"",INDEX('Leave Register'!$D$6:$D$305,SUMPRODUCT(MAX(('Leave Register'!$B$6:$B$305=$A53)*('Leave Register'!$E$6:$E$305&lt;=F$5)*('Leave Register'!$F$6:$F$305&gt;=F$5)*('Leave Register'!$J$6:$J$305="Approved")*(ROW('Leave Register'!$B$6:$B$305)-5))))))</f>
        <v/>
      </c>
      <c r="G53" s="83" t="str">
        <f aca="false">IF(OR($A53="",G$5="",G$7&lt;&gt;"W"),"",IF(SUMPRODUCT(MAX(('Leave Register'!$B$6:$B$305=$A53)*('Leave Register'!$E$6:$E$305&lt;=G$5)*('Leave Register'!$F$6:$F$305&gt;=G$5)*('Leave Register'!$J$6:$J$305="Approved")*(ROW('Leave Register'!$B$6:$B$305)-5)))=0,"",INDEX('Leave Register'!$D$6:$D$305,SUMPRODUCT(MAX(('Leave Register'!$B$6:$B$305=$A53)*('Leave Register'!$E$6:$E$305&lt;=G$5)*('Leave Register'!$F$6:$F$305&gt;=G$5)*('Leave Register'!$J$6:$J$305="Approved")*(ROW('Leave Register'!$B$6:$B$305)-5))))))</f>
        <v/>
      </c>
      <c r="H53" s="83" t="str">
        <f aca="false">IF(OR($A53="",H$5="",H$7&lt;&gt;"W"),"",IF(SUMPRODUCT(MAX(('Leave Register'!$B$6:$B$305=$A53)*('Leave Register'!$E$6:$E$305&lt;=H$5)*('Leave Register'!$F$6:$F$305&gt;=H$5)*('Leave Register'!$J$6:$J$305="Approved")*(ROW('Leave Register'!$B$6:$B$305)-5)))=0,"",INDEX('Leave Register'!$D$6:$D$305,SUMPRODUCT(MAX(('Leave Register'!$B$6:$B$305=$A53)*('Leave Register'!$E$6:$E$305&lt;=H$5)*('Leave Register'!$F$6:$F$305&gt;=H$5)*('Leave Register'!$J$6:$J$305="Approved")*(ROW('Leave Register'!$B$6:$B$305)-5))))))</f>
        <v/>
      </c>
      <c r="I53" s="83" t="str">
        <f aca="false">IF(OR($A53="",I$5="",I$7&lt;&gt;"W"),"",IF(SUMPRODUCT(MAX(('Leave Register'!$B$6:$B$305=$A53)*('Leave Register'!$E$6:$E$305&lt;=I$5)*('Leave Register'!$F$6:$F$305&gt;=I$5)*('Leave Register'!$J$6:$J$305="Approved")*(ROW('Leave Register'!$B$6:$B$305)-5)))=0,"",INDEX('Leave Register'!$D$6:$D$305,SUMPRODUCT(MAX(('Leave Register'!$B$6:$B$305=$A53)*('Leave Register'!$E$6:$E$305&lt;=I$5)*('Leave Register'!$F$6:$F$305&gt;=I$5)*('Leave Register'!$J$6:$J$305="Approved")*(ROW('Leave Register'!$B$6:$B$305)-5))))))</f>
        <v/>
      </c>
      <c r="J53" s="83" t="str">
        <f aca="false">IF(OR($A53="",J$5="",J$7&lt;&gt;"W"),"",IF(SUMPRODUCT(MAX(('Leave Register'!$B$6:$B$305=$A53)*('Leave Register'!$E$6:$E$305&lt;=J$5)*('Leave Register'!$F$6:$F$305&gt;=J$5)*('Leave Register'!$J$6:$J$305="Approved")*(ROW('Leave Register'!$B$6:$B$305)-5)))=0,"",INDEX('Leave Register'!$D$6:$D$305,SUMPRODUCT(MAX(('Leave Register'!$B$6:$B$305=$A53)*('Leave Register'!$E$6:$E$305&lt;=J$5)*('Leave Register'!$F$6:$F$305&gt;=J$5)*('Leave Register'!$J$6:$J$305="Approved")*(ROW('Leave Register'!$B$6:$B$305)-5))))))</f>
        <v/>
      </c>
      <c r="K53" s="83" t="str">
        <f aca="false">IF(OR($A53="",K$5="",K$7&lt;&gt;"W"),"",IF(SUMPRODUCT(MAX(('Leave Register'!$B$6:$B$305=$A53)*('Leave Register'!$E$6:$E$305&lt;=K$5)*('Leave Register'!$F$6:$F$305&gt;=K$5)*('Leave Register'!$J$6:$J$305="Approved")*(ROW('Leave Register'!$B$6:$B$305)-5)))=0,"",INDEX('Leave Register'!$D$6:$D$305,SUMPRODUCT(MAX(('Leave Register'!$B$6:$B$305=$A53)*('Leave Register'!$E$6:$E$305&lt;=K$5)*('Leave Register'!$F$6:$F$305&gt;=K$5)*('Leave Register'!$J$6:$J$305="Approved")*(ROW('Leave Register'!$B$6:$B$305)-5))))))</f>
        <v/>
      </c>
      <c r="L53" s="83" t="str">
        <f aca="false">IF(OR($A53="",L$5="",L$7&lt;&gt;"W"),"",IF(SUMPRODUCT(MAX(('Leave Register'!$B$6:$B$305=$A53)*('Leave Register'!$E$6:$E$305&lt;=L$5)*('Leave Register'!$F$6:$F$305&gt;=L$5)*('Leave Register'!$J$6:$J$305="Approved")*(ROW('Leave Register'!$B$6:$B$305)-5)))=0,"",INDEX('Leave Register'!$D$6:$D$305,SUMPRODUCT(MAX(('Leave Register'!$B$6:$B$305=$A53)*('Leave Register'!$E$6:$E$305&lt;=L$5)*('Leave Register'!$F$6:$F$305&gt;=L$5)*('Leave Register'!$J$6:$J$305="Approved")*(ROW('Leave Register'!$B$6:$B$305)-5))))))</f>
        <v/>
      </c>
      <c r="M53" s="83" t="str">
        <f aca="false">IF(OR($A53="",M$5="",M$7&lt;&gt;"W"),"",IF(SUMPRODUCT(MAX(('Leave Register'!$B$6:$B$305=$A53)*('Leave Register'!$E$6:$E$305&lt;=M$5)*('Leave Register'!$F$6:$F$305&gt;=M$5)*('Leave Register'!$J$6:$J$305="Approved")*(ROW('Leave Register'!$B$6:$B$305)-5)))=0,"",INDEX('Leave Register'!$D$6:$D$305,SUMPRODUCT(MAX(('Leave Register'!$B$6:$B$305=$A53)*('Leave Register'!$E$6:$E$305&lt;=M$5)*('Leave Register'!$F$6:$F$305&gt;=M$5)*('Leave Register'!$J$6:$J$305="Approved")*(ROW('Leave Register'!$B$6:$B$305)-5))))))</f>
        <v/>
      </c>
      <c r="N53" s="83" t="str">
        <f aca="false">IF(OR($A53="",N$5="",N$7&lt;&gt;"W"),"",IF(SUMPRODUCT(MAX(('Leave Register'!$B$6:$B$305=$A53)*('Leave Register'!$E$6:$E$305&lt;=N$5)*('Leave Register'!$F$6:$F$305&gt;=N$5)*('Leave Register'!$J$6:$J$305="Approved")*(ROW('Leave Register'!$B$6:$B$305)-5)))=0,"",INDEX('Leave Register'!$D$6:$D$305,SUMPRODUCT(MAX(('Leave Register'!$B$6:$B$305=$A53)*('Leave Register'!$E$6:$E$305&lt;=N$5)*('Leave Register'!$F$6:$F$305&gt;=N$5)*('Leave Register'!$J$6:$J$305="Approved")*(ROW('Leave Register'!$B$6:$B$305)-5))))))</f>
        <v/>
      </c>
      <c r="O53" s="83" t="str">
        <f aca="false">IF(OR($A53="",O$5="",O$7&lt;&gt;"W"),"",IF(SUMPRODUCT(MAX(('Leave Register'!$B$6:$B$305=$A53)*('Leave Register'!$E$6:$E$305&lt;=O$5)*('Leave Register'!$F$6:$F$305&gt;=O$5)*('Leave Register'!$J$6:$J$305="Approved")*(ROW('Leave Register'!$B$6:$B$305)-5)))=0,"",INDEX('Leave Register'!$D$6:$D$305,SUMPRODUCT(MAX(('Leave Register'!$B$6:$B$305=$A53)*('Leave Register'!$E$6:$E$305&lt;=O$5)*('Leave Register'!$F$6:$F$305&gt;=O$5)*('Leave Register'!$J$6:$J$305="Approved")*(ROW('Leave Register'!$B$6:$B$305)-5))))))</f>
        <v/>
      </c>
      <c r="P53" s="83" t="str">
        <f aca="false">IF(OR($A53="",P$5="",P$7&lt;&gt;"W"),"",IF(SUMPRODUCT(MAX(('Leave Register'!$B$6:$B$305=$A53)*('Leave Register'!$E$6:$E$305&lt;=P$5)*('Leave Register'!$F$6:$F$305&gt;=P$5)*('Leave Register'!$J$6:$J$305="Approved")*(ROW('Leave Register'!$B$6:$B$305)-5)))=0,"",INDEX('Leave Register'!$D$6:$D$305,SUMPRODUCT(MAX(('Leave Register'!$B$6:$B$305=$A53)*('Leave Register'!$E$6:$E$305&lt;=P$5)*('Leave Register'!$F$6:$F$305&gt;=P$5)*('Leave Register'!$J$6:$J$305="Approved")*(ROW('Leave Register'!$B$6:$B$305)-5))))))</f>
        <v/>
      </c>
      <c r="Q53" s="83" t="str">
        <f aca="false">IF(OR($A53="",Q$5="",Q$7&lt;&gt;"W"),"",IF(SUMPRODUCT(MAX(('Leave Register'!$B$6:$B$305=$A53)*('Leave Register'!$E$6:$E$305&lt;=Q$5)*('Leave Register'!$F$6:$F$305&gt;=Q$5)*('Leave Register'!$J$6:$J$305="Approved")*(ROW('Leave Register'!$B$6:$B$305)-5)))=0,"",INDEX('Leave Register'!$D$6:$D$305,SUMPRODUCT(MAX(('Leave Register'!$B$6:$B$305=$A53)*('Leave Register'!$E$6:$E$305&lt;=Q$5)*('Leave Register'!$F$6:$F$305&gt;=Q$5)*('Leave Register'!$J$6:$J$305="Approved")*(ROW('Leave Register'!$B$6:$B$305)-5))))))</f>
        <v/>
      </c>
      <c r="R53" s="83" t="str">
        <f aca="false">IF(OR($A53="",R$5="",R$7&lt;&gt;"W"),"",IF(SUMPRODUCT(MAX(('Leave Register'!$B$6:$B$305=$A53)*('Leave Register'!$E$6:$E$305&lt;=R$5)*('Leave Register'!$F$6:$F$305&gt;=R$5)*('Leave Register'!$J$6:$J$305="Approved")*(ROW('Leave Register'!$B$6:$B$305)-5)))=0,"",INDEX('Leave Register'!$D$6:$D$305,SUMPRODUCT(MAX(('Leave Register'!$B$6:$B$305=$A53)*('Leave Register'!$E$6:$E$305&lt;=R$5)*('Leave Register'!$F$6:$F$305&gt;=R$5)*('Leave Register'!$J$6:$J$305="Approved")*(ROW('Leave Register'!$B$6:$B$305)-5))))))</f>
        <v/>
      </c>
      <c r="S53" s="83" t="str">
        <f aca="false">IF(OR($A53="",S$5="",S$7&lt;&gt;"W"),"",IF(SUMPRODUCT(MAX(('Leave Register'!$B$6:$B$305=$A53)*('Leave Register'!$E$6:$E$305&lt;=S$5)*('Leave Register'!$F$6:$F$305&gt;=S$5)*('Leave Register'!$J$6:$J$305="Approved")*(ROW('Leave Register'!$B$6:$B$305)-5)))=0,"",INDEX('Leave Register'!$D$6:$D$305,SUMPRODUCT(MAX(('Leave Register'!$B$6:$B$305=$A53)*('Leave Register'!$E$6:$E$305&lt;=S$5)*('Leave Register'!$F$6:$F$305&gt;=S$5)*('Leave Register'!$J$6:$J$305="Approved")*(ROW('Leave Register'!$B$6:$B$305)-5))))))</f>
        <v/>
      </c>
      <c r="T53" s="83" t="str">
        <f aca="false">IF(OR($A53="",T$5="",T$7&lt;&gt;"W"),"",IF(SUMPRODUCT(MAX(('Leave Register'!$B$6:$B$305=$A53)*('Leave Register'!$E$6:$E$305&lt;=T$5)*('Leave Register'!$F$6:$F$305&gt;=T$5)*('Leave Register'!$J$6:$J$305="Approved")*(ROW('Leave Register'!$B$6:$B$305)-5)))=0,"",INDEX('Leave Register'!$D$6:$D$305,SUMPRODUCT(MAX(('Leave Register'!$B$6:$B$305=$A53)*('Leave Register'!$E$6:$E$305&lt;=T$5)*('Leave Register'!$F$6:$F$305&gt;=T$5)*('Leave Register'!$J$6:$J$305="Approved")*(ROW('Leave Register'!$B$6:$B$305)-5))))))</f>
        <v/>
      </c>
      <c r="U53" s="83" t="str">
        <f aca="false">IF(OR($A53="",U$5="",U$7&lt;&gt;"W"),"",IF(SUMPRODUCT(MAX(('Leave Register'!$B$6:$B$305=$A53)*('Leave Register'!$E$6:$E$305&lt;=U$5)*('Leave Register'!$F$6:$F$305&gt;=U$5)*('Leave Register'!$J$6:$J$305="Approved")*(ROW('Leave Register'!$B$6:$B$305)-5)))=0,"",INDEX('Leave Register'!$D$6:$D$305,SUMPRODUCT(MAX(('Leave Register'!$B$6:$B$305=$A53)*('Leave Register'!$E$6:$E$305&lt;=U$5)*('Leave Register'!$F$6:$F$305&gt;=U$5)*('Leave Register'!$J$6:$J$305="Approved")*(ROW('Leave Register'!$B$6:$B$305)-5))))))</f>
        <v/>
      </c>
      <c r="V53" s="83" t="str">
        <f aca="false">IF(OR($A53="",V$5="",V$7&lt;&gt;"W"),"",IF(SUMPRODUCT(MAX(('Leave Register'!$B$6:$B$305=$A53)*('Leave Register'!$E$6:$E$305&lt;=V$5)*('Leave Register'!$F$6:$F$305&gt;=V$5)*('Leave Register'!$J$6:$J$305="Approved")*(ROW('Leave Register'!$B$6:$B$305)-5)))=0,"",INDEX('Leave Register'!$D$6:$D$305,SUMPRODUCT(MAX(('Leave Register'!$B$6:$B$305=$A53)*('Leave Register'!$E$6:$E$305&lt;=V$5)*('Leave Register'!$F$6:$F$305&gt;=V$5)*('Leave Register'!$J$6:$J$305="Approved")*(ROW('Leave Register'!$B$6:$B$305)-5))))))</f>
        <v/>
      </c>
      <c r="W53" s="83" t="str">
        <f aca="false">IF(OR($A53="",W$5="",W$7&lt;&gt;"W"),"",IF(SUMPRODUCT(MAX(('Leave Register'!$B$6:$B$305=$A53)*('Leave Register'!$E$6:$E$305&lt;=W$5)*('Leave Register'!$F$6:$F$305&gt;=W$5)*('Leave Register'!$J$6:$J$305="Approved")*(ROW('Leave Register'!$B$6:$B$305)-5)))=0,"",INDEX('Leave Register'!$D$6:$D$305,SUMPRODUCT(MAX(('Leave Register'!$B$6:$B$305=$A53)*('Leave Register'!$E$6:$E$305&lt;=W$5)*('Leave Register'!$F$6:$F$305&gt;=W$5)*('Leave Register'!$J$6:$J$305="Approved")*(ROW('Leave Register'!$B$6:$B$305)-5))))))</f>
        <v/>
      </c>
      <c r="X53" s="83" t="str">
        <f aca="false">IF(OR($A53="",X$5="",X$7&lt;&gt;"W"),"",IF(SUMPRODUCT(MAX(('Leave Register'!$B$6:$B$305=$A53)*('Leave Register'!$E$6:$E$305&lt;=X$5)*('Leave Register'!$F$6:$F$305&gt;=X$5)*('Leave Register'!$J$6:$J$305="Approved")*(ROW('Leave Register'!$B$6:$B$305)-5)))=0,"",INDEX('Leave Register'!$D$6:$D$305,SUMPRODUCT(MAX(('Leave Register'!$B$6:$B$305=$A53)*('Leave Register'!$E$6:$E$305&lt;=X$5)*('Leave Register'!$F$6:$F$305&gt;=X$5)*('Leave Register'!$J$6:$J$305="Approved")*(ROW('Leave Register'!$B$6:$B$305)-5))))))</f>
        <v/>
      </c>
      <c r="Y53" s="83" t="str">
        <f aca="false">IF(OR($A53="",Y$5="",Y$7&lt;&gt;"W"),"",IF(SUMPRODUCT(MAX(('Leave Register'!$B$6:$B$305=$A53)*('Leave Register'!$E$6:$E$305&lt;=Y$5)*('Leave Register'!$F$6:$F$305&gt;=Y$5)*('Leave Register'!$J$6:$J$305="Approved")*(ROW('Leave Register'!$B$6:$B$305)-5)))=0,"",INDEX('Leave Register'!$D$6:$D$305,SUMPRODUCT(MAX(('Leave Register'!$B$6:$B$305=$A53)*('Leave Register'!$E$6:$E$305&lt;=Y$5)*('Leave Register'!$F$6:$F$305&gt;=Y$5)*('Leave Register'!$J$6:$J$305="Approved")*(ROW('Leave Register'!$B$6:$B$305)-5))))))</f>
        <v/>
      </c>
      <c r="Z53" s="83" t="str">
        <f aca="false">IF(OR($A53="",Z$5="",Z$7&lt;&gt;"W"),"",IF(SUMPRODUCT(MAX(('Leave Register'!$B$6:$B$305=$A53)*('Leave Register'!$E$6:$E$305&lt;=Z$5)*('Leave Register'!$F$6:$F$305&gt;=Z$5)*('Leave Register'!$J$6:$J$305="Approved")*(ROW('Leave Register'!$B$6:$B$305)-5)))=0,"",INDEX('Leave Register'!$D$6:$D$305,SUMPRODUCT(MAX(('Leave Register'!$B$6:$B$305=$A53)*('Leave Register'!$E$6:$E$305&lt;=Z$5)*('Leave Register'!$F$6:$F$305&gt;=Z$5)*('Leave Register'!$J$6:$J$305="Approved")*(ROW('Leave Register'!$B$6:$B$305)-5))))))</f>
        <v/>
      </c>
      <c r="AA53" s="83" t="str">
        <f aca="false">IF(OR($A53="",AA$5="",AA$7&lt;&gt;"W"),"",IF(SUMPRODUCT(MAX(('Leave Register'!$B$6:$B$305=$A53)*('Leave Register'!$E$6:$E$305&lt;=AA$5)*('Leave Register'!$F$6:$F$305&gt;=AA$5)*('Leave Register'!$J$6:$J$305="Approved")*(ROW('Leave Register'!$B$6:$B$305)-5)))=0,"",INDEX('Leave Register'!$D$6:$D$305,SUMPRODUCT(MAX(('Leave Register'!$B$6:$B$305=$A53)*('Leave Register'!$E$6:$E$305&lt;=AA$5)*('Leave Register'!$F$6:$F$305&gt;=AA$5)*('Leave Register'!$J$6:$J$305="Approved")*(ROW('Leave Register'!$B$6:$B$305)-5))))))</f>
        <v/>
      </c>
      <c r="AB53" s="83" t="str">
        <f aca="false">IF(OR($A53="",AB$5="",AB$7&lt;&gt;"W"),"",IF(SUMPRODUCT(MAX(('Leave Register'!$B$6:$B$305=$A53)*('Leave Register'!$E$6:$E$305&lt;=AB$5)*('Leave Register'!$F$6:$F$305&gt;=AB$5)*('Leave Register'!$J$6:$J$305="Approved")*(ROW('Leave Register'!$B$6:$B$305)-5)))=0,"",INDEX('Leave Register'!$D$6:$D$305,SUMPRODUCT(MAX(('Leave Register'!$B$6:$B$305=$A53)*('Leave Register'!$E$6:$E$305&lt;=AB$5)*('Leave Register'!$F$6:$F$305&gt;=AB$5)*('Leave Register'!$J$6:$J$305="Approved")*(ROW('Leave Register'!$B$6:$B$305)-5))))))</f>
        <v/>
      </c>
      <c r="AC53" s="83" t="str">
        <f aca="false">IF(OR($A53="",AC$5="",AC$7&lt;&gt;"W"),"",IF(SUMPRODUCT(MAX(('Leave Register'!$B$6:$B$305=$A53)*('Leave Register'!$E$6:$E$305&lt;=AC$5)*('Leave Register'!$F$6:$F$305&gt;=AC$5)*('Leave Register'!$J$6:$J$305="Approved")*(ROW('Leave Register'!$B$6:$B$305)-5)))=0,"",INDEX('Leave Register'!$D$6:$D$305,SUMPRODUCT(MAX(('Leave Register'!$B$6:$B$305=$A53)*('Leave Register'!$E$6:$E$305&lt;=AC$5)*('Leave Register'!$F$6:$F$305&gt;=AC$5)*('Leave Register'!$J$6:$J$305="Approved")*(ROW('Leave Register'!$B$6:$B$305)-5))))))</f>
        <v/>
      </c>
      <c r="AD53" s="83" t="str">
        <f aca="false">IF(OR($A53="",AD$5="",AD$7&lt;&gt;"W"),"",IF(SUMPRODUCT(MAX(('Leave Register'!$B$6:$B$305=$A53)*('Leave Register'!$E$6:$E$305&lt;=AD$5)*('Leave Register'!$F$6:$F$305&gt;=AD$5)*('Leave Register'!$J$6:$J$305="Approved")*(ROW('Leave Register'!$B$6:$B$305)-5)))=0,"",INDEX('Leave Register'!$D$6:$D$305,SUMPRODUCT(MAX(('Leave Register'!$B$6:$B$305=$A53)*('Leave Register'!$E$6:$E$305&lt;=AD$5)*('Leave Register'!$F$6:$F$305&gt;=AD$5)*('Leave Register'!$J$6:$J$305="Approved")*(ROW('Leave Register'!$B$6:$B$305)-5))))))</f>
        <v/>
      </c>
      <c r="AE53" s="83" t="str">
        <f aca="false">IF(OR($A53="",AE$5="",AE$7&lt;&gt;"W"),"",IF(SUMPRODUCT(MAX(('Leave Register'!$B$6:$B$305=$A53)*('Leave Register'!$E$6:$E$305&lt;=AE$5)*('Leave Register'!$F$6:$F$305&gt;=AE$5)*('Leave Register'!$J$6:$J$305="Approved")*(ROW('Leave Register'!$B$6:$B$305)-5)))=0,"",INDEX('Leave Register'!$D$6:$D$305,SUMPRODUCT(MAX(('Leave Register'!$B$6:$B$305=$A53)*('Leave Register'!$E$6:$E$305&lt;=AE$5)*('Leave Register'!$F$6:$F$305&gt;=AE$5)*('Leave Register'!$J$6:$J$305="Approved")*(ROW('Leave Register'!$B$6:$B$305)-5))))))</f>
        <v/>
      </c>
      <c r="AF53" s="83" t="str">
        <f aca="false">IF(OR($A53="",AF$5="",AF$7&lt;&gt;"W"),"",IF(SUMPRODUCT(MAX(('Leave Register'!$B$6:$B$305=$A53)*('Leave Register'!$E$6:$E$305&lt;=AF$5)*('Leave Register'!$F$6:$F$305&gt;=AF$5)*('Leave Register'!$J$6:$J$305="Approved")*(ROW('Leave Register'!$B$6:$B$305)-5)))=0,"",INDEX('Leave Register'!$D$6:$D$305,SUMPRODUCT(MAX(('Leave Register'!$B$6:$B$305=$A53)*('Leave Register'!$E$6:$E$305&lt;=AF$5)*('Leave Register'!$F$6:$F$305&gt;=AF$5)*('Leave Register'!$J$6:$J$305="Approved")*(ROW('Leave Register'!$B$6:$B$305)-5))))))</f>
        <v/>
      </c>
      <c r="AG53" s="83" t="str">
        <f aca="false">IF(OR($A53="",AG$5="",AG$7&lt;&gt;"W"),"",IF(SUMPRODUCT(MAX(('Leave Register'!$B$6:$B$305=$A53)*('Leave Register'!$E$6:$E$305&lt;=AG$5)*('Leave Register'!$F$6:$F$305&gt;=AG$5)*('Leave Register'!$J$6:$J$305="Approved")*(ROW('Leave Register'!$B$6:$B$305)-5)))=0,"",INDEX('Leave Register'!$D$6:$D$305,SUMPRODUCT(MAX(('Leave Register'!$B$6:$B$305=$A53)*('Leave Register'!$E$6:$E$305&lt;=AG$5)*('Leave Register'!$F$6:$F$305&gt;=AG$5)*('Leave Register'!$J$6:$J$305="Approved")*(ROW('Leave Register'!$B$6:$B$305)-5))))))</f>
        <v/>
      </c>
      <c r="AH53" s="84" t="str">
        <f aca="false">IF(A53="","",COUNTIF(C53:AG53,"?*"))</f>
        <v/>
      </c>
    </row>
    <row r="54" customFormat="false" ht="15" hidden="false" customHeight="false" outlineLevel="0" collapsed="false">
      <c r="A54" s="81" t="str">
        <f aca="false">IF(Employees!$B$51="","",Employees!$B$51)</f>
        <v/>
      </c>
      <c r="B54" s="82" t="str">
        <f aca="false">IF(A54="","",Employees!$C$51)</f>
        <v/>
      </c>
      <c r="C54" s="83" t="str">
        <f aca="false">IF(OR($A54="",C$5="",C$7&lt;&gt;"W"),"",IF(SUMPRODUCT(MAX(('Leave Register'!$B$6:$B$305=$A54)*('Leave Register'!$E$6:$E$305&lt;=C$5)*('Leave Register'!$F$6:$F$305&gt;=C$5)*('Leave Register'!$J$6:$J$305="Approved")*(ROW('Leave Register'!$B$6:$B$305)-5)))=0,"",INDEX('Leave Register'!$D$6:$D$305,SUMPRODUCT(MAX(('Leave Register'!$B$6:$B$305=$A54)*('Leave Register'!$E$6:$E$305&lt;=C$5)*('Leave Register'!$F$6:$F$305&gt;=C$5)*('Leave Register'!$J$6:$J$305="Approved")*(ROW('Leave Register'!$B$6:$B$305)-5))))))</f>
        <v/>
      </c>
      <c r="D54" s="83" t="str">
        <f aca="false">IF(OR($A54="",D$5="",D$7&lt;&gt;"W"),"",IF(SUMPRODUCT(MAX(('Leave Register'!$B$6:$B$305=$A54)*('Leave Register'!$E$6:$E$305&lt;=D$5)*('Leave Register'!$F$6:$F$305&gt;=D$5)*('Leave Register'!$J$6:$J$305="Approved")*(ROW('Leave Register'!$B$6:$B$305)-5)))=0,"",INDEX('Leave Register'!$D$6:$D$305,SUMPRODUCT(MAX(('Leave Register'!$B$6:$B$305=$A54)*('Leave Register'!$E$6:$E$305&lt;=D$5)*('Leave Register'!$F$6:$F$305&gt;=D$5)*('Leave Register'!$J$6:$J$305="Approved")*(ROW('Leave Register'!$B$6:$B$305)-5))))))</f>
        <v/>
      </c>
      <c r="E54" s="83" t="str">
        <f aca="false">IF(OR($A54="",E$5="",E$7&lt;&gt;"W"),"",IF(SUMPRODUCT(MAX(('Leave Register'!$B$6:$B$305=$A54)*('Leave Register'!$E$6:$E$305&lt;=E$5)*('Leave Register'!$F$6:$F$305&gt;=E$5)*('Leave Register'!$J$6:$J$305="Approved")*(ROW('Leave Register'!$B$6:$B$305)-5)))=0,"",INDEX('Leave Register'!$D$6:$D$305,SUMPRODUCT(MAX(('Leave Register'!$B$6:$B$305=$A54)*('Leave Register'!$E$6:$E$305&lt;=E$5)*('Leave Register'!$F$6:$F$305&gt;=E$5)*('Leave Register'!$J$6:$J$305="Approved")*(ROW('Leave Register'!$B$6:$B$305)-5))))))</f>
        <v/>
      </c>
      <c r="F54" s="83" t="str">
        <f aca="false">IF(OR($A54="",F$5="",F$7&lt;&gt;"W"),"",IF(SUMPRODUCT(MAX(('Leave Register'!$B$6:$B$305=$A54)*('Leave Register'!$E$6:$E$305&lt;=F$5)*('Leave Register'!$F$6:$F$305&gt;=F$5)*('Leave Register'!$J$6:$J$305="Approved")*(ROW('Leave Register'!$B$6:$B$305)-5)))=0,"",INDEX('Leave Register'!$D$6:$D$305,SUMPRODUCT(MAX(('Leave Register'!$B$6:$B$305=$A54)*('Leave Register'!$E$6:$E$305&lt;=F$5)*('Leave Register'!$F$6:$F$305&gt;=F$5)*('Leave Register'!$J$6:$J$305="Approved")*(ROW('Leave Register'!$B$6:$B$305)-5))))))</f>
        <v/>
      </c>
      <c r="G54" s="83" t="str">
        <f aca="false">IF(OR($A54="",G$5="",G$7&lt;&gt;"W"),"",IF(SUMPRODUCT(MAX(('Leave Register'!$B$6:$B$305=$A54)*('Leave Register'!$E$6:$E$305&lt;=G$5)*('Leave Register'!$F$6:$F$305&gt;=G$5)*('Leave Register'!$J$6:$J$305="Approved")*(ROW('Leave Register'!$B$6:$B$305)-5)))=0,"",INDEX('Leave Register'!$D$6:$D$305,SUMPRODUCT(MAX(('Leave Register'!$B$6:$B$305=$A54)*('Leave Register'!$E$6:$E$305&lt;=G$5)*('Leave Register'!$F$6:$F$305&gt;=G$5)*('Leave Register'!$J$6:$J$305="Approved")*(ROW('Leave Register'!$B$6:$B$305)-5))))))</f>
        <v/>
      </c>
      <c r="H54" s="83" t="str">
        <f aca="false">IF(OR($A54="",H$5="",H$7&lt;&gt;"W"),"",IF(SUMPRODUCT(MAX(('Leave Register'!$B$6:$B$305=$A54)*('Leave Register'!$E$6:$E$305&lt;=H$5)*('Leave Register'!$F$6:$F$305&gt;=H$5)*('Leave Register'!$J$6:$J$305="Approved")*(ROW('Leave Register'!$B$6:$B$305)-5)))=0,"",INDEX('Leave Register'!$D$6:$D$305,SUMPRODUCT(MAX(('Leave Register'!$B$6:$B$305=$A54)*('Leave Register'!$E$6:$E$305&lt;=H$5)*('Leave Register'!$F$6:$F$305&gt;=H$5)*('Leave Register'!$J$6:$J$305="Approved")*(ROW('Leave Register'!$B$6:$B$305)-5))))))</f>
        <v/>
      </c>
      <c r="I54" s="83" t="str">
        <f aca="false">IF(OR($A54="",I$5="",I$7&lt;&gt;"W"),"",IF(SUMPRODUCT(MAX(('Leave Register'!$B$6:$B$305=$A54)*('Leave Register'!$E$6:$E$305&lt;=I$5)*('Leave Register'!$F$6:$F$305&gt;=I$5)*('Leave Register'!$J$6:$J$305="Approved")*(ROW('Leave Register'!$B$6:$B$305)-5)))=0,"",INDEX('Leave Register'!$D$6:$D$305,SUMPRODUCT(MAX(('Leave Register'!$B$6:$B$305=$A54)*('Leave Register'!$E$6:$E$305&lt;=I$5)*('Leave Register'!$F$6:$F$305&gt;=I$5)*('Leave Register'!$J$6:$J$305="Approved")*(ROW('Leave Register'!$B$6:$B$305)-5))))))</f>
        <v/>
      </c>
      <c r="J54" s="83" t="str">
        <f aca="false">IF(OR($A54="",J$5="",J$7&lt;&gt;"W"),"",IF(SUMPRODUCT(MAX(('Leave Register'!$B$6:$B$305=$A54)*('Leave Register'!$E$6:$E$305&lt;=J$5)*('Leave Register'!$F$6:$F$305&gt;=J$5)*('Leave Register'!$J$6:$J$305="Approved")*(ROW('Leave Register'!$B$6:$B$305)-5)))=0,"",INDEX('Leave Register'!$D$6:$D$305,SUMPRODUCT(MAX(('Leave Register'!$B$6:$B$305=$A54)*('Leave Register'!$E$6:$E$305&lt;=J$5)*('Leave Register'!$F$6:$F$305&gt;=J$5)*('Leave Register'!$J$6:$J$305="Approved")*(ROW('Leave Register'!$B$6:$B$305)-5))))))</f>
        <v/>
      </c>
      <c r="K54" s="83" t="str">
        <f aca="false">IF(OR($A54="",K$5="",K$7&lt;&gt;"W"),"",IF(SUMPRODUCT(MAX(('Leave Register'!$B$6:$B$305=$A54)*('Leave Register'!$E$6:$E$305&lt;=K$5)*('Leave Register'!$F$6:$F$305&gt;=K$5)*('Leave Register'!$J$6:$J$305="Approved")*(ROW('Leave Register'!$B$6:$B$305)-5)))=0,"",INDEX('Leave Register'!$D$6:$D$305,SUMPRODUCT(MAX(('Leave Register'!$B$6:$B$305=$A54)*('Leave Register'!$E$6:$E$305&lt;=K$5)*('Leave Register'!$F$6:$F$305&gt;=K$5)*('Leave Register'!$J$6:$J$305="Approved")*(ROW('Leave Register'!$B$6:$B$305)-5))))))</f>
        <v/>
      </c>
      <c r="L54" s="83" t="str">
        <f aca="false">IF(OR($A54="",L$5="",L$7&lt;&gt;"W"),"",IF(SUMPRODUCT(MAX(('Leave Register'!$B$6:$B$305=$A54)*('Leave Register'!$E$6:$E$305&lt;=L$5)*('Leave Register'!$F$6:$F$305&gt;=L$5)*('Leave Register'!$J$6:$J$305="Approved")*(ROW('Leave Register'!$B$6:$B$305)-5)))=0,"",INDEX('Leave Register'!$D$6:$D$305,SUMPRODUCT(MAX(('Leave Register'!$B$6:$B$305=$A54)*('Leave Register'!$E$6:$E$305&lt;=L$5)*('Leave Register'!$F$6:$F$305&gt;=L$5)*('Leave Register'!$J$6:$J$305="Approved")*(ROW('Leave Register'!$B$6:$B$305)-5))))))</f>
        <v/>
      </c>
      <c r="M54" s="83" t="str">
        <f aca="false">IF(OR($A54="",M$5="",M$7&lt;&gt;"W"),"",IF(SUMPRODUCT(MAX(('Leave Register'!$B$6:$B$305=$A54)*('Leave Register'!$E$6:$E$305&lt;=M$5)*('Leave Register'!$F$6:$F$305&gt;=M$5)*('Leave Register'!$J$6:$J$305="Approved")*(ROW('Leave Register'!$B$6:$B$305)-5)))=0,"",INDEX('Leave Register'!$D$6:$D$305,SUMPRODUCT(MAX(('Leave Register'!$B$6:$B$305=$A54)*('Leave Register'!$E$6:$E$305&lt;=M$5)*('Leave Register'!$F$6:$F$305&gt;=M$5)*('Leave Register'!$J$6:$J$305="Approved")*(ROW('Leave Register'!$B$6:$B$305)-5))))))</f>
        <v/>
      </c>
      <c r="N54" s="83" t="str">
        <f aca="false">IF(OR($A54="",N$5="",N$7&lt;&gt;"W"),"",IF(SUMPRODUCT(MAX(('Leave Register'!$B$6:$B$305=$A54)*('Leave Register'!$E$6:$E$305&lt;=N$5)*('Leave Register'!$F$6:$F$305&gt;=N$5)*('Leave Register'!$J$6:$J$305="Approved")*(ROW('Leave Register'!$B$6:$B$305)-5)))=0,"",INDEX('Leave Register'!$D$6:$D$305,SUMPRODUCT(MAX(('Leave Register'!$B$6:$B$305=$A54)*('Leave Register'!$E$6:$E$305&lt;=N$5)*('Leave Register'!$F$6:$F$305&gt;=N$5)*('Leave Register'!$J$6:$J$305="Approved")*(ROW('Leave Register'!$B$6:$B$305)-5))))))</f>
        <v/>
      </c>
      <c r="O54" s="83" t="str">
        <f aca="false">IF(OR($A54="",O$5="",O$7&lt;&gt;"W"),"",IF(SUMPRODUCT(MAX(('Leave Register'!$B$6:$B$305=$A54)*('Leave Register'!$E$6:$E$305&lt;=O$5)*('Leave Register'!$F$6:$F$305&gt;=O$5)*('Leave Register'!$J$6:$J$305="Approved")*(ROW('Leave Register'!$B$6:$B$305)-5)))=0,"",INDEX('Leave Register'!$D$6:$D$305,SUMPRODUCT(MAX(('Leave Register'!$B$6:$B$305=$A54)*('Leave Register'!$E$6:$E$305&lt;=O$5)*('Leave Register'!$F$6:$F$305&gt;=O$5)*('Leave Register'!$J$6:$J$305="Approved")*(ROW('Leave Register'!$B$6:$B$305)-5))))))</f>
        <v/>
      </c>
      <c r="P54" s="83" t="str">
        <f aca="false">IF(OR($A54="",P$5="",P$7&lt;&gt;"W"),"",IF(SUMPRODUCT(MAX(('Leave Register'!$B$6:$B$305=$A54)*('Leave Register'!$E$6:$E$305&lt;=P$5)*('Leave Register'!$F$6:$F$305&gt;=P$5)*('Leave Register'!$J$6:$J$305="Approved")*(ROW('Leave Register'!$B$6:$B$305)-5)))=0,"",INDEX('Leave Register'!$D$6:$D$305,SUMPRODUCT(MAX(('Leave Register'!$B$6:$B$305=$A54)*('Leave Register'!$E$6:$E$305&lt;=P$5)*('Leave Register'!$F$6:$F$305&gt;=P$5)*('Leave Register'!$J$6:$J$305="Approved")*(ROW('Leave Register'!$B$6:$B$305)-5))))))</f>
        <v/>
      </c>
      <c r="Q54" s="83" t="str">
        <f aca="false">IF(OR($A54="",Q$5="",Q$7&lt;&gt;"W"),"",IF(SUMPRODUCT(MAX(('Leave Register'!$B$6:$B$305=$A54)*('Leave Register'!$E$6:$E$305&lt;=Q$5)*('Leave Register'!$F$6:$F$305&gt;=Q$5)*('Leave Register'!$J$6:$J$305="Approved")*(ROW('Leave Register'!$B$6:$B$305)-5)))=0,"",INDEX('Leave Register'!$D$6:$D$305,SUMPRODUCT(MAX(('Leave Register'!$B$6:$B$305=$A54)*('Leave Register'!$E$6:$E$305&lt;=Q$5)*('Leave Register'!$F$6:$F$305&gt;=Q$5)*('Leave Register'!$J$6:$J$305="Approved")*(ROW('Leave Register'!$B$6:$B$305)-5))))))</f>
        <v/>
      </c>
      <c r="R54" s="83" t="str">
        <f aca="false">IF(OR($A54="",R$5="",R$7&lt;&gt;"W"),"",IF(SUMPRODUCT(MAX(('Leave Register'!$B$6:$B$305=$A54)*('Leave Register'!$E$6:$E$305&lt;=R$5)*('Leave Register'!$F$6:$F$305&gt;=R$5)*('Leave Register'!$J$6:$J$305="Approved")*(ROW('Leave Register'!$B$6:$B$305)-5)))=0,"",INDEX('Leave Register'!$D$6:$D$305,SUMPRODUCT(MAX(('Leave Register'!$B$6:$B$305=$A54)*('Leave Register'!$E$6:$E$305&lt;=R$5)*('Leave Register'!$F$6:$F$305&gt;=R$5)*('Leave Register'!$J$6:$J$305="Approved")*(ROW('Leave Register'!$B$6:$B$305)-5))))))</f>
        <v/>
      </c>
      <c r="S54" s="83" t="str">
        <f aca="false">IF(OR($A54="",S$5="",S$7&lt;&gt;"W"),"",IF(SUMPRODUCT(MAX(('Leave Register'!$B$6:$B$305=$A54)*('Leave Register'!$E$6:$E$305&lt;=S$5)*('Leave Register'!$F$6:$F$305&gt;=S$5)*('Leave Register'!$J$6:$J$305="Approved")*(ROW('Leave Register'!$B$6:$B$305)-5)))=0,"",INDEX('Leave Register'!$D$6:$D$305,SUMPRODUCT(MAX(('Leave Register'!$B$6:$B$305=$A54)*('Leave Register'!$E$6:$E$305&lt;=S$5)*('Leave Register'!$F$6:$F$305&gt;=S$5)*('Leave Register'!$J$6:$J$305="Approved")*(ROW('Leave Register'!$B$6:$B$305)-5))))))</f>
        <v/>
      </c>
      <c r="T54" s="83" t="str">
        <f aca="false">IF(OR($A54="",T$5="",T$7&lt;&gt;"W"),"",IF(SUMPRODUCT(MAX(('Leave Register'!$B$6:$B$305=$A54)*('Leave Register'!$E$6:$E$305&lt;=T$5)*('Leave Register'!$F$6:$F$305&gt;=T$5)*('Leave Register'!$J$6:$J$305="Approved")*(ROW('Leave Register'!$B$6:$B$305)-5)))=0,"",INDEX('Leave Register'!$D$6:$D$305,SUMPRODUCT(MAX(('Leave Register'!$B$6:$B$305=$A54)*('Leave Register'!$E$6:$E$305&lt;=T$5)*('Leave Register'!$F$6:$F$305&gt;=T$5)*('Leave Register'!$J$6:$J$305="Approved")*(ROW('Leave Register'!$B$6:$B$305)-5))))))</f>
        <v/>
      </c>
      <c r="U54" s="83" t="str">
        <f aca="false">IF(OR($A54="",U$5="",U$7&lt;&gt;"W"),"",IF(SUMPRODUCT(MAX(('Leave Register'!$B$6:$B$305=$A54)*('Leave Register'!$E$6:$E$305&lt;=U$5)*('Leave Register'!$F$6:$F$305&gt;=U$5)*('Leave Register'!$J$6:$J$305="Approved")*(ROW('Leave Register'!$B$6:$B$305)-5)))=0,"",INDEX('Leave Register'!$D$6:$D$305,SUMPRODUCT(MAX(('Leave Register'!$B$6:$B$305=$A54)*('Leave Register'!$E$6:$E$305&lt;=U$5)*('Leave Register'!$F$6:$F$305&gt;=U$5)*('Leave Register'!$J$6:$J$305="Approved")*(ROW('Leave Register'!$B$6:$B$305)-5))))))</f>
        <v/>
      </c>
      <c r="V54" s="83" t="str">
        <f aca="false">IF(OR($A54="",V$5="",V$7&lt;&gt;"W"),"",IF(SUMPRODUCT(MAX(('Leave Register'!$B$6:$B$305=$A54)*('Leave Register'!$E$6:$E$305&lt;=V$5)*('Leave Register'!$F$6:$F$305&gt;=V$5)*('Leave Register'!$J$6:$J$305="Approved")*(ROW('Leave Register'!$B$6:$B$305)-5)))=0,"",INDEX('Leave Register'!$D$6:$D$305,SUMPRODUCT(MAX(('Leave Register'!$B$6:$B$305=$A54)*('Leave Register'!$E$6:$E$305&lt;=V$5)*('Leave Register'!$F$6:$F$305&gt;=V$5)*('Leave Register'!$J$6:$J$305="Approved")*(ROW('Leave Register'!$B$6:$B$305)-5))))))</f>
        <v/>
      </c>
      <c r="W54" s="83" t="str">
        <f aca="false">IF(OR($A54="",W$5="",W$7&lt;&gt;"W"),"",IF(SUMPRODUCT(MAX(('Leave Register'!$B$6:$B$305=$A54)*('Leave Register'!$E$6:$E$305&lt;=W$5)*('Leave Register'!$F$6:$F$305&gt;=W$5)*('Leave Register'!$J$6:$J$305="Approved")*(ROW('Leave Register'!$B$6:$B$305)-5)))=0,"",INDEX('Leave Register'!$D$6:$D$305,SUMPRODUCT(MAX(('Leave Register'!$B$6:$B$305=$A54)*('Leave Register'!$E$6:$E$305&lt;=W$5)*('Leave Register'!$F$6:$F$305&gt;=W$5)*('Leave Register'!$J$6:$J$305="Approved")*(ROW('Leave Register'!$B$6:$B$305)-5))))))</f>
        <v/>
      </c>
      <c r="X54" s="83" t="str">
        <f aca="false">IF(OR($A54="",X$5="",X$7&lt;&gt;"W"),"",IF(SUMPRODUCT(MAX(('Leave Register'!$B$6:$B$305=$A54)*('Leave Register'!$E$6:$E$305&lt;=X$5)*('Leave Register'!$F$6:$F$305&gt;=X$5)*('Leave Register'!$J$6:$J$305="Approved")*(ROW('Leave Register'!$B$6:$B$305)-5)))=0,"",INDEX('Leave Register'!$D$6:$D$305,SUMPRODUCT(MAX(('Leave Register'!$B$6:$B$305=$A54)*('Leave Register'!$E$6:$E$305&lt;=X$5)*('Leave Register'!$F$6:$F$305&gt;=X$5)*('Leave Register'!$J$6:$J$305="Approved")*(ROW('Leave Register'!$B$6:$B$305)-5))))))</f>
        <v/>
      </c>
      <c r="Y54" s="83" t="str">
        <f aca="false">IF(OR($A54="",Y$5="",Y$7&lt;&gt;"W"),"",IF(SUMPRODUCT(MAX(('Leave Register'!$B$6:$B$305=$A54)*('Leave Register'!$E$6:$E$305&lt;=Y$5)*('Leave Register'!$F$6:$F$305&gt;=Y$5)*('Leave Register'!$J$6:$J$305="Approved")*(ROW('Leave Register'!$B$6:$B$305)-5)))=0,"",INDEX('Leave Register'!$D$6:$D$305,SUMPRODUCT(MAX(('Leave Register'!$B$6:$B$305=$A54)*('Leave Register'!$E$6:$E$305&lt;=Y$5)*('Leave Register'!$F$6:$F$305&gt;=Y$5)*('Leave Register'!$J$6:$J$305="Approved")*(ROW('Leave Register'!$B$6:$B$305)-5))))))</f>
        <v/>
      </c>
      <c r="Z54" s="83" t="str">
        <f aca="false">IF(OR($A54="",Z$5="",Z$7&lt;&gt;"W"),"",IF(SUMPRODUCT(MAX(('Leave Register'!$B$6:$B$305=$A54)*('Leave Register'!$E$6:$E$305&lt;=Z$5)*('Leave Register'!$F$6:$F$305&gt;=Z$5)*('Leave Register'!$J$6:$J$305="Approved")*(ROW('Leave Register'!$B$6:$B$305)-5)))=0,"",INDEX('Leave Register'!$D$6:$D$305,SUMPRODUCT(MAX(('Leave Register'!$B$6:$B$305=$A54)*('Leave Register'!$E$6:$E$305&lt;=Z$5)*('Leave Register'!$F$6:$F$305&gt;=Z$5)*('Leave Register'!$J$6:$J$305="Approved")*(ROW('Leave Register'!$B$6:$B$305)-5))))))</f>
        <v/>
      </c>
      <c r="AA54" s="83" t="str">
        <f aca="false">IF(OR($A54="",AA$5="",AA$7&lt;&gt;"W"),"",IF(SUMPRODUCT(MAX(('Leave Register'!$B$6:$B$305=$A54)*('Leave Register'!$E$6:$E$305&lt;=AA$5)*('Leave Register'!$F$6:$F$305&gt;=AA$5)*('Leave Register'!$J$6:$J$305="Approved")*(ROW('Leave Register'!$B$6:$B$305)-5)))=0,"",INDEX('Leave Register'!$D$6:$D$305,SUMPRODUCT(MAX(('Leave Register'!$B$6:$B$305=$A54)*('Leave Register'!$E$6:$E$305&lt;=AA$5)*('Leave Register'!$F$6:$F$305&gt;=AA$5)*('Leave Register'!$J$6:$J$305="Approved")*(ROW('Leave Register'!$B$6:$B$305)-5))))))</f>
        <v/>
      </c>
      <c r="AB54" s="83" t="str">
        <f aca="false">IF(OR($A54="",AB$5="",AB$7&lt;&gt;"W"),"",IF(SUMPRODUCT(MAX(('Leave Register'!$B$6:$B$305=$A54)*('Leave Register'!$E$6:$E$305&lt;=AB$5)*('Leave Register'!$F$6:$F$305&gt;=AB$5)*('Leave Register'!$J$6:$J$305="Approved")*(ROW('Leave Register'!$B$6:$B$305)-5)))=0,"",INDEX('Leave Register'!$D$6:$D$305,SUMPRODUCT(MAX(('Leave Register'!$B$6:$B$305=$A54)*('Leave Register'!$E$6:$E$305&lt;=AB$5)*('Leave Register'!$F$6:$F$305&gt;=AB$5)*('Leave Register'!$J$6:$J$305="Approved")*(ROW('Leave Register'!$B$6:$B$305)-5))))))</f>
        <v/>
      </c>
      <c r="AC54" s="83" t="str">
        <f aca="false">IF(OR($A54="",AC$5="",AC$7&lt;&gt;"W"),"",IF(SUMPRODUCT(MAX(('Leave Register'!$B$6:$B$305=$A54)*('Leave Register'!$E$6:$E$305&lt;=AC$5)*('Leave Register'!$F$6:$F$305&gt;=AC$5)*('Leave Register'!$J$6:$J$305="Approved")*(ROW('Leave Register'!$B$6:$B$305)-5)))=0,"",INDEX('Leave Register'!$D$6:$D$305,SUMPRODUCT(MAX(('Leave Register'!$B$6:$B$305=$A54)*('Leave Register'!$E$6:$E$305&lt;=AC$5)*('Leave Register'!$F$6:$F$305&gt;=AC$5)*('Leave Register'!$J$6:$J$305="Approved")*(ROW('Leave Register'!$B$6:$B$305)-5))))))</f>
        <v/>
      </c>
      <c r="AD54" s="83" t="str">
        <f aca="false">IF(OR($A54="",AD$5="",AD$7&lt;&gt;"W"),"",IF(SUMPRODUCT(MAX(('Leave Register'!$B$6:$B$305=$A54)*('Leave Register'!$E$6:$E$305&lt;=AD$5)*('Leave Register'!$F$6:$F$305&gt;=AD$5)*('Leave Register'!$J$6:$J$305="Approved")*(ROW('Leave Register'!$B$6:$B$305)-5)))=0,"",INDEX('Leave Register'!$D$6:$D$305,SUMPRODUCT(MAX(('Leave Register'!$B$6:$B$305=$A54)*('Leave Register'!$E$6:$E$305&lt;=AD$5)*('Leave Register'!$F$6:$F$305&gt;=AD$5)*('Leave Register'!$J$6:$J$305="Approved")*(ROW('Leave Register'!$B$6:$B$305)-5))))))</f>
        <v/>
      </c>
      <c r="AE54" s="83" t="str">
        <f aca="false">IF(OR($A54="",AE$5="",AE$7&lt;&gt;"W"),"",IF(SUMPRODUCT(MAX(('Leave Register'!$B$6:$B$305=$A54)*('Leave Register'!$E$6:$E$305&lt;=AE$5)*('Leave Register'!$F$6:$F$305&gt;=AE$5)*('Leave Register'!$J$6:$J$305="Approved")*(ROW('Leave Register'!$B$6:$B$305)-5)))=0,"",INDEX('Leave Register'!$D$6:$D$305,SUMPRODUCT(MAX(('Leave Register'!$B$6:$B$305=$A54)*('Leave Register'!$E$6:$E$305&lt;=AE$5)*('Leave Register'!$F$6:$F$305&gt;=AE$5)*('Leave Register'!$J$6:$J$305="Approved")*(ROW('Leave Register'!$B$6:$B$305)-5))))))</f>
        <v/>
      </c>
      <c r="AF54" s="83" t="str">
        <f aca="false">IF(OR($A54="",AF$5="",AF$7&lt;&gt;"W"),"",IF(SUMPRODUCT(MAX(('Leave Register'!$B$6:$B$305=$A54)*('Leave Register'!$E$6:$E$305&lt;=AF$5)*('Leave Register'!$F$6:$F$305&gt;=AF$5)*('Leave Register'!$J$6:$J$305="Approved")*(ROW('Leave Register'!$B$6:$B$305)-5)))=0,"",INDEX('Leave Register'!$D$6:$D$305,SUMPRODUCT(MAX(('Leave Register'!$B$6:$B$305=$A54)*('Leave Register'!$E$6:$E$305&lt;=AF$5)*('Leave Register'!$F$6:$F$305&gt;=AF$5)*('Leave Register'!$J$6:$J$305="Approved")*(ROW('Leave Register'!$B$6:$B$305)-5))))))</f>
        <v/>
      </c>
      <c r="AG54" s="83" t="str">
        <f aca="false">IF(OR($A54="",AG$5="",AG$7&lt;&gt;"W"),"",IF(SUMPRODUCT(MAX(('Leave Register'!$B$6:$B$305=$A54)*('Leave Register'!$E$6:$E$305&lt;=AG$5)*('Leave Register'!$F$6:$F$305&gt;=AG$5)*('Leave Register'!$J$6:$J$305="Approved")*(ROW('Leave Register'!$B$6:$B$305)-5)))=0,"",INDEX('Leave Register'!$D$6:$D$305,SUMPRODUCT(MAX(('Leave Register'!$B$6:$B$305=$A54)*('Leave Register'!$E$6:$E$305&lt;=AG$5)*('Leave Register'!$F$6:$F$305&gt;=AG$5)*('Leave Register'!$J$6:$J$305="Approved")*(ROW('Leave Register'!$B$6:$B$305)-5))))))</f>
        <v/>
      </c>
      <c r="AH54" s="84" t="str">
        <f aca="false">IF(A54="","",COUNTIF(C54:AG54,"?*"))</f>
        <v/>
      </c>
    </row>
    <row r="55" customFormat="false" ht="15" hidden="false" customHeight="false" outlineLevel="0" collapsed="false">
      <c r="A55" s="81" t="str">
        <f aca="false">IF(Employees!$B$52="","",Employees!$B$52)</f>
        <v/>
      </c>
      <c r="B55" s="82" t="str">
        <f aca="false">IF(A55="","",Employees!$C$52)</f>
        <v/>
      </c>
      <c r="C55" s="83" t="str">
        <f aca="false">IF(OR($A55="",C$5="",C$7&lt;&gt;"W"),"",IF(SUMPRODUCT(MAX(('Leave Register'!$B$6:$B$305=$A55)*('Leave Register'!$E$6:$E$305&lt;=C$5)*('Leave Register'!$F$6:$F$305&gt;=C$5)*('Leave Register'!$J$6:$J$305="Approved")*(ROW('Leave Register'!$B$6:$B$305)-5)))=0,"",INDEX('Leave Register'!$D$6:$D$305,SUMPRODUCT(MAX(('Leave Register'!$B$6:$B$305=$A55)*('Leave Register'!$E$6:$E$305&lt;=C$5)*('Leave Register'!$F$6:$F$305&gt;=C$5)*('Leave Register'!$J$6:$J$305="Approved")*(ROW('Leave Register'!$B$6:$B$305)-5))))))</f>
        <v/>
      </c>
      <c r="D55" s="83" t="str">
        <f aca="false">IF(OR($A55="",D$5="",D$7&lt;&gt;"W"),"",IF(SUMPRODUCT(MAX(('Leave Register'!$B$6:$B$305=$A55)*('Leave Register'!$E$6:$E$305&lt;=D$5)*('Leave Register'!$F$6:$F$305&gt;=D$5)*('Leave Register'!$J$6:$J$305="Approved")*(ROW('Leave Register'!$B$6:$B$305)-5)))=0,"",INDEX('Leave Register'!$D$6:$D$305,SUMPRODUCT(MAX(('Leave Register'!$B$6:$B$305=$A55)*('Leave Register'!$E$6:$E$305&lt;=D$5)*('Leave Register'!$F$6:$F$305&gt;=D$5)*('Leave Register'!$J$6:$J$305="Approved")*(ROW('Leave Register'!$B$6:$B$305)-5))))))</f>
        <v/>
      </c>
      <c r="E55" s="83" t="str">
        <f aca="false">IF(OR($A55="",E$5="",E$7&lt;&gt;"W"),"",IF(SUMPRODUCT(MAX(('Leave Register'!$B$6:$B$305=$A55)*('Leave Register'!$E$6:$E$305&lt;=E$5)*('Leave Register'!$F$6:$F$305&gt;=E$5)*('Leave Register'!$J$6:$J$305="Approved")*(ROW('Leave Register'!$B$6:$B$305)-5)))=0,"",INDEX('Leave Register'!$D$6:$D$305,SUMPRODUCT(MAX(('Leave Register'!$B$6:$B$305=$A55)*('Leave Register'!$E$6:$E$305&lt;=E$5)*('Leave Register'!$F$6:$F$305&gt;=E$5)*('Leave Register'!$J$6:$J$305="Approved")*(ROW('Leave Register'!$B$6:$B$305)-5))))))</f>
        <v/>
      </c>
      <c r="F55" s="83" t="str">
        <f aca="false">IF(OR($A55="",F$5="",F$7&lt;&gt;"W"),"",IF(SUMPRODUCT(MAX(('Leave Register'!$B$6:$B$305=$A55)*('Leave Register'!$E$6:$E$305&lt;=F$5)*('Leave Register'!$F$6:$F$305&gt;=F$5)*('Leave Register'!$J$6:$J$305="Approved")*(ROW('Leave Register'!$B$6:$B$305)-5)))=0,"",INDEX('Leave Register'!$D$6:$D$305,SUMPRODUCT(MAX(('Leave Register'!$B$6:$B$305=$A55)*('Leave Register'!$E$6:$E$305&lt;=F$5)*('Leave Register'!$F$6:$F$305&gt;=F$5)*('Leave Register'!$J$6:$J$305="Approved")*(ROW('Leave Register'!$B$6:$B$305)-5))))))</f>
        <v/>
      </c>
      <c r="G55" s="83" t="str">
        <f aca="false">IF(OR($A55="",G$5="",G$7&lt;&gt;"W"),"",IF(SUMPRODUCT(MAX(('Leave Register'!$B$6:$B$305=$A55)*('Leave Register'!$E$6:$E$305&lt;=G$5)*('Leave Register'!$F$6:$F$305&gt;=G$5)*('Leave Register'!$J$6:$J$305="Approved")*(ROW('Leave Register'!$B$6:$B$305)-5)))=0,"",INDEX('Leave Register'!$D$6:$D$305,SUMPRODUCT(MAX(('Leave Register'!$B$6:$B$305=$A55)*('Leave Register'!$E$6:$E$305&lt;=G$5)*('Leave Register'!$F$6:$F$305&gt;=G$5)*('Leave Register'!$J$6:$J$305="Approved")*(ROW('Leave Register'!$B$6:$B$305)-5))))))</f>
        <v/>
      </c>
      <c r="H55" s="83" t="str">
        <f aca="false">IF(OR($A55="",H$5="",H$7&lt;&gt;"W"),"",IF(SUMPRODUCT(MAX(('Leave Register'!$B$6:$B$305=$A55)*('Leave Register'!$E$6:$E$305&lt;=H$5)*('Leave Register'!$F$6:$F$305&gt;=H$5)*('Leave Register'!$J$6:$J$305="Approved")*(ROW('Leave Register'!$B$6:$B$305)-5)))=0,"",INDEX('Leave Register'!$D$6:$D$305,SUMPRODUCT(MAX(('Leave Register'!$B$6:$B$305=$A55)*('Leave Register'!$E$6:$E$305&lt;=H$5)*('Leave Register'!$F$6:$F$305&gt;=H$5)*('Leave Register'!$J$6:$J$305="Approved")*(ROW('Leave Register'!$B$6:$B$305)-5))))))</f>
        <v/>
      </c>
      <c r="I55" s="83" t="str">
        <f aca="false">IF(OR($A55="",I$5="",I$7&lt;&gt;"W"),"",IF(SUMPRODUCT(MAX(('Leave Register'!$B$6:$B$305=$A55)*('Leave Register'!$E$6:$E$305&lt;=I$5)*('Leave Register'!$F$6:$F$305&gt;=I$5)*('Leave Register'!$J$6:$J$305="Approved")*(ROW('Leave Register'!$B$6:$B$305)-5)))=0,"",INDEX('Leave Register'!$D$6:$D$305,SUMPRODUCT(MAX(('Leave Register'!$B$6:$B$305=$A55)*('Leave Register'!$E$6:$E$305&lt;=I$5)*('Leave Register'!$F$6:$F$305&gt;=I$5)*('Leave Register'!$J$6:$J$305="Approved")*(ROW('Leave Register'!$B$6:$B$305)-5))))))</f>
        <v/>
      </c>
      <c r="J55" s="83" t="str">
        <f aca="false">IF(OR($A55="",J$5="",J$7&lt;&gt;"W"),"",IF(SUMPRODUCT(MAX(('Leave Register'!$B$6:$B$305=$A55)*('Leave Register'!$E$6:$E$305&lt;=J$5)*('Leave Register'!$F$6:$F$305&gt;=J$5)*('Leave Register'!$J$6:$J$305="Approved")*(ROW('Leave Register'!$B$6:$B$305)-5)))=0,"",INDEX('Leave Register'!$D$6:$D$305,SUMPRODUCT(MAX(('Leave Register'!$B$6:$B$305=$A55)*('Leave Register'!$E$6:$E$305&lt;=J$5)*('Leave Register'!$F$6:$F$305&gt;=J$5)*('Leave Register'!$J$6:$J$305="Approved")*(ROW('Leave Register'!$B$6:$B$305)-5))))))</f>
        <v/>
      </c>
      <c r="K55" s="83" t="str">
        <f aca="false">IF(OR($A55="",K$5="",K$7&lt;&gt;"W"),"",IF(SUMPRODUCT(MAX(('Leave Register'!$B$6:$B$305=$A55)*('Leave Register'!$E$6:$E$305&lt;=K$5)*('Leave Register'!$F$6:$F$305&gt;=K$5)*('Leave Register'!$J$6:$J$305="Approved")*(ROW('Leave Register'!$B$6:$B$305)-5)))=0,"",INDEX('Leave Register'!$D$6:$D$305,SUMPRODUCT(MAX(('Leave Register'!$B$6:$B$305=$A55)*('Leave Register'!$E$6:$E$305&lt;=K$5)*('Leave Register'!$F$6:$F$305&gt;=K$5)*('Leave Register'!$J$6:$J$305="Approved")*(ROW('Leave Register'!$B$6:$B$305)-5))))))</f>
        <v/>
      </c>
      <c r="L55" s="83" t="str">
        <f aca="false">IF(OR($A55="",L$5="",L$7&lt;&gt;"W"),"",IF(SUMPRODUCT(MAX(('Leave Register'!$B$6:$B$305=$A55)*('Leave Register'!$E$6:$E$305&lt;=L$5)*('Leave Register'!$F$6:$F$305&gt;=L$5)*('Leave Register'!$J$6:$J$305="Approved")*(ROW('Leave Register'!$B$6:$B$305)-5)))=0,"",INDEX('Leave Register'!$D$6:$D$305,SUMPRODUCT(MAX(('Leave Register'!$B$6:$B$305=$A55)*('Leave Register'!$E$6:$E$305&lt;=L$5)*('Leave Register'!$F$6:$F$305&gt;=L$5)*('Leave Register'!$J$6:$J$305="Approved")*(ROW('Leave Register'!$B$6:$B$305)-5))))))</f>
        <v/>
      </c>
      <c r="M55" s="83" t="str">
        <f aca="false">IF(OR($A55="",M$5="",M$7&lt;&gt;"W"),"",IF(SUMPRODUCT(MAX(('Leave Register'!$B$6:$B$305=$A55)*('Leave Register'!$E$6:$E$305&lt;=M$5)*('Leave Register'!$F$6:$F$305&gt;=M$5)*('Leave Register'!$J$6:$J$305="Approved")*(ROW('Leave Register'!$B$6:$B$305)-5)))=0,"",INDEX('Leave Register'!$D$6:$D$305,SUMPRODUCT(MAX(('Leave Register'!$B$6:$B$305=$A55)*('Leave Register'!$E$6:$E$305&lt;=M$5)*('Leave Register'!$F$6:$F$305&gt;=M$5)*('Leave Register'!$J$6:$J$305="Approved")*(ROW('Leave Register'!$B$6:$B$305)-5))))))</f>
        <v/>
      </c>
      <c r="N55" s="83" t="str">
        <f aca="false">IF(OR($A55="",N$5="",N$7&lt;&gt;"W"),"",IF(SUMPRODUCT(MAX(('Leave Register'!$B$6:$B$305=$A55)*('Leave Register'!$E$6:$E$305&lt;=N$5)*('Leave Register'!$F$6:$F$305&gt;=N$5)*('Leave Register'!$J$6:$J$305="Approved")*(ROW('Leave Register'!$B$6:$B$305)-5)))=0,"",INDEX('Leave Register'!$D$6:$D$305,SUMPRODUCT(MAX(('Leave Register'!$B$6:$B$305=$A55)*('Leave Register'!$E$6:$E$305&lt;=N$5)*('Leave Register'!$F$6:$F$305&gt;=N$5)*('Leave Register'!$J$6:$J$305="Approved")*(ROW('Leave Register'!$B$6:$B$305)-5))))))</f>
        <v/>
      </c>
      <c r="O55" s="83" t="str">
        <f aca="false">IF(OR($A55="",O$5="",O$7&lt;&gt;"W"),"",IF(SUMPRODUCT(MAX(('Leave Register'!$B$6:$B$305=$A55)*('Leave Register'!$E$6:$E$305&lt;=O$5)*('Leave Register'!$F$6:$F$305&gt;=O$5)*('Leave Register'!$J$6:$J$305="Approved")*(ROW('Leave Register'!$B$6:$B$305)-5)))=0,"",INDEX('Leave Register'!$D$6:$D$305,SUMPRODUCT(MAX(('Leave Register'!$B$6:$B$305=$A55)*('Leave Register'!$E$6:$E$305&lt;=O$5)*('Leave Register'!$F$6:$F$305&gt;=O$5)*('Leave Register'!$J$6:$J$305="Approved")*(ROW('Leave Register'!$B$6:$B$305)-5))))))</f>
        <v/>
      </c>
      <c r="P55" s="83" t="str">
        <f aca="false">IF(OR($A55="",P$5="",P$7&lt;&gt;"W"),"",IF(SUMPRODUCT(MAX(('Leave Register'!$B$6:$B$305=$A55)*('Leave Register'!$E$6:$E$305&lt;=P$5)*('Leave Register'!$F$6:$F$305&gt;=P$5)*('Leave Register'!$J$6:$J$305="Approved")*(ROW('Leave Register'!$B$6:$B$305)-5)))=0,"",INDEX('Leave Register'!$D$6:$D$305,SUMPRODUCT(MAX(('Leave Register'!$B$6:$B$305=$A55)*('Leave Register'!$E$6:$E$305&lt;=P$5)*('Leave Register'!$F$6:$F$305&gt;=P$5)*('Leave Register'!$J$6:$J$305="Approved")*(ROW('Leave Register'!$B$6:$B$305)-5))))))</f>
        <v/>
      </c>
      <c r="Q55" s="83" t="str">
        <f aca="false">IF(OR($A55="",Q$5="",Q$7&lt;&gt;"W"),"",IF(SUMPRODUCT(MAX(('Leave Register'!$B$6:$B$305=$A55)*('Leave Register'!$E$6:$E$305&lt;=Q$5)*('Leave Register'!$F$6:$F$305&gt;=Q$5)*('Leave Register'!$J$6:$J$305="Approved")*(ROW('Leave Register'!$B$6:$B$305)-5)))=0,"",INDEX('Leave Register'!$D$6:$D$305,SUMPRODUCT(MAX(('Leave Register'!$B$6:$B$305=$A55)*('Leave Register'!$E$6:$E$305&lt;=Q$5)*('Leave Register'!$F$6:$F$305&gt;=Q$5)*('Leave Register'!$J$6:$J$305="Approved")*(ROW('Leave Register'!$B$6:$B$305)-5))))))</f>
        <v/>
      </c>
      <c r="R55" s="83" t="str">
        <f aca="false">IF(OR($A55="",R$5="",R$7&lt;&gt;"W"),"",IF(SUMPRODUCT(MAX(('Leave Register'!$B$6:$B$305=$A55)*('Leave Register'!$E$6:$E$305&lt;=R$5)*('Leave Register'!$F$6:$F$305&gt;=R$5)*('Leave Register'!$J$6:$J$305="Approved")*(ROW('Leave Register'!$B$6:$B$305)-5)))=0,"",INDEX('Leave Register'!$D$6:$D$305,SUMPRODUCT(MAX(('Leave Register'!$B$6:$B$305=$A55)*('Leave Register'!$E$6:$E$305&lt;=R$5)*('Leave Register'!$F$6:$F$305&gt;=R$5)*('Leave Register'!$J$6:$J$305="Approved")*(ROW('Leave Register'!$B$6:$B$305)-5))))))</f>
        <v/>
      </c>
      <c r="S55" s="83" t="str">
        <f aca="false">IF(OR($A55="",S$5="",S$7&lt;&gt;"W"),"",IF(SUMPRODUCT(MAX(('Leave Register'!$B$6:$B$305=$A55)*('Leave Register'!$E$6:$E$305&lt;=S$5)*('Leave Register'!$F$6:$F$305&gt;=S$5)*('Leave Register'!$J$6:$J$305="Approved")*(ROW('Leave Register'!$B$6:$B$305)-5)))=0,"",INDEX('Leave Register'!$D$6:$D$305,SUMPRODUCT(MAX(('Leave Register'!$B$6:$B$305=$A55)*('Leave Register'!$E$6:$E$305&lt;=S$5)*('Leave Register'!$F$6:$F$305&gt;=S$5)*('Leave Register'!$J$6:$J$305="Approved")*(ROW('Leave Register'!$B$6:$B$305)-5))))))</f>
        <v/>
      </c>
      <c r="T55" s="83" t="str">
        <f aca="false">IF(OR($A55="",T$5="",T$7&lt;&gt;"W"),"",IF(SUMPRODUCT(MAX(('Leave Register'!$B$6:$B$305=$A55)*('Leave Register'!$E$6:$E$305&lt;=T$5)*('Leave Register'!$F$6:$F$305&gt;=T$5)*('Leave Register'!$J$6:$J$305="Approved")*(ROW('Leave Register'!$B$6:$B$305)-5)))=0,"",INDEX('Leave Register'!$D$6:$D$305,SUMPRODUCT(MAX(('Leave Register'!$B$6:$B$305=$A55)*('Leave Register'!$E$6:$E$305&lt;=T$5)*('Leave Register'!$F$6:$F$305&gt;=T$5)*('Leave Register'!$J$6:$J$305="Approved")*(ROW('Leave Register'!$B$6:$B$305)-5))))))</f>
        <v/>
      </c>
      <c r="U55" s="83" t="str">
        <f aca="false">IF(OR($A55="",U$5="",U$7&lt;&gt;"W"),"",IF(SUMPRODUCT(MAX(('Leave Register'!$B$6:$B$305=$A55)*('Leave Register'!$E$6:$E$305&lt;=U$5)*('Leave Register'!$F$6:$F$305&gt;=U$5)*('Leave Register'!$J$6:$J$305="Approved")*(ROW('Leave Register'!$B$6:$B$305)-5)))=0,"",INDEX('Leave Register'!$D$6:$D$305,SUMPRODUCT(MAX(('Leave Register'!$B$6:$B$305=$A55)*('Leave Register'!$E$6:$E$305&lt;=U$5)*('Leave Register'!$F$6:$F$305&gt;=U$5)*('Leave Register'!$J$6:$J$305="Approved")*(ROW('Leave Register'!$B$6:$B$305)-5))))))</f>
        <v/>
      </c>
      <c r="V55" s="83" t="str">
        <f aca="false">IF(OR($A55="",V$5="",V$7&lt;&gt;"W"),"",IF(SUMPRODUCT(MAX(('Leave Register'!$B$6:$B$305=$A55)*('Leave Register'!$E$6:$E$305&lt;=V$5)*('Leave Register'!$F$6:$F$305&gt;=V$5)*('Leave Register'!$J$6:$J$305="Approved")*(ROW('Leave Register'!$B$6:$B$305)-5)))=0,"",INDEX('Leave Register'!$D$6:$D$305,SUMPRODUCT(MAX(('Leave Register'!$B$6:$B$305=$A55)*('Leave Register'!$E$6:$E$305&lt;=V$5)*('Leave Register'!$F$6:$F$305&gt;=V$5)*('Leave Register'!$J$6:$J$305="Approved")*(ROW('Leave Register'!$B$6:$B$305)-5))))))</f>
        <v/>
      </c>
      <c r="W55" s="83" t="str">
        <f aca="false">IF(OR($A55="",W$5="",W$7&lt;&gt;"W"),"",IF(SUMPRODUCT(MAX(('Leave Register'!$B$6:$B$305=$A55)*('Leave Register'!$E$6:$E$305&lt;=W$5)*('Leave Register'!$F$6:$F$305&gt;=W$5)*('Leave Register'!$J$6:$J$305="Approved")*(ROW('Leave Register'!$B$6:$B$305)-5)))=0,"",INDEX('Leave Register'!$D$6:$D$305,SUMPRODUCT(MAX(('Leave Register'!$B$6:$B$305=$A55)*('Leave Register'!$E$6:$E$305&lt;=W$5)*('Leave Register'!$F$6:$F$305&gt;=W$5)*('Leave Register'!$J$6:$J$305="Approved")*(ROW('Leave Register'!$B$6:$B$305)-5))))))</f>
        <v/>
      </c>
      <c r="X55" s="83" t="str">
        <f aca="false">IF(OR($A55="",X$5="",X$7&lt;&gt;"W"),"",IF(SUMPRODUCT(MAX(('Leave Register'!$B$6:$B$305=$A55)*('Leave Register'!$E$6:$E$305&lt;=X$5)*('Leave Register'!$F$6:$F$305&gt;=X$5)*('Leave Register'!$J$6:$J$305="Approved")*(ROW('Leave Register'!$B$6:$B$305)-5)))=0,"",INDEX('Leave Register'!$D$6:$D$305,SUMPRODUCT(MAX(('Leave Register'!$B$6:$B$305=$A55)*('Leave Register'!$E$6:$E$305&lt;=X$5)*('Leave Register'!$F$6:$F$305&gt;=X$5)*('Leave Register'!$J$6:$J$305="Approved")*(ROW('Leave Register'!$B$6:$B$305)-5))))))</f>
        <v/>
      </c>
      <c r="Y55" s="83" t="str">
        <f aca="false">IF(OR($A55="",Y$5="",Y$7&lt;&gt;"W"),"",IF(SUMPRODUCT(MAX(('Leave Register'!$B$6:$B$305=$A55)*('Leave Register'!$E$6:$E$305&lt;=Y$5)*('Leave Register'!$F$6:$F$305&gt;=Y$5)*('Leave Register'!$J$6:$J$305="Approved")*(ROW('Leave Register'!$B$6:$B$305)-5)))=0,"",INDEX('Leave Register'!$D$6:$D$305,SUMPRODUCT(MAX(('Leave Register'!$B$6:$B$305=$A55)*('Leave Register'!$E$6:$E$305&lt;=Y$5)*('Leave Register'!$F$6:$F$305&gt;=Y$5)*('Leave Register'!$J$6:$J$305="Approved")*(ROW('Leave Register'!$B$6:$B$305)-5))))))</f>
        <v/>
      </c>
      <c r="Z55" s="83" t="str">
        <f aca="false">IF(OR($A55="",Z$5="",Z$7&lt;&gt;"W"),"",IF(SUMPRODUCT(MAX(('Leave Register'!$B$6:$B$305=$A55)*('Leave Register'!$E$6:$E$305&lt;=Z$5)*('Leave Register'!$F$6:$F$305&gt;=Z$5)*('Leave Register'!$J$6:$J$305="Approved")*(ROW('Leave Register'!$B$6:$B$305)-5)))=0,"",INDEX('Leave Register'!$D$6:$D$305,SUMPRODUCT(MAX(('Leave Register'!$B$6:$B$305=$A55)*('Leave Register'!$E$6:$E$305&lt;=Z$5)*('Leave Register'!$F$6:$F$305&gt;=Z$5)*('Leave Register'!$J$6:$J$305="Approved")*(ROW('Leave Register'!$B$6:$B$305)-5))))))</f>
        <v/>
      </c>
      <c r="AA55" s="83" t="str">
        <f aca="false">IF(OR($A55="",AA$5="",AA$7&lt;&gt;"W"),"",IF(SUMPRODUCT(MAX(('Leave Register'!$B$6:$B$305=$A55)*('Leave Register'!$E$6:$E$305&lt;=AA$5)*('Leave Register'!$F$6:$F$305&gt;=AA$5)*('Leave Register'!$J$6:$J$305="Approved")*(ROW('Leave Register'!$B$6:$B$305)-5)))=0,"",INDEX('Leave Register'!$D$6:$D$305,SUMPRODUCT(MAX(('Leave Register'!$B$6:$B$305=$A55)*('Leave Register'!$E$6:$E$305&lt;=AA$5)*('Leave Register'!$F$6:$F$305&gt;=AA$5)*('Leave Register'!$J$6:$J$305="Approved")*(ROW('Leave Register'!$B$6:$B$305)-5))))))</f>
        <v/>
      </c>
      <c r="AB55" s="83" t="str">
        <f aca="false">IF(OR($A55="",AB$5="",AB$7&lt;&gt;"W"),"",IF(SUMPRODUCT(MAX(('Leave Register'!$B$6:$B$305=$A55)*('Leave Register'!$E$6:$E$305&lt;=AB$5)*('Leave Register'!$F$6:$F$305&gt;=AB$5)*('Leave Register'!$J$6:$J$305="Approved")*(ROW('Leave Register'!$B$6:$B$305)-5)))=0,"",INDEX('Leave Register'!$D$6:$D$305,SUMPRODUCT(MAX(('Leave Register'!$B$6:$B$305=$A55)*('Leave Register'!$E$6:$E$305&lt;=AB$5)*('Leave Register'!$F$6:$F$305&gt;=AB$5)*('Leave Register'!$J$6:$J$305="Approved")*(ROW('Leave Register'!$B$6:$B$305)-5))))))</f>
        <v/>
      </c>
      <c r="AC55" s="83" t="str">
        <f aca="false">IF(OR($A55="",AC$5="",AC$7&lt;&gt;"W"),"",IF(SUMPRODUCT(MAX(('Leave Register'!$B$6:$B$305=$A55)*('Leave Register'!$E$6:$E$305&lt;=AC$5)*('Leave Register'!$F$6:$F$305&gt;=AC$5)*('Leave Register'!$J$6:$J$305="Approved")*(ROW('Leave Register'!$B$6:$B$305)-5)))=0,"",INDEX('Leave Register'!$D$6:$D$305,SUMPRODUCT(MAX(('Leave Register'!$B$6:$B$305=$A55)*('Leave Register'!$E$6:$E$305&lt;=AC$5)*('Leave Register'!$F$6:$F$305&gt;=AC$5)*('Leave Register'!$J$6:$J$305="Approved")*(ROW('Leave Register'!$B$6:$B$305)-5))))))</f>
        <v/>
      </c>
      <c r="AD55" s="83" t="str">
        <f aca="false">IF(OR($A55="",AD$5="",AD$7&lt;&gt;"W"),"",IF(SUMPRODUCT(MAX(('Leave Register'!$B$6:$B$305=$A55)*('Leave Register'!$E$6:$E$305&lt;=AD$5)*('Leave Register'!$F$6:$F$305&gt;=AD$5)*('Leave Register'!$J$6:$J$305="Approved")*(ROW('Leave Register'!$B$6:$B$305)-5)))=0,"",INDEX('Leave Register'!$D$6:$D$305,SUMPRODUCT(MAX(('Leave Register'!$B$6:$B$305=$A55)*('Leave Register'!$E$6:$E$305&lt;=AD$5)*('Leave Register'!$F$6:$F$305&gt;=AD$5)*('Leave Register'!$J$6:$J$305="Approved")*(ROW('Leave Register'!$B$6:$B$305)-5))))))</f>
        <v/>
      </c>
      <c r="AE55" s="83" t="str">
        <f aca="false">IF(OR($A55="",AE$5="",AE$7&lt;&gt;"W"),"",IF(SUMPRODUCT(MAX(('Leave Register'!$B$6:$B$305=$A55)*('Leave Register'!$E$6:$E$305&lt;=AE$5)*('Leave Register'!$F$6:$F$305&gt;=AE$5)*('Leave Register'!$J$6:$J$305="Approved")*(ROW('Leave Register'!$B$6:$B$305)-5)))=0,"",INDEX('Leave Register'!$D$6:$D$305,SUMPRODUCT(MAX(('Leave Register'!$B$6:$B$305=$A55)*('Leave Register'!$E$6:$E$305&lt;=AE$5)*('Leave Register'!$F$6:$F$305&gt;=AE$5)*('Leave Register'!$J$6:$J$305="Approved")*(ROW('Leave Register'!$B$6:$B$305)-5))))))</f>
        <v/>
      </c>
      <c r="AF55" s="83" t="str">
        <f aca="false">IF(OR($A55="",AF$5="",AF$7&lt;&gt;"W"),"",IF(SUMPRODUCT(MAX(('Leave Register'!$B$6:$B$305=$A55)*('Leave Register'!$E$6:$E$305&lt;=AF$5)*('Leave Register'!$F$6:$F$305&gt;=AF$5)*('Leave Register'!$J$6:$J$305="Approved")*(ROW('Leave Register'!$B$6:$B$305)-5)))=0,"",INDEX('Leave Register'!$D$6:$D$305,SUMPRODUCT(MAX(('Leave Register'!$B$6:$B$305=$A55)*('Leave Register'!$E$6:$E$305&lt;=AF$5)*('Leave Register'!$F$6:$F$305&gt;=AF$5)*('Leave Register'!$J$6:$J$305="Approved")*(ROW('Leave Register'!$B$6:$B$305)-5))))))</f>
        <v/>
      </c>
      <c r="AG55" s="83" t="str">
        <f aca="false">IF(OR($A55="",AG$5="",AG$7&lt;&gt;"W"),"",IF(SUMPRODUCT(MAX(('Leave Register'!$B$6:$B$305=$A55)*('Leave Register'!$E$6:$E$305&lt;=AG$5)*('Leave Register'!$F$6:$F$305&gt;=AG$5)*('Leave Register'!$J$6:$J$305="Approved")*(ROW('Leave Register'!$B$6:$B$305)-5)))=0,"",INDEX('Leave Register'!$D$6:$D$305,SUMPRODUCT(MAX(('Leave Register'!$B$6:$B$305=$A55)*('Leave Register'!$E$6:$E$305&lt;=AG$5)*('Leave Register'!$F$6:$F$305&gt;=AG$5)*('Leave Register'!$J$6:$J$305="Approved")*(ROW('Leave Register'!$B$6:$B$305)-5))))))</f>
        <v/>
      </c>
      <c r="AH55" s="84" t="str">
        <f aca="false">IF(A55="","",COUNTIF(C55:AG55,"?*"))</f>
        <v/>
      </c>
    </row>
    <row r="56" customFormat="false" ht="15" hidden="false" customHeight="false" outlineLevel="0" collapsed="false">
      <c r="A56" s="81" t="str">
        <f aca="false">IF(Employees!$B$53="","",Employees!$B$53)</f>
        <v/>
      </c>
      <c r="B56" s="82" t="str">
        <f aca="false">IF(A56="","",Employees!$C$53)</f>
        <v/>
      </c>
      <c r="C56" s="83" t="str">
        <f aca="false">IF(OR($A56="",C$5="",C$7&lt;&gt;"W"),"",IF(SUMPRODUCT(MAX(('Leave Register'!$B$6:$B$305=$A56)*('Leave Register'!$E$6:$E$305&lt;=C$5)*('Leave Register'!$F$6:$F$305&gt;=C$5)*('Leave Register'!$J$6:$J$305="Approved")*(ROW('Leave Register'!$B$6:$B$305)-5)))=0,"",INDEX('Leave Register'!$D$6:$D$305,SUMPRODUCT(MAX(('Leave Register'!$B$6:$B$305=$A56)*('Leave Register'!$E$6:$E$305&lt;=C$5)*('Leave Register'!$F$6:$F$305&gt;=C$5)*('Leave Register'!$J$6:$J$305="Approved")*(ROW('Leave Register'!$B$6:$B$305)-5))))))</f>
        <v/>
      </c>
      <c r="D56" s="83" t="str">
        <f aca="false">IF(OR($A56="",D$5="",D$7&lt;&gt;"W"),"",IF(SUMPRODUCT(MAX(('Leave Register'!$B$6:$B$305=$A56)*('Leave Register'!$E$6:$E$305&lt;=D$5)*('Leave Register'!$F$6:$F$305&gt;=D$5)*('Leave Register'!$J$6:$J$305="Approved")*(ROW('Leave Register'!$B$6:$B$305)-5)))=0,"",INDEX('Leave Register'!$D$6:$D$305,SUMPRODUCT(MAX(('Leave Register'!$B$6:$B$305=$A56)*('Leave Register'!$E$6:$E$305&lt;=D$5)*('Leave Register'!$F$6:$F$305&gt;=D$5)*('Leave Register'!$J$6:$J$305="Approved")*(ROW('Leave Register'!$B$6:$B$305)-5))))))</f>
        <v/>
      </c>
      <c r="E56" s="83" t="str">
        <f aca="false">IF(OR($A56="",E$5="",E$7&lt;&gt;"W"),"",IF(SUMPRODUCT(MAX(('Leave Register'!$B$6:$B$305=$A56)*('Leave Register'!$E$6:$E$305&lt;=E$5)*('Leave Register'!$F$6:$F$305&gt;=E$5)*('Leave Register'!$J$6:$J$305="Approved")*(ROW('Leave Register'!$B$6:$B$305)-5)))=0,"",INDEX('Leave Register'!$D$6:$D$305,SUMPRODUCT(MAX(('Leave Register'!$B$6:$B$305=$A56)*('Leave Register'!$E$6:$E$305&lt;=E$5)*('Leave Register'!$F$6:$F$305&gt;=E$5)*('Leave Register'!$J$6:$J$305="Approved")*(ROW('Leave Register'!$B$6:$B$305)-5))))))</f>
        <v/>
      </c>
      <c r="F56" s="83" t="str">
        <f aca="false">IF(OR($A56="",F$5="",F$7&lt;&gt;"W"),"",IF(SUMPRODUCT(MAX(('Leave Register'!$B$6:$B$305=$A56)*('Leave Register'!$E$6:$E$305&lt;=F$5)*('Leave Register'!$F$6:$F$305&gt;=F$5)*('Leave Register'!$J$6:$J$305="Approved")*(ROW('Leave Register'!$B$6:$B$305)-5)))=0,"",INDEX('Leave Register'!$D$6:$D$305,SUMPRODUCT(MAX(('Leave Register'!$B$6:$B$305=$A56)*('Leave Register'!$E$6:$E$305&lt;=F$5)*('Leave Register'!$F$6:$F$305&gt;=F$5)*('Leave Register'!$J$6:$J$305="Approved")*(ROW('Leave Register'!$B$6:$B$305)-5))))))</f>
        <v/>
      </c>
      <c r="G56" s="83" t="str">
        <f aca="false">IF(OR($A56="",G$5="",G$7&lt;&gt;"W"),"",IF(SUMPRODUCT(MAX(('Leave Register'!$B$6:$B$305=$A56)*('Leave Register'!$E$6:$E$305&lt;=G$5)*('Leave Register'!$F$6:$F$305&gt;=G$5)*('Leave Register'!$J$6:$J$305="Approved")*(ROW('Leave Register'!$B$6:$B$305)-5)))=0,"",INDEX('Leave Register'!$D$6:$D$305,SUMPRODUCT(MAX(('Leave Register'!$B$6:$B$305=$A56)*('Leave Register'!$E$6:$E$305&lt;=G$5)*('Leave Register'!$F$6:$F$305&gt;=G$5)*('Leave Register'!$J$6:$J$305="Approved")*(ROW('Leave Register'!$B$6:$B$305)-5))))))</f>
        <v/>
      </c>
      <c r="H56" s="83" t="str">
        <f aca="false">IF(OR($A56="",H$5="",H$7&lt;&gt;"W"),"",IF(SUMPRODUCT(MAX(('Leave Register'!$B$6:$B$305=$A56)*('Leave Register'!$E$6:$E$305&lt;=H$5)*('Leave Register'!$F$6:$F$305&gt;=H$5)*('Leave Register'!$J$6:$J$305="Approved")*(ROW('Leave Register'!$B$6:$B$305)-5)))=0,"",INDEX('Leave Register'!$D$6:$D$305,SUMPRODUCT(MAX(('Leave Register'!$B$6:$B$305=$A56)*('Leave Register'!$E$6:$E$305&lt;=H$5)*('Leave Register'!$F$6:$F$305&gt;=H$5)*('Leave Register'!$J$6:$J$305="Approved")*(ROW('Leave Register'!$B$6:$B$305)-5))))))</f>
        <v/>
      </c>
      <c r="I56" s="83" t="str">
        <f aca="false">IF(OR($A56="",I$5="",I$7&lt;&gt;"W"),"",IF(SUMPRODUCT(MAX(('Leave Register'!$B$6:$B$305=$A56)*('Leave Register'!$E$6:$E$305&lt;=I$5)*('Leave Register'!$F$6:$F$305&gt;=I$5)*('Leave Register'!$J$6:$J$305="Approved")*(ROW('Leave Register'!$B$6:$B$305)-5)))=0,"",INDEX('Leave Register'!$D$6:$D$305,SUMPRODUCT(MAX(('Leave Register'!$B$6:$B$305=$A56)*('Leave Register'!$E$6:$E$305&lt;=I$5)*('Leave Register'!$F$6:$F$305&gt;=I$5)*('Leave Register'!$J$6:$J$305="Approved")*(ROW('Leave Register'!$B$6:$B$305)-5))))))</f>
        <v/>
      </c>
      <c r="J56" s="83" t="str">
        <f aca="false">IF(OR($A56="",J$5="",J$7&lt;&gt;"W"),"",IF(SUMPRODUCT(MAX(('Leave Register'!$B$6:$B$305=$A56)*('Leave Register'!$E$6:$E$305&lt;=J$5)*('Leave Register'!$F$6:$F$305&gt;=J$5)*('Leave Register'!$J$6:$J$305="Approved")*(ROW('Leave Register'!$B$6:$B$305)-5)))=0,"",INDEX('Leave Register'!$D$6:$D$305,SUMPRODUCT(MAX(('Leave Register'!$B$6:$B$305=$A56)*('Leave Register'!$E$6:$E$305&lt;=J$5)*('Leave Register'!$F$6:$F$305&gt;=J$5)*('Leave Register'!$J$6:$J$305="Approved")*(ROW('Leave Register'!$B$6:$B$305)-5))))))</f>
        <v/>
      </c>
      <c r="K56" s="83" t="str">
        <f aca="false">IF(OR($A56="",K$5="",K$7&lt;&gt;"W"),"",IF(SUMPRODUCT(MAX(('Leave Register'!$B$6:$B$305=$A56)*('Leave Register'!$E$6:$E$305&lt;=K$5)*('Leave Register'!$F$6:$F$305&gt;=K$5)*('Leave Register'!$J$6:$J$305="Approved")*(ROW('Leave Register'!$B$6:$B$305)-5)))=0,"",INDEX('Leave Register'!$D$6:$D$305,SUMPRODUCT(MAX(('Leave Register'!$B$6:$B$305=$A56)*('Leave Register'!$E$6:$E$305&lt;=K$5)*('Leave Register'!$F$6:$F$305&gt;=K$5)*('Leave Register'!$J$6:$J$305="Approved")*(ROW('Leave Register'!$B$6:$B$305)-5))))))</f>
        <v/>
      </c>
      <c r="L56" s="83" t="str">
        <f aca="false">IF(OR($A56="",L$5="",L$7&lt;&gt;"W"),"",IF(SUMPRODUCT(MAX(('Leave Register'!$B$6:$B$305=$A56)*('Leave Register'!$E$6:$E$305&lt;=L$5)*('Leave Register'!$F$6:$F$305&gt;=L$5)*('Leave Register'!$J$6:$J$305="Approved")*(ROW('Leave Register'!$B$6:$B$305)-5)))=0,"",INDEX('Leave Register'!$D$6:$D$305,SUMPRODUCT(MAX(('Leave Register'!$B$6:$B$305=$A56)*('Leave Register'!$E$6:$E$305&lt;=L$5)*('Leave Register'!$F$6:$F$305&gt;=L$5)*('Leave Register'!$J$6:$J$305="Approved")*(ROW('Leave Register'!$B$6:$B$305)-5))))))</f>
        <v/>
      </c>
      <c r="M56" s="83" t="str">
        <f aca="false">IF(OR($A56="",M$5="",M$7&lt;&gt;"W"),"",IF(SUMPRODUCT(MAX(('Leave Register'!$B$6:$B$305=$A56)*('Leave Register'!$E$6:$E$305&lt;=M$5)*('Leave Register'!$F$6:$F$305&gt;=M$5)*('Leave Register'!$J$6:$J$305="Approved")*(ROW('Leave Register'!$B$6:$B$305)-5)))=0,"",INDEX('Leave Register'!$D$6:$D$305,SUMPRODUCT(MAX(('Leave Register'!$B$6:$B$305=$A56)*('Leave Register'!$E$6:$E$305&lt;=M$5)*('Leave Register'!$F$6:$F$305&gt;=M$5)*('Leave Register'!$J$6:$J$305="Approved")*(ROW('Leave Register'!$B$6:$B$305)-5))))))</f>
        <v/>
      </c>
      <c r="N56" s="83" t="str">
        <f aca="false">IF(OR($A56="",N$5="",N$7&lt;&gt;"W"),"",IF(SUMPRODUCT(MAX(('Leave Register'!$B$6:$B$305=$A56)*('Leave Register'!$E$6:$E$305&lt;=N$5)*('Leave Register'!$F$6:$F$305&gt;=N$5)*('Leave Register'!$J$6:$J$305="Approved")*(ROW('Leave Register'!$B$6:$B$305)-5)))=0,"",INDEX('Leave Register'!$D$6:$D$305,SUMPRODUCT(MAX(('Leave Register'!$B$6:$B$305=$A56)*('Leave Register'!$E$6:$E$305&lt;=N$5)*('Leave Register'!$F$6:$F$305&gt;=N$5)*('Leave Register'!$J$6:$J$305="Approved")*(ROW('Leave Register'!$B$6:$B$305)-5))))))</f>
        <v/>
      </c>
      <c r="O56" s="83" t="str">
        <f aca="false">IF(OR($A56="",O$5="",O$7&lt;&gt;"W"),"",IF(SUMPRODUCT(MAX(('Leave Register'!$B$6:$B$305=$A56)*('Leave Register'!$E$6:$E$305&lt;=O$5)*('Leave Register'!$F$6:$F$305&gt;=O$5)*('Leave Register'!$J$6:$J$305="Approved")*(ROW('Leave Register'!$B$6:$B$305)-5)))=0,"",INDEX('Leave Register'!$D$6:$D$305,SUMPRODUCT(MAX(('Leave Register'!$B$6:$B$305=$A56)*('Leave Register'!$E$6:$E$305&lt;=O$5)*('Leave Register'!$F$6:$F$305&gt;=O$5)*('Leave Register'!$J$6:$J$305="Approved")*(ROW('Leave Register'!$B$6:$B$305)-5))))))</f>
        <v/>
      </c>
      <c r="P56" s="83" t="str">
        <f aca="false">IF(OR($A56="",P$5="",P$7&lt;&gt;"W"),"",IF(SUMPRODUCT(MAX(('Leave Register'!$B$6:$B$305=$A56)*('Leave Register'!$E$6:$E$305&lt;=P$5)*('Leave Register'!$F$6:$F$305&gt;=P$5)*('Leave Register'!$J$6:$J$305="Approved")*(ROW('Leave Register'!$B$6:$B$305)-5)))=0,"",INDEX('Leave Register'!$D$6:$D$305,SUMPRODUCT(MAX(('Leave Register'!$B$6:$B$305=$A56)*('Leave Register'!$E$6:$E$305&lt;=P$5)*('Leave Register'!$F$6:$F$305&gt;=P$5)*('Leave Register'!$J$6:$J$305="Approved")*(ROW('Leave Register'!$B$6:$B$305)-5))))))</f>
        <v/>
      </c>
      <c r="Q56" s="83" t="str">
        <f aca="false">IF(OR($A56="",Q$5="",Q$7&lt;&gt;"W"),"",IF(SUMPRODUCT(MAX(('Leave Register'!$B$6:$B$305=$A56)*('Leave Register'!$E$6:$E$305&lt;=Q$5)*('Leave Register'!$F$6:$F$305&gt;=Q$5)*('Leave Register'!$J$6:$J$305="Approved")*(ROW('Leave Register'!$B$6:$B$305)-5)))=0,"",INDEX('Leave Register'!$D$6:$D$305,SUMPRODUCT(MAX(('Leave Register'!$B$6:$B$305=$A56)*('Leave Register'!$E$6:$E$305&lt;=Q$5)*('Leave Register'!$F$6:$F$305&gt;=Q$5)*('Leave Register'!$J$6:$J$305="Approved")*(ROW('Leave Register'!$B$6:$B$305)-5))))))</f>
        <v/>
      </c>
      <c r="R56" s="83" t="str">
        <f aca="false">IF(OR($A56="",R$5="",R$7&lt;&gt;"W"),"",IF(SUMPRODUCT(MAX(('Leave Register'!$B$6:$B$305=$A56)*('Leave Register'!$E$6:$E$305&lt;=R$5)*('Leave Register'!$F$6:$F$305&gt;=R$5)*('Leave Register'!$J$6:$J$305="Approved")*(ROW('Leave Register'!$B$6:$B$305)-5)))=0,"",INDEX('Leave Register'!$D$6:$D$305,SUMPRODUCT(MAX(('Leave Register'!$B$6:$B$305=$A56)*('Leave Register'!$E$6:$E$305&lt;=R$5)*('Leave Register'!$F$6:$F$305&gt;=R$5)*('Leave Register'!$J$6:$J$305="Approved")*(ROW('Leave Register'!$B$6:$B$305)-5))))))</f>
        <v/>
      </c>
      <c r="S56" s="83" t="str">
        <f aca="false">IF(OR($A56="",S$5="",S$7&lt;&gt;"W"),"",IF(SUMPRODUCT(MAX(('Leave Register'!$B$6:$B$305=$A56)*('Leave Register'!$E$6:$E$305&lt;=S$5)*('Leave Register'!$F$6:$F$305&gt;=S$5)*('Leave Register'!$J$6:$J$305="Approved")*(ROW('Leave Register'!$B$6:$B$305)-5)))=0,"",INDEX('Leave Register'!$D$6:$D$305,SUMPRODUCT(MAX(('Leave Register'!$B$6:$B$305=$A56)*('Leave Register'!$E$6:$E$305&lt;=S$5)*('Leave Register'!$F$6:$F$305&gt;=S$5)*('Leave Register'!$J$6:$J$305="Approved")*(ROW('Leave Register'!$B$6:$B$305)-5))))))</f>
        <v/>
      </c>
      <c r="T56" s="83" t="str">
        <f aca="false">IF(OR($A56="",T$5="",T$7&lt;&gt;"W"),"",IF(SUMPRODUCT(MAX(('Leave Register'!$B$6:$B$305=$A56)*('Leave Register'!$E$6:$E$305&lt;=T$5)*('Leave Register'!$F$6:$F$305&gt;=T$5)*('Leave Register'!$J$6:$J$305="Approved")*(ROW('Leave Register'!$B$6:$B$305)-5)))=0,"",INDEX('Leave Register'!$D$6:$D$305,SUMPRODUCT(MAX(('Leave Register'!$B$6:$B$305=$A56)*('Leave Register'!$E$6:$E$305&lt;=T$5)*('Leave Register'!$F$6:$F$305&gt;=T$5)*('Leave Register'!$J$6:$J$305="Approved")*(ROW('Leave Register'!$B$6:$B$305)-5))))))</f>
        <v/>
      </c>
      <c r="U56" s="83" t="str">
        <f aca="false">IF(OR($A56="",U$5="",U$7&lt;&gt;"W"),"",IF(SUMPRODUCT(MAX(('Leave Register'!$B$6:$B$305=$A56)*('Leave Register'!$E$6:$E$305&lt;=U$5)*('Leave Register'!$F$6:$F$305&gt;=U$5)*('Leave Register'!$J$6:$J$305="Approved")*(ROW('Leave Register'!$B$6:$B$305)-5)))=0,"",INDEX('Leave Register'!$D$6:$D$305,SUMPRODUCT(MAX(('Leave Register'!$B$6:$B$305=$A56)*('Leave Register'!$E$6:$E$305&lt;=U$5)*('Leave Register'!$F$6:$F$305&gt;=U$5)*('Leave Register'!$J$6:$J$305="Approved")*(ROW('Leave Register'!$B$6:$B$305)-5))))))</f>
        <v/>
      </c>
      <c r="V56" s="83" t="str">
        <f aca="false">IF(OR($A56="",V$5="",V$7&lt;&gt;"W"),"",IF(SUMPRODUCT(MAX(('Leave Register'!$B$6:$B$305=$A56)*('Leave Register'!$E$6:$E$305&lt;=V$5)*('Leave Register'!$F$6:$F$305&gt;=V$5)*('Leave Register'!$J$6:$J$305="Approved")*(ROW('Leave Register'!$B$6:$B$305)-5)))=0,"",INDEX('Leave Register'!$D$6:$D$305,SUMPRODUCT(MAX(('Leave Register'!$B$6:$B$305=$A56)*('Leave Register'!$E$6:$E$305&lt;=V$5)*('Leave Register'!$F$6:$F$305&gt;=V$5)*('Leave Register'!$J$6:$J$305="Approved")*(ROW('Leave Register'!$B$6:$B$305)-5))))))</f>
        <v/>
      </c>
      <c r="W56" s="83" t="str">
        <f aca="false">IF(OR($A56="",W$5="",W$7&lt;&gt;"W"),"",IF(SUMPRODUCT(MAX(('Leave Register'!$B$6:$B$305=$A56)*('Leave Register'!$E$6:$E$305&lt;=W$5)*('Leave Register'!$F$6:$F$305&gt;=W$5)*('Leave Register'!$J$6:$J$305="Approved")*(ROW('Leave Register'!$B$6:$B$305)-5)))=0,"",INDEX('Leave Register'!$D$6:$D$305,SUMPRODUCT(MAX(('Leave Register'!$B$6:$B$305=$A56)*('Leave Register'!$E$6:$E$305&lt;=W$5)*('Leave Register'!$F$6:$F$305&gt;=W$5)*('Leave Register'!$J$6:$J$305="Approved")*(ROW('Leave Register'!$B$6:$B$305)-5))))))</f>
        <v/>
      </c>
      <c r="X56" s="83" t="str">
        <f aca="false">IF(OR($A56="",X$5="",X$7&lt;&gt;"W"),"",IF(SUMPRODUCT(MAX(('Leave Register'!$B$6:$B$305=$A56)*('Leave Register'!$E$6:$E$305&lt;=X$5)*('Leave Register'!$F$6:$F$305&gt;=X$5)*('Leave Register'!$J$6:$J$305="Approved")*(ROW('Leave Register'!$B$6:$B$305)-5)))=0,"",INDEX('Leave Register'!$D$6:$D$305,SUMPRODUCT(MAX(('Leave Register'!$B$6:$B$305=$A56)*('Leave Register'!$E$6:$E$305&lt;=X$5)*('Leave Register'!$F$6:$F$305&gt;=X$5)*('Leave Register'!$J$6:$J$305="Approved")*(ROW('Leave Register'!$B$6:$B$305)-5))))))</f>
        <v/>
      </c>
      <c r="Y56" s="83" t="str">
        <f aca="false">IF(OR($A56="",Y$5="",Y$7&lt;&gt;"W"),"",IF(SUMPRODUCT(MAX(('Leave Register'!$B$6:$B$305=$A56)*('Leave Register'!$E$6:$E$305&lt;=Y$5)*('Leave Register'!$F$6:$F$305&gt;=Y$5)*('Leave Register'!$J$6:$J$305="Approved")*(ROW('Leave Register'!$B$6:$B$305)-5)))=0,"",INDEX('Leave Register'!$D$6:$D$305,SUMPRODUCT(MAX(('Leave Register'!$B$6:$B$305=$A56)*('Leave Register'!$E$6:$E$305&lt;=Y$5)*('Leave Register'!$F$6:$F$305&gt;=Y$5)*('Leave Register'!$J$6:$J$305="Approved")*(ROW('Leave Register'!$B$6:$B$305)-5))))))</f>
        <v/>
      </c>
      <c r="Z56" s="83" t="str">
        <f aca="false">IF(OR($A56="",Z$5="",Z$7&lt;&gt;"W"),"",IF(SUMPRODUCT(MAX(('Leave Register'!$B$6:$B$305=$A56)*('Leave Register'!$E$6:$E$305&lt;=Z$5)*('Leave Register'!$F$6:$F$305&gt;=Z$5)*('Leave Register'!$J$6:$J$305="Approved")*(ROW('Leave Register'!$B$6:$B$305)-5)))=0,"",INDEX('Leave Register'!$D$6:$D$305,SUMPRODUCT(MAX(('Leave Register'!$B$6:$B$305=$A56)*('Leave Register'!$E$6:$E$305&lt;=Z$5)*('Leave Register'!$F$6:$F$305&gt;=Z$5)*('Leave Register'!$J$6:$J$305="Approved")*(ROW('Leave Register'!$B$6:$B$305)-5))))))</f>
        <v/>
      </c>
      <c r="AA56" s="83" t="str">
        <f aca="false">IF(OR($A56="",AA$5="",AA$7&lt;&gt;"W"),"",IF(SUMPRODUCT(MAX(('Leave Register'!$B$6:$B$305=$A56)*('Leave Register'!$E$6:$E$305&lt;=AA$5)*('Leave Register'!$F$6:$F$305&gt;=AA$5)*('Leave Register'!$J$6:$J$305="Approved")*(ROW('Leave Register'!$B$6:$B$305)-5)))=0,"",INDEX('Leave Register'!$D$6:$D$305,SUMPRODUCT(MAX(('Leave Register'!$B$6:$B$305=$A56)*('Leave Register'!$E$6:$E$305&lt;=AA$5)*('Leave Register'!$F$6:$F$305&gt;=AA$5)*('Leave Register'!$J$6:$J$305="Approved")*(ROW('Leave Register'!$B$6:$B$305)-5))))))</f>
        <v/>
      </c>
      <c r="AB56" s="83" t="str">
        <f aca="false">IF(OR($A56="",AB$5="",AB$7&lt;&gt;"W"),"",IF(SUMPRODUCT(MAX(('Leave Register'!$B$6:$B$305=$A56)*('Leave Register'!$E$6:$E$305&lt;=AB$5)*('Leave Register'!$F$6:$F$305&gt;=AB$5)*('Leave Register'!$J$6:$J$305="Approved")*(ROW('Leave Register'!$B$6:$B$305)-5)))=0,"",INDEX('Leave Register'!$D$6:$D$305,SUMPRODUCT(MAX(('Leave Register'!$B$6:$B$305=$A56)*('Leave Register'!$E$6:$E$305&lt;=AB$5)*('Leave Register'!$F$6:$F$305&gt;=AB$5)*('Leave Register'!$J$6:$J$305="Approved")*(ROW('Leave Register'!$B$6:$B$305)-5))))))</f>
        <v/>
      </c>
      <c r="AC56" s="83" t="str">
        <f aca="false">IF(OR($A56="",AC$5="",AC$7&lt;&gt;"W"),"",IF(SUMPRODUCT(MAX(('Leave Register'!$B$6:$B$305=$A56)*('Leave Register'!$E$6:$E$305&lt;=AC$5)*('Leave Register'!$F$6:$F$305&gt;=AC$5)*('Leave Register'!$J$6:$J$305="Approved")*(ROW('Leave Register'!$B$6:$B$305)-5)))=0,"",INDEX('Leave Register'!$D$6:$D$305,SUMPRODUCT(MAX(('Leave Register'!$B$6:$B$305=$A56)*('Leave Register'!$E$6:$E$305&lt;=AC$5)*('Leave Register'!$F$6:$F$305&gt;=AC$5)*('Leave Register'!$J$6:$J$305="Approved")*(ROW('Leave Register'!$B$6:$B$305)-5))))))</f>
        <v/>
      </c>
      <c r="AD56" s="83" t="str">
        <f aca="false">IF(OR($A56="",AD$5="",AD$7&lt;&gt;"W"),"",IF(SUMPRODUCT(MAX(('Leave Register'!$B$6:$B$305=$A56)*('Leave Register'!$E$6:$E$305&lt;=AD$5)*('Leave Register'!$F$6:$F$305&gt;=AD$5)*('Leave Register'!$J$6:$J$305="Approved")*(ROW('Leave Register'!$B$6:$B$305)-5)))=0,"",INDEX('Leave Register'!$D$6:$D$305,SUMPRODUCT(MAX(('Leave Register'!$B$6:$B$305=$A56)*('Leave Register'!$E$6:$E$305&lt;=AD$5)*('Leave Register'!$F$6:$F$305&gt;=AD$5)*('Leave Register'!$J$6:$J$305="Approved")*(ROW('Leave Register'!$B$6:$B$305)-5))))))</f>
        <v/>
      </c>
      <c r="AE56" s="83" t="str">
        <f aca="false">IF(OR($A56="",AE$5="",AE$7&lt;&gt;"W"),"",IF(SUMPRODUCT(MAX(('Leave Register'!$B$6:$B$305=$A56)*('Leave Register'!$E$6:$E$305&lt;=AE$5)*('Leave Register'!$F$6:$F$305&gt;=AE$5)*('Leave Register'!$J$6:$J$305="Approved")*(ROW('Leave Register'!$B$6:$B$305)-5)))=0,"",INDEX('Leave Register'!$D$6:$D$305,SUMPRODUCT(MAX(('Leave Register'!$B$6:$B$305=$A56)*('Leave Register'!$E$6:$E$305&lt;=AE$5)*('Leave Register'!$F$6:$F$305&gt;=AE$5)*('Leave Register'!$J$6:$J$305="Approved")*(ROW('Leave Register'!$B$6:$B$305)-5))))))</f>
        <v/>
      </c>
      <c r="AF56" s="83" t="str">
        <f aca="false">IF(OR($A56="",AF$5="",AF$7&lt;&gt;"W"),"",IF(SUMPRODUCT(MAX(('Leave Register'!$B$6:$B$305=$A56)*('Leave Register'!$E$6:$E$305&lt;=AF$5)*('Leave Register'!$F$6:$F$305&gt;=AF$5)*('Leave Register'!$J$6:$J$305="Approved")*(ROW('Leave Register'!$B$6:$B$305)-5)))=0,"",INDEX('Leave Register'!$D$6:$D$305,SUMPRODUCT(MAX(('Leave Register'!$B$6:$B$305=$A56)*('Leave Register'!$E$6:$E$305&lt;=AF$5)*('Leave Register'!$F$6:$F$305&gt;=AF$5)*('Leave Register'!$J$6:$J$305="Approved")*(ROW('Leave Register'!$B$6:$B$305)-5))))))</f>
        <v/>
      </c>
      <c r="AG56" s="83" t="str">
        <f aca="false">IF(OR($A56="",AG$5="",AG$7&lt;&gt;"W"),"",IF(SUMPRODUCT(MAX(('Leave Register'!$B$6:$B$305=$A56)*('Leave Register'!$E$6:$E$305&lt;=AG$5)*('Leave Register'!$F$6:$F$305&gt;=AG$5)*('Leave Register'!$J$6:$J$305="Approved")*(ROW('Leave Register'!$B$6:$B$305)-5)))=0,"",INDEX('Leave Register'!$D$6:$D$305,SUMPRODUCT(MAX(('Leave Register'!$B$6:$B$305=$A56)*('Leave Register'!$E$6:$E$305&lt;=AG$5)*('Leave Register'!$F$6:$F$305&gt;=AG$5)*('Leave Register'!$J$6:$J$305="Approved")*(ROW('Leave Register'!$B$6:$B$305)-5))))))</f>
        <v/>
      </c>
      <c r="AH56" s="84" t="str">
        <f aca="false">IF(A56="","",COUNTIF(C56:AG56,"?*"))</f>
        <v/>
      </c>
    </row>
    <row r="57" customFormat="false" ht="15" hidden="false" customHeight="false" outlineLevel="0" collapsed="false">
      <c r="A57" s="81" t="str">
        <f aca="false">IF(Employees!$B$54="","",Employees!$B$54)</f>
        <v/>
      </c>
      <c r="B57" s="82" t="str">
        <f aca="false">IF(A57="","",Employees!$C$54)</f>
        <v/>
      </c>
      <c r="C57" s="83" t="str">
        <f aca="false">IF(OR($A57="",C$5="",C$7&lt;&gt;"W"),"",IF(SUMPRODUCT(MAX(('Leave Register'!$B$6:$B$305=$A57)*('Leave Register'!$E$6:$E$305&lt;=C$5)*('Leave Register'!$F$6:$F$305&gt;=C$5)*('Leave Register'!$J$6:$J$305="Approved")*(ROW('Leave Register'!$B$6:$B$305)-5)))=0,"",INDEX('Leave Register'!$D$6:$D$305,SUMPRODUCT(MAX(('Leave Register'!$B$6:$B$305=$A57)*('Leave Register'!$E$6:$E$305&lt;=C$5)*('Leave Register'!$F$6:$F$305&gt;=C$5)*('Leave Register'!$J$6:$J$305="Approved")*(ROW('Leave Register'!$B$6:$B$305)-5))))))</f>
        <v/>
      </c>
      <c r="D57" s="83" t="str">
        <f aca="false">IF(OR($A57="",D$5="",D$7&lt;&gt;"W"),"",IF(SUMPRODUCT(MAX(('Leave Register'!$B$6:$B$305=$A57)*('Leave Register'!$E$6:$E$305&lt;=D$5)*('Leave Register'!$F$6:$F$305&gt;=D$5)*('Leave Register'!$J$6:$J$305="Approved")*(ROW('Leave Register'!$B$6:$B$305)-5)))=0,"",INDEX('Leave Register'!$D$6:$D$305,SUMPRODUCT(MAX(('Leave Register'!$B$6:$B$305=$A57)*('Leave Register'!$E$6:$E$305&lt;=D$5)*('Leave Register'!$F$6:$F$305&gt;=D$5)*('Leave Register'!$J$6:$J$305="Approved")*(ROW('Leave Register'!$B$6:$B$305)-5))))))</f>
        <v/>
      </c>
      <c r="E57" s="83" t="str">
        <f aca="false">IF(OR($A57="",E$5="",E$7&lt;&gt;"W"),"",IF(SUMPRODUCT(MAX(('Leave Register'!$B$6:$B$305=$A57)*('Leave Register'!$E$6:$E$305&lt;=E$5)*('Leave Register'!$F$6:$F$305&gt;=E$5)*('Leave Register'!$J$6:$J$305="Approved")*(ROW('Leave Register'!$B$6:$B$305)-5)))=0,"",INDEX('Leave Register'!$D$6:$D$305,SUMPRODUCT(MAX(('Leave Register'!$B$6:$B$305=$A57)*('Leave Register'!$E$6:$E$305&lt;=E$5)*('Leave Register'!$F$6:$F$305&gt;=E$5)*('Leave Register'!$J$6:$J$305="Approved")*(ROW('Leave Register'!$B$6:$B$305)-5))))))</f>
        <v/>
      </c>
      <c r="F57" s="83" t="str">
        <f aca="false">IF(OR($A57="",F$5="",F$7&lt;&gt;"W"),"",IF(SUMPRODUCT(MAX(('Leave Register'!$B$6:$B$305=$A57)*('Leave Register'!$E$6:$E$305&lt;=F$5)*('Leave Register'!$F$6:$F$305&gt;=F$5)*('Leave Register'!$J$6:$J$305="Approved")*(ROW('Leave Register'!$B$6:$B$305)-5)))=0,"",INDEX('Leave Register'!$D$6:$D$305,SUMPRODUCT(MAX(('Leave Register'!$B$6:$B$305=$A57)*('Leave Register'!$E$6:$E$305&lt;=F$5)*('Leave Register'!$F$6:$F$305&gt;=F$5)*('Leave Register'!$J$6:$J$305="Approved")*(ROW('Leave Register'!$B$6:$B$305)-5))))))</f>
        <v/>
      </c>
      <c r="G57" s="83" t="str">
        <f aca="false">IF(OR($A57="",G$5="",G$7&lt;&gt;"W"),"",IF(SUMPRODUCT(MAX(('Leave Register'!$B$6:$B$305=$A57)*('Leave Register'!$E$6:$E$305&lt;=G$5)*('Leave Register'!$F$6:$F$305&gt;=G$5)*('Leave Register'!$J$6:$J$305="Approved")*(ROW('Leave Register'!$B$6:$B$305)-5)))=0,"",INDEX('Leave Register'!$D$6:$D$305,SUMPRODUCT(MAX(('Leave Register'!$B$6:$B$305=$A57)*('Leave Register'!$E$6:$E$305&lt;=G$5)*('Leave Register'!$F$6:$F$305&gt;=G$5)*('Leave Register'!$J$6:$J$305="Approved")*(ROW('Leave Register'!$B$6:$B$305)-5))))))</f>
        <v/>
      </c>
      <c r="H57" s="83" t="str">
        <f aca="false">IF(OR($A57="",H$5="",H$7&lt;&gt;"W"),"",IF(SUMPRODUCT(MAX(('Leave Register'!$B$6:$B$305=$A57)*('Leave Register'!$E$6:$E$305&lt;=H$5)*('Leave Register'!$F$6:$F$305&gt;=H$5)*('Leave Register'!$J$6:$J$305="Approved")*(ROW('Leave Register'!$B$6:$B$305)-5)))=0,"",INDEX('Leave Register'!$D$6:$D$305,SUMPRODUCT(MAX(('Leave Register'!$B$6:$B$305=$A57)*('Leave Register'!$E$6:$E$305&lt;=H$5)*('Leave Register'!$F$6:$F$305&gt;=H$5)*('Leave Register'!$J$6:$J$305="Approved")*(ROW('Leave Register'!$B$6:$B$305)-5))))))</f>
        <v/>
      </c>
      <c r="I57" s="83" t="str">
        <f aca="false">IF(OR($A57="",I$5="",I$7&lt;&gt;"W"),"",IF(SUMPRODUCT(MAX(('Leave Register'!$B$6:$B$305=$A57)*('Leave Register'!$E$6:$E$305&lt;=I$5)*('Leave Register'!$F$6:$F$305&gt;=I$5)*('Leave Register'!$J$6:$J$305="Approved")*(ROW('Leave Register'!$B$6:$B$305)-5)))=0,"",INDEX('Leave Register'!$D$6:$D$305,SUMPRODUCT(MAX(('Leave Register'!$B$6:$B$305=$A57)*('Leave Register'!$E$6:$E$305&lt;=I$5)*('Leave Register'!$F$6:$F$305&gt;=I$5)*('Leave Register'!$J$6:$J$305="Approved")*(ROW('Leave Register'!$B$6:$B$305)-5))))))</f>
        <v/>
      </c>
      <c r="J57" s="83" t="str">
        <f aca="false">IF(OR($A57="",J$5="",J$7&lt;&gt;"W"),"",IF(SUMPRODUCT(MAX(('Leave Register'!$B$6:$B$305=$A57)*('Leave Register'!$E$6:$E$305&lt;=J$5)*('Leave Register'!$F$6:$F$305&gt;=J$5)*('Leave Register'!$J$6:$J$305="Approved")*(ROW('Leave Register'!$B$6:$B$305)-5)))=0,"",INDEX('Leave Register'!$D$6:$D$305,SUMPRODUCT(MAX(('Leave Register'!$B$6:$B$305=$A57)*('Leave Register'!$E$6:$E$305&lt;=J$5)*('Leave Register'!$F$6:$F$305&gt;=J$5)*('Leave Register'!$J$6:$J$305="Approved")*(ROW('Leave Register'!$B$6:$B$305)-5))))))</f>
        <v/>
      </c>
      <c r="K57" s="83" t="str">
        <f aca="false">IF(OR($A57="",K$5="",K$7&lt;&gt;"W"),"",IF(SUMPRODUCT(MAX(('Leave Register'!$B$6:$B$305=$A57)*('Leave Register'!$E$6:$E$305&lt;=K$5)*('Leave Register'!$F$6:$F$305&gt;=K$5)*('Leave Register'!$J$6:$J$305="Approved")*(ROW('Leave Register'!$B$6:$B$305)-5)))=0,"",INDEX('Leave Register'!$D$6:$D$305,SUMPRODUCT(MAX(('Leave Register'!$B$6:$B$305=$A57)*('Leave Register'!$E$6:$E$305&lt;=K$5)*('Leave Register'!$F$6:$F$305&gt;=K$5)*('Leave Register'!$J$6:$J$305="Approved")*(ROW('Leave Register'!$B$6:$B$305)-5))))))</f>
        <v/>
      </c>
      <c r="L57" s="83" t="str">
        <f aca="false">IF(OR($A57="",L$5="",L$7&lt;&gt;"W"),"",IF(SUMPRODUCT(MAX(('Leave Register'!$B$6:$B$305=$A57)*('Leave Register'!$E$6:$E$305&lt;=L$5)*('Leave Register'!$F$6:$F$305&gt;=L$5)*('Leave Register'!$J$6:$J$305="Approved")*(ROW('Leave Register'!$B$6:$B$305)-5)))=0,"",INDEX('Leave Register'!$D$6:$D$305,SUMPRODUCT(MAX(('Leave Register'!$B$6:$B$305=$A57)*('Leave Register'!$E$6:$E$305&lt;=L$5)*('Leave Register'!$F$6:$F$305&gt;=L$5)*('Leave Register'!$J$6:$J$305="Approved")*(ROW('Leave Register'!$B$6:$B$305)-5))))))</f>
        <v/>
      </c>
      <c r="M57" s="83" t="str">
        <f aca="false">IF(OR($A57="",M$5="",M$7&lt;&gt;"W"),"",IF(SUMPRODUCT(MAX(('Leave Register'!$B$6:$B$305=$A57)*('Leave Register'!$E$6:$E$305&lt;=M$5)*('Leave Register'!$F$6:$F$305&gt;=M$5)*('Leave Register'!$J$6:$J$305="Approved")*(ROW('Leave Register'!$B$6:$B$305)-5)))=0,"",INDEX('Leave Register'!$D$6:$D$305,SUMPRODUCT(MAX(('Leave Register'!$B$6:$B$305=$A57)*('Leave Register'!$E$6:$E$305&lt;=M$5)*('Leave Register'!$F$6:$F$305&gt;=M$5)*('Leave Register'!$J$6:$J$305="Approved")*(ROW('Leave Register'!$B$6:$B$305)-5))))))</f>
        <v/>
      </c>
      <c r="N57" s="83" t="str">
        <f aca="false">IF(OR($A57="",N$5="",N$7&lt;&gt;"W"),"",IF(SUMPRODUCT(MAX(('Leave Register'!$B$6:$B$305=$A57)*('Leave Register'!$E$6:$E$305&lt;=N$5)*('Leave Register'!$F$6:$F$305&gt;=N$5)*('Leave Register'!$J$6:$J$305="Approved")*(ROW('Leave Register'!$B$6:$B$305)-5)))=0,"",INDEX('Leave Register'!$D$6:$D$305,SUMPRODUCT(MAX(('Leave Register'!$B$6:$B$305=$A57)*('Leave Register'!$E$6:$E$305&lt;=N$5)*('Leave Register'!$F$6:$F$305&gt;=N$5)*('Leave Register'!$J$6:$J$305="Approved")*(ROW('Leave Register'!$B$6:$B$305)-5))))))</f>
        <v/>
      </c>
      <c r="O57" s="83" t="str">
        <f aca="false">IF(OR($A57="",O$5="",O$7&lt;&gt;"W"),"",IF(SUMPRODUCT(MAX(('Leave Register'!$B$6:$B$305=$A57)*('Leave Register'!$E$6:$E$305&lt;=O$5)*('Leave Register'!$F$6:$F$305&gt;=O$5)*('Leave Register'!$J$6:$J$305="Approved")*(ROW('Leave Register'!$B$6:$B$305)-5)))=0,"",INDEX('Leave Register'!$D$6:$D$305,SUMPRODUCT(MAX(('Leave Register'!$B$6:$B$305=$A57)*('Leave Register'!$E$6:$E$305&lt;=O$5)*('Leave Register'!$F$6:$F$305&gt;=O$5)*('Leave Register'!$J$6:$J$305="Approved")*(ROW('Leave Register'!$B$6:$B$305)-5))))))</f>
        <v/>
      </c>
      <c r="P57" s="83" t="str">
        <f aca="false">IF(OR($A57="",P$5="",P$7&lt;&gt;"W"),"",IF(SUMPRODUCT(MAX(('Leave Register'!$B$6:$B$305=$A57)*('Leave Register'!$E$6:$E$305&lt;=P$5)*('Leave Register'!$F$6:$F$305&gt;=P$5)*('Leave Register'!$J$6:$J$305="Approved")*(ROW('Leave Register'!$B$6:$B$305)-5)))=0,"",INDEX('Leave Register'!$D$6:$D$305,SUMPRODUCT(MAX(('Leave Register'!$B$6:$B$305=$A57)*('Leave Register'!$E$6:$E$305&lt;=P$5)*('Leave Register'!$F$6:$F$305&gt;=P$5)*('Leave Register'!$J$6:$J$305="Approved")*(ROW('Leave Register'!$B$6:$B$305)-5))))))</f>
        <v/>
      </c>
      <c r="Q57" s="83" t="str">
        <f aca="false">IF(OR($A57="",Q$5="",Q$7&lt;&gt;"W"),"",IF(SUMPRODUCT(MAX(('Leave Register'!$B$6:$B$305=$A57)*('Leave Register'!$E$6:$E$305&lt;=Q$5)*('Leave Register'!$F$6:$F$305&gt;=Q$5)*('Leave Register'!$J$6:$J$305="Approved")*(ROW('Leave Register'!$B$6:$B$305)-5)))=0,"",INDEX('Leave Register'!$D$6:$D$305,SUMPRODUCT(MAX(('Leave Register'!$B$6:$B$305=$A57)*('Leave Register'!$E$6:$E$305&lt;=Q$5)*('Leave Register'!$F$6:$F$305&gt;=Q$5)*('Leave Register'!$J$6:$J$305="Approved")*(ROW('Leave Register'!$B$6:$B$305)-5))))))</f>
        <v/>
      </c>
      <c r="R57" s="83" t="str">
        <f aca="false">IF(OR($A57="",R$5="",R$7&lt;&gt;"W"),"",IF(SUMPRODUCT(MAX(('Leave Register'!$B$6:$B$305=$A57)*('Leave Register'!$E$6:$E$305&lt;=R$5)*('Leave Register'!$F$6:$F$305&gt;=R$5)*('Leave Register'!$J$6:$J$305="Approved")*(ROW('Leave Register'!$B$6:$B$305)-5)))=0,"",INDEX('Leave Register'!$D$6:$D$305,SUMPRODUCT(MAX(('Leave Register'!$B$6:$B$305=$A57)*('Leave Register'!$E$6:$E$305&lt;=R$5)*('Leave Register'!$F$6:$F$305&gt;=R$5)*('Leave Register'!$J$6:$J$305="Approved")*(ROW('Leave Register'!$B$6:$B$305)-5))))))</f>
        <v/>
      </c>
      <c r="S57" s="83" t="str">
        <f aca="false">IF(OR($A57="",S$5="",S$7&lt;&gt;"W"),"",IF(SUMPRODUCT(MAX(('Leave Register'!$B$6:$B$305=$A57)*('Leave Register'!$E$6:$E$305&lt;=S$5)*('Leave Register'!$F$6:$F$305&gt;=S$5)*('Leave Register'!$J$6:$J$305="Approved")*(ROW('Leave Register'!$B$6:$B$305)-5)))=0,"",INDEX('Leave Register'!$D$6:$D$305,SUMPRODUCT(MAX(('Leave Register'!$B$6:$B$305=$A57)*('Leave Register'!$E$6:$E$305&lt;=S$5)*('Leave Register'!$F$6:$F$305&gt;=S$5)*('Leave Register'!$J$6:$J$305="Approved")*(ROW('Leave Register'!$B$6:$B$305)-5))))))</f>
        <v/>
      </c>
      <c r="T57" s="83" t="str">
        <f aca="false">IF(OR($A57="",T$5="",T$7&lt;&gt;"W"),"",IF(SUMPRODUCT(MAX(('Leave Register'!$B$6:$B$305=$A57)*('Leave Register'!$E$6:$E$305&lt;=T$5)*('Leave Register'!$F$6:$F$305&gt;=T$5)*('Leave Register'!$J$6:$J$305="Approved")*(ROW('Leave Register'!$B$6:$B$305)-5)))=0,"",INDEX('Leave Register'!$D$6:$D$305,SUMPRODUCT(MAX(('Leave Register'!$B$6:$B$305=$A57)*('Leave Register'!$E$6:$E$305&lt;=T$5)*('Leave Register'!$F$6:$F$305&gt;=T$5)*('Leave Register'!$J$6:$J$305="Approved")*(ROW('Leave Register'!$B$6:$B$305)-5))))))</f>
        <v/>
      </c>
      <c r="U57" s="83" t="str">
        <f aca="false">IF(OR($A57="",U$5="",U$7&lt;&gt;"W"),"",IF(SUMPRODUCT(MAX(('Leave Register'!$B$6:$B$305=$A57)*('Leave Register'!$E$6:$E$305&lt;=U$5)*('Leave Register'!$F$6:$F$305&gt;=U$5)*('Leave Register'!$J$6:$J$305="Approved")*(ROW('Leave Register'!$B$6:$B$305)-5)))=0,"",INDEX('Leave Register'!$D$6:$D$305,SUMPRODUCT(MAX(('Leave Register'!$B$6:$B$305=$A57)*('Leave Register'!$E$6:$E$305&lt;=U$5)*('Leave Register'!$F$6:$F$305&gt;=U$5)*('Leave Register'!$J$6:$J$305="Approved")*(ROW('Leave Register'!$B$6:$B$305)-5))))))</f>
        <v/>
      </c>
      <c r="V57" s="83" t="str">
        <f aca="false">IF(OR($A57="",V$5="",V$7&lt;&gt;"W"),"",IF(SUMPRODUCT(MAX(('Leave Register'!$B$6:$B$305=$A57)*('Leave Register'!$E$6:$E$305&lt;=V$5)*('Leave Register'!$F$6:$F$305&gt;=V$5)*('Leave Register'!$J$6:$J$305="Approved")*(ROW('Leave Register'!$B$6:$B$305)-5)))=0,"",INDEX('Leave Register'!$D$6:$D$305,SUMPRODUCT(MAX(('Leave Register'!$B$6:$B$305=$A57)*('Leave Register'!$E$6:$E$305&lt;=V$5)*('Leave Register'!$F$6:$F$305&gt;=V$5)*('Leave Register'!$J$6:$J$305="Approved")*(ROW('Leave Register'!$B$6:$B$305)-5))))))</f>
        <v/>
      </c>
      <c r="W57" s="83" t="str">
        <f aca="false">IF(OR($A57="",W$5="",W$7&lt;&gt;"W"),"",IF(SUMPRODUCT(MAX(('Leave Register'!$B$6:$B$305=$A57)*('Leave Register'!$E$6:$E$305&lt;=W$5)*('Leave Register'!$F$6:$F$305&gt;=W$5)*('Leave Register'!$J$6:$J$305="Approved")*(ROW('Leave Register'!$B$6:$B$305)-5)))=0,"",INDEX('Leave Register'!$D$6:$D$305,SUMPRODUCT(MAX(('Leave Register'!$B$6:$B$305=$A57)*('Leave Register'!$E$6:$E$305&lt;=W$5)*('Leave Register'!$F$6:$F$305&gt;=W$5)*('Leave Register'!$J$6:$J$305="Approved")*(ROW('Leave Register'!$B$6:$B$305)-5))))))</f>
        <v/>
      </c>
      <c r="X57" s="83" t="str">
        <f aca="false">IF(OR($A57="",X$5="",X$7&lt;&gt;"W"),"",IF(SUMPRODUCT(MAX(('Leave Register'!$B$6:$B$305=$A57)*('Leave Register'!$E$6:$E$305&lt;=X$5)*('Leave Register'!$F$6:$F$305&gt;=X$5)*('Leave Register'!$J$6:$J$305="Approved")*(ROW('Leave Register'!$B$6:$B$305)-5)))=0,"",INDEX('Leave Register'!$D$6:$D$305,SUMPRODUCT(MAX(('Leave Register'!$B$6:$B$305=$A57)*('Leave Register'!$E$6:$E$305&lt;=X$5)*('Leave Register'!$F$6:$F$305&gt;=X$5)*('Leave Register'!$J$6:$J$305="Approved")*(ROW('Leave Register'!$B$6:$B$305)-5))))))</f>
        <v/>
      </c>
      <c r="Y57" s="83" t="str">
        <f aca="false">IF(OR($A57="",Y$5="",Y$7&lt;&gt;"W"),"",IF(SUMPRODUCT(MAX(('Leave Register'!$B$6:$B$305=$A57)*('Leave Register'!$E$6:$E$305&lt;=Y$5)*('Leave Register'!$F$6:$F$305&gt;=Y$5)*('Leave Register'!$J$6:$J$305="Approved")*(ROW('Leave Register'!$B$6:$B$305)-5)))=0,"",INDEX('Leave Register'!$D$6:$D$305,SUMPRODUCT(MAX(('Leave Register'!$B$6:$B$305=$A57)*('Leave Register'!$E$6:$E$305&lt;=Y$5)*('Leave Register'!$F$6:$F$305&gt;=Y$5)*('Leave Register'!$J$6:$J$305="Approved")*(ROW('Leave Register'!$B$6:$B$305)-5))))))</f>
        <v/>
      </c>
      <c r="Z57" s="83" t="str">
        <f aca="false">IF(OR($A57="",Z$5="",Z$7&lt;&gt;"W"),"",IF(SUMPRODUCT(MAX(('Leave Register'!$B$6:$B$305=$A57)*('Leave Register'!$E$6:$E$305&lt;=Z$5)*('Leave Register'!$F$6:$F$305&gt;=Z$5)*('Leave Register'!$J$6:$J$305="Approved")*(ROW('Leave Register'!$B$6:$B$305)-5)))=0,"",INDEX('Leave Register'!$D$6:$D$305,SUMPRODUCT(MAX(('Leave Register'!$B$6:$B$305=$A57)*('Leave Register'!$E$6:$E$305&lt;=Z$5)*('Leave Register'!$F$6:$F$305&gt;=Z$5)*('Leave Register'!$J$6:$J$305="Approved")*(ROW('Leave Register'!$B$6:$B$305)-5))))))</f>
        <v/>
      </c>
      <c r="AA57" s="83" t="str">
        <f aca="false">IF(OR($A57="",AA$5="",AA$7&lt;&gt;"W"),"",IF(SUMPRODUCT(MAX(('Leave Register'!$B$6:$B$305=$A57)*('Leave Register'!$E$6:$E$305&lt;=AA$5)*('Leave Register'!$F$6:$F$305&gt;=AA$5)*('Leave Register'!$J$6:$J$305="Approved")*(ROW('Leave Register'!$B$6:$B$305)-5)))=0,"",INDEX('Leave Register'!$D$6:$D$305,SUMPRODUCT(MAX(('Leave Register'!$B$6:$B$305=$A57)*('Leave Register'!$E$6:$E$305&lt;=AA$5)*('Leave Register'!$F$6:$F$305&gt;=AA$5)*('Leave Register'!$J$6:$J$305="Approved")*(ROW('Leave Register'!$B$6:$B$305)-5))))))</f>
        <v/>
      </c>
      <c r="AB57" s="83" t="str">
        <f aca="false">IF(OR($A57="",AB$5="",AB$7&lt;&gt;"W"),"",IF(SUMPRODUCT(MAX(('Leave Register'!$B$6:$B$305=$A57)*('Leave Register'!$E$6:$E$305&lt;=AB$5)*('Leave Register'!$F$6:$F$305&gt;=AB$5)*('Leave Register'!$J$6:$J$305="Approved")*(ROW('Leave Register'!$B$6:$B$305)-5)))=0,"",INDEX('Leave Register'!$D$6:$D$305,SUMPRODUCT(MAX(('Leave Register'!$B$6:$B$305=$A57)*('Leave Register'!$E$6:$E$305&lt;=AB$5)*('Leave Register'!$F$6:$F$305&gt;=AB$5)*('Leave Register'!$J$6:$J$305="Approved")*(ROW('Leave Register'!$B$6:$B$305)-5))))))</f>
        <v/>
      </c>
      <c r="AC57" s="83" t="str">
        <f aca="false">IF(OR($A57="",AC$5="",AC$7&lt;&gt;"W"),"",IF(SUMPRODUCT(MAX(('Leave Register'!$B$6:$B$305=$A57)*('Leave Register'!$E$6:$E$305&lt;=AC$5)*('Leave Register'!$F$6:$F$305&gt;=AC$5)*('Leave Register'!$J$6:$J$305="Approved")*(ROW('Leave Register'!$B$6:$B$305)-5)))=0,"",INDEX('Leave Register'!$D$6:$D$305,SUMPRODUCT(MAX(('Leave Register'!$B$6:$B$305=$A57)*('Leave Register'!$E$6:$E$305&lt;=AC$5)*('Leave Register'!$F$6:$F$305&gt;=AC$5)*('Leave Register'!$J$6:$J$305="Approved")*(ROW('Leave Register'!$B$6:$B$305)-5))))))</f>
        <v/>
      </c>
      <c r="AD57" s="83" t="str">
        <f aca="false">IF(OR($A57="",AD$5="",AD$7&lt;&gt;"W"),"",IF(SUMPRODUCT(MAX(('Leave Register'!$B$6:$B$305=$A57)*('Leave Register'!$E$6:$E$305&lt;=AD$5)*('Leave Register'!$F$6:$F$305&gt;=AD$5)*('Leave Register'!$J$6:$J$305="Approved")*(ROW('Leave Register'!$B$6:$B$305)-5)))=0,"",INDEX('Leave Register'!$D$6:$D$305,SUMPRODUCT(MAX(('Leave Register'!$B$6:$B$305=$A57)*('Leave Register'!$E$6:$E$305&lt;=AD$5)*('Leave Register'!$F$6:$F$305&gt;=AD$5)*('Leave Register'!$J$6:$J$305="Approved")*(ROW('Leave Register'!$B$6:$B$305)-5))))))</f>
        <v/>
      </c>
      <c r="AE57" s="83" t="str">
        <f aca="false">IF(OR($A57="",AE$5="",AE$7&lt;&gt;"W"),"",IF(SUMPRODUCT(MAX(('Leave Register'!$B$6:$B$305=$A57)*('Leave Register'!$E$6:$E$305&lt;=AE$5)*('Leave Register'!$F$6:$F$305&gt;=AE$5)*('Leave Register'!$J$6:$J$305="Approved")*(ROW('Leave Register'!$B$6:$B$305)-5)))=0,"",INDEX('Leave Register'!$D$6:$D$305,SUMPRODUCT(MAX(('Leave Register'!$B$6:$B$305=$A57)*('Leave Register'!$E$6:$E$305&lt;=AE$5)*('Leave Register'!$F$6:$F$305&gt;=AE$5)*('Leave Register'!$J$6:$J$305="Approved")*(ROW('Leave Register'!$B$6:$B$305)-5))))))</f>
        <v/>
      </c>
      <c r="AF57" s="83" t="str">
        <f aca="false">IF(OR($A57="",AF$5="",AF$7&lt;&gt;"W"),"",IF(SUMPRODUCT(MAX(('Leave Register'!$B$6:$B$305=$A57)*('Leave Register'!$E$6:$E$305&lt;=AF$5)*('Leave Register'!$F$6:$F$305&gt;=AF$5)*('Leave Register'!$J$6:$J$305="Approved")*(ROW('Leave Register'!$B$6:$B$305)-5)))=0,"",INDEX('Leave Register'!$D$6:$D$305,SUMPRODUCT(MAX(('Leave Register'!$B$6:$B$305=$A57)*('Leave Register'!$E$6:$E$305&lt;=AF$5)*('Leave Register'!$F$6:$F$305&gt;=AF$5)*('Leave Register'!$J$6:$J$305="Approved")*(ROW('Leave Register'!$B$6:$B$305)-5))))))</f>
        <v/>
      </c>
      <c r="AG57" s="83" t="str">
        <f aca="false">IF(OR($A57="",AG$5="",AG$7&lt;&gt;"W"),"",IF(SUMPRODUCT(MAX(('Leave Register'!$B$6:$B$305=$A57)*('Leave Register'!$E$6:$E$305&lt;=AG$5)*('Leave Register'!$F$6:$F$305&gt;=AG$5)*('Leave Register'!$J$6:$J$305="Approved")*(ROW('Leave Register'!$B$6:$B$305)-5)))=0,"",INDEX('Leave Register'!$D$6:$D$305,SUMPRODUCT(MAX(('Leave Register'!$B$6:$B$305=$A57)*('Leave Register'!$E$6:$E$305&lt;=AG$5)*('Leave Register'!$F$6:$F$305&gt;=AG$5)*('Leave Register'!$J$6:$J$305="Approved")*(ROW('Leave Register'!$B$6:$B$305)-5))))))</f>
        <v/>
      </c>
      <c r="AH57" s="84" t="str">
        <f aca="false">IF(A57="","",COUNTIF(C57:AG57,"?*"))</f>
        <v/>
      </c>
    </row>
  </sheetData>
  <sheetProtection sheet="1" objects="1" scenarios="1" formatColumns="0" formatRows="0" algorithmName="SHA-512" hashValue="5tE0tHOZn3fT7kzqzfwkTLoN7xgQbJFnK3eL5pXPqODqn5UK9jBm18mCW4hFvQAHAkPrPsPQZTiFrI9Aj7mIFA==" saltValue="F86XUQQKeinxqg2dNCFVHQ==" spinCount="100000"/>
  <mergeCells count="5">
    <mergeCell ref="A2:AH2"/>
    <mergeCell ref="A3:B3"/>
    <mergeCell ref="C3:G3"/>
    <mergeCell ref="I3:AH3"/>
    <mergeCell ref="AH5:AH7"/>
  </mergeCells>
  <conditionalFormatting sqref="C8:AG57">
    <cfRule type="expression" priority="2" aboveAverage="0" equalAverage="0" bottom="0" percent="0" rank="0" text="" dxfId="19">
      <formula>C$7="WO"</formula>
    </cfRule>
    <cfRule type="expression" priority="3" aboveAverage="0" equalAverage="0" bottom="0" percent="0" rank="0" text="" dxfId="20">
      <formula>C$7="H"</formula>
    </cfRule>
    <cfRule type="expression" priority="4" aboveAverage="0" equalAverage="0" bottom="0" percent="0" rank="0" text="" dxfId="21">
      <formula>AND(C8&lt;&gt;"",C8=Setup!$A$18)</formula>
    </cfRule>
    <cfRule type="expression" priority="5" aboveAverage="0" equalAverage="0" bottom="0" percent="0" rank="0" text="" dxfId="20">
      <formula>AND(C8&lt;&gt;"",C8=Setup!$A$19)</formula>
    </cfRule>
    <cfRule type="expression" priority="6" aboveAverage="0" equalAverage="0" bottom="0" percent="0" rank="0" text="" dxfId="22">
      <formula>AND(C8&lt;&gt;"",C8=Setup!$A$20)</formula>
    </cfRule>
    <cfRule type="expression" priority="7" aboveAverage="0" equalAverage="0" bottom="0" percent="0" rank="0" text="" dxfId="23">
      <formula>AND(C8&lt;&gt;"",C8=Setup!$A$21)</formula>
    </cfRule>
    <cfRule type="expression" priority="8" aboveAverage="0" equalAverage="0" bottom="0" percent="0" rank="0" text="" dxfId="0">
      <formula>AND(C8&lt;&gt;"",C8=Setup!$A$22)</formula>
    </cfRule>
    <cfRule type="expression" priority="9" aboveAverage="0" equalAverage="0" bottom="0" percent="0" rank="0" text="" dxfId="24">
      <formula>AND(C8&lt;&gt;"",C8=Setup!$A$23)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1:J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3" min="2" style="0" width="14"/>
    <col collapsed="false" customWidth="true" hidden="false" outlineLevel="0" max="5" min="4" style="0" width="12"/>
    <col collapsed="false" customWidth="true" hidden="false" outlineLevel="0" max="6" min="6" style="0" width="10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1.51"/>
  </cols>
  <sheetData>
    <row r="1" customFormat="false" ht="15" hidden="false" customHeight="false" outlineLevel="0" collapsed="false">
      <c r="B1" s="89" t="s">
        <v>21</v>
      </c>
    </row>
    <row r="3" customFormat="false" ht="28.35" hidden="false" customHeight="false" outlineLevel="0" collapsed="false">
      <c r="B3" s="90" t="s">
        <v>168</v>
      </c>
      <c r="C3" s="126" t="s">
        <v>111</v>
      </c>
      <c r="D3" s="48" t="s">
        <v>169</v>
      </c>
      <c r="E3" s="48"/>
      <c r="F3" s="48"/>
      <c r="G3" s="48"/>
      <c r="H3" s="48"/>
      <c r="J3" s="92" t="n">
        <f aca="false">IFERROR(MATCH(C3,Balance!$B$6:$B$55,0),0)</f>
        <v>1</v>
      </c>
    </row>
    <row r="5" customFormat="false" ht="18.65" hidden="false" customHeight="false" outlineLevel="0" collapsed="false">
      <c r="B5" s="93" t="str">
        <f aca="false">Setup!C4</f>
        <v>Xplore Excel Pvt. Ltd.</v>
      </c>
      <c r="C5" s="93"/>
      <c r="D5" s="93"/>
      <c r="E5" s="93"/>
      <c r="F5" s="93"/>
      <c r="G5" s="93"/>
      <c r="H5" s="93"/>
    </row>
    <row r="6" customFormat="false" ht="27.75" hidden="false" customHeight="true" outlineLevel="0" collapsed="false">
      <c r="B6" s="94" t="s">
        <v>170</v>
      </c>
      <c r="C6" s="94"/>
      <c r="D6" s="94"/>
      <c r="E6" s="94"/>
      <c r="F6" s="94"/>
      <c r="G6" s="94"/>
      <c r="H6" s="94"/>
    </row>
    <row r="7" customFormat="false" ht="15" hidden="false" customHeight="false" outlineLevel="0" collapsed="false">
      <c r="B7" s="95" t="str">
        <f aca="false">"Leave year "&amp;TEXT(Setup!$C$12,"dd-mmm-yyyy")&amp;" to "&amp;TEXT(Setup!$C$13,"dd-mmm-yyyy")&amp;"   |   Balance as on "&amp;TEXT(Setup!$C$9,"dd-mmm-yyyy")</f>
        <v>Leave year 01-Jan-2026 to 31-Dec-2026   |   Balance as on 30-Sep-2026</v>
      </c>
      <c r="C7" s="95"/>
      <c r="D7" s="95"/>
      <c r="E7" s="95"/>
      <c r="F7" s="95"/>
      <c r="G7" s="95"/>
      <c r="H7" s="95"/>
    </row>
    <row r="9" customFormat="false" ht="15" hidden="false" customHeight="true" outlineLevel="0" collapsed="false">
      <c r="B9" s="96" t="s">
        <v>107</v>
      </c>
      <c r="C9" s="97" t="str">
        <f aca="false">C3</f>
        <v>XE001</v>
      </c>
      <c r="D9" s="97"/>
      <c r="E9" s="96" t="s">
        <v>171</v>
      </c>
      <c r="F9" s="96"/>
      <c r="G9" s="97" t="str">
        <f aca="false">IF($J$3=0,"",INDEX(Employees!$C$5:$C$54,$J$3))</f>
        <v>Harpreet Singh</v>
      </c>
      <c r="H9" s="97"/>
    </row>
    <row r="10" customFormat="false" ht="15" hidden="false" customHeight="true" outlineLevel="0" collapsed="false">
      <c r="B10" s="96" t="s">
        <v>109</v>
      </c>
      <c r="C10" s="97" t="str">
        <f aca="false">IF($J$3=0,"",INDEX(Employees!$D$5:$D$54,$J$3))</f>
        <v>Accounts</v>
      </c>
      <c r="D10" s="97"/>
      <c r="E10" s="96" t="s">
        <v>110</v>
      </c>
      <c r="F10" s="96"/>
      <c r="G10" s="98" t="n">
        <f aca="false">IF($J$3=0,"",INDEX(Employees!$E$5:$E$54,$J$3))</f>
        <v>44287</v>
      </c>
      <c r="H10" s="98"/>
    </row>
    <row r="12" customFormat="false" ht="15" hidden="false" customHeight="true" outlineLevel="0" collapsed="false">
      <c r="B12" s="99" t="s">
        <v>68</v>
      </c>
      <c r="C12" s="99"/>
      <c r="D12" s="99" t="s">
        <v>156</v>
      </c>
      <c r="E12" s="99" t="s">
        <v>157</v>
      </c>
      <c r="F12" s="99" t="s">
        <v>158</v>
      </c>
    </row>
    <row r="13" customFormat="false" ht="15" hidden="false" customHeight="false" outlineLevel="0" collapsed="false">
      <c r="B13" s="100" t="str">
        <f aca="false">Setup!A18&amp;" – "&amp;Setup!B18</f>
        <v>CL – Casual Leave</v>
      </c>
      <c r="C13" s="100"/>
      <c r="D13" s="101" t="n">
        <f aca="false">IF($J$3=0,"",INDEX(Balance!F$6:F$55,$J$3))</f>
        <v>12</v>
      </c>
      <c r="E13" s="101" t="n">
        <f aca="false">IF($J$3=0,"",INDEX(Balance!G$6:G$55,$J$3))</f>
        <v>2</v>
      </c>
      <c r="F13" s="102" t="n">
        <f aca="false">IF($J$3=0,"",INDEX(Balance!H$6:H$55,$J$3))</f>
        <v>10</v>
      </c>
      <c r="G13" s="103" t="s">
        <v>159</v>
      </c>
      <c r="H13" s="104" t="n">
        <f aca="false">IF($J$3=0,"",INDEX(Balance!X$6:X$55,$J$3))</f>
        <v>0</v>
      </c>
    </row>
    <row r="14" customFormat="false" ht="15" hidden="false" customHeight="false" outlineLevel="0" collapsed="false">
      <c r="B14" s="100" t="str">
        <f aca="false">Setup!A19&amp;" – "&amp;Setup!B19</f>
        <v>SL – Sick Leave</v>
      </c>
      <c r="C14" s="100"/>
      <c r="D14" s="101" t="n">
        <f aca="false">IF($J$3=0,"",INDEX(Balance!I$6:I$55,$J$3))</f>
        <v>22</v>
      </c>
      <c r="E14" s="101" t="n">
        <f aca="false">IF($J$3=0,"",INDEX(Balance!J$6:J$55,$J$3))</f>
        <v>0</v>
      </c>
      <c r="F14" s="102" t="n">
        <f aca="false">IF($J$3=0,"",INDEX(Balance!K$6:K$55,$J$3))</f>
        <v>22</v>
      </c>
      <c r="G14" s="103" t="s">
        <v>160</v>
      </c>
      <c r="H14" s="105" t="n">
        <f aca="false">IF($J$3=0,"",INDEX(Balance!Y$6:Y$55,$J$3))</f>
        <v>0</v>
      </c>
    </row>
    <row r="15" customFormat="false" ht="15" hidden="false" customHeight="false" outlineLevel="0" collapsed="false">
      <c r="B15" s="100" t="str">
        <f aca="false">Setup!A20&amp;" – "&amp;Setup!B20</f>
        <v>EL – Earned / Privilege Leave</v>
      </c>
      <c r="C15" s="100"/>
      <c r="D15" s="101" t="n">
        <f aca="false">IF($J$3=0,"",INDEX(Balance!L$6:L$55,$J$3))</f>
        <v>33.5</v>
      </c>
      <c r="E15" s="101" t="n">
        <f aca="false">IF($J$3=0,"",INDEX(Balance!M$6:M$55,$J$3))</f>
        <v>6</v>
      </c>
      <c r="F15" s="102" t="n">
        <f aca="false">IF($J$3=0,"",INDEX(Balance!N$6:N$55,$J$3))</f>
        <v>27.5</v>
      </c>
    </row>
    <row r="16" customFormat="false" ht="15" hidden="false" customHeight="false" outlineLevel="0" collapsed="false">
      <c r="B16" s="100" t="str">
        <f aca="false">Setup!A21&amp;" – "&amp;Setup!B21</f>
        <v>CO – Compensatory Off</v>
      </c>
      <c r="C16" s="100"/>
      <c r="D16" s="101" t="n">
        <f aca="false">IF($J$3=0,"",INDEX(Balance!O$6:O$55,$J$3))</f>
        <v>1</v>
      </c>
      <c r="E16" s="101" t="n">
        <f aca="false">IF($J$3=0,"",INDEX(Balance!P$6:P$55,$J$3))</f>
        <v>0</v>
      </c>
      <c r="F16" s="102" t="n">
        <f aca="false">IF($J$3=0,"",INDEX(Balance!Q$6:Q$55,$J$3))</f>
        <v>1</v>
      </c>
    </row>
    <row r="17" customFormat="false" ht="15" hidden="false" customHeight="false" outlineLevel="0" collapsed="false">
      <c r="B17" s="100" t="str">
        <f aca="false">Setup!A22&amp;" – "&amp;Setup!B22</f>
        <v>LWP – Leave Without Pay</v>
      </c>
      <c r="C17" s="100"/>
      <c r="D17" s="101" t="str">
        <f aca="false">IF($J$3=0,"",INDEX(Balance!R$6:R$55,$J$3))</f>
        <v/>
      </c>
      <c r="E17" s="101" t="n">
        <f aca="false">IF($J$3=0,"",INDEX(Balance!S$6:S$55,$J$3))</f>
        <v>0</v>
      </c>
      <c r="F17" s="102" t="str">
        <f aca="false">IF($J$3=0,"",INDEX(Balance!T$6:T$55,$J$3))</f>
        <v/>
      </c>
    </row>
    <row r="18" customFormat="false" ht="15" hidden="false" customHeight="false" outlineLevel="0" collapsed="false">
      <c r="B18" s="100" t="str">
        <f aca="false">Setup!A23&amp;" – "&amp;Setup!B23</f>
        <v>OL – Other Leave</v>
      </c>
      <c r="C18" s="100"/>
      <c r="D18" s="101" t="str">
        <f aca="false">IF($J$3=0,"",INDEX(Balance!U$6:U$55,$J$3))</f>
        <v/>
      </c>
      <c r="E18" s="101" t="n">
        <f aca="false">IF($J$3=0,"",INDEX(Balance!V$6:V$55,$J$3))</f>
        <v>0</v>
      </c>
      <c r="F18" s="102" t="str">
        <f aca="false">IF($J$3=0,"",INDEX(Balance!W$6:W$55,$J$3))</f>
        <v/>
      </c>
    </row>
    <row r="20" customFormat="false" ht="15" hidden="false" customHeight="true" outlineLevel="0" collapsed="false">
      <c r="B20" s="106" t="s">
        <v>172</v>
      </c>
      <c r="C20" s="106"/>
      <c r="D20" s="106"/>
      <c r="E20" s="106"/>
      <c r="F20" s="106"/>
      <c r="G20" s="106"/>
      <c r="H20" s="106"/>
    </row>
    <row r="21" customFormat="false" ht="15" hidden="false" customHeight="false" outlineLevel="0" collapsed="false">
      <c r="B21" s="99" t="s">
        <v>173</v>
      </c>
      <c r="C21" s="99" t="s">
        <v>129</v>
      </c>
      <c r="D21" s="99" t="s">
        <v>130</v>
      </c>
      <c r="E21" s="99" t="s">
        <v>174</v>
      </c>
      <c r="F21" s="99" t="s">
        <v>134</v>
      </c>
      <c r="G21" s="99" t="s">
        <v>133</v>
      </c>
      <c r="H21" s="99" t="s">
        <v>135</v>
      </c>
    </row>
    <row r="22" customFormat="false" ht="15" hidden="false" customHeight="false" outlineLevel="0" collapsed="false">
      <c r="B22" s="107" t="str">
        <f aca="false">IFERROR(INDEX('Leave Register'!$D$6:$D$305,MATCH(1,'Leave Register'!$M$6:$M$305,0)),"")</f>
        <v>CL</v>
      </c>
      <c r="C22" s="108" t="n">
        <f aca="false">IFERROR(INDEX('Leave Register'!$E$6:$E$305,MATCH(1,'Leave Register'!$M$6:$M$305,0)),"")</f>
        <v>46062</v>
      </c>
      <c r="D22" s="108" t="n">
        <f aca="false">IFERROR(INDEX('Leave Register'!$F$6:$F$305,MATCH(1,'Leave Register'!$M$6:$M$305,0)),"")</f>
        <v>46063</v>
      </c>
      <c r="E22" s="101" t="n">
        <f aca="false">IFERROR(INDEX('Leave Register'!$H$6:$H$305,MATCH(1,'Leave Register'!$M$6:$M$305,0)),"")</f>
        <v>2</v>
      </c>
      <c r="F22" s="107" t="str">
        <f aca="false">IFERROR(INDEX('Leave Register'!$J$6:$J$305,MATCH(1,'Leave Register'!$M$6:$M$305,0)),"")</f>
        <v>Approved</v>
      </c>
      <c r="G22" s="100" t="str">
        <f aca="false">IFERROR(INDEX('Leave Register'!$I$6:$I$305,MATCH(1,'Leave Register'!$M$6:$M$305,0)),"")</f>
        <v>Family function</v>
      </c>
      <c r="H22" s="107" t="str">
        <f aca="false">IFERROR(INDEX('Leave Register'!$K$6:$K$305,MATCH(1,'Leave Register'!$M$6:$M$305,0)),"")</f>
        <v>Manager</v>
      </c>
    </row>
    <row r="23" customFormat="false" ht="15" hidden="false" customHeight="false" outlineLevel="0" collapsed="false">
      <c r="B23" s="107" t="str">
        <f aca="false">IFERROR(INDEX('Leave Register'!$D$6:$D$305,MATCH(2,'Leave Register'!$M$6:$M$305,0)),"")</f>
        <v>EL</v>
      </c>
      <c r="C23" s="108" t="n">
        <f aca="false">IFERROR(INDEX('Leave Register'!$E$6:$E$305,MATCH(2,'Leave Register'!$M$6:$M$305,0)),"")</f>
        <v>46167</v>
      </c>
      <c r="D23" s="108" t="n">
        <f aca="false">IFERROR(INDEX('Leave Register'!$F$6:$F$305,MATCH(2,'Leave Register'!$M$6:$M$305,0)),"")</f>
        <v>46172</v>
      </c>
      <c r="E23" s="101" t="n">
        <f aca="false">IFERROR(INDEX('Leave Register'!$H$6:$H$305,MATCH(2,'Leave Register'!$M$6:$M$305,0)),"")</f>
        <v>6</v>
      </c>
      <c r="F23" s="107" t="str">
        <f aca="false">IFERROR(INDEX('Leave Register'!$J$6:$J$305,MATCH(2,'Leave Register'!$M$6:$M$305,0)),"")</f>
        <v>Approved</v>
      </c>
      <c r="G23" s="100" t="str">
        <f aca="false">IFERROR(INDEX('Leave Register'!$I$6:$I$305,MATCH(2,'Leave Register'!$M$6:$M$305,0)),"")</f>
        <v>Vacation</v>
      </c>
      <c r="H23" s="107" t="str">
        <f aca="false">IFERROR(INDEX('Leave Register'!$K$6:$K$305,MATCH(2,'Leave Register'!$M$6:$M$305,0)),"")</f>
        <v>Manager</v>
      </c>
    </row>
    <row r="24" customFormat="false" ht="15" hidden="false" customHeight="false" outlineLevel="0" collapsed="false">
      <c r="B24" s="107" t="str">
        <f aca="false">IFERROR(INDEX('Leave Register'!$D$6:$D$305,MATCH(3,'Leave Register'!$M$6:$M$305,0)),"")</f>
        <v/>
      </c>
      <c r="C24" s="108" t="str">
        <f aca="false">IFERROR(INDEX('Leave Register'!$E$6:$E$305,MATCH(3,'Leave Register'!$M$6:$M$305,0)),"")</f>
        <v/>
      </c>
      <c r="D24" s="108" t="str">
        <f aca="false">IFERROR(INDEX('Leave Register'!$F$6:$F$305,MATCH(3,'Leave Register'!$M$6:$M$305,0)),"")</f>
        <v/>
      </c>
      <c r="E24" s="101" t="str">
        <f aca="false">IFERROR(INDEX('Leave Register'!$H$6:$H$305,MATCH(3,'Leave Register'!$M$6:$M$305,0)),"")</f>
        <v/>
      </c>
      <c r="F24" s="107" t="str">
        <f aca="false">IFERROR(INDEX('Leave Register'!$J$6:$J$305,MATCH(3,'Leave Register'!$M$6:$M$305,0)),"")</f>
        <v/>
      </c>
      <c r="G24" s="100" t="str">
        <f aca="false">IFERROR(INDEX('Leave Register'!$I$6:$I$305,MATCH(3,'Leave Register'!$M$6:$M$305,0)),"")</f>
        <v/>
      </c>
      <c r="H24" s="107" t="str">
        <f aca="false">IFERROR(INDEX('Leave Register'!$K$6:$K$305,MATCH(3,'Leave Register'!$M$6:$M$305,0)),"")</f>
        <v/>
      </c>
    </row>
    <row r="25" customFormat="false" ht="15" hidden="false" customHeight="false" outlineLevel="0" collapsed="false">
      <c r="B25" s="107" t="str">
        <f aca="false">IFERROR(INDEX('Leave Register'!$D$6:$D$305,MATCH(4,'Leave Register'!$M$6:$M$305,0)),"")</f>
        <v/>
      </c>
      <c r="C25" s="108" t="str">
        <f aca="false">IFERROR(INDEX('Leave Register'!$E$6:$E$305,MATCH(4,'Leave Register'!$M$6:$M$305,0)),"")</f>
        <v/>
      </c>
      <c r="D25" s="108" t="str">
        <f aca="false">IFERROR(INDEX('Leave Register'!$F$6:$F$305,MATCH(4,'Leave Register'!$M$6:$M$305,0)),"")</f>
        <v/>
      </c>
      <c r="E25" s="101" t="str">
        <f aca="false">IFERROR(INDEX('Leave Register'!$H$6:$H$305,MATCH(4,'Leave Register'!$M$6:$M$305,0)),"")</f>
        <v/>
      </c>
      <c r="F25" s="107" t="str">
        <f aca="false">IFERROR(INDEX('Leave Register'!$J$6:$J$305,MATCH(4,'Leave Register'!$M$6:$M$305,0)),"")</f>
        <v/>
      </c>
      <c r="G25" s="100" t="str">
        <f aca="false">IFERROR(INDEX('Leave Register'!$I$6:$I$305,MATCH(4,'Leave Register'!$M$6:$M$305,0)),"")</f>
        <v/>
      </c>
      <c r="H25" s="107" t="str">
        <f aca="false">IFERROR(INDEX('Leave Register'!$K$6:$K$305,MATCH(4,'Leave Register'!$M$6:$M$305,0)),"")</f>
        <v/>
      </c>
    </row>
    <row r="26" customFormat="false" ht="15" hidden="false" customHeight="false" outlineLevel="0" collapsed="false">
      <c r="B26" s="107" t="str">
        <f aca="false">IFERROR(INDEX('Leave Register'!$D$6:$D$305,MATCH(5,'Leave Register'!$M$6:$M$305,0)),"")</f>
        <v/>
      </c>
      <c r="C26" s="108" t="str">
        <f aca="false">IFERROR(INDEX('Leave Register'!$E$6:$E$305,MATCH(5,'Leave Register'!$M$6:$M$305,0)),"")</f>
        <v/>
      </c>
      <c r="D26" s="108" t="str">
        <f aca="false">IFERROR(INDEX('Leave Register'!$F$6:$F$305,MATCH(5,'Leave Register'!$M$6:$M$305,0)),"")</f>
        <v/>
      </c>
      <c r="E26" s="101" t="str">
        <f aca="false">IFERROR(INDEX('Leave Register'!$H$6:$H$305,MATCH(5,'Leave Register'!$M$6:$M$305,0)),"")</f>
        <v/>
      </c>
      <c r="F26" s="107" t="str">
        <f aca="false">IFERROR(INDEX('Leave Register'!$J$6:$J$305,MATCH(5,'Leave Register'!$M$6:$M$305,0)),"")</f>
        <v/>
      </c>
      <c r="G26" s="100" t="str">
        <f aca="false">IFERROR(INDEX('Leave Register'!$I$6:$I$305,MATCH(5,'Leave Register'!$M$6:$M$305,0)),"")</f>
        <v/>
      </c>
      <c r="H26" s="107" t="str">
        <f aca="false">IFERROR(INDEX('Leave Register'!$K$6:$K$305,MATCH(5,'Leave Register'!$M$6:$M$305,0)),"")</f>
        <v/>
      </c>
    </row>
    <row r="27" customFormat="false" ht="15" hidden="false" customHeight="false" outlineLevel="0" collapsed="false">
      <c r="B27" s="107" t="str">
        <f aca="false">IFERROR(INDEX('Leave Register'!$D$6:$D$305,MATCH(6,'Leave Register'!$M$6:$M$305,0)),"")</f>
        <v/>
      </c>
      <c r="C27" s="108" t="str">
        <f aca="false">IFERROR(INDEX('Leave Register'!$E$6:$E$305,MATCH(6,'Leave Register'!$M$6:$M$305,0)),"")</f>
        <v/>
      </c>
      <c r="D27" s="108" t="str">
        <f aca="false">IFERROR(INDEX('Leave Register'!$F$6:$F$305,MATCH(6,'Leave Register'!$M$6:$M$305,0)),"")</f>
        <v/>
      </c>
      <c r="E27" s="101" t="str">
        <f aca="false">IFERROR(INDEX('Leave Register'!$H$6:$H$305,MATCH(6,'Leave Register'!$M$6:$M$305,0)),"")</f>
        <v/>
      </c>
      <c r="F27" s="107" t="str">
        <f aca="false">IFERROR(INDEX('Leave Register'!$J$6:$J$305,MATCH(6,'Leave Register'!$M$6:$M$305,0)),"")</f>
        <v/>
      </c>
      <c r="G27" s="100" t="str">
        <f aca="false">IFERROR(INDEX('Leave Register'!$I$6:$I$305,MATCH(6,'Leave Register'!$M$6:$M$305,0)),"")</f>
        <v/>
      </c>
      <c r="H27" s="107" t="str">
        <f aca="false">IFERROR(INDEX('Leave Register'!$K$6:$K$305,MATCH(6,'Leave Register'!$M$6:$M$305,0)),"")</f>
        <v/>
      </c>
    </row>
    <row r="28" customFormat="false" ht="15" hidden="false" customHeight="false" outlineLevel="0" collapsed="false">
      <c r="B28" s="107" t="str">
        <f aca="false">IFERROR(INDEX('Leave Register'!$D$6:$D$305,MATCH(7,'Leave Register'!$M$6:$M$305,0)),"")</f>
        <v/>
      </c>
      <c r="C28" s="108" t="str">
        <f aca="false">IFERROR(INDEX('Leave Register'!$E$6:$E$305,MATCH(7,'Leave Register'!$M$6:$M$305,0)),"")</f>
        <v/>
      </c>
      <c r="D28" s="108" t="str">
        <f aca="false">IFERROR(INDEX('Leave Register'!$F$6:$F$305,MATCH(7,'Leave Register'!$M$6:$M$305,0)),"")</f>
        <v/>
      </c>
      <c r="E28" s="101" t="str">
        <f aca="false">IFERROR(INDEX('Leave Register'!$H$6:$H$305,MATCH(7,'Leave Register'!$M$6:$M$305,0)),"")</f>
        <v/>
      </c>
      <c r="F28" s="107" t="str">
        <f aca="false">IFERROR(INDEX('Leave Register'!$J$6:$J$305,MATCH(7,'Leave Register'!$M$6:$M$305,0)),"")</f>
        <v/>
      </c>
      <c r="G28" s="100" t="str">
        <f aca="false">IFERROR(INDEX('Leave Register'!$I$6:$I$305,MATCH(7,'Leave Register'!$M$6:$M$305,0)),"")</f>
        <v/>
      </c>
      <c r="H28" s="107" t="str">
        <f aca="false">IFERROR(INDEX('Leave Register'!$K$6:$K$305,MATCH(7,'Leave Register'!$M$6:$M$305,0)),"")</f>
        <v/>
      </c>
    </row>
    <row r="29" customFormat="false" ht="15" hidden="false" customHeight="false" outlineLevel="0" collapsed="false">
      <c r="B29" s="107" t="str">
        <f aca="false">IFERROR(INDEX('Leave Register'!$D$6:$D$305,MATCH(8,'Leave Register'!$M$6:$M$305,0)),"")</f>
        <v/>
      </c>
      <c r="C29" s="108" t="str">
        <f aca="false">IFERROR(INDEX('Leave Register'!$E$6:$E$305,MATCH(8,'Leave Register'!$M$6:$M$305,0)),"")</f>
        <v/>
      </c>
      <c r="D29" s="108" t="str">
        <f aca="false">IFERROR(INDEX('Leave Register'!$F$6:$F$305,MATCH(8,'Leave Register'!$M$6:$M$305,0)),"")</f>
        <v/>
      </c>
      <c r="E29" s="101" t="str">
        <f aca="false">IFERROR(INDEX('Leave Register'!$H$6:$H$305,MATCH(8,'Leave Register'!$M$6:$M$305,0)),"")</f>
        <v/>
      </c>
      <c r="F29" s="107" t="str">
        <f aca="false">IFERROR(INDEX('Leave Register'!$J$6:$J$305,MATCH(8,'Leave Register'!$M$6:$M$305,0)),"")</f>
        <v/>
      </c>
      <c r="G29" s="100" t="str">
        <f aca="false">IFERROR(INDEX('Leave Register'!$I$6:$I$305,MATCH(8,'Leave Register'!$M$6:$M$305,0)),"")</f>
        <v/>
      </c>
      <c r="H29" s="107" t="str">
        <f aca="false">IFERROR(INDEX('Leave Register'!$K$6:$K$305,MATCH(8,'Leave Register'!$M$6:$M$305,0)),"")</f>
        <v/>
      </c>
    </row>
    <row r="30" customFormat="false" ht="15" hidden="false" customHeight="false" outlineLevel="0" collapsed="false">
      <c r="B30" s="107" t="str">
        <f aca="false">IFERROR(INDEX('Leave Register'!$D$6:$D$305,MATCH(9,'Leave Register'!$M$6:$M$305,0)),"")</f>
        <v/>
      </c>
      <c r="C30" s="108" t="str">
        <f aca="false">IFERROR(INDEX('Leave Register'!$E$6:$E$305,MATCH(9,'Leave Register'!$M$6:$M$305,0)),"")</f>
        <v/>
      </c>
      <c r="D30" s="108" t="str">
        <f aca="false">IFERROR(INDEX('Leave Register'!$F$6:$F$305,MATCH(9,'Leave Register'!$M$6:$M$305,0)),"")</f>
        <v/>
      </c>
      <c r="E30" s="101" t="str">
        <f aca="false">IFERROR(INDEX('Leave Register'!$H$6:$H$305,MATCH(9,'Leave Register'!$M$6:$M$305,0)),"")</f>
        <v/>
      </c>
      <c r="F30" s="107" t="str">
        <f aca="false">IFERROR(INDEX('Leave Register'!$J$6:$J$305,MATCH(9,'Leave Register'!$M$6:$M$305,0)),"")</f>
        <v/>
      </c>
      <c r="G30" s="100" t="str">
        <f aca="false">IFERROR(INDEX('Leave Register'!$I$6:$I$305,MATCH(9,'Leave Register'!$M$6:$M$305,0)),"")</f>
        <v/>
      </c>
      <c r="H30" s="107" t="str">
        <f aca="false">IFERROR(INDEX('Leave Register'!$K$6:$K$305,MATCH(9,'Leave Register'!$M$6:$M$305,0)),"")</f>
        <v/>
      </c>
    </row>
    <row r="31" customFormat="false" ht="15" hidden="false" customHeight="false" outlineLevel="0" collapsed="false">
      <c r="B31" s="107" t="str">
        <f aca="false">IFERROR(INDEX('Leave Register'!$D$6:$D$305,MATCH(10,'Leave Register'!$M$6:$M$305,0)),"")</f>
        <v/>
      </c>
      <c r="C31" s="108" t="str">
        <f aca="false">IFERROR(INDEX('Leave Register'!$E$6:$E$305,MATCH(10,'Leave Register'!$M$6:$M$305,0)),"")</f>
        <v/>
      </c>
      <c r="D31" s="108" t="str">
        <f aca="false">IFERROR(INDEX('Leave Register'!$F$6:$F$305,MATCH(10,'Leave Register'!$M$6:$M$305,0)),"")</f>
        <v/>
      </c>
      <c r="E31" s="101" t="str">
        <f aca="false">IFERROR(INDEX('Leave Register'!$H$6:$H$305,MATCH(10,'Leave Register'!$M$6:$M$305,0)),"")</f>
        <v/>
      </c>
      <c r="F31" s="107" t="str">
        <f aca="false">IFERROR(INDEX('Leave Register'!$J$6:$J$305,MATCH(10,'Leave Register'!$M$6:$M$305,0)),"")</f>
        <v/>
      </c>
      <c r="G31" s="100" t="str">
        <f aca="false">IFERROR(INDEX('Leave Register'!$I$6:$I$305,MATCH(10,'Leave Register'!$M$6:$M$305,0)),"")</f>
        <v/>
      </c>
      <c r="H31" s="107" t="str">
        <f aca="false">IFERROR(INDEX('Leave Register'!$K$6:$K$305,MATCH(10,'Leave Register'!$M$6:$M$305,0)),"")</f>
        <v/>
      </c>
    </row>
    <row r="32" customFormat="false" ht="15" hidden="false" customHeight="false" outlineLevel="0" collapsed="false">
      <c r="B32" s="107" t="str">
        <f aca="false">IFERROR(INDEX('Leave Register'!$D$6:$D$305,MATCH(11,'Leave Register'!$M$6:$M$305,0)),"")</f>
        <v/>
      </c>
      <c r="C32" s="108" t="str">
        <f aca="false">IFERROR(INDEX('Leave Register'!$E$6:$E$305,MATCH(11,'Leave Register'!$M$6:$M$305,0)),"")</f>
        <v/>
      </c>
      <c r="D32" s="108" t="str">
        <f aca="false">IFERROR(INDEX('Leave Register'!$F$6:$F$305,MATCH(11,'Leave Register'!$M$6:$M$305,0)),"")</f>
        <v/>
      </c>
      <c r="E32" s="101" t="str">
        <f aca="false">IFERROR(INDEX('Leave Register'!$H$6:$H$305,MATCH(11,'Leave Register'!$M$6:$M$305,0)),"")</f>
        <v/>
      </c>
      <c r="F32" s="107" t="str">
        <f aca="false">IFERROR(INDEX('Leave Register'!$J$6:$J$305,MATCH(11,'Leave Register'!$M$6:$M$305,0)),"")</f>
        <v/>
      </c>
      <c r="G32" s="100" t="str">
        <f aca="false">IFERROR(INDEX('Leave Register'!$I$6:$I$305,MATCH(11,'Leave Register'!$M$6:$M$305,0)),"")</f>
        <v/>
      </c>
      <c r="H32" s="107" t="str">
        <f aca="false">IFERROR(INDEX('Leave Register'!$K$6:$K$305,MATCH(11,'Leave Register'!$M$6:$M$305,0)),"")</f>
        <v/>
      </c>
    </row>
    <row r="33" customFormat="false" ht="15" hidden="false" customHeight="false" outlineLevel="0" collapsed="false">
      <c r="B33" s="107" t="str">
        <f aca="false">IFERROR(INDEX('Leave Register'!$D$6:$D$305,MATCH(12,'Leave Register'!$M$6:$M$305,0)),"")</f>
        <v/>
      </c>
      <c r="C33" s="108" t="str">
        <f aca="false">IFERROR(INDEX('Leave Register'!$E$6:$E$305,MATCH(12,'Leave Register'!$M$6:$M$305,0)),"")</f>
        <v/>
      </c>
      <c r="D33" s="108" t="str">
        <f aca="false">IFERROR(INDEX('Leave Register'!$F$6:$F$305,MATCH(12,'Leave Register'!$M$6:$M$305,0)),"")</f>
        <v/>
      </c>
      <c r="E33" s="101" t="str">
        <f aca="false">IFERROR(INDEX('Leave Register'!$H$6:$H$305,MATCH(12,'Leave Register'!$M$6:$M$305,0)),"")</f>
        <v/>
      </c>
      <c r="F33" s="107" t="str">
        <f aca="false">IFERROR(INDEX('Leave Register'!$J$6:$J$305,MATCH(12,'Leave Register'!$M$6:$M$305,0)),"")</f>
        <v/>
      </c>
      <c r="G33" s="100" t="str">
        <f aca="false">IFERROR(INDEX('Leave Register'!$I$6:$I$305,MATCH(12,'Leave Register'!$M$6:$M$305,0)),"")</f>
        <v/>
      </c>
      <c r="H33" s="107" t="str">
        <f aca="false">IFERROR(INDEX('Leave Register'!$K$6:$K$305,MATCH(12,'Leave Register'!$M$6:$M$305,0)),"")</f>
        <v/>
      </c>
    </row>
    <row r="34" customFormat="false" ht="15" hidden="false" customHeight="false" outlineLevel="0" collapsed="false">
      <c r="B34" s="107" t="str">
        <f aca="false">IFERROR(INDEX('Leave Register'!$D$6:$D$305,MATCH(13,'Leave Register'!$M$6:$M$305,0)),"")</f>
        <v/>
      </c>
      <c r="C34" s="108" t="str">
        <f aca="false">IFERROR(INDEX('Leave Register'!$E$6:$E$305,MATCH(13,'Leave Register'!$M$6:$M$305,0)),"")</f>
        <v/>
      </c>
      <c r="D34" s="108" t="str">
        <f aca="false">IFERROR(INDEX('Leave Register'!$F$6:$F$305,MATCH(13,'Leave Register'!$M$6:$M$305,0)),"")</f>
        <v/>
      </c>
      <c r="E34" s="101" t="str">
        <f aca="false">IFERROR(INDEX('Leave Register'!$H$6:$H$305,MATCH(13,'Leave Register'!$M$6:$M$305,0)),"")</f>
        <v/>
      </c>
      <c r="F34" s="107" t="str">
        <f aca="false">IFERROR(INDEX('Leave Register'!$J$6:$J$305,MATCH(13,'Leave Register'!$M$6:$M$305,0)),"")</f>
        <v/>
      </c>
      <c r="G34" s="100" t="str">
        <f aca="false">IFERROR(INDEX('Leave Register'!$I$6:$I$305,MATCH(13,'Leave Register'!$M$6:$M$305,0)),"")</f>
        <v/>
      </c>
      <c r="H34" s="107" t="str">
        <f aca="false">IFERROR(INDEX('Leave Register'!$K$6:$K$305,MATCH(13,'Leave Register'!$M$6:$M$305,0)),"")</f>
        <v/>
      </c>
    </row>
    <row r="35" customFormat="false" ht="15" hidden="false" customHeight="false" outlineLevel="0" collapsed="false">
      <c r="B35" s="107" t="str">
        <f aca="false">IFERROR(INDEX('Leave Register'!$D$6:$D$305,MATCH(14,'Leave Register'!$M$6:$M$305,0)),"")</f>
        <v/>
      </c>
      <c r="C35" s="108" t="str">
        <f aca="false">IFERROR(INDEX('Leave Register'!$E$6:$E$305,MATCH(14,'Leave Register'!$M$6:$M$305,0)),"")</f>
        <v/>
      </c>
      <c r="D35" s="108" t="str">
        <f aca="false">IFERROR(INDEX('Leave Register'!$F$6:$F$305,MATCH(14,'Leave Register'!$M$6:$M$305,0)),"")</f>
        <v/>
      </c>
      <c r="E35" s="101" t="str">
        <f aca="false">IFERROR(INDEX('Leave Register'!$H$6:$H$305,MATCH(14,'Leave Register'!$M$6:$M$305,0)),"")</f>
        <v/>
      </c>
      <c r="F35" s="107" t="str">
        <f aca="false">IFERROR(INDEX('Leave Register'!$J$6:$J$305,MATCH(14,'Leave Register'!$M$6:$M$305,0)),"")</f>
        <v/>
      </c>
      <c r="G35" s="100" t="str">
        <f aca="false">IFERROR(INDEX('Leave Register'!$I$6:$I$305,MATCH(14,'Leave Register'!$M$6:$M$305,0)),"")</f>
        <v/>
      </c>
      <c r="H35" s="107" t="str">
        <f aca="false">IFERROR(INDEX('Leave Register'!$K$6:$K$305,MATCH(14,'Leave Register'!$M$6:$M$305,0)),"")</f>
        <v/>
      </c>
    </row>
    <row r="36" customFormat="false" ht="15" hidden="false" customHeight="false" outlineLevel="0" collapsed="false">
      <c r="B36" s="107" t="str">
        <f aca="false">IFERROR(INDEX('Leave Register'!$D$6:$D$305,MATCH(15,'Leave Register'!$M$6:$M$305,0)),"")</f>
        <v/>
      </c>
      <c r="C36" s="108" t="str">
        <f aca="false">IFERROR(INDEX('Leave Register'!$E$6:$E$305,MATCH(15,'Leave Register'!$M$6:$M$305,0)),"")</f>
        <v/>
      </c>
      <c r="D36" s="108" t="str">
        <f aca="false">IFERROR(INDEX('Leave Register'!$F$6:$F$305,MATCH(15,'Leave Register'!$M$6:$M$305,0)),"")</f>
        <v/>
      </c>
      <c r="E36" s="101" t="str">
        <f aca="false">IFERROR(INDEX('Leave Register'!$H$6:$H$305,MATCH(15,'Leave Register'!$M$6:$M$305,0)),"")</f>
        <v/>
      </c>
      <c r="F36" s="107" t="str">
        <f aca="false">IFERROR(INDEX('Leave Register'!$J$6:$J$305,MATCH(15,'Leave Register'!$M$6:$M$305,0)),"")</f>
        <v/>
      </c>
      <c r="G36" s="100" t="str">
        <f aca="false">IFERROR(INDEX('Leave Register'!$I$6:$I$305,MATCH(15,'Leave Register'!$M$6:$M$305,0)),"")</f>
        <v/>
      </c>
      <c r="H36" s="107" t="str">
        <f aca="false">IFERROR(INDEX('Leave Register'!$K$6:$K$305,MATCH(15,'Leave Register'!$M$6:$M$305,0)),"")</f>
        <v/>
      </c>
    </row>
    <row r="37" customFormat="false" ht="15" hidden="false" customHeight="false" outlineLevel="0" collapsed="false">
      <c r="B37" s="107" t="str">
        <f aca="false">IFERROR(INDEX('Leave Register'!$D$6:$D$305,MATCH(16,'Leave Register'!$M$6:$M$305,0)),"")</f>
        <v/>
      </c>
      <c r="C37" s="108" t="str">
        <f aca="false">IFERROR(INDEX('Leave Register'!$E$6:$E$305,MATCH(16,'Leave Register'!$M$6:$M$305,0)),"")</f>
        <v/>
      </c>
      <c r="D37" s="108" t="str">
        <f aca="false">IFERROR(INDEX('Leave Register'!$F$6:$F$305,MATCH(16,'Leave Register'!$M$6:$M$305,0)),"")</f>
        <v/>
      </c>
      <c r="E37" s="101" t="str">
        <f aca="false">IFERROR(INDEX('Leave Register'!$H$6:$H$305,MATCH(16,'Leave Register'!$M$6:$M$305,0)),"")</f>
        <v/>
      </c>
      <c r="F37" s="107" t="str">
        <f aca="false">IFERROR(INDEX('Leave Register'!$J$6:$J$305,MATCH(16,'Leave Register'!$M$6:$M$305,0)),"")</f>
        <v/>
      </c>
      <c r="G37" s="100" t="str">
        <f aca="false">IFERROR(INDEX('Leave Register'!$I$6:$I$305,MATCH(16,'Leave Register'!$M$6:$M$305,0)),"")</f>
        <v/>
      </c>
      <c r="H37" s="107" t="str">
        <f aca="false">IFERROR(INDEX('Leave Register'!$K$6:$K$305,MATCH(16,'Leave Register'!$M$6:$M$305,0)),"")</f>
        <v/>
      </c>
    </row>
    <row r="38" customFormat="false" ht="15" hidden="false" customHeight="false" outlineLevel="0" collapsed="false">
      <c r="B38" s="107" t="str">
        <f aca="false">IFERROR(INDEX('Leave Register'!$D$6:$D$305,MATCH(17,'Leave Register'!$M$6:$M$305,0)),"")</f>
        <v/>
      </c>
      <c r="C38" s="108" t="str">
        <f aca="false">IFERROR(INDEX('Leave Register'!$E$6:$E$305,MATCH(17,'Leave Register'!$M$6:$M$305,0)),"")</f>
        <v/>
      </c>
      <c r="D38" s="108" t="str">
        <f aca="false">IFERROR(INDEX('Leave Register'!$F$6:$F$305,MATCH(17,'Leave Register'!$M$6:$M$305,0)),"")</f>
        <v/>
      </c>
      <c r="E38" s="101" t="str">
        <f aca="false">IFERROR(INDEX('Leave Register'!$H$6:$H$305,MATCH(17,'Leave Register'!$M$6:$M$305,0)),"")</f>
        <v/>
      </c>
      <c r="F38" s="107" t="str">
        <f aca="false">IFERROR(INDEX('Leave Register'!$J$6:$J$305,MATCH(17,'Leave Register'!$M$6:$M$305,0)),"")</f>
        <v/>
      </c>
      <c r="G38" s="100" t="str">
        <f aca="false">IFERROR(INDEX('Leave Register'!$I$6:$I$305,MATCH(17,'Leave Register'!$M$6:$M$305,0)),"")</f>
        <v/>
      </c>
      <c r="H38" s="107" t="str">
        <f aca="false">IFERROR(INDEX('Leave Register'!$K$6:$K$305,MATCH(17,'Leave Register'!$M$6:$M$305,0)),"")</f>
        <v/>
      </c>
    </row>
    <row r="39" customFormat="false" ht="15" hidden="false" customHeight="false" outlineLevel="0" collapsed="false">
      <c r="B39" s="107" t="str">
        <f aca="false">IFERROR(INDEX('Leave Register'!$D$6:$D$305,MATCH(18,'Leave Register'!$M$6:$M$305,0)),"")</f>
        <v/>
      </c>
      <c r="C39" s="108" t="str">
        <f aca="false">IFERROR(INDEX('Leave Register'!$E$6:$E$305,MATCH(18,'Leave Register'!$M$6:$M$305,0)),"")</f>
        <v/>
      </c>
      <c r="D39" s="108" t="str">
        <f aca="false">IFERROR(INDEX('Leave Register'!$F$6:$F$305,MATCH(18,'Leave Register'!$M$6:$M$305,0)),"")</f>
        <v/>
      </c>
      <c r="E39" s="101" t="str">
        <f aca="false">IFERROR(INDEX('Leave Register'!$H$6:$H$305,MATCH(18,'Leave Register'!$M$6:$M$305,0)),"")</f>
        <v/>
      </c>
      <c r="F39" s="107" t="str">
        <f aca="false">IFERROR(INDEX('Leave Register'!$J$6:$J$305,MATCH(18,'Leave Register'!$M$6:$M$305,0)),"")</f>
        <v/>
      </c>
      <c r="G39" s="100" t="str">
        <f aca="false">IFERROR(INDEX('Leave Register'!$I$6:$I$305,MATCH(18,'Leave Register'!$M$6:$M$305,0)),"")</f>
        <v/>
      </c>
      <c r="H39" s="107" t="str">
        <f aca="false">IFERROR(INDEX('Leave Register'!$K$6:$K$305,MATCH(18,'Leave Register'!$M$6:$M$305,0)),"")</f>
        <v/>
      </c>
    </row>
    <row r="40" customFormat="false" ht="15" hidden="false" customHeight="false" outlineLevel="0" collapsed="false">
      <c r="B40" s="107" t="str">
        <f aca="false">IFERROR(INDEX('Leave Register'!$D$6:$D$305,MATCH(19,'Leave Register'!$M$6:$M$305,0)),"")</f>
        <v/>
      </c>
      <c r="C40" s="108" t="str">
        <f aca="false">IFERROR(INDEX('Leave Register'!$E$6:$E$305,MATCH(19,'Leave Register'!$M$6:$M$305,0)),"")</f>
        <v/>
      </c>
      <c r="D40" s="108" t="str">
        <f aca="false">IFERROR(INDEX('Leave Register'!$F$6:$F$305,MATCH(19,'Leave Register'!$M$6:$M$305,0)),"")</f>
        <v/>
      </c>
      <c r="E40" s="101" t="str">
        <f aca="false">IFERROR(INDEX('Leave Register'!$H$6:$H$305,MATCH(19,'Leave Register'!$M$6:$M$305,0)),"")</f>
        <v/>
      </c>
      <c r="F40" s="107" t="str">
        <f aca="false">IFERROR(INDEX('Leave Register'!$J$6:$J$305,MATCH(19,'Leave Register'!$M$6:$M$305,0)),"")</f>
        <v/>
      </c>
      <c r="G40" s="100" t="str">
        <f aca="false">IFERROR(INDEX('Leave Register'!$I$6:$I$305,MATCH(19,'Leave Register'!$M$6:$M$305,0)),"")</f>
        <v/>
      </c>
      <c r="H40" s="107" t="str">
        <f aca="false">IFERROR(INDEX('Leave Register'!$K$6:$K$305,MATCH(19,'Leave Register'!$M$6:$M$305,0)),"")</f>
        <v/>
      </c>
    </row>
    <row r="41" customFormat="false" ht="15" hidden="false" customHeight="false" outlineLevel="0" collapsed="false">
      <c r="B41" s="107" t="str">
        <f aca="false">IFERROR(INDEX('Leave Register'!$D$6:$D$305,MATCH(20,'Leave Register'!$M$6:$M$305,0)),"")</f>
        <v/>
      </c>
      <c r="C41" s="108" t="str">
        <f aca="false">IFERROR(INDEX('Leave Register'!$E$6:$E$305,MATCH(20,'Leave Register'!$M$6:$M$305,0)),"")</f>
        <v/>
      </c>
      <c r="D41" s="108" t="str">
        <f aca="false">IFERROR(INDEX('Leave Register'!$F$6:$F$305,MATCH(20,'Leave Register'!$M$6:$M$305,0)),"")</f>
        <v/>
      </c>
      <c r="E41" s="101" t="str">
        <f aca="false">IFERROR(INDEX('Leave Register'!$H$6:$H$305,MATCH(20,'Leave Register'!$M$6:$M$305,0)),"")</f>
        <v/>
      </c>
      <c r="F41" s="107" t="str">
        <f aca="false">IFERROR(INDEX('Leave Register'!$J$6:$J$305,MATCH(20,'Leave Register'!$M$6:$M$305,0)),"")</f>
        <v/>
      </c>
      <c r="G41" s="100" t="str">
        <f aca="false">IFERROR(INDEX('Leave Register'!$I$6:$I$305,MATCH(20,'Leave Register'!$M$6:$M$305,0)),"")</f>
        <v/>
      </c>
      <c r="H41" s="107" t="str">
        <f aca="false">IFERROR(INDEX('Leave Register'!$K$6:$K$305,MATCH(20,'Leave Register'!$M$6:$M$305,0)),"")</f>
        <v/>
      </c>
    </row>
    <row r="45" customFormat="false" ht="15" hidden="false" customHeight="false" outlineLevel="0" collapsed="false">
      <c r="B45" s="109"/>
      <c r="C45" s="109"/>
      <c r="D45" s="109"/>
      <c r="F45" s="109"/>
      <c r="G45" s="109"/>
      <c r="H45" s="109"/>
    </row>
    <row r="46" customFormat="false" ht="15" hidden="false" customHeight="true" outlineLevel="0" collapsed="false">
      <c r="B46" s="110" t="s">
        <v>165</v>
      </c>
      <c r="C46" s="110"/>
      <c r="D46" s="110" t="s">
        <v>175</v>
      </c>
      <c r="E46" s="110"/>
      <c r="F46" s="110"/>
      <c r="G46" s="110" t="s">
        <v>122</v>
      </c>
      <c r="H46" s="110"/>
    </row>
    <row r="48" customFormat="false" ht="15" hidden="false" customHeight="true" outlineLevel="0" collapsed="false">
      <c r="B48" s="111" t="s">
        <v>176</v>
      </c>
      <c r="C48" s="111"/>
      <c r="D48" s="111"/>
      <c r="E48" s="111"/>
      <c r="F48" s="111"/>
      <c r="G48" s="111"/>
      <c r="H48" s="111"/>
    </row>
  </sheetData>
  <sheetProtection sheet="1" objects="1" scenarios="1" formatColumns="0" formatRows="0" algorithmName="SHA-512" hashValue="gWJmyPcSgopl8cKRDfHVtoD1p305mG9gRMRRKOUtF60LOpdprFsPOVvWZb6v46NuNTawjzr3ZSy04AFOm8Tpfw==" saltValue="Dzq7zMGQ3+OeM9fUBfIVyA==" spinCount="100000"/>
  <mergeCells count="22">
    <mergeCell ref="D3:H3"/>
    <mergeCell ref="B5:H5"/>
    <mergeCell ref="B6:H6"/>
    <mergeCell ref="B7:H7"/>
    <mergeCell ref="C9:D9"/>
    <mergeCell ref="E9:F9"/>
    <mergeCell ref="G9:H9"/>
    <mergeCell ref="C10:D10"/>
    <mergeCell ref="E10:F10"/>
    <mergeCell ref="G10:H10"/>
    <mergeCell ref="B12:C12"/>
    <mergeCell ref="B13:C13"/>
    <mergeCell ref="B14:C14"/>
    <mergeCell ref="B15:C15"/>
    <mergeCell ref="B16:C16"/>
    <mergeCell ref="B17:C17"/>
    <mergeCell ref="B18:C18"/>
    <mergeCell ref="B20:H20"/>
    <mergeCell ref="B46:C46"/>
    <mergeCell ref="D46:F46"/>
    <mergeCell ref="G46:H46"/>
    <mergeCell ref="B48:H48"/>
  </mergeCells>
  <dataValidations count="1">
    <dataValidation allowBlank="true" errorStyle="stop" operator="between" showDropDown="false" showErrorMessage="true" showInputMessage="false" sqref="C3" type="list">
      <formula1>Employees!$B$5:$B$54</formula1>
      <formula2>0</formula2>
    </dataValidation>
  </dataValidations>
  <hyperlinks>
    <hyperlink ref="B1" r:id="rId1" location="'Dashboard'!A1" display="◄ BACK TO DASHBOARD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2:F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2" customFormat="false" ht="15" hidden="false" customHeight="false" outlineLevel="0" collapsed="false">
      <c r="A2" s="0" t="s">
        <v>55</v>
      </c>
      <c r="B2" s="0" t="s">
        <v>177</v>
      </c>
      <c r="C2" s="0" t="s">
        <v>58</v>
      </c>
      <c r="D2" s="0" t="s">
        <v>76</v>
      </c>
      <c r="E2" s="0" t="s">
        <v>139</v>
      </c>
      <c r="F2" s="0" t="s">
        <v>50</v>
      </c>
    </row>
    <row r="3" customFormat="false" ht="15" hidden="false" customHeight="false" outlineLevel="0" collapsed="false">
      <c r="A3" s="0" t="s">
        <v>178</v>
      </c>
      <c r="B3" s="0" t="s">
        <v>179</v>
      </c>
      <c r="C3" s="0" t="s">
        <v>89</v>
      </c>
      <c r="D3" s="0" t="s">
        <v>82</v>
      </c>
      <c r="E3" s="0" t="s">
        <v>148</v>
      </c>
      <c r="F3" s="0" t="s">
        <v>180</v>
      </c>
    </row>
    <row r="4" customFormat="false" ht="15" hidden="false" customHeight="false" outlineLevel="0" collapsed="false">
      <c r="A4" s="0" t="s">
        <v>181</v>
      </c>
      <c r="B4" s="0" t="s">
        <v>182</v>
      </c>
      <c r="E4" s="0" t="s">
        <v>152</v>
      </c>
    </row>
    <row r="5" customFormat="false" ht="15" hidden="false" customHeight="false" outlineLevel="0" collapsed="false">
      <c r="A5" s="0" t="s">
        <v>183</v>
      </c>
      <c r="B5" s="0" t="s">
        <v>184</v>
      </c>
    </row>
  </sheetData>
  <sheetProtection sheet="1" objects="1" scenarios="1" formatColumns="0" formatRows="0" algorithmName="SHA-512" hashValue="w20+uCJipcn14jBam57A9tnyusuXTqAPQSpa3Kn93xG6jcSzNm0no6OtsTKRnzVOcgazjUa0BNq6kVu3YOfYKA==" saltValue="KIY+ZAUiK8QZue8zPDlAkg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2026-10-05T07:00:07Z</dcterms:created>
  <dc:creator>Xplorexcel.com</dc:creator>
  <dc:description/>
  <dc:language>en-US</dc:language>
  <cp:lastModifiedBy/>
  <dcterms:modified xsi:type="dcterms:W3CDTF">2026-10-05T07:00:09Z</dcterms:modified>
  <cp:revision>1</cp:revision>
  <dc:subject/>
  <dc:title>Employee Leave Tracker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