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7Nfdyo85wvjQXCgfqqZjsubeKAoCIq8PhbV6QSCN7INrgIQLVqXKesUA/aq6tuL9WpCSqg4zQ/suzVQHtQ1coQ==" workbookSaltValue="nYNuiFFzBr5LoTLBJaxhK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Trial Balance" sheetId="4" state="visible" r:id="rId6"/>
    <sheet name="Adjustments" sheetId="5" state="visible" r:id="rId7"/>
    <sheet name="Final Accounts" sheetId="6" state="visible" r:id="rId8"/>
    <sheet name="Ratios" sheetId="7" state="visible" r:id="rId9"/>
    <sheet name="Calc" sheetId="8" state="hidden" r:id="rId10"/>
    <sheet name="Lists" sheetId="9" state="hidden" r:id="rId11"/>
  </sheets>
  <definedNames>
    <definedName function="false" hidden="false" localSheetId="5" name="_xlnm.Print_Area" vbProcedure="false">'Final Accounts'!$A$2:$I$64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<sst xmlns="http://schemas.openxmlformats.org/spreadsheetml/2006/main" count="302" uniqueCount="210">
  <si>
    <t xml:space="preserve">Final Accounts from Trial Balance</t>
  </si>
  <si>
    <t xml:space="preserve">GO TO SHEET</t>
  </si>
  <si>
    <t xml:space="preserve">RESULTS</t>
  </si>
  <si>
    <t xml:space="preserve">Firm name, year end</t>
  </si>
  <si>
    <t xml:space="preserve">Net Sales</t>
  </si>
  <si>
    <t xml:space="preserve">Ledger balances &amp; heads</t>
  </si>
  <si>
    <t xml:space="preserve">Gross Profit</t>
  </si>
  <si>
    <t xml:space="preserve">Cost of Goods Sold</t>
  </si>
  <si>
    <t xml:space="preserve">Closing stock, outstanding …</t>
  </si>
  <si>
    <t xml:space="preserve">Net Profit</t>
  </si>
  <si>
    <t xml:space="preserve">Trading, P&amp;L, Balance Sheet</t>
  </si>
  <si>
    <t xml:space="preserve">Closing Capital</t>
  </si>
  <si>
    <t xml:space="preserve">Overheads</t>
  </si>
  <si>
    <t xml:space="preserve">GP, NP, current ratio …</t>
  </si>
  <si>
    <t xml:space="preserve">Balance Sheet Total</t>
  </si>
  <si>
    <t xml:space="preserve">Features &amp; steps</t>
  </si>
  <si>
    <t xml:space="preserve">Net Profit Ratio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</si>
  <si>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</si>
  <si>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</si>
  <si>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</si>
  <si>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</si>
  <si>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Final Accounts (Trading, P&amp;L, Balance Sheet) 1.0 in Microsoft Excel :-</t>
  </si>
  <si>
    <t xml:space="preserve">Life-time free – no macros, works in Excel 2010+, Excel for Mac and Google Sheets</t>
  </si>
  <si>
    <t xml:space="preserve">Enter the Trial Balance once – Trading Account, Profit &amp; Loss Account and Balance Sheet are prepared automatically</t>
  </si>
  <si>
    <t xml:space="preserve">Classic T-format (horizontal) with Dr/Cr sides, To/By narration, gross profit c/d &amp; b/d</t>
  </si>
  <si>
    <t xml:space="preserve">Adjustments: closing stock, outstanding &amp; prepaid expenses, accrued income, income received in advance</t>
  </si>
  <si>
    <t xml:space="preserve">Depreciation per fixed asset, further bad debts, new and old provision for doubtful debts</t>
  </si>
  <si>
    <t xml:space="preserve">Interest on capital and interest on drawings, closing capital worked out in the Balance Sheet</t>
  </si>
  <si>
    <t xml:space="preserve">Checks: Trial Balance tallies, every account has a head, Balance Sheet tallies</t>
  </si>
  <si>
    <t xml:space="preserve">Key ratios: GP, NP, operating, current, quick, stock turnover, return on capital, debt-equity</t>
  </si>
  <si>
    <t xml:space="preserve">Printable A4 final accounts – useful for small businesses and Class 11 / 12 / B.Com accountancy practice</t>
  </si>
  <si>
    <t xml:space="preserve">Up to 100 Trial Balance accounts</t>
  </si>
  <si>
    <t xml:space="preserve">How to use it (4 steps)</t>
  </si>
  <si>
    <t xml:space="preserve">Step 1</t>
  </si>
  <si>
    <t xml:space="preserve">Setup – firm name and year-end date.</t>
  </si>
  <si>
    <t xml:space="preserve">Step 2</t>
  </si>
  <si>
    <t xml:space="preserve">Trial Balance – enter each account with its debit or credit balance and pick its Head (and depreciation rate for fixed assets). Make sure it tallies.</t>
  </si>
  <si>
    <t xml:space="preserve">Step 3</t>
  </si>
  <si>
    <t xml:space="preserve">Adjustments – enter closing stock, outstanding/prepaid expenses, accrued/advance income, bad debts, provision, interest on capital and drawings.</t>
  </si>
  <si>
    <t xml:space="preserve">Step 4</t>
  </si>
  <si>
    <t xml:space="preserve">Final Accounts – check that the Balance Sheet tallies, then print. Ratios shows the key numbers.</t>
  </si>
  <si>
    <t xml:space="preserve">This is the sole-proprietor format used in school/college accountancy and by small traders. Companies must use the Schedule III format under the Companies Act, 2013.</t>
  </si>
  <si>
    <t xml:space="preserve">Firm Details</t>
  </si>
  <si>
    <t xml:space="preserve">Firm / Business Name</t>
  </si>
  <si>
    <t xml:space="preserve">M/s Xplore Traders</t>
  </si>
  <si>
    <t xml:space="preserve">Year ended on</t>
  </si>
  <si>
    <t xml:space="preserve">Prepared by</t>
  </si>
  <si>
    <t xml:space="preserve">Accountant</t>
  </si>
  <si>
    <t xml:space="preserve">How it works</t>
  </si>
  <si>
    <t xml:space="preserve">1. Enter every ledger balance on the Trial Balance sheet and pick its Head.</t>
  </si>
  <si>
    <t xml:space="preserve">2. Enter year-end adjustments (closing stock, outstanding, prepaid, depreciation, provisions …) on the Adjustments sheet.</t>
  </si>
  <si>
    <t xml:space="preserve">3. Trading Account, Profit &amp; Loss Account and Balance Sheet are prepared automatically – fix any red check first.</t>
  </si>
  <si>
    <t xml:space="preserve">Enter each ledger balance in Debit or Credit and pick its Head. Depreciation rate only for Fixed Assets. Adjusted Amount includes outstanding / prepaid / accrued / advance adjustments.</t>
  </si>
  <si>
    <t xml:space="preserve">S.No</t>
  </si>
  <si>
    <t xml:space="preserve">Account Name</t>
  </si>
  <si>
    <t xml:space="preserve">Debit (₹)</t>
  </si>
  <si>
    <t xml:space="preserve">Credit (₹)</t>
  </si>
  <si>
    <t xml:space="preserve">Head</t>
  </si>
  <si>
    <t xml:space="preserve">Dep. Rate % (fixed assets)</t>
  </si>
  <si>
    <t xml:space="preserve">Balance (natural side)</t>
  </si>
  <si>
    <t xml:space="preserve">Adjustments (₹)</t>
  </si>
  <si>
    <t xml:space="preserve">Adjusted Amount (₹)</t>
  </si>
  <si>
    <t xml:space="preserve">Capital</t>
  </si>
  <si>
    <t xml:space="preserve">Drawings</t>
  </si>
  <si>
    <t xml:space="preserve">Opening Stock</t>
  </si>
  <si>
    <t xml:space="preserve">Purchases</t>
  </si>
  <si>
    <t xml:space="preserve">Purchase Returns</t>
  </si>
  <si>
    <t xml:space="preserve">Sales</t>
  </si>
  <si>
    <t xml:space="preserve">Sales Returns</t>
  </si>
  <si>
    <t xml:space="preserve">Wages</t>
  </si>
  <si>
    <t xml:space="preserve">Direct Expenses</t>
  </si>
  <si>
    <t xml:space="preserve">Carriage Inward</t>
  </si>
  <si>
    <t xml:space="preserve">Salaries</t>
  </si>
  <si>
    <t xml:space="preserve">Indirect Expenses</t>
  </si>
  <si>
    <t xml:space="preserve">Rent</t>
  </si>
  <si>
    <t xml:space="preserve">Electricity</t>
  </si>
  <si>
    <t xml:space="preserve">Insurance</t>
  </si>
  <si>
    <t xml:space="preserve">General Expenses</t>
  </si>
  <si>
    <t xml:space="preserve">Bad Debts</t>
  </si>
  <si>
    <t xml:space="preserve">Provision for Doubtful Debts</t>
  </si>
  <si>
    <t xml:space="preserve">Commission Received</t>
  </si>
  <si>
    <t xml:space="preserve">Indirect Income</t>
  </si>
  <si>
    <t xml:space="preserve">Discount Received</t>
  </si>
  <si>
    <t xml:space="preserve">Machinery</t>
  </si>
  <si>
    <t xml:space="preserve">Fixed Assets</t>
  </si>
  <si>
    <t xml:space="preserve">Furniture</t>
  </si>
  <si>
    <t xml:space="preserve">Building</t>
  </si>
  <si>
    <t xml:space="preserve">Fixed Deposit</t>
  </si>
  <si>
    <t xml:space="preserve">Investments</t>
  </si>
  <si>
    <t xml:space="preserve">Sundry Debtors</t>
  </si>
  <si>
    <t xml:space="preserve">Debtors</t>
  </si>
  <si>
    <t xml:space="preserve">Cash in Hand</t>
  </si>
  <si>
    <t xml:space="preserve">Other Current Assets</t>
  </si>
  <si>
    <t xml:space="preserve">Cash at Bank</t>
  </si>
  <si>
    <t xml:space="preserve">Sundry Creditors</t>
  </si>
  <si>
    <t xml:space="preserve">Current Liabilities</t>
  </si>
  <si>
    <t xml:space="preserve">Bills Payable</t>
  </si>
  <si>
    <t xml:space="preserve">Loan from Bank</t>
  </si>
  <si>
    <t xml:space="preserve">Long-term Loans</t>
  </si>
  <si>
    <t xml:space="preserve">TOTAL</t>
  </si>
  <si>
    <t xml:space="preserve">Year-end Adjustments</t>
  </si>
  <si>
    <t xml:space="preserve">Pick the account exactly as named on the Trial Balance. Each adjustment is posted twice automatically – once in the accounts and once in the Balance Sheet.</t>
  </si>
  <si>
    <t xml:space="preserve">Outstanding expenses (unpaid)</t>
  </si>
  <si>
    <t xml:space="preserve">Prepaid expenses (paid in advance)</t>
  </si>
  <si>
    <t xml:space="preserve">Account</t>
  </si>
  <si>
    <t xml:space="preserve">Amount (₹)</t>
  </si>
  <si>
    <t xml:space="preserve">Accrued income (earned, not received)</t>
  </si>
  <si>
    <t xml:space="preserve">Income received in advance</t>
  </si>
  <si>
    <t xml:space="preserve">Other adjustments</t>
  </si>
  <si>
    <t xml:space="preserve">Closing stock (₹)</t>
  </si>
  <si>
    <t xml:space="preserve">Shown in Trading A/c (Cr) and Balance Sheet (asset)</t>
  </si>
  <si>
    <t xml:space="preserve">Further bad debts (₹)</t>
  </si>
  <si>
    <t xml:space="preserve">Written off from debtors</t>
  </si>
  <si>
    <t xml:space="preserve">New provision for doubtful debts (% of debtors)</t>
  </si>
  <si>
    <t xml:space="preserve">On debtors after further bad debts</t>
  </si>
  <si>
    <t xml:space="preserve">Interest on capital (% per year)</t>
  </si>
  <si>
    <t xml:space="preserve">On opening capital; 0 if not allowed</t>
  </si>
  <si>
    <t xml:space="preserve">Interest on drawings (₹)</t>
  </si>
  <si>
    <t xml:space="preserve">Charged to the proprietor; 0 if none</t>
  </si>
  <si>
    <t xml:space="preserve">Depreciation</t>
  </si>
  <si>
    <t xml:space="preserve">see Trial Balance</t>
  </si>
  <si>
    <t xml:space="preserve">Rate per fixed asset in the Dep. Rate column (full year, on book value)</t>
  </si>
  <si>
    <t xml:space="preserve">Dr.</t>
  </si>
  <si>
    <t xml:space="preserve">Particulars</t>
  </si>
  <si>
    <t xml:space="preserve">Details (₹)</t>
  </si>
  <si>
    <t xml:space="preserve">Cr.</t>
  </si>
  <si>
    <t xml:space="preserve">To Opening Stock</t>
  </si>
  <si>
    <t xml:space="preserve">By Sales</t>
  </si>
  <si>
    <t xml:space="preserve">To Purchases</t>
  </si>
  <si>
    <t xml:space="preserve">    Less: Sales Returns</t>
  </si>
  <si>
    <t xml:space="preserve">    Less: Purchase Returns</t>
  </si>
  <si>
    <t xml:space="preserve">By Closing Stock</t>
  </si>
  <si>
    <t xml:space="preserve">To Bad Debts</t>
  </si>
  <si>
    <t xml:space="preserve">    Add: New Provision</t>
  </si>
  <si>
    <t xml:space="preserve">    Less: Old Provision</t>
  </si>
  <si>
    <t xml:space="preserve">To Depreciation</t>
  </si>
  <si>
    <t xml:space="preserve">Liabilities</t>
  </si>
  <si>
    <t xml:space="preserve">Assets</t>
  </si>
  <si>
    <t xml:space="preserve">    Add: Net Profit / (Less: Net Loss)</t>
  </si>
  <si>
    <t xml:space="preserve">    Add: Interest on Capital</t>
  </si>
  <si>
    <t xml:space="preserve">    Less: Drawings</t>
  </si>
  <si>
    <t xml:space="preserve">    Less: Interest on Drawings</t>
  </si>
  <si>
    <t xml:space="preserve">Closing Stock</t>
  </si>
  <si>
    <t xml:space="preserve">    Less: Further Bad Debts</t>
  </si>
  <si>
    <t xml:space="preserve">    Less: Provision for Doubtful Debts</t>
  </si>
  <si>
    <t xml:space="preserve">Format by xplorexcel.com</t>
  </si>
  <si>
    <t xml:space="preserve">Key Ratios</t>
  </si>
  <si>
    <t xml:space="preserve">Ratio</t>
  </si>
  <si>
    <t xml:space="preserve">Formula</t>
  </si>
  <si>
    <t xml:space="preserve">Result</t>
  </si>
  <si>
    <t xml:space="preserve">What it tells you</t>
  </si>
  <si>
    <t xml:space="preserve">Gross Profit Ratio</t>
  </si>
  <si>
    <t xml:space="preserve">Gross Profit ÷ Net Sales × 100</t>
  </si>
  <si>
    <t xml:space="preserve">Margin on trading before overheads</t>
  </si>
  <si>
    <t xml:space="preserve">Net Profit ÷ Net Sales × 100</t>
  </si>
  <si>
    <t xml:space="preserve">Profit left from every ₹100 of sales</t>
  </si>
  <si>
    <t xml:space="preserve">Operating Expenses Ratio</t>
  </si>
  <si>
    <t xml:space="preserve">Indirect expenses ÷ Net Sales × 100</t>
  </si>
  <si>
    <t xml:space="preserve">Overheads as a share of sales</t>
  </si>
  <si>
    <t xml:space="preserve">Current Ratio</t>
  </si>
  <si>
    <t xml:space="preserve">Current Assets ÷ Current Liabilities</t>
  </si>
  <si>
    <t xml:space="preserve">Ability to pay short-term dues (2:1 is a common benchmark)</t>
  </si>
  <si>
    <t xml:space="preserve">Quick Ratio</t>
  </si>
  <si>
    <t xml:space="preserve">(Current Assets − Stock) ÷ Current Liabilities</t>
  </si>
  <si>
    <t xml:space="preserve">Same, without counting stock</t>
  </si>
  <si>
    <t xml:space="preserve">Stock Turnover</t>
  </si>
  <si>
    <t xml:space="preserve">Cost of goods sold ÷ Average stock</t>
  </si>
  <si>
    <t xml:space="preserve">How many times stock is sold in a year</t>
  </si>
  <si>
    <t xml:space="preserve">Return on Capital</t>
  </si>
  <si>
    <t xml:space="preserve">Net Profit ÷ Opening Capital × 100</t>
  </si>
  <si>
    <t xml:space="preserve">Return earned on the owner's money</t>
  </si>
  <si>
    <t xml:space="preserve">Debt-Equity Ratio</t>
  </si>
  <si>
    <t xml:space="preserve">Long-term Loans ÷ Closing Capital</t>
  </si>
  <si>
    <t xml:space="preserve">Borrowed vs owner's funds</t>
  </si>
  <si>
    <t xml:space="preserve">OS</t>
  </si>
  <si>
    <t xml:space="preserve">PUR</t>
  </si>
  <si>
    <t xml:space="preserve">PR</t>
  </si>
  <si>
    <t xml:space="preserve">DE</t>
  </si>
  <si>
    <t xml:space="preserve">SAL</t>
  </si>
  <si>
    <t xml:space="preserve">SR</t>
  </si>
  <si>
    <t xml:space="preserve">IE</t>
  </si>
  <si>
    <t xml:space="preserve">II</t>
  </si>
  <si>
    <t xml:space="preserve">BD</t>
  </si>
  <si>
    <t xml:space="preserve">OLDP</t>
  </si>
  <si>
    <t xml:space="preserve">CAP</t>
  </si>
  <si>
    <t xml:space="preserve">DRW</t>
  </si>
  <si>
    <t xml:space="preserve">LTL</t>
  </si>
  <si>
    <t xml:space="preserve">CL</t>
  </si>
  <si>
    <t xml:space="preserve">FA</t>
  </si>
  <si>
    <t xml:space="preserve">INV</t>
  </si>
  <si>
    <t xml:space="preserve">DEB</t>
  </si>
  <si>
    <t xml:space="preserve">OCA</t>
  </si>
  <si>
    <t xml:space="preserve">DEP</t>
  </si>
  <si>
    <t xml:space="preserve">NPUR</t>
  </si>
  <si>
    <t xml:space="preserve">NSAL</t>
  </si>
  <si>
    <t xml:space="preserve">CS</t>
  </si>
  <si>
    <t xml:space="preserve">GP</t>
  </si>
  <si>
    <t xml:space="preserve">DEB1</t>
  </si>
  <si>
    <t xml:space="preserve">NEWP</t>
  </si>
  <si>
    <t xml:space="preserve">BDL</t>
  </si>
  <si>
    <t xml:space="preserve">IOC</t>
  </si>
  <si>
    <t xml:space="preserve">IOD</t>
  </si>
  <si>
    <t xml:space="preserve">NP</t>
  </si>
  <si>
    <t xml:space="preserve">CAPC</t>
  </si>
  <si>
    <t xml:space="preserve">DEBN</t>
  </si>
  <si>
    <t xml:space="preserve">LIAB</t>
  </si>
  <si>
    <t xml:space="preserve">ASSETS</t>
  </si>
  <si>
    <t xml:space="preserve">Nature</t>
  </si>
  <si>
    <t xml:space="preserve">Dr</t>
  </si>
  <si>
    <t xml:space="preserve">Cr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</si>
</sst>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&gt;=100000]##\,##\,##0;[&gt;=0]##,##0;\(##,##0\)"/>
    <numFmt numFmtId="166" formatCode="0.0%"/>
    <numFmt numFmtId="167" formatCode="###,##0"/>
    <numFmt numFmtId="168" formatCode="dd\ mmmm\ yyyy"/>
    <numFmt numFmtId="169" formatCode="General"/>
    <numFmt numFmtId="170" formatCode="0.00&quot;:1&quot;"/>
    <numFmt numFmtId="171" formatCode="0.0&quot; times&quot;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000000"/>
      <name val="Cambria"/>
      <family val="0"/>
      <charset val="1"/>
    </font>
    <font>
      <sz val="10"/>
      <color rgb="FF000000"/>
      <name val="Cambria"/>
      <family val="0"/>
      <charset val="1"/>
    </font>
    <font>
      <sz val="10"/>
      <color rgb="FF9C57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4"/>
      <color rgb="FF00206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2F2F2"/>
      </patternFill>
    </fill>
    <fill>
      <patternFill patternType="solid">
        <fgColor rgb="FFBF8F00"/>
        <bgColor rgb="FF808000"/>
      </patternFill>
    </fill>
    <fill>
      <patternFill patternType="solid">
        <fgColor rgb="FF002060"/>
        <bgColor rgb="FF000080"/>
      </patternFill>
    </fill>
    <fill>
      <patternFill patternType="solid">
        <fgColor rgb="FFEDEDED"/>
        <bgColor rgb="FFF2F2F2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 style="medium">
        <color rgb="FF404040"/>
      </top>
      <bottom style="medium">
        <color rgb="FF404040"/>
      </bottom>
      <diagonal/>
    </border>
    <border diagonalUp="false" diagonalDown="false">
      <left/>
      <right style="medium">
        <color rgb="FF404040"/>
      </right>
      <top/>
      <bottom/>
      <diagonal/>
    </border>
    <border diagonalUp="false" diagonalDown="false">
      <left/>
      <right style="medium">
        <color rgb="FF404040"/>
      </right>
      <top style="medium">
        <color rgb="FF404040"/>
      </top>
      <bottom style="double">
        <color rgb="FF404040"/>
      </bottom>
      <diagonal/>
    </border>
    <border diagonalUp="false" diagonalDown="false">
      <left/>
      <right/>
      <top style="medium">
        <color rgb="FF404040"/>
      </top>
      <bottom style="double">
        <color rgb="FF40404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2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8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3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33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3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23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EDEDED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From sales to net profit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Dashboard!$I$9:$I$13</c:f>
              <c:strCache>
                <c:ptCount val="5"/>
                <c:pt idx="0">
                  <c:v>Net Sales</c:v>
                </c:pt>
                <c:pt idx="1">
                  <c:v>Cost of Goods Sold</c:v>
                </c:pt>
                <c:pt idx="2">
                  <c:v>Gross Profit</c:v>
                </c:pt>
                <c:pt idx="3">
                  <c:v>Overheads</c:v>
                </c:pt>
                <c:pt idx="4">
                  <c:v>Net Profit</c:v>
                </c:pt>
              </c:strCache>
            </c:strRef>
          </c:cat>
          <c:val>
            <c:numRef>
              <c:f>Dashboard!$J$9:$J$13</c:f>
              <c:numCache>
                <c:formatCode>General</c:formatCode>
                <c:ptCount val="5"/>
                <c:pt idx="0">
                  <c:v>685000</c:v>
                </c:pt>
                <c:pt idx="1">
                  <c:v>420000</c:v>
                </c:pt>
                <c:pt idx="2">
                  <c:v>265000</c:v>
                </c:pt>
                <c:pt idx="3">
                  <c:v>147400</c:v>
                </c:pt>
                <c:pt idx="4">
                  <c:v>117600</c:v>
                </c:pt>
              </c:numCache>
            </c:numRef>
          </c:val>
        </c:ser>
        <c:gapWidth val="150"/>
        <c:overlap val="0"/>
        <c:axId val="26079846"/>
        <c:axId val="40884731"/>
      </c:barChart>
      <c:catAx>
        <c:axId val="260798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884731"/>
        <c:crosses val="autoZero"/>
        <c:auto val="1"/>
        <c:lblAlgn val="ctr"/>
        <c:lblOffset val="100"/>
        <c:noMultiLvlLbl val="0"/>
      </c:catAx>
      <c:valAx>
        <c:axId val="40884731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079846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5</xdr:col>
      <xdr:colOff>559080</xdr:colOff>
      <xdr:row>34</xdr:row>
      <xdr:rowOff>32400</xdr:rowOff>
    </xdr:to>
    <xdr:graphicFrame>
      <xdr:nvGraphicFramePr>
        <xdr:cNvPr id="0" name="Chart 1"/>
        <xdr:cNvGraphicFramePr/>
      </xdr:nvGraphicFramePr>
      <xdr:xfrm>
        <a:off x="141120" y="486720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1142640</xdr:colOff>
      <xdr:row>37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061680" y="791532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104400</xdr:rowOff>
    </xdr:from>
    <xdr:to>
      <xdr:col>1</xdr:col>
      <xdr:colOff>1904760</xdr:colOff>
      <xdr:row>19</xdr:row>
      <xdr:rowOff>191520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400068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13</xdr:row>
      <xdr:rowOff>0</xdr:rowOff>
    </xdr:from>
    <xdr:to>
      <xdr:col>2</xdr:col>
      <xdr:colOff>1238040</xdr:colOff>
      <xdr:row>15</xdr:row>
      <xdr:rowOff>28080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2537640" y="268596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Final%20Accounts%20Trading%20PL%20Balance%20Sheet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7" min="7" style="0" width="4"/>
    <col collapsed="false" customWidth="true" hidden="true" outlineLevel="0" max="10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Year ended "&amp;TEXT(Setup!$C$5,"dd mmm yyyy")</f>
        <v>M/s Xplore Traders  •  Year ended 31 Mar 2027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HYPERLINK("#'Setup'!A1","1. Setup  ►")</f>
        <v>1. Setup  ►</v>
      </c>
      <c r="C9" s="5" t="s">
        <v>3</v>
      </c>
      <c r="E9" s="6" t="s">
        <v>4</v>
      </c>
      <c r="F9" s="7" t="n">
        <f aca="false">Calc!$B$21</f>
        <v>685000</v>
      </c>
      <c r="I9" s="8" t="s">
        <v>4</v>
      </c>
      <c r="J9" s="8" t="n">
        <f aca="false">Calc!$B$21</f>
        <v>685000</v>
      </c>
    </row>
    <row r="10" customFormat="false" ht="24" hidden="false" customHeight="true" outlineLevel="0" collapsed="false">
      <c r="B10" s="4" t="str">
        <f aca="false">HYPERLINK("#'Trial Balance'!A1","2. Trial Balance  ►")</f>
        <v>2. Trial Balance  ►</v>
      </c>
      <c r="C10" s="5" t="s">
        <v>5</v>
      </c>
      <c r="E10" s="6" t="s">
        <v>6</v>
      </c>
      <c r="F10" s="7" t="n">
        <f aca="false">Calc!$B$23</f>
        <v>265000</v>
      </c>
      <c r="I10" s="8" t="s">
        <v>7</v>
      </c>
      <c r="J10" s="8" t="n">
        <f aca="false">(Calc!$B$1+Calc!$B$20+Calc!$B$4-Calc!$B$22)</f>
        <v>420000</v>
      </c>
    </row>
    <row r="11" customFormat="false" ht="24" hidden="false" customHeight="true" outlineLevel="0" collapsed="false">
      <c r="B11" s="4" t="str">
        <f aca="false">HYPERLINK("#'Adjustments'!A1","3. Adjustments  ►")</f>
        <v>3. Adjustments  ►</v>
      </c>
      <c r="C11" s="5" t="s">
        <v>8</v>
      </c>
      <c r="E11" s="6" t="s">
        <v>9</v>
      </c>
      <c r="F11" s="9" t="n">
        <f aca="false">Calc!$B$29</f>
        <v>117600</v>
      </c>
      <c r="I11" s="8" t="s">
        <v>6</v>
      </c>
      <c r="J11" s="8" t="n">
        <f aca="false">Calc!$B$23</f>
        <v>265000</v>
      </c>
    </row>
    <row r="12" customFormat="false" ht="24" hidden="false" customHeight="true" outlineLevel="0" collapsed="false">
      <c r="B12" s="4" t="str">
        <f aca="false">HYPERLINK("#'Final Accounts'!A1","4. Final Accounts  ►")</f>
        <v>4. Final Accounts  ►</v>
      </c>
      <c r="C12" s="5" t="s">
        <v>10</v>
      </c>
      <c r="E12" s="6" t="s">
        <v>11</v>
      </c>
      <c r="F12" s="7" t="n">
        <f aca="false">Calc!$B$30</f>
        <v>404100</v>
      </c>
      <c r="I12" s="8" t="s">
        <v>12</v>
      </c>
      <c r="J12" s="8" t="n">
        <f aca="false">Calc!$B$7+Calc!$B$26+Calc!$B$19+Calc!$B$27-Calc!$B$8-Calc!$B$28</f>
        <v>147400</v>
      </c>
    </row>
    <row r="13" customFormat="false" ht="24" hidden="false" customHeight="true" outlineLevel="0" collapsed="false">
      <c r="B13" s="4" t="str">
        <f aca="false">HYPERLINK("#'Ratios'!A1","5. Ratios  ►")</f>
        <v>5. Ratios  ►</v>
      </c>
      <c r="C13" s="5" t="s">
        <v>13</v>
      </c>
      <c r="E13" s="6" t="s">
        <v>14</v>
      </c>
      <c r="F13" s="7" t="n">
        <f aca="false">Calc!$B$33</f>
        <v>588100</v>
      </c>
      <c r="I13" s="8" t="s">
        <v>9</v>
      </c>
      <c r="J13" s="8" t="n">
        <f aca="false">Calc!$B$29</f>
        <v>117600</v>
      </c>
    </row>
    <row r="14" customFormat="false" ht="24" hidden="false" customHeight="true" outlineLevel="0" collapsed="false">
      <c r="B14" s="4" t="str">
        <f aca="false">HYPERLINK("#'About Workbook'!A1","How to use  ►")</f>
        <v>How to use  ►</v>
      </c>
      <c r="C14" s="5" t="s">
        <v>15</v>
      </c>
      <c r="E14" s="6" t="s">
        <v>16</v>
      </c>
      <c r="F14" s="10" t="n">
        <f aca="false">Ratios!C6</f>
        <v>0.171678832116788</v>
      </c>
    </row>
    <row r="16" customFormat="false" ht="15" hidden="false" customHeight="false" outlineLevel="0" collapsed="false">
      <c r="B16" s="11" t="s">
        <v>17</v>
      </c>
    </row>
    <row r="17" customFormat="false" ht="15" hidden="false" customHeight="false" outlineLevel="0" collapsed="false">
      <c r="B17" s="12" t="str">
        <f aca="false">'Trial Balance'!E106</f>
        <v>✔ Trial Balance tallies</v>
      </c>
      <c r="C17" s="12"/>
      <c r="D17" s="12"/>
      <c r="E17" s="12"/>
      <c r="F17" s="12"/>
    </row>
    <row r="18" customFormat="false" ht="15" hidden="false" customHeight="false" outlineLevel="0" collapsed="false">
      <c r="B18" s="12" t="str">
        <f aca="false">'Final Accounts'!B62</f>
        <v>✔ Balance Sheet tallies.</v>
      </c>
      <c r="C18" s="12"/>
      <c r="D18" s="12"/>
      <c r="E18" s="12"/>
      <c r="F18" s="12"/>
    </row>
    <row r="19" customFormat="false" ht="15" hidden="false" customHeight="false" outlineLevel="0" collapsed="false">
      <c r="B19" s="12" t="str">
        <f aca="false">IF(COUNTIFS('Trial Balance'!$B$6:$B$105,"&lt;&gt;",'Trial Balance'!$E$6:$E$105,"")&gt;0,"⚠ "&amp;COUNTIFS('Trial Balance'!$B$6:$B$105,"&lt;&gt;",'Trial Balance'!$E$6:$E$105,"")&amp;" Trial Balance account(s) have no Head.","✔ Every account has a Head.")</f>
        <v>✔ Every account has a Head.</v>
      </c>
      <c r="C19" s="12"/>
      <c r="D19" s="12"/>
      <c r="E19" s="12"/>
      <c r="F19" s="12"/>
    </row>
    <row r="37" customFormat="false" ht="15" hidden="false" customHeight="false" outlineLevel="0" collapsed="false">
      <c r="E37" s="13" t="s">
        <v>18</v>
      </c>
    </row>
    <row r="40" customFormat="false" ht="15" hidden="false" customHeight="false" outlineLevel="0" collapsed="false">
      <c r="F40" s="14" t="s">
        <v>19</v>
      </c>
    </row>
  </sheetData>
  <sheetProtection sheet="1" objects="1" scenarios="1" formatColumns="0" formatRows="0" algorithmName="SHA-512" hashValue="0a0vvAiJcfH6nZJCpoET+GQHLX9dBU4/0ZykDaqEN7IJyhqtxWkRxbLkoQURU7/xH5JQd6ipRp0VrwVGbdsPiA==" saltValue="EQeQSz/BdT3Zuo1kzK6VlQ==" spinCount="100000"/>
  <mergeCells count="5">
    <mergeCell ref="B5:F5"/>
    <mergeCell ref="B6:F6"/>
    <mergeCell ref="B17:F17"/>
    <mergeCell ref="B18:F18"/>
    <mergeCell ref="B19:F19"/>
  </mergeCells>
  <hyperlinks>
    <hyperlink ref="F40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5" t="s">
        <v>20</v>
      </c>
    </row>
    <row r="2" customFormat="false" ht="22.05" hidden="false" customHeight="false" outlineLevel="0" collapsed="false">
      <c r="A2" s="16" t="s">
        <v>21</v>
      </c>
    </row>
    <row r="3" customFormat="false" ht="15" hidden="false" customHeight="false" outlineLevel="0" collapsed="false">
      <c r="A3" s="17" t="n">
        <v>1</v>
      </c>
      <c r="B3" s="18" t="s">
        <v>22</v>
      </c>
    </row>
    <row r="4" customFormat="false" ht="28.35" hidden="false" customHeight="false" outlineLevel="0" collapsed="false">
      <c r="A4" s="17" t="n">
        <v>2</v>
      </c>
      <c r="B4" s="18" t="s">
        <v>23</v>
      </c>
    </row>
    <row r="5" customFormat="false" ht="15" hidden="false" customHeight="false" outlineLevel="0" collapsed="false">
      <c r="A5" s="17" t="n">
        <v>3</v>
      </c>
      <c r="B5" s="18" t="s">
        <v>24</v>
      </c>
    </row>
    <row r="6" customFormat="false" ht="15" hidden="false" customHeight="false" outlineLevel="0" collapsed="false">
      <c r="A6" s="17" t="n">
        <v>4</v>
      </c>
      <c r="B6" s="18" t="s">
        <v>25</v>
      </c>
    </row>
    <row r="7" customFormat="false" ht="15" hidden="false" customHeight="false" outlineLevel="0" collapsed="false">
      <c r="A7" s="17" t="n">
        <v>5</v>
      </c>
      <c r="B7" s="18" t="s">
        <v>26</v>
      </c>
    </row>
    <row r="8" customFormat="false" ht="15" hidden="false" customHeight="false" outlineLevel="0" collapsed="false">
      <c r="A8" s="17" t="n">
        <v>6</v>
      </c>
      <c r="B8" s="18" t="s">
        <v>27</v>
      </c>
    </row>
    <row r="9" customFormat="false" ht="15" hidden="false" customHeight="false" outlineLevel="0" collapsed="false">
      <c r="A9" s="17" t="n">
        <v>7</v>
      </c>
      <c r="B9" s="18" t="s">
        <v>28</v>
      </c>
    </row>
    <row r="10" customFormat="false" ht="15" hidden="false" customHeight="false" outlineLevel="0" collapsed="false">
      <c r="A10" s="17" t="n">
        <v>8</v>
      </c>
      <c r="B10" s="18" t="s">
        <v>29</v>
      </c>
    </row>
    <row r="11" customFormat="false" ht="15" hidden="false" customHeight="false" outlineLevel="0" collapsed="false">
      <c r="A11" s="17" t="n">
        <v>9</v>
      </c>
      <c r="B11" s="18" t="s">
        <v>30</v>
      </c>
    </row>
    <row r="12" customFormat="false" ht="15" hidden="false" customHeight="false" outlineLevel="0" collapsed="false">
      <c r="A12" s="17" t="n">
        <v>10</v>
      </c>
      <c r="B12" s="18" t="s">
        <v>31</v>
      </c>
    </row>
    <row r="14" customFormat="false" ht="19.7" hidden="false" customHeight="false" outlineLevel="0" collapsed="false">
      <c r="A14" s="19" t="s">
        <v>32</v>
      </c>
      <c r="B14" s="19"/>
    </row>
    <row r="15" customFormat="false" ht="15" hidden="false" customHeight="false" outlineLevel="0" collapsed="false">
      <c r="A15" s="20" t="s">
        <v>33</v>
      </c>
      <c r="B15" s="21" t="s">
        <v>34</v>
      </c>
    </row>
    <row r="16" customFormat="false" ht="28.35" hidden="false" customHeight="false" outlineLevel="0" collapsed="false">
      <c r="A16" s="20" t="s">
        <v>35</v>
      </c>
      <c r="B16" s="21" t="s">
        <v>36</v>
      </c>
    </row>
    <row r="17" customFormat="false" ht="28.35" hidden="false" customHeight="false" outlineLevel="0" collapsed="false">
      <c r="A17" s="20" t="s">
        <v>37</v>
      </c>
      <c r="B17" s="21" t="s">
        <v>38</v>
      </c>
    </row>
    <row r="18" customFormat="false" ht="28.35" hidden="false" customHeight="false" outlineLevel="0" collapsed="false">
      <c r="A18" s="20" t="s">
        <v>39</v>
      </c>
      <c r="B18" s="21" t="s">
        <v>40</v>
      </c>
    </row>
    <row r="20" customFormat="false" ht="23.85" hidden="false" customHeight="false" outlineLevel="0" collapsed="false">
      <c r="B20" s="22" t="s">
        <v>41</v>
      </c>
    </row>
  </sheetData>
  <sheetProtection sheet="1" objects="1" scenarios="1" formatColumns="0" formatRows="0" algorithmName="SHA-512" hashValue="xXys3CcoIxvmNQDyQhH/tCAZa2I79ks2OmBKQCmp324fZyyjmkvFMb/1UqBYclUM9+VGh1TEHMpFvVrzZKHY6A==" saltValue="j4U90nKoFTqzEtSIvckOXg==" spinCount="100000"/>
  <mergeCells count="1">
    <mergeCell ref="A14:B14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5" t="s">
        <v>20</v>
      </c>
    </row>
    <row r="2" customFormat="false" ht="31.5" hidden="false" customHeight="true" outlineLevel="0" collapsed="false">
      <c r="A2" s="23" t="s">
        <v>42</v>
      </c>
      <c r="B2" s="23"/>
      <c r="C2" s="23"/>
      <c r="D2" s="23"/>
    </row>
    <row r="4" customFormat="false" ht="15" hidden="false" customHeight="true" outlineLevel="0" collapsed="false">
      <c r="A4" s="24" t="s">
        <v>43</v>
      </c>
      <c r="B4" s="24"/>
      <c r="C4" s="74" t="s">
        <v>44</v>
      </c>
    </row>
    <row r="5" customFormat="false" ht="15" hidden="false" customHeight="true" outlineLevel="0" collapsed="false">
      <c r="A5" s="24" t="s">
        <v>45</v>
      </c>
      <c r="B5" s="24"/>
      <c r="C5" s="75" t="n">
        <v>46477</v>
      </c>
    </row>
    <row r="6" customFormat="false" ht="15" hidden="false" customHeight="true" outlineLevel="0" collapsed="false">
      <c r="A6" s="24" t="s">
        <v>46</v>
      </c>
      <c r="B6" s="24"/>
      <c r="C6" s="74" t="s">
        <v>47</v>
      </c>
    </row>
    <row r="8" customFormat="false" ht="15" hidden="false" customHeight="false" outlineLevel="0" collapsed="false">
      <c r="A8" s="3" t="s">
        <v>48</v>
      </c>
    </row>
    <row r="9" customFormat="false" ht="15" hidden="false" customHeight="true" outlineLevel="0" collapsed="false">
      <c r="A9" s="27" t="s">
        <v>49</v>
      </c>
      <c r="B9" s="27"/>
      <c r="C9" s="27"/>
      <c r="D9" s="27"/>
    </row>
    <row r="10" customFormat="false" ht="15" hidden="false" customHeight="true" outlineLevel="0" collapsed="false">
      <c r="A10" s="27" t="s">
        <v>50</v>
      </c>
      <c r="B10" s="27"/>
      <c r="C10" s="27"/>
      <c r="D10" s="27"/>
    </row>
    <row r="11" customFormat="false" ht="15" hidden="false" customHeight="true" outlineLevel="0" collapsed="false">
      <c r="A11" s="27" t="s">
        <v>51</v>
      </c>
      <c r="B11" s="27"/>
      <c r="C11" s="27"/>
      <c r="D11" s="27"/>
    </row>
    <row r="14" customFormat="false" ht="15" hidden="false" customHeight="false" outlineLevel="0" collapsed="false">
      <c r="B14" s="28" t="s">
        <v>18</v>
      </c>
    </row>
  </sheetData>
  <sheetProtection sheet="1" objects="1" scenarios="1" formatColumns="0" formatRows="0" algorithmName="SHA-512" hashValue="heASjSiCXZXdiz7o1jDzpOhcu7Nb6hHAFGmC3JnE7Utz/WEyOUsHwQ+ahLAg4uDB+dRtAwCNu+XLqYfDzIEVGQ==" saltValue="okWC+LcZsSKK6P4YkqHYIA==" spinCount="100000"/>
  <mergeCells count="7">
    <mergeCell ref="A2:D2"/>
    <mergeCell ref="A4:B4"/>
    <mergeCell ref="A5:B5"/>
    <mergeCell ref="A6:B6"/>
    <mergeCell ref="A9:D9"/>
    <mergeCell ref="A10:D10"/>
    <mergeCell ref="A11:D11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R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4" min="3" style="0" width="14"/>
    <col collapsed="false" customWidth="true" hidden="false" outlineLevel="0" max="5" min="5" style="0" width="24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true" outlineLevel="0" max="18" min="10" style="0" width="13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29" t="str">
        <f aca="false">"Trial Balance of "&amp;Setup!$C$4&amp;" as on "&amp;TEXT(Setup!$C$5,"dd mmmm yyyy")</f>
        <v>Trial Balance of M/s Xplore Traders as on 31 March 2027</v>
      </c>
      <c r="B2" s="29"/>
      <c r="C2" s="29"/>
      <c r="D2" s="29"/>
      <c r="E2" s="29"/>
      <c r="F2" s="29"/>
      <c r="G2" s="29"/>
      <c r="H2" s="29"/>
      <c r="I2" s="29"/>
    </row>
    <row r="3" customFormat="false" ht="15" hidden="false" customHeight="false" outlineLevel="0" collapsed="false">
      <c r="A3" s="30" t="s">
        <v>52</v>
      </c>
      <c r="B3" s="30"/>
      <c r="C3" s="30"/>
      <c r="D3" s="30"/>
      <c r="E3" s="30"/>
      <c r="F3" s="30"/>
      <c r="G3" s="30"/>
      <c r="H3" s="30"/>
      <c r="I3" s="30"/>
    </row>
    <row r="5" customFormat="false" ht="43.5" hidden="false" customHeight="true" outlineLevel="0" collapsed="false">
      <c r="A5" s="31" t="s">
        <v>53</v>
      </c>
      <c r="B5" s="32" t="s">
        <v>54</v>
      </c>
      <c r="C5" s="32" t="s">
        <v>55</v>
      </c>
      <c r="D5" s="32" t="s">
        <v>56</v>
      </c>
      <c r="E5" s="32" t="s">
        <v>57</v>
      </c>
      <c r="F5" s="32" t="s">
        <v>58</v>
      </c>
      <c r="G5" s="31" t="s">
        <v>59</v>
      </c>
      <c r="H5" s="31" t="s">
        <v>60</v>
      </c>
      <c r="I5" s="31" t="s">
        <v>61</v>
      </c>
    </row>
    <row r="6" customFormat="false" ht="15" hidden="false" customHeight="false" outlineLevel="0" collapsed="false">
      <c r="A6" s="33" t="n">
        <f aca="false">IF(B6="","",ROW()-5)</f>
        <v>1</v>
      </c>
      <c r="B6" s="76" t="s">
        <v>62</v>
      </c>
      <c r="C6" s="77"/>
      <c r="D6" s="77" t="n">
        <v>300000</v>
      </c>
      <c r="E6" s="76" t="s">
        <v>62</v>
      </c>
      <c r="F6" s="78"/>
      <c r="G6" s="37" t="n">
        <f aca="false">IF(OR(B6="",E6=""),"",IF(VLOOKUP(E6,Lists!$A$2:$B$19,2,FALSE())="Dr",N(C6)-N(D6),N(D6)-N(C6)))</f>
        <v>300000</v>
      </c>
      <c r="H6" s="38" t="n">
        <f aca="false">IF(B6="","",SUMIF(Adjustments!$B$6:$B$10,B6,Adjustments!$C$6:$C$10)-SUMIF(Adjustments!$E$6:$E$10,B6,Adjustments!$F$6:$F$10)+SUMIF(Adjustments!$B$14:$B$18,B6,Adjustments!$C$14:$C$18)-SUMIF(Adjustments!$E$14:$E$18,B6,Adjustments!$F$14:$F$18))</f>
        <v>0</v>
      </c>
      <c r="I6" s="39" t="n">
        <f aca="false">IF(B6="","",N(G6)+N(H6))</f>
        <v>300000</v>
      </c>
      <c r="J6" s="8" t="str">
        <f aca="false">IF($E6="Direct Expenses",COUNTIF($E$6:$E6,"Direct Expenses"),"")</f>
        <v/>
      </c>
      <c r="K6" s="8" t="str">
        <f aca="false">IF($E6="Indirect Expenses",COUNTIF($E$6:$E6,"Indirect Expenses"),"")</f>
        <v/>
      </c>
      <c r="L6" s="8" t="str">
        <f aca="false">IF($E6="Indirect Income",COUNTIF($E$6:$E6,"Indirect Income"),"")</f>
        <v/>
      </c>
      <c r="M6" s="8" t="str">
        <f aca="false">IF($E6="Fixed Assets",COUNTIF($E$6:$E6,"Fixed Assets"),"")</f>
        <v/>
      </c>
      <c r="N6" s="8" t="str">
        <f aca="false">IF($E6="Investments",COUNTIF($E$6:$E6,"Investments"),"")</f>
        <v/>
      </c>
      <c r="O6" s="8" t="str">
        <f aca="false">IF($E6="Other Current Assets",COUNTIF($E$6:$E6,"Other Current Assets"),"")</f>
        <v/>
      </c>
      <c r="P6" s="8" t="str">
        <f aca="false">IF($E6="Current Liabilities",COUNTIF($E$6:$E6,"Current Liabilities"),"")</f>
        <v/>
      </c>
      <c r="Q6" s="8" t="str">
        <f aca="false">IF($E6="Long-term Loans",COUNTIF($E$6:$E6,"Long-term Loans"),"")</f>
        <v/>
      </c>
      <c r="R6" s="40" t="n">
        <f aca="false">IF(E6="Fixed Assets",ROUND(I6*N(F6),0),0)</f>
        <v>0</v>
      </c>
    </row>
    <row r="7" customFormat="false" ht="15" hidden="false" customHeight="false" outlineLevel="0" collapsed="false">
      <c r="A7" s="33" t="n">
        <f aca="false">IF(B7="","",ROW()-5)</f>
        <v>2</v>
      </c>
      <c r="B7" s="76" t="s">
        <v>63</v>
      </c>
      <c r="C7" s="77" t="n">
        <v>30000</v>
      </c>
      <c r="D7" s="77"/>
      <c r="E7" s="76" t="s">
        <v>63</v>
      </c>
      <c r="F7" s="78"/>
      <c r="G7" s="37" t="n">
        <f aca="false">IF(OR(B7="",E7=""),"",IF(VLOOKUP(E7,Lists!$A$2:$B$19,2,FALSE())="Dr",N(C7)-N(D7),N(D7)-N(C7)))</f>
        <v>30000</v>
      </c>
      <c r="H7" s="38" t="n">
        <f aca="false">IF(B7="","",SUMIF(Adjustments!$B$6:$B$10,B7,Adjustments!$C$6:$C$10)-SUMIF(Adjustments!$E$6:$E$10,B7,Adjustments!$F$6:$F$10)+SUMIF(Adjustments!$B$14:$B$18,B7,Adjustments!$C$14:$C$18)-SUMIF(Adjustments!$E$14:$E$18,B7,Adjustments!$F$14:$F$18))</f>
        <v>0</v>
      </c>
      <c r="I7" s="39" t="n">
        <f aca="false">IF(B7="","",N(G7)+N(H7))</f>
        <v>30000</v>
      </c>
      <c r="J7" s="8" t="str">
        <f aca="false">IF($E7="Direct Expenses",COUNTIF($E$6:$E7,"Direct Expenses"),"")</f>
        <v/>
      </c>
      <c r="K7" s="8" t="str">
        <f aca="false">IF($E7="Indirect Expenses",COUNTIF($E$6:$E7,"Indirect Expenses"),"")</f>
        <v/>
      </c>
      <c r="L7" s="8" t="str">
        <f aca="false">IF($E7="Indirect Income",COUNTIF($E$6:$E7,"Indirect Income"),"")</f>
        <v/>
      </c>
      <c r="M7" s="8" t="str">
        <f aca="false">IF($E7="Fixed Assets",COUNTIF($E$6:$E7,"Fixed Assets"),"")</f>
        <v/>
      </c>
      <c r="N7" s="8" t="str">
        <f aca="false">IF($E7="Investments",COUNTIF($E$6:$E7,"Investments"),"")</f>
        <v/>
      </c>
      <c r="O7" s="8" t="str">
        <f aca="false">IF($E7="Other Current Assets",COUNTIF($E$6:$E7,"Other Current Assets"),"")</f>
        <v/>
      </c>
      <c r="P7" s="8" t="str">
        <f aca="false">IF($E7="Current Liabilities",COUNTIF($E$6:$E7,"Current Liabilities"),"")</f>
        <v/>
      </c>
      <c r="Q7" s="8" t="str">
        <f aca="false">IF($E7="Long-term Loans",COUNTIF($E$6:$E7,"Long-term Loans"),"")</f>
        <v/>
      </c>
      <c r="R7" s="40" t="n">
        <f aca="false">IF(E7="Fixed Assets",ROUND(I7*N(F7),0),0)</f>
        <v>0</v>
      </c>
    </row>
    <row r="8" customFormat="false" ht="15" hidden="false" customHeight="false" outlineLevel="0" collapsed="false">
      <c r="A8" s="33" t="n">
        <f aca="false">IF(B8="","",ROW()-5)</f>
        <v>3</v>
      </c>
      <c r="B8" s="76" t="s">
        <v>64</v>
      </c>
      <c r="C8" s="77" t="n">
        <v>50000</v>
      </c>
      <c r="D8" s="77"/>
      <c r="E8" s="76" t="s">
        <v>64</v>
      </c>
      <c r="F8" s="78"/>
      <c r="G8" s="37" t="n">
        <f aca="false">IF(OR(B8="",E8=""),"",IF(VLOOKUP(E8,Lists!$A$2:$B$19,2,FALSE())="Dr",N(C8)-N(D8),N(D8)-N(C8)))</f>
        <v>50000</v>
      </c>
      <c r="H8" s="38" t="n">
        <f aca="false">IF(B8="","",SUMIF(Adjustments!$B$6:$B$10,B8,Adjustments!$C$6:$C$10)-SUMIF(Adjustments!$E$6:$E$10,B8,Adjustments!$F$6:$F$10)+SUMIF(Adjustments!$B$14:$B$18,B8,Adjustments!$C$14:$C$18)-SUMIF(Adjustments!$E$14:$E$18,B8,Adjustments!$F$14:$F$18))</f>
        <v>0</v>
      </c>
      <c r="I8" s="39" t="n">
        <f aca="false">IF(B8="","",N(G8)+N(H8))</f>
        <v>50000</v>
      </c>
      <c r="J8" s="8" t="str">
        <f aca="false">IF($E8="Direct Expenses",COUNTIF($E$6:$E8,"Direct Expenses"),"")</f>
        <v/>
      </c>
      <c r="K8" s="8" t="str">
        <f aca="false">IF($E8="Indirect Expenses",COUNTIF($E$6:$E8,"Indirect Expenses"),"")</f>
        <v/>
      </c>
      <c r="L8" s="8" t="str">
        <f aca="false">IF($E8="Indirect Income",COUNTIF($E$6:$E8,"Indirect Income"),"")</f>
        <v/>
      </c>
      <c r="M8" s="8" t="str">
        <f aca="false">IF($E8="Fixed Assets",COUNTIF($E$6:$E8,"Fixed Assets"),"")</f>
        <v/>
      </c>
      <c r="N8" s="8" t="str">
        <f aca="false">IF($E8="Investments",COUNTIF($E$6:$E8,"Investments"),"")</f>
        <v/>
      </c>
      <c r="O8" s="8" t="str">
        <f aca="false">IF($E8="Other Current Assets",COUNTIF($E$6:$E8,"Other Current Assets"),"")</f>
        <v/>
      </c>
      <c r="P8" s="8" t="str">
        <f aca="false">IF($E8="Current Liabilities",COUNTIF($E$6:$E8,"Current Liabilities"),"")</f>
        <v/>
      </c>
      <c r="Q8" s="8" t="str">
        <f aca="false">IF($E8="Long-term Loans",COUNTIF($E$6:$E8,"Long-term Loans"),"")</f>
        <v/>
      </c>
      <c r="R8" s="40" t="n">
        <f aca="false">IF(E8="Fixed Assets",ROUND(I8*N(F8),0),0)</f>
        <v>0</v>
      </c>
    </row>
    <row r="9" customFormat="false" ht="15" hidden="false" customHeight="false" outlineLevel="0" collapsed="false">
      <c r="A9" s="33" t="n">
        <f aca="false">IF(B9="","",ROW()-5)</f>
        <v>4</v>
      </c>
      <c r="B9" s="76" t="s">
        <v>65</v>
      </c>
      <c r="C9" s="77" t="n">
        <v>400000</v>
      </c>
      <c r="D9" s="77"/>
      <c r="E9" s="76" t="s">
        <v>65</v>
      </c>
      <c r="F9" s="78"/>
      <c r="G9" s="37" t="n">
        <f aca="false">IF(OR(B9="",E9=""),"",IF(VLOOKUP(E9,Lists!$A$2:$B$19,2,FALSE())="Dr",N(C9)-N(D9),N(D9)-N(C9)))</f>
        <v>400000</v>
      </c>
      <c r="H9" s="38" t="n">
        <f aca="false">IF(B9="","",SUMIF(Adjustments!$B$6:$B$10,B9,Adjustments!$C$6:$C$10)-SUMIF(Adjustments!$E$6:$E$10,B9,Adjustments!$F$6:$F$10)+SUMIF(Adjustments!$B$14:$B$18,B9,Adjustments!$C$14:$C$18)-SUMIF(Adjustments!$E$14:$E$18,B9,Adjustments!$F$14:$F$18))</f>
        <v>0</v>
      </c>
      <c r="I9" s="39" t="n">
        <f aca="false">IF(B9="","",N(G9)+N(H9))</f>
        <v>400000</v>
      </c>
      <c r="J9" s="8" t="str">
        <f aca="false">IF($E9="Direct Expenses",COUNTIF($E$6:$E9,"Direct Expenses"),"")</f>
        <v/>
      </c>
      <c r="K9" s="8" t="str">
        <f aca="false">IF($E9="Indirect Expenses",COUNTIF($E$6:$E9,"Indirect Expenses"),"")</f>
        <v/>
      </c>
      <c r="L9" s="8" t="str">
        <f aca="false">IF($E9="Indirect Income",COUNTIF($E$6:$E9,"Indirect Income"),"")</f>
        <v/>
      </c>
      <c r="M9" s="8" t="str">
        <f aca="false">IF($E9="Fixed Assets",COUNTIF($E$6:$E9,"Fixed Assets"),"")</f>
        <v/>
      </c>
      <c r="N9" s="8" t="str">
        <f aca="false">IF($E9="Investments",COUNTIF($E$6:$E9,"Investments"),"")</f>
        <v/>
      </c>
      <c r="O9" s="8" t="str">
        <f aca="false">IF($E9="Other Current Assets",COUNTIF($E$6:$E9,"Other Current Assets"),"")</f>
        <v/>
      </c>
      <c r="P9" s="8" t="str">
        <f aca="false">IF($E9="Current Liabilities",COUNTIF($E$6:$E9,"Current Liabilities"),"")</f>
        <v/>
      </c>
      <c r="Q9" s="8" t="str">
        <f aca="false">IF($E9="Long-term Loans",COUNTIF($E$6:$E9,"Long-term Loans"),"")</f>
        <v/>
      </c>
      <c r="R9" s="40" t="n">
        <f aca="false">IF(E9="Fixed Assets",ROUND(I9*N(F9),0),0)</f>
        <v>0</v>
      </c>
    </row>
    <row r="10" customFormat="false" ht="15" hidden="false" customHeight="false" outlineLevel="0" collapsed="false">
      <c r="A10" s="33" t="n">
        <f aca="false">IF(B10="","",ROW()-5)</f>
        <v>5</v>
      </c>
      <c r="B10" s="76" t="s">
        <v>66</v>
      </c>
      <c r="C10" s="77"/>
      <c r="D10" s="77" t="n">
        <v>10000</v>
      </c>
      <c r="E10" s="76" t="s">
        <v>66</v>
      </c>
      <c r="F10" s="78"/>
      <c r="G10" s="37" t="n">
        <f aca="false">IF(OR(B10="",E10=""),"",IF(VLOOKUP(E10,Lists!$A$2:$B$19,2,FALSE())="Dr",N(C10)-N(D10),N(D10)-N(C10)))</f>
        <v>10000</v>
      </c>
      <c r="H10" s="38" t="n">
        <f aca="false">IF(B10="","",SUMIF(Adjustments!$B$6:$B$10,B10,Adjustments!$C$6:$C$10)-SUMIF(Adjustments!$E$6:$E$10,B10,Adjustments!$F$6:$F$10)+SUMIF(Adjustments!$B$14:$B$18,B10,Adjustments!$C$14:$C$18)-SUMIF(Adjustments!$E$14:$E$18,B10,Adjustments!$F$14:$F$18))</f>
        <v>0</v>
      </c>
      <c r="I10" s="39" t="n">
        <f aca="false">IF(B10="","",N(G10)+N(H10))</f>
        <v>10000</v>
      </c>
      <c r="J10" s="8" t="str">
        <f aca="false">IF($E10="Direct Expenses",COUNTIF($E$6:$E10,"Direct Expenses"),"")</f>
        <v/>
      </c>
      <c r="K10" s="8" t="str">
        <f aca="false">IF($E10="Indirect Expenses",COUNTIF($E$6:$E10,"Indirect Expenses"),"")</f>
        <v/>
      </c>
      <c r="L10" s="8" t="str">
        <f aca="false">IF($E10="Indirect Income",COUNTIF($E$6:$E10,"Indirect Income"),"")</f>
        <v/>
      </c>
      <c r="M10" s="8" t="str">
        <f aca="false">IF($E10="Fixed Assets",COUNTIF($E$6:$E10,"Fixed Assets"),"")</f>
        <v/>
      </c>
      <c r="N10" s="8" t="str">
        <f aca="false">IF($E10="Investments",COUNTIF($E$6:$E10,"Investments"),"")</f>
        <v/>
      </c>
      <c r="O10" s="8" t="str">
        <f aca="false">IF($E10="Other Current Assets",COUNTIF($E$6:$E10,"Other Current Assets"),"")</f>
        <v/>
      </c>
      <c r="P10" s="8" t="str">
        <f aca="false">IF($E10="Current Liabilities",COUNTIF($E$6:$E10,"Current Liabilities"),"")</f>
        <v/>
      </c>
      <c r="Q10" s="8" t="str">
        <f aca="false">IF($E10="Long-term Loans",COUNTIF($E$6:$E10,"Long-term Loans"),"")</f>
        <v/>
      </c>
      <c r="R10" s="40" t="n">
        <f aca="false">IF(E10="Fixed Assets",ROUND(I10*N(F10),0),0)</f>
        <v>0</v>
      </c>
    </row>
    <row r="11" customFormat="false" ht="15" hidden="false" customHeight="false" outlineLevel="0" collapsed="false">
      <c r="A11" s="33" t="n">
        <f aca="false">IF(B11="","",ROW()-5)</f>
        <v>6</v>
      </c>
      <c r="B11" s="76" t="s">
        <v>67</v>
      </c>
      <c r="C11" s="77"/>
      <c r="D11" s="77" t="n">
        <v>700000</v>
      </c>
      <c r="E11" s="76" t="s">
        <v>67</v>
      </c>
      <c r="F11" s="78"/>
      <c r="G11" s="37" t="n">
        <f aca="false">IF(OR(B11="",E11=""),"",IF(VLOOKUP(E11,Lists!$A$2:$B$19,2,FALSE())="Dr",N(C11)-N(D11),N(D11)-N(C11)))</f>
        <v>700000</v>
      </c>
      <c r="H11" s="38" t="n">
        <f aca="false">IF(B11="","",SUMIF(Adjustments!$B$6:$B$10,B11,Adjustments!$C$6:$C$10)-SUMIF(Adjustments!$E$6:$E$10,B11,Adjustments!$F$6:$F$10)+SUMIF(Adjustments!$B$14:$B$18,B11,Adjustments!$C$14:$C$18)-SUMIF(Adjustments!$E$14:$E$18,B11,Adjustments!$F$14:$F$18))</f>
        <v>0</v>
      </c>
      <c r="I11" s="39" t="n">
        <f aca="false">IF(B11="","",N(G11)+N(H11))</f>
        <v>700000</v>
      </c>
      <c r="J11" s="8" t="str">
        <f aca="false">IF($E11="Direct Expenses",COUNTIF($E$6:$E11,"Direct Expenses"),"")</f>
        <v/>
      </c>
      <c r="K11" s="8" t="str">
        <f aca="false">IF($E11="Indirect Expenses",COUNTIF($E$6:$E11,"Indirect Expenses"),"")</f>
        <v/>
      </c>
      <c r="L11" s="8" t="str">
        <f aca="false">IF($E11="Indirect Income",COUNTIF($E$6:$E11,"Indirect Income"),"")</f>
        <v/>
      </c>
      <c r="M11" s="8" t="str">
        <f aca="false">IF($E11="Fixed Assets",COUNTIF($E$6:$E11,"Fixed Assets"),"")</f>
        <v/>
      </c>
      <c r="N11" s="8" t="str">
        <f aca="false">IF($E11="Investments",COUNTIF($E$6:$E11,"Investments"),"")</f>
        <v/>
      </c>
      <c r="O11" s="8" t="str">
        <f aca="false">IF($E11="Other Current Assets",COUNTIF($E$6:$E11,"Other Current Assets"),"")</f>
        <v/>
      </c>
      <c r="P11" s="8" t="str">
        <f aca="false">IF($E11="Current Liabilities",COUNTIF($E$6:$E11,"Current Liabilities"),"")</f>
        <v/>
      </c>
      <c r="Q11" s="8" t="str">
        <f aca="false">IF($E11="Long-term Loans",COUNTIF($E$6:$E11,"Long-term Loans"),"")</f>
        <v/>
      </c>
      <c r="R11" s="40" t="n">
        <f aca="false">IF(E11="Fixed Assets",ROUND(I11*N(F11),0),0)</f>
        <v>0</v>
      </c>
    </row>
    <row r="12" customFormat="false" ht="15" hidden="false" customHeight="false" outlineLevel="0" collapsed="false">
      <c r="A12" s="33" t="n">
        <f aca="false">IF(B12="","",ROW()-5)</f>
        <v>7</v>
      </c>
      <c r="B12" s="76" t="s">
        <v>68</v>
      </c>
      <c r="C12" s="77" t="n">
        <v>15000</v>
      </c>
      <c r="D12" s="77"/>
      <c r="E12" s="76" t="s">
        <v>68</v>
      </c>
      <c r="F12" s="78"/>
      <c r="G12" s="37" t="n">
        <f aca="false">IF(OR(B12="",E12=""),"",IF(VLOOKUP(E12,Lists!$A$2:$B$19,2,FALSE())="Dr",N(C12)-N(D12),N(D12)-N(C12)))</f>
        <v>15000</v>
      </c>
      <c r="H12" s="38" t="n">
        <f aca="false">IF(B12="","",SUMIF(Adjustments!$B$6:$B$10,B12,Adjustments!$C$6:$C$10)-SUMIF(Adjustments!$E$6:$E$10,B12,Adjustments!$F$6:$F$10)+SUMIF(Adjustments!$B$14:$B$18,B12,Adjustments!$C$14:$C$18)-SUMIF(Adjustments!$E$14:$E$18,B12,Adjustments!$F$14:$F$18))</f>
        <v>0</v>
      </c>
      <c r="I12" s="39" t="n">
        <f aca="false">IF(B12="","",N(G12)+N(H12))</f>
        <v>15000</v>
      </c>
      <c r="J12" s="8" t="str">
        <f aca="false">IF($E12="Direct Expenses",COUNTIF($E$6:$E12,"Direct Expenses"),"")</f>
        <v/>
      </c>
      <c r="K12" s="8" t="str">
        <f aca="false">IF($E12="Indirect Expenses",COUNTIF($E$6:$E12,"Indirect Expenses"),"")</f>
        <v/>
      </c>
      <c r="L12" s="8" t="str">
        <f aca="false">IF($E12="Indirect Income",COUNTIF($E$6:$E12,"Indirect Income"),"")</f>
        <v/>
      </c>
      <c r="M12" s="8" t="str">
        <f aca="false">IF($E12="Fixed Assets",COUNTIF($E$6:$E12,"Fixed Assets"),"")</f>
        <v/>
      </c>
      <c r="N12" s="8" t="str">
        <f aca="false">IF($E12="Investments",COUNTIF($E$6:$E12,"Investments"),"")</f>
        <v/>
      </c>
      <c r="O12" s="8" t="str">
        <f aca="false">IF($E12="Other Current Assets",COUNTIF($E$6:$E12,"Other Current Assets"),"")</f>
        <v/>
      </c>
      <c r="P12" s="8" t="str">
        <f aca="false">IF($E12="Current Liabilities",COUNTIF($E$6:$E12,"Current Liabilities"),"")</f>
        <v/>
      </c>
      <c r="Q12" s="8" t="str">
        <f aca="false">IF($E12="Long-term Loans",COUNTIF($E$6:$E12,"Long-term Loans"),"")</f>
        <v/>
      </c>
      <c r="R12" s="40" t="n">
        <f aca="false">IF(E12="Fixed Assets",ROUND(I12*N(F12),0),0)</f>
        <v>0</v>
      </c>
    </row>
    <row r="13" customFormat="false" ht="15" hidden="false" customHeight="false" outlineLevel="0" collapsed="false">
      <c r="A13" s="33" t="n">
        <f aca="false">IF(B13="","",ROW()-5)</f>
        <v>8</v>
      </c>
      <c r="B13" s="76" t="s">
        <v>69</v>
      </c>
      <c r="C13" s="77" t="n">
        <v>40000</v>
      </c>
      <c r="D13" s="77"/>
      <c r="E13" s="76" t="s">
        <v>70</v>
      </c>
      <c r="F13" s="78"/>
      <c r="G13" s="37" t="n">
        <f aca="false">IF(OR(B13="",E13=""),"",IF(VLOOKUP(E13,Lists!$A$2:$B$19,2,FALSE())="Dr",N(C13)-N(D13),N(D13)-N(C13)))</f>
        <v>40000</v>
      </c>
      <c r="H13" s="38" t="n">
        <f aca="false">IF(B13="","",SUMIF(Adjustments!$B$6:$B$10,B13,Adjustments!$C$6:$C$10)-SUMIF(Adjustments!$E$6:$E$10,B13,Adjustments!$F$6:$F$10)+SUMIF(Adjustments!$B$14:$B$18,B13,Adjustments!$C$14:$C$18)-SUMIF(Adjustments!$E$14:$E$18,B13,Adjustments!$F$14:$F$18))</f>
        <v>4000</v>
      </c>
      <c r="I13" s="39" t="n">
        <f aca="false">IF(B13="","",N(G13)+N(H13))</f>
        <v>44000</v>
      </c>
      <c r="J13" s="8" t="n">
        <f aca="false">IF($E13="Direct Expenses",COUNTIF($E$6:$E13,"Direct Expenses"),"")</f>
        <v>1</v>
      </c>
      <c r="K13" s="8" t="str">
        <f aca="false">IF($E13="Indirect Expenses",COUNTIF($E$6:$E13,"Indirect Expenses"),"")</f>
        <v/>
      </c>
      <c r="L13" s="8" t="str">
        <f aca="false">IF($E13="Indirect Income",COUNTIF($E$6:$E13,"Indirect Income"),"")</f>
        <v/>
      </c>
      <c r="M13" s="8" t="str">
        <f aca="false">IF($E13="Fixed Assets",COUNTIF($E$6:$E13,"Fixed Assets"),"")</f>
        <v/>
      </c>
      <c r="N13" s="8" t="str">
        <f aca="false">IF($E13="Investments",COUNTIF($E$6:$E13,"Investments"),"")</f>
        <v/>
      </c>
      <c r="O13" s="8" t="str">
        <f aca="false">IF($E13="Other Current Assets",COUNTIF($E$6:$E13,"Other Current Assets"),"")</f>
        <v/>
      </c>
      <c r="P13" s="8" t="str">
        <f aca="false">IF($E13="Current Liabilities",COUNTIF($E$6:$E13,"Current Liabilities"),"")</f>
        <v/>
      </c>
      <c r="Q13" s="8" t="str">
        <f aca="false">IF($E13="Long-term Loans",COUNTIF($E$6:$E13,"Long-term Loans"),"")</f>
        <v/>
      </c>
      <c r="R13" s="40" t="n">
        <f aca="false">IF(E13="Fixed Assets",ROUND(I13*N(F13),0),0)</f>
        <v>0</v>
      </c>
    </row>
    <row r="14" customFormat="false" ht="15" hidden="false" customHeight="false" outlineLevel="0" collapsed="false">
      <c r="A14" s="33" t="n">
        <f aca="false">IF(B14="","",ROW()-5)</f>
        <v>9</v>
      </c>
      <c r="B14" s="76" t="s">
        <v>71</v>
      </c>
      <c r="C14" s="77" t="n">
        <v>6000</v>
      </c>
      <c r="D14" s="77"/>
      <c r="E14" s="76" t="s">
        <v>70</v>
      </c>
      <c r="F14" s="78"/>
      <c r="G14" s="37" t="n">
        <f aca="false">IF(OR(B14="",E14=""),"",IF(VLOOKUP(E14,Lists!$A$2:$B$19,2,FALSE())="Dr",N(C14)-N(D14),N(D14)-N(C14)))</f>
        <v>6000</v>
      </c>
      <c r="H14" s="38" t="n">
        <f aca="false">IF(B14="","",SUMIF(Adjustments!$B$6:$B$10,B14,Adjustments!$C$6:$C$10)-SUMIF(Adjustments!$E$6:$E$10,B14,Adjustments!$F$6:$F$10)+SUMIF(Adjustments!$B$14:$B$18,B14,Adjustments!$C$14:$C$18)-SUMIF(Adjustments!$E$14:$E$18,B14,Adjustments!$F$14:$F$18))</f>
        <v>0</v>
      </c>
      <c r="I14" s="39" t="n">
        <f aca="false">IF(B14="","",N(G14)+N(H14))</f>
        <v>6000</v>
      </c>
      <c r="J14" s="8" t="n">
        <f aca="false">IF($E14="Direct Expenses",COUNTIF($E$6:$E14,"Direct Expenses"),"")</f>
        <v>2</v>
      </c>
      <c r="K14" s="8" t="str">
        <f aca="false">IF($E14="Indirect Expenses",COUNTIF($E$6:$E14,"Indirect Expenses"),"")</f>
        <v/>
      </c>
      <c r="L14" s="8" t="str">
        <f aca="false">IF($E14="Indirect Income",COUNTIF($E$6:$E14,"Indirect Income"),"")</f>
        <v/>
      </c>
      <c r="M14" s="8" t="str">
        <f aca="false">IF($E14="Fixed Assets",COUNTIF($E$6:$E14,"Fixed Assets"),"")</f>
        <v/>
      </c>
      <c r="N14" s="8" t="str">
        <f aca="false">IF($E14="Investments",COUNTIF($E$6:$E14,"Investments"),"")</f>
        <v/>
      </c>
      <c r="O14" s="8" t="str">
        <f aca="false">IF($E14="Other Current Assets",COUNTIF($E$6:$E14,"Other Current Assets"),"")</f>
        <v/>
      </c>
      <c r="P14" s="8" t="str">
        <f aca="false">IF($E14="Current Liabilities",COUNTIF($E$6:$E14,"Current Liabilities"),"")</f>
        <v/>
      </c>
      <c r="Q14" s="8" t="str">
        <f aca="false">IF($E14="Long-term Loans",COUNTIF($E$6:$E14,"Long-term Loans"),"")</f>
        <v/>
      </c>
      <c r="R14" s="40" t="n">
        <f aca="false">IF(E14="Fixed Assets",ROUND(I14*N(F14),0),0)</f>
        <v>0</v>
      </c>
    </row>
    <row r="15" customFormat="false" ht="15" hidden="false" customHeight="false" outlineLevel="0" collapsed="false">
      <c r="A15" s="33" t="n">
        <f aca="false">IF(B15="","",ROW()-5)</f>
        <v>10</v>
      </c>
      <c r="B15" s="76" t="s">
        <v>72</v>
      </c>
      <c r="C15" s="77" t="n">
        <v>60000</v>
      </c>
      <c r="D15" s="77"/>
      <c r="E15" s="76" t="s">
        <v>73</v>
      </c>
      <c r="F15" s="78"/>
      <c r="G15" s="37" t="n">
        <f aca="false">IF(OR(B15="",E15=""),"",IF(VLOOKUP(E15,Lists!$A$2:$B$19,2,FALSE())="Dr",N(C15)-N(D15),N(D15)-N(C15)))</f>
        <v>60000</v>
      </c>
      <c r="H15" s="38" t="n">
        <f aca="false">IF(B15="","",SUMIF(Adjustments!$B$6:$B$10,B15,Adjustments!$C$6:$C$10)-SUMIF(Adjustments!$E$6:$E$10,B15,Adjustments!$F$6:$F$10)+SUMIF(Adjustments!$B$14:$B$18,B15,Adjustments!$C$14:$C$18)-SUMIF(Adjustments!$E$14:$E$18,B15,Adjustments!$F$14:$F$18))</f>
        <v>5000</v>
      </c>
      <c r="I15" s="39" t="n">
        <f aca="false">IF(B15="","",N(G15)+N(H15))</f>
        <v>65000</v>
      </c>
      <c r="J15" s="8" t="str">
        <f aca="false">IF($E15="Direct Expenses",COUNTIF($E$6:$E15,"Direct Expenses"),"")</f>
        <v/>
      </c>
      <c r="K15" s="8" t="n">
        <f aca="false">IF($E15="Indirect Expenses",COUNTIF($E$6:$E15,"Indirect Expenses"),"")</f>
        <v>1</v>
      </c>
      <c r="L15" s="8" t="str">
        <f aca="false">IF($E15="Indirect Income",COUNTIF($E$6:$E15,"Indirect Income"),"")</f>
        <v/>
      </c>
      <c r="M15" s="8" t="str">
        <f aca="false">IF($E15="Fixed Assets",COUNTIF($E$6:$E15,"Fixed Assets"),"")</f>
        <v/>
      </c>
      <c r="N15" s="8" t="str">
        <f aca="false">IF($E15="Investments",COUNTIF($E$6:$E15,"Investments"),"")</f>
        <v/>
      </c>
      <c r="O15" s="8" t="str">
        <f aca="false">IF($E15="Other Current Assets",COUNTIF($E$6:$E15,"Other Current Assets"),"")</f>
        <v/>
      </c>
      <c r="P15" s="8" t="str">
        <f aca="false">IF($E15="Current Liabilities",COUNTIF($E$6:$E15,"Current Liabilities"),"")</f>
        <v/>
      </c>
      <c r="Q15" s="8" t="str">
        <f aca="false">IF($E15="Long-term Loans",COUNTIF($E$6:$E15,"Long-term Loans"),"")</f>
        <v/>
      </c>
      <c r="R15" s="40" t="n">
        <f aca="false">IF(E15="Fixed Assets",ROUND(I15*N(F15),0),0)</f>
        <v>0</v>
      </c>
    </row>
    <row r="16" customFormat="false" ht="15" hidden="false" customHeight="false" outlineLevel="0" collapsed="false">
      <c r="A16" s="33" t="n">
        <f aca="false">IF(B16="","",ROW()-5)</f>
        <v>11</v>
      </c>
      <c r="B16" s="76" t="s">
        <v>74</v>
      </c>
      <c r="C16" s="77" t="n">
        <v>24000</v>
      </c>
      <c r="D16" s="77"/>
      <c r="E16" s="76" t="s">
        <v>73</v>
      </c>
      <c r="F16" s="78"/>
      <c r="G16" s="37" t="n">
        <f aca="false">IF(OR(B16="",E16=""),"",IF(VLOOKUP(E16,Lists!$A$2:$B$19,2,FALSE())="Dr",N(C16)-N(D16),N(D16)-N(C16)))</f>
        <v>24000</v>
      </c>
      <c r="H16" s="38" t="n">
        <f aca="false">IF(B16="","",SUMIF(Adjustments!$B$6:$B$10,B16,Adjustments!$C$6:$C$10)-SUMIF(Adjustments!$E$6:$E$10,B16,Adjustments!$F$6:$F$10)+SUMIF(Adjustments!$B$14:$B$18,B16,Adjustments!$C$14:$C$18)-SUMIF(Adjustments!$E$14:$E$18,B16,Adjustments!$F$14:$F$18))</f>
        <v>0</v>
      </c>
      <c r="I16" s="39" t="n">
        <f aca="false">IF(B16="","",N(G16)+N(H16))</f>
        <v>24000</v>
      </c>
      <c r="J16" s="8" t="str">
        <f aca="false">IF($E16="Direct Expenses",COUNTIF($E$6:$E16,"Direct Expenses"),"")</f>
        <v/>
      </c>
      <c r="K16" s="8" t="n">
        <f aca="false">IF($E16="Indirect Expenses",COUNTIF($E$6:$E16,"Indirect Expenses"),"")</f>
        <v>2</v>
      </c>
      <c r="L16" s="8" t="str">
        <f aca="false">IF($E16="Indirect Income",COUNTIF($E$6:$E16,"Indirect Income"),"")</f>
        <v/>
      </c>
      <c r="M16" s="8" t="str">
        <f aca="false">IF($E16="Fixed Assets",COUNTIF($E$6:$E16,"Fixed Assets"),"")</f>
        <v/>
      </c>
      <c r="N16" s="8" t="str">
        <f aca="false">IF($E16="Investments",COUNTIF($E$6:$E16,"Investments"),"")</f>
        <v/>
      </c>
      <c r="O16" s="8" t="str">
        <f aca="false">IF($E16="Other Current Assets",COUNTIF($E$6:$E16,"Other Current Assets"),"")</f>
        <v/>
      </c>
      <c r="P16" s="8" t="str">
        <f aca="false">IF($E16="Current Liabilities",COUNTIF($E$6:$E16,"Current Liabilities"),"")</f>
        <v/>
      </c>
      <c r="Q16" s="8" t="str">
        <f aca="false">IF($E16="Long-term Loans",COUNTIF($E$6:$E16,"Long-term Loans"),"")</f>
        <v/>
      </c>
      <c r="R16" s="40" t="n">
        <f aca="false">IF(E16="Fixed Assets",ROUND(I16*N(F16),0),0)</f>
        <v>0</v>
      </c>
    </row>
    <row r="17" customFormat="false" ht="15" hidden="false" customHeight="false" outlineLevel="0" collapsed="false">
      <c r="A17" s="33" t="n">
        <f aca="false">IF(B17="","",ROW()-5)</f>
        <v>12</v>
      </c>
      <c r="B17" s="76" t="s">
        <v>75</v>
      </c>
      <c r="C17" s="77" t="n">
        <v>9000</v>
      </c>
      <c r="D17" s="77"/>
      <c r="E17" s="76" t="s">
        <v>73</v>
      </c>
      <c r="F17" s="78"/>
      <c r="G17" s="37" t="n">
        <f aca="false">IF(OR(B17="",E17=""),"",IF(VLOOKUP(E17,Lists!$A$2:$B$19,2,FALSE())="Dr",N(C17)-N(D17),N(D17)-N(C17)))</f>
        <v>9000</v>
      </c>
      <c r="H17" s="38" t="n">
        <f aca="false">IF(B17="","",SUMIF(Adjustments!$B$6:$B$10,B17,Adjustments!$C$6:$C$10)-SUMIF(Adjustments!$E$6:$E$10,B17,Adjustments!$F$6:$F$10)+SUMIF(Adjustments!$B$14:$B$18,B17,Adjustments!$C$14:$C$18)-SUMIF(Adjustments!$E$14:$E$18,B17,Adjustments!$F$14:$F$18))</f>
        <v>0</v>
      </c>
      <c r="I17" s="39" t="n">
        <f aca="false">IF(B17="","",N(G17)+N(H17))</f>
        <v>9000</v>
      </c>
      <c r="J17" s="8" t="str">
        <f aca="false">IF($E17="Direct Expenses",COUNTIF($E$6:$E17,"Direct Expenses"),"")</f>
        <v/>
      </c>
      <c r="K17" s="8" t="n">
        <f aca="false">IF($E17="Indirect Expenses",COUNTIF($E$6:$E17,"Indirect Expenses"),"")</f>
        <v>3</v>
      </c>
      <c r="L17" s="8" t="str">
        <f aca="false">IF($E17="Indirect Income",COUNTIF($E$6:$E17,"Indirect Income"),"")</f>
        <v/>
      </c>
      <c r="M17" s="8" t="str">
        <f aca="false">IF($E17="Fixed Assets",COUNTIF($E$6:$E17,"Fixed Assets"),"")</f>
        <v/>
      </c>
      <c r="N17" s="8" t="str">
        <f aca="false">IF($E17="Investments",COUNTIF($E$6:$E17,"Investments"),"")</f>
        <v/>
      </c>
      <c r="O17" s="8" t="str">
        <f aca="false">IF($E17="Other Current Assets",COUNTIF($E$6:$E17,"Other Current Assets"),"")</f>
        <v/>
      </c>
      <c r="P17" s="8" t="str">
        <f aca="false">IF($E17="Current Liabilities",COUNTIF($E$6:$E17,"Current Liabilities"),"")</f>
        <v/>
      </c>
      <c r="Q17" s="8" t="str">
        <f aca="false">IF($E17="Long-term Loans",COUNTIF($E$6:$E17,"Long-term Loans"),"")</f>
        <v/>
      </c>
      <c r="R17" s="40" t="n">
        <f aca="false">IF(E17="Fixed Assets",ROUND(I17*N(F17),0),0)</f>
        <v>0</v>
      </c>
    </row>
    <row r="18" customFormat="false" ht="15" hidden="false" customHeight="false" outlineLevel="0" collapsed="false">
      <c r="A18" s="33" t="n">
        <f aca="false">IF(B18="","",ROW()-5)</f>
        <v>13</v>
      </c>
      <c r="B18" s="76" t="s">
        <v>76</v>
      </c>
      <c r="C18" s="77" t="n">
        <v>6000</v>
      </c>
      <c r="D18" s="77"/>
      <c r="E18" s="76" t="s">
        <v>73</v>
      </c>
      <c r="F18" s="78"/>
      <c r="G18" s="37" t="n">
        <f aca="false">IF(OR(B18="",E18=""),"",IF(VLOOKUP(E18,Lists!$A$2:$B$19,2,FALSE())="Dr",N(C18)-N(D18),N(D18)-N(C18)))</f>
        <v>6000</v>
      </c>
      <c r="H18" s="38" t="n">
        <f aca="false">IF(B18="","",SUMIF(Adjustments!$B$6:$B$10,B18,Adjustments!$C$6:$C$10)-SUMIF(Adjustments!$E$6:$E$10,B18,Adjustments!$F$6:$F$10)+SUMIF(Adjustments!$B$14:$B$18,B18,Adjustments!$C$14:$C$18)-SUMIF(Adjustments!$E$14:$E$18,B18,Adjustments!$F$14:$F$18))</f>
        <v>-1500</v>
      </c>
      <c r="I18" s="39" t="n">
        <f aca="false">IF(B18="","",N(G18)+N(H18))</f>
        <v>4500</v>
      </c>
      <c r="J18" s="8" t="str">
        <f aca="false">IF($E18="Direct Expenses",COUNTIF($E$6:$E18,"Direct Expenses"),"")</f>
        <v/>
      </c>
      <c r="K18" s="8" t="n">
        <f aca="false">IF($E18="Indirect Expenses",COUNTIF($E$6:$E18,"Indirect Expenses"),"")</f>
        <v>4</v>
      </c>
      <c r="L18" s="8" t="str">
        <f aca="false">IF($E18="Indirect Income",COUNTIF($E$6:$E18,"Indirect Income"),"")</f>
        <v/>
      </c>
      <c r="M18" s="8" t="str">
        <f aca="false">IF($E18="Fixed Assets",COUNTIF($E$6:$E18,"Fixed Assets"),"")</f>
        <v/>
      </c>
      <c r="N18" s="8" t="str">
        <f aca="false">IF($E18="Investments",COUNTIF($E$6:$E18,"Investments"),"")</f>
        <v/>
      </c>
      <c r="O18" s="8" t="str">
        <f aca="false">IF($E18="Other Current Assets",COUNTIF($E$6:$E18,"Other Current Assets"),"")</f>
        <v/>
      </c>
      <c r="P18" s="8" t="str">
        <f aca="false">IF($E18="Current Liabilities",COUNTIF($E$6:$E18,"Current Liabilities"),"")</f>
        <v/>
      </c>
      <c r="Q18" s="8" t="str">
        <f aca="false">IF($E18="Long-term Loans",COUNTIF($E$6:$E18,"Long-term Loans"),"")</f>
        <v/>
      </c>
      <c r="R18" s="40" t="n">
        <f aca="false">IF(E18="Fixed Assets",ROUND(I18*N(F18),0),0)</f>
        <v>0</v>
      </c>
    </row>
    <row r="19" customFormat="false" ht="15" hidden="false" customHeight="false" outlineLevel="0" collapsed="false">
      <c r="A19" s="33" t="n">
        <f aca="false">IF(B19="","",ROW()-5)</f>
        <v>14</v>
      </c>
      <c r="B19" s="76" t="s">
        <v>77</v>
      </c>
      <c r="C19" s="77" t="n">
        <v>8000</v>
      </c>
      <c r="D19" s="77"/>
      <c r="E19" s="76" t="s">
        <v>73</v>
      </c>
      <c r="F19" s="78"/>
      <c r="G19" s="37" t="n">
        <f aca="false">IF(OR(B19="",E19=""),"",IF(VLOOKUP(E19,Lists!$A$2:$B$19,2,FALSE())="Dr",N(C19)-N(D19),N(D19)-N(C19)))</f>
        <v>8000</v>
      </c>
      <c r="H19" s="38" t="n">
        <f aca="false">IF(B19="","",SUMIF(Adjustments!$B$6:$B$10,B19,Adjustments!$C$6:$C$10)-SUMIF(Adjustments!$E$6:$E$10,B19,Adjustments!$F$6:$F$10)+SUMIF(Adjustments!$B$14:$B$18,B19,Adjustments!$C$14:$C$18)-SUMIF(Adjustments!$E$14:$E$18,B19,Adjustments!$F$14:$F$18))</f>
        <v>0</v>
      </c>
      <c r="I19" s="39" t="n">
        <f aca="false">IF(B19="","",N(G19)+N(H19))</f>
        <v>8000</v>
      </c>
      <c r="J19" s="8" t="str">
        <f aca="false">IF($E19="Direct Expenses",COUNTIF($E$6:$E19,"Direct Expenses"),"")</f>
        <v/>
      </c>
      <c r="K19" s="8" t="n">
        <f aca="false">IF($E19="Indirect Expenses",COUNTIF($E$6:$E19,"Indirect Expenses"),"")</f>
        <v>5</v>
      </c>
      <c r="L19" s="8" t="str">
        <f aca="false">IF($E19="Indirect Income",COUNTIF($E$6:$E19,"Indirect Income"),"")</f>
        <v/>
      </c>
      <c r="M19" s="8" t="str">
        <f aca="false">IF($E19="Fixed Assets",COUNTIF($E$6:$E19,"Fixed Assets"),"")</f>
        <v/>
      </c>
      <c r="N19" s="8" t="str">
        <f aca="false">IF($E19="Investments",COUNTIF($E$6:$E19,"Investments"),"")</f>
        <v/>
      </c>
      <c r="O19" s="8" t="str">
        <f aca="false">IF($E19="Other Current Assets",COUNTIF($E$6:$E19,"Other Current Assets"),"")</f>
        <v/>
      </c>
      <c r="P19" s="8" t="str">
        <f aca="false">IF($E19="Current Liabilities",COUNTIF($E$6:$E19,"Current Liabilities"),"")</f>
        <v/>
      </c>
      <c r="Q19" s="8" t="str">
        <f aca="false">IF($E19="Long-term Loans",COUNTIF($E$6:$E19,"Long-term Loans"),"")</f>
        <v/>
      </c>
      <c r="R19" s="40" t="n">
        <f aca="false">IF(E19="Fixed Assets",ROUND(I19*N(F19),0),0)</f>
        <v>0</v>
      </c>
    </row>
    <row r="20" customFormat="false" ht="15" hidden="false" customHeight="false" outlineLevel="0" collapsed="false">
      <c r="A20" s="33" t="n">
        <f aca="false">IF(B20="","",ROW()-5)</f>
        <v>15</v>
      </c>
      <c r="B20" s="76" t="s">
        <v>78</v>
      </c>
      <c r="C20" s="77" t="n">
        <v>2000</v>
      </c>
      <c r="D20" s="77"/>
      <c r="E20" s="76" t="s">
        <v>78</v>
      </c>
      <c r="F20" s="78"/>
      <c r="G20" s="37" t="n">
        <f aca="false">IF(OR(B20="",E20=""),"",IF(VLOOKUP(E20,Lists!$A$2:$B$19,2,FALSE())="Dr",N(C20)-N(D20),N(D20)-N(C20)))</f>
        <v>2000</v>
      </c>
      <c r="H20" s="38" t="n">
        <f aca="false">IF(B20="","",SUMIF(Adjustments!$B$6:$B$10,B20,Adjustments!$C$6:$C$10)-SUMIF(Adjustments!$E$6:$E$10,B20,Adjustments!$F$6:$F$10)+SUMIF(Adjustments!$B$14:$B$18,B20,Adjustments!$C$14:$C$18)-SUMIF(Adjustments!$E$14:$E$18,B20,Adjustments!$F$14:$F$18))</f>
        <v>0</v>
      </c>
      <c r="I20" s="39" t="n">
        <f aca="false">IF(B20="","",N(G20)+N(H20))</f>
        <v>2000</v>
      </c>
      <c r="J20" s="8" t="str">
        <f aca="false">IF($E20="Direct Expenses",COUNTIF($E$6:$E20,"Direct Expenses"),"")</f>
        <v/>
      </c>
      <c r="K20" s="8" t="str">
        <f aca="false">IF($E20="Indirect Expenses",COUNTIF($E$6:$E20,"Indirect Expenses"),"")</f>
        <v/>
      </c>
      <c r="L20" s="8" t="str">
        <f aca="false">IF($E20="Indirect Income",COUNTIF($E$6:$E20,"Indirect Income"),"")</f>
        <v/>
      </c>
      <c r="M20" s="8" t="str">
        <f aca="false">IF($E20="Fixed Assets",COUNTIF($E$6:$E20,"Fixed Assets"),"")</f>
        <v/>
      </c>
      <c r="N20" s="8" t="str">
        <f aca="false">IF($E20="Investments",COUNTIF($E$6:$E20,"Investments"),"")</f>
        <v/>
      </c>
      <c r="O20" s="8" t="str">
        <f aca="false">IF($E20="Other Current Assets",COUNTIF($E$6:$E20,"Other Current Assets"),"")</f>
        <v/>
      </c>
      <c r="P20" s="8" t="str">
        <f aca="false">IF($E20="Current Liabilities",COUNTIF($E$6:$E20,"Current Liabilities"),"")</f>
        <v/>
      </c>
      <c r="Q20" s="8" t="str">
        <f aca="false">IF($E20="Long-term Loans",COUNTIF($E$6:$E20,"Long-term Loans"),"")</f>
        <v/>
      </c>
      <c r="R20" s="40" t="n">
        <f aca="false">IF(E20="Fixed Assets",ROUND(I20*N(F20),0),0)</f>
        <v>0</v>
      </c>
    </row>
    <row r="21" customFormat="false" ht="15" hidden="false" customHeight="false" outlineLevel="0" collapsed="false">
      <c r="A21" s="33" t="n">
        <f aca="false">IF(B21="","",ROW()-5)</f>
        <v>16</v>
      </c>
      <c r="B21" s="76" t="s">
        <v>79</v>
      </c>
      <c r="C21" s="77"/>
      <c r="D21" s="77" t="n">
        <v>3000</v>
      </c>
      <c r="E21" s="76" t="s">
        <v>79</v>
      </c>
      <c r="F21" s="78"/>
      <c r="G21" s="37" t="n">
        <f aca="false">IF(OR(B21="",E21=""),"",IF(VLOOKUP(E21,Lists!$A$2:$B$19,2,FALSE())="Dr",N(C21)-N(D21),N(D21)-N(C21)))</f>
        <v>3000</v>
      </c>
      <c r="H21" s="38" t="n">
        <f aca="false">IF(B21="","",SUMIF(Adjustments!$B$6:$B$10,B21,Adjustments!$C$6:$C$10)-SUMIF(Adjustments!$E$6:$E$10,B21,Adjustments!$F$6:$F$10)+SUMIF(Adjustments!$B$14:$B$18,B21,Adjustments!$C$14:$C$18)-SUMIF(Adjustments!$E$14:$E$18,B21,Adjustments!$F$14:$F$18))</f>
        <v>0</v>
      </c>
      <c r="I21" s="39" t="n">
        <f aca="false">IF(B21="","",N(G21)+N(H21))</f>
        <v>3000</v>
      </c>
      <c r="J21" s="8" t="str">
        <f aca="false">IF($E21="Direct Expenses",COUNTIF($E$6:$E21,"Direct Expenses"),"")</f>
        <v/>
      </c>
      <c r="K21" s="8" t="str">
        <f aca="false">IF($E21="Indirect Expenses",COUNTIF($E$6:$E21,"Indirect Expenses"),"")</f>
        <v/>
      </c>
      <c r="L21" s="8" t="str">
        <f aca="false">IF($E21="Indirect Income",COUNTIF($E$6:$E21,"Indirect Income"),"")</f>
        <v/>
      </c>
      <c r="M21" s="8" t="str">
        <f aca="false">IF($E21="Fixed Assets",COUNTIF($E$6:$E21,"Fixed Assets"),"")</f>
        <v/>
      </c>
      <c r="N21" s="8" t="str">
        <f aca="false">IF($E21="Investments",COUNTIF($E$6:$E21,"Investments"),"")</f>
        <v/>
      </c>
      <c r="O21" s="8" t="str">
        <f aca="false">IF($E21="Other Current Assets",COUNTIF($E$6:$E21,"Other Current Assets"),"")</f>
        <v/>
      </c>
      <c r="P21" s="8" t="str">
        <f aca="false">IF($E21="Current Liabilities",COUNTIF($E$6:$E21,"Current Liabilities"),"")</f>
        <v/>
      </c>
      <c r="Q21" s="8" t="str">
        <f aca="false">IF($E21="Long-term Loans",COUNTIF($E$6:$E21,"Long-term Loans"),"")</f>
        <v/>
      </c>
      <c r="R21" s="40" t="n">
        <f aca="false">IF(E21="Fixed Assets",ROUND(I21*N(F21),0),0)</f>
        <v>0</v>
      </c>
    </row>
    <row r="22" customFormat="false" ht="15" hidden="false" customHeight="false" outlineLevel="0" collapsed="false">
      <c r="A22" s="33" t="n">
        <f aca="false">IF(B22="","",ROW()-5)</f>
        <v>17</v>
      </c>
      <c r="B22" s="76" t="s">
        <v>80</v>
      </c>
      <c r="C22" s="77"/>
      <c r="D22" s="77" t="n">
        <v>7000</v>
      </c>
      <c r="E22" s="76" t="s">
        <v>81</v>
      </c>
      <c r="F22" s="78"/>
      <c r="G22" s="37" t="n">
        <f aca="false">IF(OR(B22="",E22=""),"",IF(VLOOKUP(E22,Lists!$A$2:$B$19,2,FALSE())="Dr",N(C22)-N(D22),N(D22)-N(C22)))</f>
        <v>7000</v>
      </c>
      <c r="H22" s="38" t="n">
        <f aca="false">IF(B22="","",SUMIF(Adjustments!$B$6:$B$10,B22,Adjustments!$C$6:$C$10)-SUMIF(Adjustments!$E$6:$E$10,B22,Adjustments!$F$6:$F$10)+SUMIF(Adjustments!$B$14:$B$18,B22,Adjustments!$C$14:$C$18)-SUMIF(Adjustments!$E$14:$E$18,B22,Adjustments!$F$14:$F$18))</f>
        <v>1000</v>
      </c>
      <c r="I22" s="39" t="n">
        <f aca="false">IF(B22="","",N(G22)+N(H22))</f>
        <v>8000</v>
      </c>
      <c r="J22" s="8" t="str">
        <f aca="false">IF($E22="Direct Expenses",COUNTIF($E$6:$E22,"Direct Expenses"),"")</f>
        <v/>
      </c>
      <c r="K22" s="8" t="str">
        <f aca="false">IF($E22="Indirect Expenses",COUNTIF($E$6:$E22,"Indirect Expenses"),"")</f>
        <v/>
      </c>
      <c r="L22" s="8" t="n">
        <f aca="false">IF($E22="Indirect Income",COUNTIF($E$6:$E22,"Indirect Income"),"")</f>
        <v>1</v>
      </c>
      <c r="M22" s="8" t="str">
        <f aca="false">IF($E22="Fixed Assets",COUNTIF($E$6:$E22,"Fixed Assets"),"")</f>
        <v/>
      </c>
      <c r="N22" s="8" t="str">
        <f aca="false">IF($E22="Investments",COUNTIF($E$6:$E22,"Investments"),"")</f>
        <v/>
      </c>
      <c r="O22" s="8" t="str">
        <f aca="false">IF($E22="Other Current Assets",COUNTIF($E$6:$E22,"Other Current Assets"),"")</f>
        <v/>
      </c>
      <c r="P22" s="8" t="str">
        <f aca="false">IF($E22="Current Liabilities",COUNTIF($E$6:$E22,"Current Liabilities"),"")</f>
        <v/>
      </c>
      <c r="Q22" s="8" t="str">
        <f aca="false">IF($E22="Long-term Loans",COUNTIF($E$6:$E22,"Long-term Loans"),"")</f>
        <v/>
      </c>
      <c r="R22" s="40" t="n">
        <f aca="false">IF(E22="Fixed Assets",ROUND(I22*N(F22),0),0)</f>
        <v>0</v>
      </c>
    </row>
    <row r="23" customFormat="false" ht="15" hidden="false" customHeight="false" outlineLevel="0" collapsed="false">
      <c r="A23" s="33" t="n">
        <f aca="false">IF(B23="","",ROW()-5)</f>
        <v>18</v>
      </c>
      <c r="B23" s="76" t="s">
        <v>82</v>
      </c>
      <c r="C23" s="77"/>
      <c r="D23" s="77" t="n">
        <v>2000</v>
      </c>
      <c r="E23" s="76" t="s">
        <v>81</v>
      </c>
      <c r="F23" s="78"/>
      <c r="G23" s="37" t="n">
        <f aca="false">IF(OR(B23="",E23=""),"",IF(VLOOKUP(E23,Lists!$A$2:$B$19,2,FALSE())="Dr",N(C23)-N(D23),N(D23)-N(C23)))</f>
        <v>2000</v>
      </c>
      <c r="H23" s="38" t="n">
        <f aca="false">IF(B23="","",SUMIF(Adjustments!$B$6:$B$10,B23,Adjustments!$C$6:$C$10)-SUMIF(Adjustments!$E$6:$E$10,B23,Adjustments!$F$6:$F$10)+SUMIF(Adjustments!$B$14:$B$18,B23,Adjustments!$C$14:$C$18)-SUMIF(Adjustments!$E$14:$E$18,B23,Adjustments!$F$14:$F$18))</f>
        <v>0</v>
      </c>
      <c r="I23" s="39" t="n">
        <f aca="false">IF(B23="","",N(G23)+N(H23))</f>
        <v>2000</v>
      </c>
      <c r="J23" s="8" t="str">
        <f aca="false">IF($E23="Direct Expenses",COUNTIF($E$6:$E23,"Direct Expenses"),"")</f>
        <v/>
      </c>
      <c r="K23" s="8" t="str">
        <f aca="false">IF($E23="Indirect Expenses",COUNTIF($E$6:$E23,"Indirect Expenses"),"")</f>
        <v/>
      </c>
      <c r="L23" s="8" t="n">
        <f aca="false">IF($E23="Indirect Income",COUNTIF($E$6:$E23,"Indirect Income"),"")</f>
        <v>2</v>
      </c>
      <c r="M23" s="8" t="str">
        <f aca="false">IF($E23="Fixed Assets",COUNTIF($E$6:$E23,"Fixed Assets"),"")</f>
        <v/>
      </c>
      <c r="N23" s="8" t="str">
        <f aca="false">IF($E23="Investments",COUNTIF($E$6:$E23,"Investments"),"")</f>
        <v/>
      </c>
      <c r="O23" s="8" t="str">
        <f aca="false">IF($E23="Other Current Assets",COUNTIF($E$6:$E23,"Other Current Assets"),"")</f>
        <v/>
      </c>
      <c r="P23" s="8" t="str">
        <f aca="false">IF($E23="Current Liabilities",COUNTIF($E$6:$E23,"Current Liabilities"),"")</f>
        <v/>
      </c>
      <c r="Q23" s="8" t="str">
        <f aca="false">IF($E23="Long-term Loans",COUNTIF($E$6:$E23,"Long-term Loans"),"")</f>
        <v/>
      </c>
      <c r="R23" s="40" t="n">
        <f aca="false">IF(E23="Fixed Assets",ROUND(I23*N(F23),0),0)</f>
        <v>0</v>
      </c>
    </row>
    <row r="24" customFormat="false" ht="15" hidden="false" customHeight="false" outlineLevel="0" collapsed="false">
      <c r="A24" s="33" t="n">
        <f aca="false">IF(B24="","",ROW()-5)</f>
        <v>19</v>
      </c>
      <c r="B24" s="76" t="s">
        <v>83</v>
      </c>
      <c r="C24" s="77" t="n">
        <v>120000</v>
      </c>
      <c r="D24" s="77"/>
      <c r="E24" s="76" t="s">
        <v>84</v>
      </c>
      <c r="F24" s="78" t="n">
        <v>0.1</v>
      </c>
      <c r="G24" s="37" t="n">
        <f aca="false">IF(OR(B24="",E24=""),"",IF(VLOOKUP(E24,Lists!$A$2:$B$19,2,FALSE())="Dr",N(C24)-N(D24),N(D24)-N(C24)))</f>
        <v>120000</v>
      </c>
      <c r="H24" s="38" t="n">
        <f aca="false">IF(B24="","",SUMIF(Adjustments!$B$6:$B$10,B24,Adjustments!$C$6:$C$10)-SUMIF(Adjustments!$E$6:$E$10,B24,Adjustments!$F$6:$F$10)+SUMIF(Adjustments!$B$14:$B$18,B24,Adjustments!$C$14:$C$18)-SUMIF(Adjustments!$E$14:$E$18,B24,Adjustments!$F$14:$F$18))</f>
        <v>0</v>
      </c>
      <c r="I24" s="39" t="n">
        <f aca="false">IF(B24="","",N(G24)+N(H24))</f>
        <v>120000</v>
      </c>
      <c r="J24" s="8" t="str">
        <f aca="false">IF($E24="Direct Expenses",COUNTIF($E$6:$E24,"Direct Expenses"),"")</f>
        <v/>
      </c>
      <c r="K24" s="8" t="str">
        <f aca="false">IF($E24="Indirect Expenses",COUNTIF($E$6:$E24,"Indirect Expenses"),"")</f>
        <v/>
      </c>
      <c r="L24" s="8" t="str">
        <f aca="false">IF($E24="Indirect Income",COUNTIF($E$6:$E24,"Indirect Income"),"")</f>
        <v/>
      </c>
      <c r="M24" s="8" t="n">
        <f aca="false">IF($E24="Fixed Assets",COUNTIF($E$6:$E24,"Fixed Assets"),"")</f>
        <v>1</v>
      </c>
      <c r="N24" s="8" t="str">
        <f aca="false">IF($E24="Investments",COUNTIF($E$6:$E24,"Investments"),"")</f>
        <v/>
      </c>
      <c r="O24" s="8" t="str">
        <f aca="false">IF($E24="Other Current Assets",COUNTIF($E$6:$E24,"Other Current Assets"),"")</f>
        <v/>
      </c>
      <c r="P24" s="8" t="str">
        <f aca="false">IF($E24="Current Liabilities",COUNTIF($E$6:$E24,"Current Liabilities"),"")</f>
        <v/>
      </c>
      <c r="Q24" s="8" t="str">
        <f aca="false">IF($E24="Long-term Loans",COUNTIF($E$6:$E24,"Long-term Loans"),"")</f>
        <v/>
      </c>
      <c r="R24" s="40" t="n">
        <f aca="false">IF(E24="Fixed Assets",ROUND(I24*N(F24),0),0)</f>
        <v>12000</v>
      </c>
    </row>
    <row r="25" customFormat="false" ht="15" hidden="false" customHeight="false" outlineLevel="0" collapsed="false">
      <c r="A25" s="33" t="n">
        <f aca="false">IF(B25="","",ROW()-5)</f>
        <v>20</v>
      </c>
      <c r="B25" s="76" t="s">
        <v>85</v>
      </c>
      <c r="C25" s="77" t="n">
        <v>30000</v>
      </c>
      <c r="D25" s="77"/>
      <c r="E25" s="76" t="s">
        <v>84</v>
      </c>
      <c r="F25" s="78" t="n">
        <v>0.1</v>
      </c>
      <c r="G25" s="37" t="n">
        <f aca="false">IF(OR(B25="",E25=""),"",IF(VLOOKUP(E25,Lists!$A$2:$B$19,2,FALSE())="Dr",N(C25)-N(D25),N(D25)-N(C25)))</f>
        <v>30000</v>
      </c>
      <c r="H25" s="38" t="n">
        <f aca="false">IF(B25="","",SUMIF(Adjustments!$B$6:$B$10,B25,Adjustments!$C$6:$C$10)-SUMIF(Adjustments!$E$6:$E$10,B25,Adjustments!$F$6:$F$10)+SUMIF(Adjustments!$B$14:$B$18,B25,Adjustments!$C$14:$C$18)-SUMIF(Adjustments!$E$14:$E$18,B25,Adjustments!$F$14:$F$18))</f>
        <v>0</v>
      </c>
      <c r="I25" s="39" t="n">
        <f aca="false">IF(B25="","",N(G25)+N(H25))</f>
        <v>30000</v>
      </c>
      <c r="J25" s="8" t="str">
        <f aca="false">IF($E25="Direct Expenses",COUNTIF($E$6:$E25,"Direct Expenses"),"")</f>
        <v/>
      </c>
      <c r="K25" s="8" t="str">
        <f aca="false">IF($E25="Indirect Expenses",COUNTIF($E$6:$E25,"Indirect Expenses"),"")</f>
        <v/>
      </c>
      <c r="L25" s="8" t="str">
        <f aca="false">IF($E25="Indirect Income",COUNTIF($E$6:$E25,"Indirect Income"),"")</f>
        <v/>
      </c>
      <c r="M25" s="8" t="n">
        <f aca="false">IF($E25="Fixed Assets",COUNTIF($E$6:$E25,"Fixed Assets"),"")</f>
        <v>2</v>
      </c>
      <c r="N25" s="8" t="str">
        <f aca="false">IF($E25="Investments",COUNTIF($E$6:$E25,"Investments"),"")</f>
        <v/>
      </c>
      <c r="O25" s="8" t="str">
        <f aca="false">IF($E25="Other Current Assets",COUNTIF($E$6:$E25,"Other Current Assets"),"")</f>
        <v/>
      </c>
      <c r="P25" s="8" t="str">
        <f aca="false">IF($E25="Current Liabilities",COUNTIF($E$6:$E25,"Current Liabilities"),"")</f>
        <v/>
      </c>
      <c r="Q25" s="8" t="str">
        <f aca="false">IF($E25="Long-term Loans",COUNTIF($E$6:$E25,"Long-term Loans"),"")</f>
        <v/>
      </c>
      <c r="R25" s="40" t="n">
        <f aca="false">IF(E25="Fixed Assets",ROUND(I25*N(F25),0),0)</f>
        <v>3000</v>
      </c>
    </row>
    <row r="26" customFormat="false" ht="15" hidden="false" customHeight="false" outlineLevel="0" collapsed="false">
      <c r="A26" s="33" t="n">
        <f aca="false">IF(B26="","",ROW()-5)</f>
        <v>21</v>
      </c>
      <c r="B26" s="76" t="s">
        <v>86</v>
      </c>
      <c r="C26" s="77" t="n">
        <v>200000</v>
      </c>
      <c r="D26" s="77"/>
      <c r="E26" s="76" t="s">
        <v>84</v>
      </c>
      <c r="F26" s="78" t="n">
        <v>0.05</v>
      </c>
      <c r="G26" s="37" t="n">
        <f aca="false">IF(OR(B26="",E26=""),"",IF(VLOOKUP(E26,Lists!$A$2:$B$19,2,FALSE())="Dr",N(C26)-N(D26),N(D26)-N(C26)))</f>
        <v>200000</v>
      </c>
      <c r="H26" s="38" t="n">
        <f aca="false">IF(B26="","",SUMIF(Adjustments!$B$6:$B$10,B26,Adjustments!$C$6:$C$10)-SUMIF(Adjustments!$E$6:$E$10,B26,Adjustments!$F$6:$F$10)+SUMIF(Adjustments!$B$14:$B$18,B26,Adjustments!$C$14:$C$18)-SUMIF(Adjustments!$E$14:$E$18,B26,Adjustments!$F$14:$F$18))</f>
        <v>0</v>
      </c>
      <c r="I26" s="39" t="n">
        <f aca="false">IF(B26="","",N(G26)+N(H26))</f>
        <v>200000</v>
      </c>
      <c r="J26" s="8" t="str">
        <f aca="false">IF($E26="Direct Expenses",COUNTIF($E$6:$E26,"Direct Expenses"),"")</f>
        <v/>
      </c>
      <c r="K26" s="8" t="str">
        <f aca="false">IF($E26="Indirect Expenses",COUNTIF($E$6:$E26,"Indirect Expenses"),"")</f>
        <v/>
      </c>
      <c r="L26" s="8" t="str">
        <f aca="false">IF($E26="Indirect Income",COUNTIF($E$6:$E26,"Indirect Income"),"")</f>
        <v/>
      </c>
      <c r="M26" s="8" t="n">
        <f aca="false">IF($E26="Fixed Assets",COUNTIF($E$6:$E26,"Fixed Assets"),"")</f>
        <v>3</v>
      </c>
      <c r="N26" s="8" t="str">
        <f aca="false">IF($E26="Investments",COUNTIF($E$6:$E26,"Investments"),"")</f>
        <v/>
      </c>
      <c r="O26" s="8" t="str">
        <f aca="false">IF($E26="Other Current Assets",COUNTIF($E$6:$E26,"Other Current Assets"),"")</f>
        <v/>
      </c>
      <c r="P26" s="8" t="str">
        <f aca="false">IF($E26="Current Liabilities",COUNTIF($E$6:$E26,"Current Liabilities"),"")</f>
        <v/>
      </c>
      <c r="Q26" s="8" t="str">
        <f aca="false">IF($E26="Long-term Loans",COUNTIF($E$6:$E26,"Long-term Loans"),"")</f>
        <v/>
      </c>
      <c r="R26" s="40" t="n">
        <f aca="false">IF(E26="Fixed Assets",ROUND(I26*N(F26),0),0)</f>
        <v>10000</v>
      </c>
    </row>
    <row r="27" customFormat="false" ht="15" hidden="false" customHeight="false" outlineLevel="0" collapsed="false">
      <c r="A27" s="33" t="n">
        <f aca="false">IF(B27="","",ROW()-5)</f>
        <v>22</v>
      </c>
      <c r="B27" s="76" t="s">
        <v>87</v>
      </c>
      <c r="C27" s="77" t="n">
        <v>47000</v>
      </c>
      <c r="D27" s="77"/>
      <c r="E27" s="76" t="s">
        <v>88</v>
      </c>
      <c r="F27" s="78"/>
      <c r="G27" s="37" t="n">
        <f aca="false">IF(OR(B27="",E27=""),"",IF(VLOOKUP(E27,Lists!$A$2:$B$19,2,FALSE())="Dr",N(C27)-N(D27),N(D27)-N(C27)))</f>
        <v>47000</v>
      </c>
      <c r="H27" s="38" t="n">
        <f aca="false">IF(B27="","",SUMIF(Adjustments!$B$6:$B$10,B27,Adjustments!$C$6:$C$10)-SUMIF(Adjustments!$E$6:$E$10,B27,Adjustments!$F$6:$F$10)+SUMIF(Adjustments!$B$14:$B$18,B27,Adjustments!$C$14:$C$18)-SUMIF(Adjustments!$E$14:$E$18,B27,Adjustments!$F$14:$F$18))</f>
        <v>0</v>
      </c>
      <c r="I27" s="39" t="n">
        <f aca="false">IF(B27="","",N(G27)+N(H27))</f>
        <v>47000</v>
      </c>
      <c r="J27" s="8" t="str">
        <f aca="false">IF($E27="Direct Expenses",COUNTIF($E$6:$E27,"Direct Expenses"),"")</f>
        <v/>
      </c>
      <c r="K27" s="8" t="str">
        <f aca="false">IF($E27="Indirect Expenses",COUNTIF($E$6:$E27,"Indirect Expenses"),"")</f>
        <v/>
      </c>
      <c r="L27" s="8" t="str">
        <f aca="false">IF($E27="Indirect Income",COUNTIF($E$6:$E27,"Indirect Income"),"")</f>
        <v/>
      </c>
      <c r="M27" s="8" t="str">
        <f aca="false">IF($E27="Fixed Assets",COUNTIF($E$6:$E27,"Fixed Assets"),"")</f>
        <v/>
      </c>
      <c r="N27" s="8" t="n">
        <f aca="false">IF($E27="Investments",COUNTIF($E$6:$E27,"Investments"),"")</f>
        <v>1</v>
      </c>
      <c r="O27" s="8" t="str">
        <f aca="false">IF($E27="Other Current Assets",COUNTIF($E$6:$E27,"Other Current Assets"),"")</f>
        <v/>
      </c>
      <c r="P27" s="8" t="str">
        <f aca="false">IF($E27="Current Liabilities",COUNTIF($E$6:$E27,"Current Liabilities"),"")</f>
        <v/>
      </c>
      <c r="Q27" s="8" t="str">
        <f aca="false">IF($E27="Long-term Loans",COUNTIF($E$6:$E27,"Long-term Loans"),"")</f>
        <v/>
      </c>
      <c r="R27" s="40" t="n">
        <f aca="false">IF(E27="Fixed Assets",ROUND(I27*N(F27),0),0)</f>
        <v>0</v>
      </c>
    </row>
    <row r="28" customFormat="false" ht="15" hidden="false" customHeight="false" outlineLevel="0" collapsed="false">
      <c r="A28" s="33" t="n">
        <f aca="false">IF(B28="","",ROW()-5)</f>
        <v>23</v>
      </c>
      <c r="B28" s="76" t="s">
        <v>89</v>
      </c>
      <c r="C28" s="77" t="n">
        <v>90000</v>
      </c>
      <c r="D28" s="77"/>
      <c r="E28" s="76" t="s">
        <v>90</v>
      </c>
      <c r="F28" s="78"/>
      <c r="G28" s="37" t="n">
        <f aca="false">IF(OR(B28="",E28=""),"",IF(VLOOKUP(E28,Lists!$A$2:$B$19,2,FALSE())="Dr",N(C28)-N(D28),N(D28)-N(C28)))</f>
        <v>90000</v>
      </c>
      <c r="H28" s="38" t="n">
        <f aca="false">IF(B28="","",SUMIF(Adjustments!$B$6:$B$10,B28,Adjustments!$C$6:$C$10)-SUMIF(Adjustments!$E$6:$E$10,B28,Adjustments!$F$6:$F$10)+SUMIF(Adjustments!$B$14:$B$18,B28,Adjustments!$C$14:$C$18)-SUMIF(Adjustments!$E$14:$E$18,B28,Adjustments!$F$14:$F$18))</f>
        <v>0</v>
      </c>
      <c r="I28" s="39" t="n">
        <f aca="false">IF(B28="","",N(G28)+N(H28))</f>
        <v>90000</v>
      </c>
      <c r="J28" s="8" t="str">
        <f aca="false">IF($E28="Direct Expenses",COUNTIF($E$6:$E28,"Direct Expenses"),"")</f>
        <v/>
      </c>
      <c r="K28" s="8" t="str">
        <f aca="false">IF($E28="Indirect Expenses",COUNTIF($E$6:$E28,"Indirect Expenses"),"")</f>
        <v/>
      </c>
      <c r="L28" s="8" t="str">
        <f aca="false">IF($E28="Indirect Income",COUNTIF($E$6:$E28,"Indirect Income"),"")</f>
        <v/>
      </c>
      <c r="M28" s="8" t="str">
        <f aca="false">IF($E28="Fixed Assets",COUNTIF($E$6:$E28,"Fixed Assets"),"")</f>
        <v/>
      </c>
      <c r="N28" s="8" t="str">
        <f aca="false">IF($E28="Investments",COUNTIF($E$6:$E28,"Investments"),"")</f>
        <v/>
      </c>
      <c r="O28" s="8" t="str">
        <f aca="false">IF($E28="Other Current Assets",COUNTIF($E$6:$E28,"Other Current Assets"),"")</f>
        <v/>
      </c>
      <c r="P28" s="8" t="str">
        <f aca="false">IF($E28="Current Liabilities",COUNTIF($E$6:$E28,"Current Liabilities"),"")</f>
        <v/>
      </c>
      <c r="Q28" s="8" t="str">
        <f aca="false">IF($E28="Long-term Loans",COUNTIF($E$6:$E28,"Long-term Loans"),"")</f>
        <v/>
      </c>
      <c r="R28" s="40" t="n">
        <f aca="false">IF(E28="Fixed Assets",ROUND(I28*N(F28),0),0)</f>
        <v>0</v>
      </c>
    </row>
    <row r="29" customFormat="false" ht="15" hidden="false" customHeight="false" outlineLevel="0" collapsed="false">
      <c r="A29" s="33" t="n">
        <f aca="false">IF(B29="","",ROW()-5)</f>
        <v>24</v>
      </c>
      <c r="B29" s="76" t="s">
        <v>91</v>
      </c>
      <c r="C29" s="77" t="n">
        <v>8000</v>
      </c>
      <c r="D29" s="77"/>
      <c r="E29" s="76" t="s">
        <v>92</v>
      </c>
      <c r="F29" s="78"/>
      <c r="G29" s="37" t="n">
        <f aca="false">IF(OR(B29="",E29=""),"",IF(VLOOKUP(E29,Lists!$A$2:$B$19,2,FALSE())="Dr",N(C29)-N(D29),N(D29)-N(C29)))</f>
        <v>8000</v>
      </c>
      <c r="H29" s="38" t="n">
        <f aca="false">IF(B29="","",SUMIF(Adjustments!$B$6:$B$10,B29,Adjustments!$C$6:$C$10)-SUMIF(Adjustments!$E$6:$E$10,B29,Adjustments!$F$6:$F$10)+SUMIF(Adjustments!$B$14:$B$18,B29,Adjustments!$C$14:$C$18)-SUMIF(Adjustments!$E$14:$E$18,B29,Adjustments!$F$14:$F$18))</f>
        <v>0</v>
      </c>
      <c r="I29" s="39" t="n">
        <f aca="false">IF(B29="","",N(G29)+N(H29))</f>
        <v>8000</v>
      </c>
      <c r="J29" s="8" t="str">
        <f aca="false">IF($E29="Direct Expenses",COUNTIF($E$6:$E29,"Direct Expenses"),"")</f>
        <v/>
      </c>
      <c r="K29" s="8" t="str">
        <f aca="false">IF($E29="Indirect Expenses",COUNTIF($E$6:$E29,"Indirect Expenses"),"")</f>
        <v/>
      </c>
      <c r="L29" s="8" t="str">
        <f aca="false">IF($E29="Indirect Income",COUNTIF($E$6:$E29,"Indirect Income"),"")</f>
        <v/>
      </c>
      <c r="M29" s="8" t="str">
        <f aca="false">IF($E29="Fixed Assets",COUNTIF($E$6:$E29,"Fixed Assets"),"")</f>
        <v/>
      </c>
      <c r="N29" s="8" t="str">
        <f aca="false">IF($E29="Investments",COUNTIF($E$6:$E29,"Investments"),"")</f>
        <v/>
      </c>
      <c r="O29" s="8" t="n">
        <f aca="false">IF($E29="Other Current Assets",COUNTIF($E$6:$E29,"Other Current Assets"),"")</f>
        <v>1</v>
      </c>
      <c r="P29" s="8" t="str">
        <f aca="false">IF($E29="Current Liabilities",COUNTIF($E$6:$E29,"Current Liabilities"),"")</f>
        <v/>
      </c>
      <c r="Q29" s="8" t="str">
        <f aca="false">IF($E29="Long-term Loans",COUNTIF($E$6:$E29,"Long-term Loans"),"")</f>
        <v/>
      </c>
      <c r="R29" s="40" t="n">
        <f aca="false">IF(E29="Fixed Assets",ROUND(I29*N(F29),0),0)</f>
        <v>0</v>
      </c>
    </row>
    <row r="30" customFormat="false" ht="15" hidden="false" customHeight="false" outlineLevel="0" collapsed="false">
      <c r="A30" s="33" t="n">
        <f aca="false">IF(B30="","",ROW()-5)</f>
        <v>25</v>
      </c>
      <c r="B30" s="76" t="s">
        <v>93</v>
      </c>
      <c r="C30" s="77" t="n">
        <v>52000</v>
      </c>
      <c r="D30" s="77"/>
      <c r="E30" s="76" t="s">
        <v>92</v>
      </c>
      <c r="F30" s="78"/>
      <c r="G30" s="37" t="n">
        <f aca="false">IF(OR(B30="",E30=""),"",IF(VLOOKUP(E30,Lists!$A$2:$B$19,2,FALSE())="Dr",N(C30)-N(D30),N(D30)-N(C30)))</f>
        <v>52000</v>
      </c>
      <c r="H30" s="38" t="n">
        <f aca="false">IF(B30="","",SUMIF(Adjustments!$B$6:$B$10,B30,Adjustments!$C$6:$C$10)-SUMIF(Adjustments!$E$6:$E$10,B30,Adjustments!$F$6:$F$10)+SUMIF(Adjustments!$B$14:$B$18,B30,Adjustments!$C$14:$C$18)-SUMIF(Adjustments!$E$14:$E$18,B30,Adjustments!$F$14:$F$18))</f>
        <v>0</v>
      </c>
      <c r="I30" s="39" t="n">
        <f aca="false">IF(B30="","",N(G30)+N(H30))</f>
        <v>52000</v>
      </c>
      <c r="J30" s="8" t="str">
        <f aca="false">IF($E30="Direct Expenses",COUNTIF($E$6:$E30,"Direct Expenses"),"")</f>
        <v/>
      </c>
      <c r="K30" s="8" t="str">
        <f aca="false">IF($E30="Indirect Expenses",COUNTIF($E$6:$E30,"Indirect Expenses"),"")</f>
        <v/>
      </c>
      <c r="L30" s="8" t="str">
        <f aca="false">IF($E30="Indirect Income",COUNTIF($E$6:$E30,"Indirect Income"),"")</f>
        <v/>
      </c>
      <c r="M30" s="8" t="str">
        <f aca="false">IF($E30="Fixed Assets",COUNTIF($E$6:$E30,"Fixed Assets"),"")</f>
        <v/>
      </c>
      <c r="N30" s="8" t="str">
        <f aca="false">IF($E30="Investments",COUNTIF($E$6:$E30,"Investments"),"")</f>
        <v/>
      </c>
      <c r="O30" s="8" t="n">
        <f aca="false">IF($E30="Other Current Assets",COUNTIF($E$6:$E30,"Other Current Assets"),"")</f>
        <v>2</v>
      </c>
      <c r="P30" s="8" t="str">
        <f aca="false">IF($E30="Current Liabilities",COUNTIF($E$6:$E30,"Current Liabilities"),"")</f>
        <v/>
      </c>
      <c r="Q30" s="8" t="str">
        <f aca="false">IF($E30="Long-term Loans",COUNTIF($E$6:$E30,"Long-term Loans"),"")</f>
        <v/>
      </c>
      <c r="R30" s="40" t="n">
        <f aca="false">IF(E30="Fixed Assets",ROUND(I30*N(F30),0),0)</f>
        <v>0</v>
      </c>
    </row>
    <row r="31" customFormat="false" ht="15" hidden="false" customHeight="false" outlineLevel="0" collapsed="false">
      <c r="A31" s="33" t="n">
        <f aca="false">IF(B31="","",ROW()-5)</f>
        <v>26</v>
      </c>
      <c r="B31" s="76" t="s">
        <v>94</v>
      </c>
      <c r="C31" s="77"/>
      <c r="D31" s="77" t="n">
        <v>60000</v>
      </c>
      <c r="E31" s="76" t="s">
        <v>95</v>
      </c>
      <c r="F31" s="78"/>
      <c r="G31" s="37" t="n">
        <f aca="false">IF(OR(B31="",E31=""),"",IF(VLOOKUP(E31,Lists!$A$2:$B$19,2,FALSE())="Dr",N(C31)-N(D31),N(D31)-N(C31)))</f>
        <v>60000</v>
      </c>
      <c r="H31" s="38" t="n">
        <f aca="false">IF(B31="","",SUMIF(Adjustments!$B$6:$B$10,B31,Adjustments!$C$6:$C$10)-SUMIF(Adjustments!$E$6:$E$10,B31,Adjustments!$F$6:$F$10)+SUMIF(Adjustments!$B$14:$B$18,B31,Adjustments!$C$14:$C$18)-SUMIF(Adjustments!$E$14:$E$18,B31,Adjustments!$F$14:$F$18))</f>
        <v>0</v>
      </c>
      <c r="I31" s="39" t="n">
        <f aca="false">IF(B31="","",N(G31)+N(H31))</f>
        <v>60000</v>
      </c>
      <c r="J31" s="8" t="str">
        <f aca="false">IF($E31="Direct Expenses",COUNTIF($E$6:$E31,"Direct Expenses"),"")</f>
        <v/>
      </c>
      <c r="K31" s="8" t="str">
        <f aca="false">IF($E31="Indirect Expenses",COUNTIF($E$6:$E31,"Indirect Expenses"),"")</f>
        <v/>
      </c>
      <c r="L31" s="8" t="str">
        <f aca="false">IF($E31="Indirect Income",COUNTIF($E$6:$E31,"Indirect Income"),"")</f>
        <v/>
      </c>
      <c r="M31" s="8" t="str">
        <f aca="false">IF($E31="Fixed Assets",COUNTIF($E$6:$E31,"Fixed Assets"),"")</f>
        <v/>
      </c>
      <c r="N31" s="8" t="str">
        <f aca="false">IF($E31="Investments",COUNTIF($E$6:$E31,"Investments"),"")</f>
        <v/>
      </c>
      <c r="O31" s="8" t="str">
        <f aca="false">IF($E31="Other Current Assets",COUNTIF($E$6:$E31,"Other Current Assets"),"")</f>
        <v/>
      </c>
      <c r="P31" s="8" t="n">
        <f aca="false">IF($E31="Current Liabilities",COUNTIF($E$6:$E31,"Current Liabilities"),"")</f>
        <v>1</v>
      </c>
      <c r="Q31" s="8" t="str">
        <f aca="false">IF($E31="Long-term Loans",COUNTIF($E$6:$E31,"Long-term Loans"),"")</f>
        <v/>
      </c>
      <c r="R31" s="40" t="n">
        <f aca="false">IF(E31="Fixed Assets",ROUND(I31*N(F31),0),0)</f>
        <v>0</v>
      </c>
    </row>
    <row r="32" customFormat="false" ht="15" hidden="false" customHeight="false" outlineLevel="0" collapsed="false">
      <c r="A32" s="33" t="n">
        <f aca="false">IF(B32="","",ROW()-5)</f>
        <v>27</v>
      </c>
      <c r="B32" s="76" t="s">
        <v>96</v>
      </c>
      <c r="C32" s="77"/>
      <c r="D32" s="77" t="n">
        <v>15000</v>
      </c>
      <c r="E32" s="76" t="s">
        <v>95</v>
      </c>
      <c r="F32" s="78"/>
      <c r="G32" s="37" t="n">
        <f aca="false">IF(OR(B32="",E32=""),"",IF(VLOOKUP(E32,Lists!$A$2:$B$19,2,FALSE())="Dr",N(C32)-N(D32),N(D32)-N(C32)))</f>
        <v>15000</v>
      </c>
      <c r="H32" s="38" t="n">
        <f aca="false">IF(B32="","",SUMIF(Adjustments!$B$6:$B$10,B32,Adjustments!$C$6:$C$10)-SUMIF(Adjustments!$E$6:$E$10,B32,Adjustments!$F$6:$F$10)+SUMIF(Adjustments!$B$14:$B$18,B32,Adjustments!$C$14:$C$18)-SUMIF(Adjustments!$E$14:$E$18,B32,Adjustments!$F$14:$F$18))</f>
        <v>0</v>
      </c>
      <c r="I32" s="39" t="n">
        <f aca="false">IF(B32="","",N(G32)+N(H32))</f>
        <v>15000</v>
      </c>
      <c r="J32" s="8" t="str">
        <f aca="false">IF($E32="Direct Expenses",COUNTIF($E$6:$E32,"Direct Expenses"),"")</f>
        <v/>
      </c>
      <c r="K32" s="8" t="str">
        <f aca="false">IF($E32="Indirect Expenses",COUNTIF($E$6:$E32,"Indirect Expenses"),"")</f>
        <v/>
      </c>
      <c r="L32" s="8" t="str">
        <f aca="false">IF($E32="Indirect Income",COUNTIF($E$6:$E32,"Indirect Income"),"")</f>
        <v/>
      </c>
      <c r="M32" s="8" t="str">
        <f aca="false">IF($E32="Fixed Assets",COUNTIF($E$6:$E32,"Fixed Assets"),"")</f>
        <v/>
      </c>
      <c r="N32" s="8" t="str">
        <f aca="false">IF($E32="Investments",COUNTIF($E$6:$E32,"Investments"),"")</f>
        <v/>
      </c>
      <c r="O32" s="8" t="str">
        <f aca="false">IF($E32="Other Current Assets",COUNTIF($E$6:$E32,"Other Current Assets"),"")</f>
        <v/>
      </c>
      <c r="P32" s="8" t="n">
        <f aca="false">IF($E32="Current Liabilities",COUNTIF($E$6:$E32,"Current Liabilities"),"")</f>
        <v>2</v>
      </c>
      <c r="Q32" s="8" t="str">
        <f aca="false">IF($E32="Long-term Loans",COUNTIF($E$6:$E32,"Long-term Loans"),"")</f>
        <v/>
      </c>
      <c r="R32" s="40" t="n">
        <f aca="false">IF(E32="Fixed Assets",ROUND(I32*N(F32),0),0)</f>
        <v>0</v>
      </c>
    </row>
    <row r="33" customFormat="false" ht="15" hidden="false" customHeight="false" outlineLevel="0" collapsed="false">
      <c r="A33" s="33" t="n">
        <f aca="false">IF(B33="","",ROW()-5)</f>
        <v>28</v>
      </c>
      <c r="B33" s="76" t="s">
        <v>97</v>
      </c>
      <c r="C33" s="77"/>
      <c r="D33" s="77" t="n">
        <v>100000</v>
      </c>
      <c r="E33" s="76" t="s">
        <v>98</v>
      </c>
      <c r="F33" s="78"/>
      <c r="G33" s="37" t="n">
        <f aca="false">IF(OR(B33="",E33=""),"",IF(VLOOKUP(E33,Lists!$A$2:$B$19,2,FALSE())="Dr",N(C33)-N(D33),N(D33)-N(C33)))</f>
        <v>100000</v>
      </c>
      <c r="H33" s="38" t="n">
        <f aca="false">IF(B33="","",SUMIF(Adjustments!$B$6:$B$10,B33,Adjustments!$C$6:$C$10)-SUMIF(Adjustments!$E$6:$E$10,B33,Adjustments!$F$6:$F$10)+SUMIF(Adjustments!$B$14:$B$18,B33,Adjustments!$C$14:$C$18)-SUMIF(Adjustments!$E$14:$E$18,B33,Adjustments!$F$14:$F$18))</f>
        <v>0</v>
      </c>
      <c r="I33" s="39" t="n">
        <f aca="false">IF(B33="","",N(G33)+N(H33))</f>
        <v>100000</v>
      </c>
      <c r="J33" s="8" t="str">
        <f aca="false">IF($E33="Direct Expenses",COUNTIF($E$6:$E33,"Direct Expenses"),"")</f>
        <v/>
      </c>
      <c r="K33" s="8" t="str">
        <f aca="false">IF($E33="Indirect Expenses",COUNTIF($E$6:$E33,"Indirect Expenses"),"")</f>
        <v/>
      </c>
      <c r="L33" s="8" t="str">
        <f aca="false">IF($E33="Indirect Income",COUNTIF($E$6:$E33,"Indirect Income"),"")</f>
        <v/>
      </c>
      <c r="M33" s="8" t="str">
        <f aca="false">IF($E33="Fixed Assets",COUNTIF($E$6:$E33,"Fixed Assets"),"")</f>
        <v/>
      </c>
      <c r="N33" s="8" t="str">
        <f aca="false">IF($E33="Investments",COUNTIF($E$6:$E33,"Investments"),"")</f>
        <v/>
      </c>
      <c r="O33" s="8" t="str">
        <f aca="false">IF($E33="Other Current Assets",COUNTIF($E$6:$E33,"Other Current Assets"),"")</f>
        <v/>
      </c>
      <c r="P33" s="8" t="str">
        <f aca="false">IF($E33="Current Liabilities",COUNTIF($E$6:$E33,"Current Liabilities"),"")</f>
        <v/>
      </c>
      <c r="Q33" s="8" t="n">
        <f aca="false">IF($E33="Long-term Loans",COUNTIF($E$6:$E33,"Long-term Loans"),"")</f>
        <v>1</v>
      </c>
      <c r="R33" s="40" t="n">
        <f aca="false">IF(E33="Fixed Assets",ROUND(I33*N(F33),0),0)</f>
        <v>0</v>
      </c>
    </row>
    <row r="34" customFormat="false" ht="15" hidden="false" customHeight="false" outlineLevel="0" collapsed="false">
      <c r="A34" s="33" t="str">
        <f aca="false">IF(B34="","",ROW()-5)</f>
        <v/>
      </c>
      <c r="B34" s="76"/>
      <c r="C34" s="77"/>
      <c r="D34" s="77"/>
      <c r="E34" s="76"/>
      <c r="F34" s="78"/>
      <c r="G34" s="37" t="str">
        <f aca="false">IF(OR(B34="",E34=""),"",IF(VLOOKUP(E34,Lists!$A$2:$B$19,2,FALSE())="Dr",N(C34)-N(D34),N(D34)-N(C34)))</f>
        <v/>
      </c>
      <c r="H34" s="38" t="str">
        <f aca="false">IF(B34="","",SUMIF(Adjustments!$B$6:$B$10,B34,Adjustments!$C$6:$C$10)-SUMIF(Adjustments!$E$6:$E$10,B34,Adjustments!$F$6:$F$10)+SUMIF(Adjustments!$B$14:$B$18,B34,Adjustments!$C$14:$C$18)-SUMIF(Adjustments!$E$14:$E$18,B34,Adjustments!$F$14:$F$18))</f>
        <v/>
      </c>
      <c r="I34" s="39" t="str">
        <f aca="false">IF(B34="","",N(G34)+N(H34))</f>
        <v/>
      </c>
      <c r="J34" s="8" t="str">
        <f aca="false">IF($E34="Direct Expenses",COUNTIF($E$6:$E34,"Direct Expenses"),"")</f>
        <v/>
      </c>
      <c r="K34" s="8" t="str">
        <f aca="false">IF($E34="Indirect Expenses",COUNTIF($E$6:$E34,"Indirect Expenses"),"")</f>
        <v/>
      </c>
      <c r="L34" s="8" t="str">
        <f aca="false">IF($E34="Indirect Income",COUNTIF($E$6:$E34,"Indirect Income"),"")</f>
        <v/>
      </c>
      <c r="M34" s="8" t="str">
        <f aca="false">IF($E34="Fixed Assets",COUNTIF($E$6:$E34,"Fixed Assets"),"")</f>
        <v/>
      </c>
      <c r="N34" s="8" t="str">
        <f aca="false">IF($E34="Investments",COUNTIF($E$6:$E34,"Investments"),"")</f>
        <v/>
      </c>
      <c r="O34" s="8" t="str">
        <f aca="false">IF($E34="Other Current Assets",COUNTIF($E$6:$E34,"Other Current Assets"),"")</f>
        <v/>
      </c>
      <c r="P34" s="8" t="str">
        <f aca="false">IF($E34="Current Liabilities",COUNTIF($E$6:$E34,"Current Liabilities"),"")</f>
        <v/>
      </c>
      <c r="Q34" s="8" t="str">
        <f aca="false">IF($E34="Long-term Loans",COUNTIF($E$6:$E34,"Long-term Loans"),"")</f>
        <v/>
      </c>
      <c r="R34" s="40" t="n">
        <f aca="false">IF(E34="Fixed Assets",ROUND(I34*N(F34),0),0)</f>
        <v>0</v>
      </c>
    </row>
    <row r="35" customFormat="false" ht="15" hidden="false" customHeight="false" outlineLevel="0" collapsed="false">
      <c r="A35" s="33" t="str">
        <f aca="false">IF(B35="","",ROW()-5)</f>
        <v/>
      </c>
      <c r="B35" s="76"/>
      <c r="C35" s="77"/>
      <c r="D35" s="77"/>
      <c r="E35" s="76"/>
      <c r="F35" s="78"/>
      <c r="G35" s="37" t="str">
        <f aca="false">IF(OR(B35="",E35=""),"",IF(VLOOKUP(E35,Lists!$A$2:$B$19,2,FALSE())="Dr",N(C35)-N(D35),N(D35)-N(C35)))</f>
        <v/>
      </c>
      <c r="H35" s="38" t="str">
        <f aca="false">IF(B35="","",SUMIF(Adjustments!$B$6:$B$10,B35,Adjustments!$C$6:$C$10)-SUMIF(Adjustments!$E$6:$E$10,B35,Adjustments!$F$6:$F$10)+SUMIF(Adjustments!$B$14:$B$18,B35,Adjustments!$C$14:$C$18)-SUMIF(Adjustments!$E$14:$E$18,B35,Adjustments!$F$14:$F$18))</f>
        <v/>
      </c>
      <c r="I35" s="39" t="str">
        <f aca="false">IF(B35="","",N(G35)+N(H35))</f>
        <v/>
      </c>
      <c r="J35" s="8" t="str">
        <f aca="false">IF($E35="Direct Expenses",COUNTIF($E$6:$E35,"Direct Expenses"),"")</f>
        <v/>
      </c>
      <c r="K35" s="8" t="str">
        <f aca="false">IF($E35="Indirect Expenses",COUNTIF($E$6:$E35,"Indirect Expenses"),"")</f>
        <v/>
      </c>
      <c r="L35" s="8" t="str">
        <f aca="false">IF($E35="Indirect Income",COUNTIF($E$6:$E35,"Indirect Income"),"")</f>
        <v/>
      </c>
      <c r="M35" s="8" t="str">
        <f aca="false">IF($E35="Fixed Assets",COUNTIF($E$6:$E35,"Fixed Assets"),"")</f>
        <v/>
      </c>
      <c r="N35" s="8" t="str">
        <f aca="false">IF($E35="Investments",COUNTIF($E$6:$E35,"Investments"),"")</f>
        <v/>
      </c>
      <c r="O35" s="8" t="str">
        <f aca="false">IF($E35="Other Current Assets",COUNTIF($E$6:$E35,"Other Current Assets"),"")</f>
        <v/>
      </c>
      <c r="P35" s="8" t="str">
        <f aca="false">IF($E35="Current Liabilities",COUNTIF($E$6:$E35,"Current Liabilities"),"")</f>
        <v/>
      </c>
      <c r="Q35" s="8" t="str">
        <f aca="false">IF($E35="Long-term Loans",COUNTIF($E$6:$E35,"Long-term Loans"),"")</f>
        <v/>
      </c>
      <c r="R35" s="40" t="n">
        <f aca="false">IF(E35="Fixed Assets",ROUND(I35*N(F35),0),0)</f>
        <v>0</v>
      </c>
    </row>
    <row r="36" customFormat="false" ht="15" hidden="false" customHeight="false" outlineLevel="0" collapsed="false">
      <c r="A36" s="33" t="str">
        <f aca="false">IF(B36="","",ROW()-5)</f>
        <v/>
      </c>
      <c r="B36" s="76"/>
      <c r="C36" s="77"/>
      <c r="D36" s="77"/>
      <c r="E36" s="76"/>
      <c r="F36" s="78"/>
      <c r="G36" s="37" t="str">
        <f aca="false">IF(OR(B36="",E36=""),"",IF(VLOOKUP(E36,Lists!$A$2:$B$19,2,FALSE())="Dr",N(C36)-N(D36),N(D36)-N(C36)))</f>
        <v/>
      </c>
      <c r="H36" s="38" t="str">
        <f aca="false">IF(B36="","",SUMIF(Adjustments!$B$6:$B$10,B36,Adjustments!$C$6:$C$10)-SUMIF(Adjustments!$E$6:$E$10,B36,Adjustments!$F$6:$F$10)+SUMIF(Adjustments!$B$14:$B$18,B36,Adjustments!$C$14:$C$18)-SUMIF(Adjustments!$E$14:$E$18,B36,Adjustments!$F$14:$F$18))</f>
        <v/>
      </c>
      <c r="I36" s="39" t="str">
        <f aca="false">IF(B36="","",N(G36)+N(H36))</f>
        <v/>
      </c>
      <c r="J36" s="8" t="str">
        <f aca="false">IF($E36="Direct Expenses",COUNTIF($E$6:$E36,"Direct Expenses"),"")</f>
        <v/>
      </c>
      <c r="K36" s="8" t="str">
        <f aca="false">IF($E36="Indirect Expenses",COUNTIF($E$6:$E36,"Indirect Expenses"),"")</f>
        <v/>
      </c>
      <c r="L36" s="8" t="str">
        <f aca="false">IF($E36="Indirect Income",COUNTIF($E$6:$E36,"Indirect Income"),"")</f>
        <v/>
      </c>
      <c r="M36" s="8" t="str">
        <f aca="false">IF($E36="Fixed Assets",COUNTIF($E$6:$E36,"Fixed Assets"),"")</f>
        <v/>
      </c>
      <c r="N36" s="8" t="str">
        <f aca="false">IF($E36="Investments",COUNTIF($E$6:$E36,"Investments"),"")</f>
        <v/>
      </c>
      <c r="O36" s="8" t="str">
        <f aca="false">IF($E36="Other Current Assets",COUNTIF($E$6:$E36,"Other Current Assets"),"")</f>
        <v/>
      </c>
      <c r="P36" s="8" t="str">
        <f aca="false">IF($E36="Current Liabilities",COUNTIF($E$6:$E36,"Current Liabilities"),"")</f>
        <v/>
      </c>
      <c r="Q36" s="8" t="str">
        <f aca="false">IF($E36="Long-term Loans",COUNTIF($E$6:$E36,"Long-term Loans"),"")</f>
        <v/>
      </c>
      <c r="R36" s="40" t="n">
        <f aca="false">IF(E36="Fixed Assets",ROUND(I36*N(F36),0),0)</f>
        <v>0</v>
      </c>
    </row>
    <row r="37" customFormat="false" ht="15" hidden="false" customHeight="false" outlineLevel="0" collapsed="false">
      <c r="A37" s="33" t="str">
        <f aca="false">IF(B37="","",ROW()-5)</f>
        <v/>
      </c>
      <c r="B37" s="76"/>
      <c r="C37" s="77"/>
      <c r="D37" s="77"/>
      <c r="E37" s="76"/>
      <c r="F37" s="78"/>
      <c r="G37" s="37" t="str">
        <f aca="false">IF(OR(B37="",E37=""),"",IF(VLOOKUP(E37,Lists!$A$2:$B$19,2,FALSE())="Dr",N(C37)-N(D37),N(D37)-N(C37)))</f>
        <v/>
      </c>
      <c r="H37" s="38" t="str">
        <f aca="false">IF(B37="","",SUMIF(Adjustments!$B$6:$B$10,B37,Adjustments!$C$6:$C$10)-SUMIF(Adjustments!$E$6:$E$10,B37,Adjustments!$F$6:$F$10)+SUMIF(Adjustments!$B$14:$B$18,B37,Adjustments!$C$14:$C$18)-SUMIF(Adjustments!$E$14:$E$18,B37,Adjustments!$F$14:$F$18))</f>
        <v/>
      </c>
      <c r="I37" s="39" t="str">
        <f aca="false">IF(B37="","",N(G37)+N(H37))</f>
        <v/>
      </c>
      <c r="J37" s="8" t="str">
        <f aca="false">IF($E37="Direct Expenses",COUNTIF($E$6:$E37,"Direct Expenses"),"")</f>
        <v/>
      </c>
      <c r="K37" s="8" t="str">
        <f aca="false">IF($E37="Indirect Expenses",COUNTIF($E$6:$E37,"Indirect Expenses"),"")</f>
        <v/>
      </c>
      <c r="L37" s="8" t="str">
        <f aca="false">IF($E37="Indirect Income",COUNTIF($E$6:$E37,"Indirect Income"),"")</f>
        <v/>
      </c>
      <c r="M37" s="8" t="str">
        <f aca="false">IF($E37="Fixed Assets",COUNTIF($E$6:$E37,"Fixed Assets"),"")</f>
        <v/>
      </c>
      <c r="N37" s="8" t="str">
        <f aca="false">IF($E37="Investments",COUNTIF($E$6:$E37,"Investments"),"")</f>
        <v/>
      </c>
      <c r="O37" s="8" t="str">
        <f aca="false">IF($E37="Other Current Assets",COUNTIF($E$6:$E37,"Other Current Assets"),"")</f>
        <v/>
      </c>
      <c r="P37" s="8" t="str">
        <f aca="false">IF($E37="Current Liabilities",COUNTIF($E$6:$E37,"Current Liabilities"),"")</f>
        <v/>
      </c>
      <c r="Q37" s="8" t="str">
        <f aca="false">IF($E37="Long-term Loans",COUNTIF($E$6:$E37,"Long-term Loans"),"")</f>
        <v/>
      </c>
      <c r="R37" s="40" t="n">
        <f aca="false">IF(E37="Fixed Assets",ROUND(I37*N(F37),0),0)</f>
        <v>0</v>
      </c>
    </row>
    <row r="38" customFormat="false" ht="15" hidden="false" customHeight="false" outlineLevel="0" collapsed="false">
      <c r="A38" s="33" t="str">
        <f aca="false">IF(B38="","",ROW()-5)</f>
        <v/>
      </c>
      <c r="B38" s="76"/>
      <c r="C38" s="77"/>
      <c r="D38" s="77"/>
      <c r="E38" s="76"/>
      <c r="F38" s="78"/>
      <c r="G38" s="37" t="str">
        <f aca="false">IF(OR(B38="",E38=""),"",IF(VLOOKUP(E38,Lists!$A$2:$B$19,2,FALSE())="Dr",N(C38)-N(D38),N(D38)-N(C38)))</f>
        <v/>
      </c>
      <c r="H38" s="38" t="str">
        <f aca="false">IF(B38="","",SUMIF(Adjustments!$B$6:$B$10,B38,Adjustments!$C$6:$C$10)-SUMIF(Adjustments!$E$6:$E$10,B38,Adjustments!$F$6:$F$10)+SUMIF(Adjustments!$B$14:$B$18,B38,Adjustments!$C$14:$C$18)-SUMIF(Adjustments!$E$14:$E$18,B38,Adjustments!$F$14:$F$18))</f>
        <v/>
      </c>
      <c r="I38" s="39" t="str">
        <f aca="false">IF(B38="","",N(G38)+N(H38))</f>
        <v/>
      </c>
      <c r="J38" s="8" t="str">
        <f aca="false">IF($E38="Direct Expenses",COUNTIF($E$6:$E38,"Direct Expenses"),"")</f>
        <v/>
      </c>
      <c r="K38" s="8" t="str">
        <f aca="false">IF($E38="Indirect Expenses",COUNTIF($E$6:$E38,"Indirect Expenses"),"")</f>
        <v/>
      </c>
      <c r="L38" s="8" t="str">
        <f aca="false">IF($E38="Indirect Income",COUNTIF($E$6:$E38,"Indirect Income"),"")</f>
        <v/>
      </c>
      <c r="M38" s="8" t="str">
        <f aca="false">IF($E38="Fixed Assets",COUNTIF($E$6:$E38,"Fixed Assets"),"")</f>
        <v/>
      </c>
      <c r="N38" s="8" t="str">
        <f aca="false">IF($E38="Investments",COUNTIF($E$6:$E38,"Investments"),"")</f>
        <v/>
      </c>
      <c r="O38" s="8" t="str">
        <f aca="false">IF($E38="Other Current Assets",COUNTIF($E$6:$E38,"Other Current Assets"),"")</f>
        <v/>
      </c>
      <c r="P38" s="8" t="str">
        <f aca="false">IF($E38="Current Liabilities",COUNTIF($E$6:$E38,"Current Liabilities"),"")</f>
        <v/>
      </c>
      <c r="Q38" s="8" t="str">
        <f aca="false">IF($E38="Long-term Loans",COUNTIF($E$6:$E38,"Long-term Loans"),"")</f>
        <v/>
      </c>
      <c r="R38" s="40" t="n">
        <f aca="false">IF(E38="Fixed Assets",ROUND(I38*N(F38),0),0)</f>
        <v>0</v>
      </c>
    </row>
    <row r="39" customFormat="false" ht="15" hidden="false" customHeight="false" outlineLevel="0" collapsed="false">
      <c r="A39" s="33" t="str">
        <f aca="false">IF(B39="","",ROW()-5)</f>
        <v/>
      </c>
      <c r="B39" s="76"/>
      <c r="C39" s="77"/>
      <c r="D39" s="77"/>
      <c r="E39" s="76"/>
      <c r="F39" s="78"/>
      <c r="G39" s="37" t="str">
        <f aca="false">IF(OR(B39="",E39=""),"",IF(VLOOKUP(E39,Lists!$A$2:$B$19,2,FALSE())="Dr",N(C39)-N(D39),N(D39)-N(C39)))</f>
        <v/>
      </c>
      <c r="H39" s="38" t="str">
        <f aca="false">IF(B39="","",SUMIF(Adjustments!$B$6:$B$10,B39,Adjustments!$C$6:$C$10)-SUMIF(Adjustments!$E$6:$E$10,B39,Adjustments!$F$6:$F$10)+SUMIF(Adjustments!$B$14:$B$18,B39,Adjustments!$C$14:$C$18)-SUMIF(Adjustments!$E$14:$E$18,B39,Adjustments!$F$14:$F$18))</f>
        <v/>
      </c>
      <c r="I39" s="39" t="str">
        <f aca="false">IF(B39="","",N(G39)+N(H39))</f>
        <v/>
      </c>
      <c r="J39" s="8" t="str">
        <f aca="false">IF($E39="Direct Expenses",COUNTIF($E$6:$E39,"Direct Expenses"),"")</f>
        <v/>
      </c>
      <c r="K39" s="8" t="str">
        <f aca="false">IF($E39="Indirect Expenses",COUNTIF($E$6:$E39,"Indirect Expenses"),"")</f>
        <v/>
      </c>
      <c r="L39" s="8" t="str">
        <f aca="false">IF($E39="Indirect Income",COUNTIF($E$6:$E39,"Indirect Income"),"")</f>
        <v/>
      </c>
      <c r="M39" s="8" t="str">
        <f aca="false">IF($E39="Fixed Assets",COUNTIF($E$6:$E39,"Fixed Assets"),"")</f>
        <v/>
      </c>
      <c r="N39" s="8" t="str">
        <f aca="false">IF($E39="Investments",COUNTIF($E$6:$E39,"Investments"),"")</f>
        <v/>
      </c>
      <c r="O39" s="8" t="str">
        <f aca="false">IF($E39="Other Current Assets",COUNTIF($E$6:$E39,"Other Current Assets"),"")</f>
        <v/>
      </c>
      <c r="P39" s="8" t="str">
        <f aca="false">IF($E39="Current Liabilities",COUNTIF($E$6:$E39,"Current Liabilities"),"")</f>
        <v/>
      </c>
      <c r="Q39" s="8" t="str">
        <f aca="false">IF($E39="Long-term Loans",COUNTIF($E$6:$E39,"Long-term Loans"),"")</f>
        <v/>
      </c>
      <c r="R39" s="40" t="n">
        <f aca="false">IF(E39="Fixed Assets",ROUND(I39*N(F39),0),0)</f>
        <v>0</v>
      </c>
    </row>
    <row r="40" customFormat="false" ht="15" hidden="false" customHeight="false" outlineLevel="0" collapsed="false">
      <c r="A40" s="33" t="str">
        <f aca="false">IF(B40="","",ROW()-5)</f>
        <v/>
      </c>
      <c r="B40" s="76"/>
      <c r="C40" s="77"/>
      <c r="D40" s="77"/>
      <c r="E40" s="76"/>
      <c r="F40" s="78"/>
      <c r="G40" s="37" t="str">
        <f aca="false">IF(OR(B40="",E40=""),"",IF(VLOOKUP(E40,Lists!$A$2:$B$19,2,FALSE())="Dr",N(C40)-N(D40),N(D40)-N(C40)))</f>
        <v/>
      </c>
      <c r="H40" s="38" t="str">
        <f aca="false">IF(B40="","",SUMIF(Adjustments!$B$6:$B$10,B40,Adjustments!$C$6:$C$10)-SUMIF(Adjustments!$E$6:$E$10,B40,Adjustments!$F$6:$F$10)+SUMIF(Adjustments!$B$14:$B$18,B40,Adjustments!$C$14:$C$18)-SUMIF(Adjustments!$E$14:$E$18,B40,Adjustments!$F$14:$F$18))</f>
        <v/>
      </c>
      <c r="I40" s="39" t="str">
        <f aca="false">IF(B40="","",N(G40)+N(H40))</f>
        <v/>
      </c>
      <c r="J40" s="8" t="str">
        <f aca="false">IF($E40="Direct Expenses",COUNTIF($E$6:$E40,"Direct Expenses"),"")</f>
        <v/>
      </c>
      <c r="K40" s="8" t="str">
        <f aca="false">IF($E40="Indirect Expenses",COUNTIF($E$6:$E40,"Indirect Expenses"),"")</f>
        <v/>
      </c>
      <c r="L40" s="8" t="str">
        <f aca="false">IF($E40="Indirect Income",COUNTIF($E$6:$E40,"Indirect Income"),"")</f>
        <v/>
      </c>
      <c r="M40" s="8" t="str">
        <f aca="false">IF($E40="Fixed Assets",COUNTIF($E$6:$E40,"Fixed Assets"),"")</f>
        <v/>
      </c>
      <c r="N40" s="8" t="str">
        <f aca="false">IF($E40="Investments",COUNTIF($E$6:$E40,"Investments"),"")</f>
        <v/>
      </c>
      <c r="O40" s="8" t="str">
        <f aca="false">IF($E40="Other Current Assets",COUNTIF($E$6:$E40,"Other Current Assets"),"")</f>
        <v/>
      </c>
      <c r="P40" s="8" t="str">
        <f aca="false">IF($E40="Current Liabilities",COUNTIF($E$6:$E40,"Current Liabilities"),"")</f>
        <v/>
      </c>
      <c r="Q40" s="8" t="str">
        <f aca="false">IF($E40="Long-term Loans",COUNTIF($E$6:$E40,"Long-term Loans"),"")</f>
        <v/>
      </c>
      <c r="R40" s="40" t="n">
        <f aca="false">IF(E40="Fixed Assets",ROUND(I40*N(F40),0),0)</f>
        <v>0</v>
      </c>
    </row>
    <row r="41" customFormat="false" ht="15" hidden="false" customHeight="false" outlineLevel="0" collapsed="false">
      <c r="A41" s="33" t="str">
        <f aca="false">IF(B41="","",ROW()-5)</f>
        <v/>
      </c>
      <c r="B41" s="76"/>
      <c r="C41" s="77"/>
      <c r="D41" s="77"/>
      <c r="E41" s="76"/>
      <c r="F41" s="78"/>
      <c r="G41" s="37" t="str">
        <f aca="false">IF(OR(B41="",E41=""),"",IF(VLOOKUP(E41,Lists!$A$2:$B$19,2,FALSE())="Dr",N(C41)-N(D41),N(D41)-N(C41)))</f>
        <v/>
      </c>
      <c r="H41" s="38" t="str">
        <f aca="false">IF(B41="","",SUMIF(Adjustments!$B$6:$B$10,B41,Adjustments!$C$6:$C$10)-SUMIF(Adjustments!$E$6:$E$10,B41,Adjustments!$F$6:$F$10)+SUMIF(Adjustments!$B$14:$B$18,B41,Adjustments!$C$14:$C$18)-SUMIF(Adjustments!$E$14:$E$18,B41,Adjustments!$F$14:$F$18))</f>
        <v/>
      </c>
      <c r="I41" s="39" t="str">
        <f aca="false">IF(B41="","",N(G41)+N(H41))</f>
        <v/>
      </c>
      <c r="J41" s="8" t="str">
        <f aca="false">IF($E41="Direct Expenses",COUNTIF($E$6:$E41,"Direct Expenses"),"")</f>
        <v/>
      </c>
      <c r="K41" s="8" t="str">
        <f aca="false">IF($E41="Indirect Expenses",COUNTIF($E$6:$E41,"Indirect Expenses"),"")</f>
        <v/>
      </c>
      <c r="L41" s="8" t="str">
        <f aca="false">IF($E41="Indirect Income",COUNTIF($E$6:$E41,"Indirect Income"),"")</f>
        <v/>
      </c>
      <c r="M41" s="8" t="str">
        <f aca="false">IF($E41="Fixed Assets",COUNTIF($E$6:$E41,"Fixed Assets"),"")</f>
        <v/>
      </c>
      <c r="N41" s="8" t="str">
        <f aca="false">IF($E41="Investments",COUNTIF($E$6:$E41,"Investments"),"")</f>
        <v/>
      </c>
      <c r="O41" s="8" t="str">
        <f aca="false">IF($E41="Other Current Assets",COUNTIF($E$6:$E41,"Other Current Assets"),"")</f>
        <v/>
      </c>
      <c r="P41" s="8" t="str">
        <f aca="false">IF($E41="Current Liabilities",COUNTIF($E$6:$E41,"Current Liabilities"),"")</f>
        <v/>
      </c>
      <c r="Q41" s="8" t="str">
        <f aca="false">IF($E41="Long-term Loans",COUNTIF($E$6:$E41,"Long-term Loans"),"")</f>
        <v/>
      </c>
      <c r="R41" s="40" t="n">
        <f aca="false">IF(E41="Fixed Assets",ROUND(I41*N(F41),0),0)</f>
        <v>0</v>
      </c>
    </row>
    <row r="42" customFormat="false" ht="15" hidden="false" customHeight="false" outlineLevel="0" collapsed="false">
      <c r="A42" s="33" t="str">
        <f aca="false">IF(B42="","",ROW()-5)</f>
        <v/>
      </c>
      <c r="B42" s="76"/>
      <c r="C42" s="77"/>
      <c r="D42" s="77"/>
      <c r="E42" s="76"/>
      <c r="F42" s="78"/>
      <c r="G42" s="37" t="str">
        <f aca="false">IF(OR(B42="",E42=""),"",IF(VLOOKUP(E42,Lists!$A$2:$B$19,2,FALSE())="Dr",N(C42)-N(D42),N(D42)-N(C42)))</f>
        <v/>
      </c>
      <c r="H42" s="38" t="str">
        <f aca="false">IF(B42="","",SUMIF(Adjustments!$B$6:$B$10,B42,Adjustments!$C$6:$C$10)-SUMIF(Adjustments!$E$6:$E$10,B42,Adjustments!$F$6:$F$10)+SUMIF(Adjustments!$B$14:$B$18,B42,Adjustments!$C$14:$C$18)-SUMIF(Adjustments!$E$14:$E$18,B42,Adjustments!$F$14:$F$18))</f>
        <v/>
      </c>
      <c r="I42" s="39" t="str">
        <f aca="false">IF(B42="","",N(G42)+N(H42))</f>
        <v/>
      </c>
      <c r="J42" s="8" t="str">
        <f aca="false">IF($E42="Direct Expenses",COUNTIF($E$6:$E42,"Direct Expenses"),"")</f>
        <v/>
      </c>
      <c r="K42" s="8" t="str">
        <f aca="false">IF($E42="Indirect Expenses",COUNTIF($E$6:$E42,"Indirect Expenses"),"")</f>
        <v/>
      </c>
      <c r="L42" s="8" t="str">
        <f aca="false">IF($E42="Indirect Income",COUNTIF($E$6:$E42,"Indirect Income"),"")</f>
        <v/>
      </c>
      <c r="M42" s="8" t="str">
        <f aca="false">IF($E42="Fixed Assets",COUNTIF($E$6:$E42,"Fixed Assets"),"")</f>
        <v/>
      </c>
      <c r="N42" s="8" t="str">
        <f aca="false">IF($E42="Investments",COUNTIF($E$6:$E42,"Investments"),"")</f>
        <v/>
      </c>
      <c r="O42" s="8" t="str">
        <f aca="false">IF($E42="Other Current Assets",COUNTIF($E$6:$E42,"Other Current Assets"),"")</f>
        <v/>
      </c>
      <c r="P42" s="8" t="str">
        <f aca="false">IF($E42="Current Liabilities",COUNTIF($E$6:$E42,"Current Liabilities"),"")</f>
        <v/>
      </c>
      <c r="Q42" s="8" t="str">
        <f aca="false">IF($E42="Long-term Loans",COUNTIF($E$6:$E42,"Long-term Loans"),"")</f>
        <v/>
      </c>
      <c r="R42" s="40" t="n">
        <f aca="false">IF(E42="Fixed Assets",ROUND(I42*N(F42),0),0)</f>
        <v>0</v>
      </c>
    </row>
    <row r="43" customFormat="false" ht="15" hidden="false" customHeight="false" outlineLevel="0" collapsed="false">
      <c r="A43" s="33" t="str">
        <f aca="false">IF(B43="","",ROW()-5)</f>
        <v/>
      </c>
      <c r="B43" s="76"/>
      <c r="C43" s="77"/>
      <c r="D43" s="77"/>
      <c r="E43" s="76"/>
      <c r="F43" s="78"/>
      <c r="G43" s="37" t="str">
        <f aca="false">IF(OR(B43="",E43=""),"",IF(VLOOKUP(E43,Lists!$A$2:$B$19,2,FALSE())="Dr",N(C43)-N(D43),N(D43)-N(C43)))</f>
        <v/>
      </c>
      <c r="H43" s="38" t="str">
        <f aca="false">IF(B43="","",SUMIF(Adjustments!$B$6:$B$10,B43,Adjustments!$C$6:$C$10)-SUMIF(Adjustments!$E$6:$E$10,B43,Adjustments!$F$6:$F$10)+SUMIF(Adjustments!$B$14:$B$18,B43,Adjustments!$C$14:$C$18)-SUMIF(Adjustments!$E$14:$E$18,B43,Adjustments!$F$14:$F$18))</f>
        <v/>
      </c>
      <c r="I43" s="39" t="str">
        <f aca="false">IF(B43="","",N(G43)+N(H43))</f>
        <v/>
      </c>
      <c r="J43" s="8" t="str">
        <f aca="false">IF($E43="Direct Expenses",COUNTIF($E$6:$E43,"Direct Expenses"),"")</f>
        <v/>
      </c>
      <c r="K43" s="8" t="str">
        <f aca="false">IF($E43="Indirect Expenses",COUNTIF($E$6:$E43,"Indirect Expenses"),"")</f>
        <v/>
      </c>
      <c r="L43" s="8" t="str">
        <f aca="false">IF($E43="Indirect Income",COUNTIF($E$6:$E43,"Indirect Income"),"")</f>
        <v/>
      </c>
      <c r="M43" s="8" t="str">
        <f aca="false">IF($E43="Fixed Assets",COUNTIF($E$6:$E43,"Fixed Assets"),"")</f>
        <v/>
      </c>
      <c r="N43" s="8" t="str">
        <f aca="false">IF($E43="Investments",COUNTIF($E$6:$E43,"Investments"),"")</f>
        <v/>
      </c>
      <c r="O43" s="8" t="str">
        <f aca="false">IF($E43="Other Current Assets",COUNTIF($E$6:$E43,"Other Current Assets"),"")</f>
        <v/>
      </c>
      <c r="P43" s="8" t="str">
        <f aca="false">IF($E43="Current Liabilities",COUNTIF($E$6:$E43,"Current Liabilities"),"")</f>
        <v/>
      </c>
      <c r="Q43" s="8" t="str">
        <f aca="false">IF($E43="Long-term Loans",COUNTIF($E$6:$E43,"Long-term Loans"),"")</f>
        <v/>
      </c>
      <c r="R43" s="40" t="n">
        <f aca="false">IF(E43="Fixed Assets",ROUND(I43*N(F43),0),0)</f>
        <v>0</v>
      </c>
    </row>
    <row r="44" customFormat="false" ht="15" hidden="false" customHeight="false" outlineLevel="0" collapsed="false">
      <c r="A44" s="33" t="str">
        <f aca="false">IF(B44="","",ROW()-5)</f>
        <v/>
      </c>
      <c r="B44" s="76"/>
      <c r="C44" s="77"/>
      <c r="D44" s="77"/>
      <c r="E44" s="76"/>
      <c r="F44" s="78"/>
      <c r="G44" s="37" t="str">
        <f aca="false">IF(OR(B44="",E44=""),"",IF(VLOOKUP(E44,Lists!$A$2:$B$19,2,FALSE())="Dr",N(C44)-N(D44),N(D44)-N(C44)))</f>
        <v/>
      </c>
      <c r="H44" s="38" t="str">
        <f aca="false">IF(B44="","",SUMIF(Adjustments!$B$6:$B$10,B44,Adjustments!$C$6:$C$10)-SUMIF(Adjustments!$E$6:$E$10,B44,Adjustments!$F$6:$F$10)+SUMIF(Adjustments!$B$14:$B$18,B44,Adjustments!$C$14:$C$18)-SUMIF(Adjustments!$E$14:$E$18,B44,Adjustments!$F$14:$F$18))</f>
        <v/>
      </c>
      <c r="I44" s="39" t="str">
        <f aca="false">IF(B44="","",N(G44)+N(H44))</f>
        <v/>
      </c>
      <c r="J44" s="8" t="str">
        <f aca="false">IF($E44="Direct Expenses",COUNTIF($E$6:$E44,"Direct Expenses"),"")</f>
        <v/>
      </c>
      <c r="K44" s="8" t="str">
        <f aca="false">IF($E44="Indirect Expenses",COUNTIF($E$6:$E44,"Indirect Expenses"),"")</f>
        <v/>
      </c>
      <c r="L44" s="8" t="str">
        <f aca="false">IF($E44="Indirect Income",COUNTIF($E$6:$E44,"Indirect Income"),"")</f>
        <v/>
      </c>
      <c r="M44" s="8" t="str">
        <f aca="false">IF($E44="Fixed Assets",COUNTIF($E$6:$E44,"Fixed Assets"),"")</f>
        <v/>
      </c>
      <c r="N44" s="8" t="str">
        <f aca="false">IF($E44="Investments",COUNTIF($E$6:$E44,"Investments"),"")</f>
        <v/>
      </c>
      <c r="O44" s="8" t="str">
        <f aca="false">IF($E44="Other Current Assets",COUNTIF($E$6:$E44,"Other Current Assets"),"")</f>
        <v/>
      </c>
      <c r="P44" s="8" t="str">
        <f aca="false">IF($E44="Current Liabilities",COUNTIF($E$6:$E44,"Current Liabilities"),"")</f>
        <v/>
      </c>
      <c r="Q44" s="8" t="str">
        <f aca="false">IF($E44="Long-term Loans",COUNTIF($E$6:$E44,"Long-term Loans"),"")</f>
        <v/>
      </c>
      <c r="R44" s="40" t="n">
        <f aca="false">IF(E44="Fixed Assets",ROUND(I44*N(F44),0),0)</f>
        <v>0</v>
      </c>
    </row>
    <row r="45" customFormat="false" ht="15" hidden="false" customHeight="false" outlineLevel="0" collapsed="false">
      <c r="A45" s="33" t="str">
        <f aca="false">IF(B45="","",ROW()-5)</f>
        <v/>
      </c>
      <c r="B45" s="76"/>
      <c r="C45" s="77"/>
      <c r="D45" s="77"/>
      <c r="E45" s="76"/>
      <c r="F45" s="78"/>
      <c r="G45" s="37" t="str">
        <f aca="false">IF(OR(B45="",E45=""),"",IF(VLOOKUP(E45,Lists!$A$2:$B$19,2,FALSE())="Dr",N(C45)-N(D45),N(D45)-N(C45)))</f>
        <v/>
      </c>
      <c r="H45" s="38" t="str">
        <f aca="false">IF(B45="","",SUMIF(Adjustments!$B$6:$B$10,B45,Adjustments!$C$6:$C$10)-SUMIF(Adjustments!$E$6:$E$10,B45,Adjustments!$F$6:$F$10)+SUMIF(Adjustments!$B$14:$B$18,B45,Adjustments!$C$14:$C$18)-SUMIF(Adjustments!$E$14:$E$18,B45,Adjustments!$F$14:$F$18))</f>
        <v/>
      </c>
      <c r="I45" s="39" t="str">
        <f aca="false">IF(B45="","",N(G45)+N(H45))</f>
        <v/>
      </c>
      <c r="J45" s="8" t="str">
        <f aca="false">IF($E45="Direct Expenses",COUNTIF($E$6:$E45,"Direct Expenses"),"")</f>
        <v/>
      </c>
      <c r="K45" s="8" t="str">
        <f aca="false">IF($E45="Indirect Expenses",COUNTIF($E$6:$E45,"Indirect Expenses"),"")</f>
        <v/>
      </c>
      <c r="L45" s="8" t="str">
        <f aca="false">IF($E45="Indirect Income",COUNTIF($E$6:$E45,"Indirect Income"),"")</f>
        <v/>
      </c>
      <c r="M45" s="8" t="str">
        <f aca="false">IF($E45="Fixed Assets",COUNTIF($E$6:$E45,"Fixed Assets"),"")</f>
        <v/>
      </c>
      <c r="N45" s="8" t="str">
        <f aca="false">IF($E45="Investments",COUNTIF($E$6:$E45,"Investments"),"")</f>
        <v/>
      </c>
      <c r="O45" s="8" t="str">
        <f aca="false">IF($E45="Other Current Assets",COUNTIF($E$6:$E45,"Other Current Assets"),"")</f>
        <v/>
      </c>
      <c r="P45" s="8" t="str">
        <f aca="false">IF($E45="Current Liabilities",COUNTIF($E$6:$E45,"Current Liabilities"),"")</f>
        <v/>
      </c>
      <c r="Q45" s="8" t="str">
        <f aca="false">IF($E45="Long-term Loans",COUNTIF($E$6:$E45,"Long-term Loans"),"")</f>
        <v/>
      </c>
      <c r="R45" s="40" t="n">
        <f aca="false">IF(E45="Fixed Assets",ROUND(I45*N(F45),0),0)</f>
        <v>0</v>
      </c>
    </row>
    <row r="46" customFormat="false" ht="15" hidden="false" customHeight="false" outlineLevel="0" collapsed="false">
      <c r="A46" s="33" t="str">
        <f aca="false">IF(B46="","",ROW()-5)</f>
        <v/>
      </c>
      <c r="B46" s="76"/>
      <c r="C46" s="77"/>
      <c r="D46" s="77"/>
      <c r="E46" s="76"/>
      <c r="F46" s="78"/>
      <c r="G46" s="37" t="str">
        <f aca="false">IF(OR(B46="",E46=""),"",IF(VLOOKUP(E46,Lists!$A$2:$B$19,2,FALSE())="Dr",N(C46)-N(D46),N(D46)-N(C46)))</f>
        <v/>
      </c>
      <c r="H46" s="38" t="str">
        <f aca="false">IF(B46="","",SUMIF(Adjustments!$B$6:$B$10,B46,Adjustments!$C$6:$C$10)-SUMIF(Adjustments!$E$6:$E$10,B46,Adjustments!$F$6:$F$10)+SUMIF(Adjustments!$B$14:$B$18,B46,Adjustments!$C$14:$C$18)-SUMIF(Adjustments!$E$14:$E$18,B46,Adjustments!$F$14:$F$18))</f>
        <v/>
      </c>
      <c r="I46" s="39" t="str">
        <f aca="false">IF(B46="","",N(G46)+N(H46))</f>
        <v/>
      </c>
      <c r="J46" s="8" t="str">
        <f aca="false">IF($E46="Direct Expenses",COUNTIF($E$6:$E46,"Direct Expenses"),"")</f>
        <v/>
      </c>
      <c r="K46" s="8" t="str">
        <f aca="false">IF($E46="Indirect Expenses",COUNTIF($E$6:$E46,"Indirect Expenses"),"")</f>
        <v/>
      </c>
      <c r="L46" s="8" t="str">
        <f aca="false">IF($E46="Indirect Income",COUNTIF($E$6:$E46,"Indirect Income"),"")</f>
        <v/>
      </c>
      <c r="M46" s="8" t="str">
        <f aca="false">IF($E46="Fixed Assets",COUNTIF($E$6:$E46,"Fixed Assets"),"")</f>
        <v/>
      </c>
      <c r="N46" s="8" t="str">
        <f aca="false">IF($E46="Investments",COUNTIF($E$6:$E46,"Investments"),"")</f>
        <v/>
      </c>
      <c r="O46" s="8" t="str">
        <f aca="false">IF($E46="Other Current Assets",COUNTIF($E$6:$E46,"Other Current Assets"),"")</f>
        <v/>
      </c>
      <c r="P46" s="8" t="str">
        <f aca="false">IF($E46="Current Liabilities",COUNTIF($E$6:$E46,"Current Liabilities"),"")</f>
        <v/>
      </c>
      <c r="Q46" s="8" t="str">
        <f aca="false">IF($E46="Long-term Loans",COUNTIF($E$6:$E46,"Long-term Loans"),"")</f>
        <v/>
      </c>
      <c r="R46" s="40" t="n">
        <f aca="false">IF(E46="Fixed Assets",ROUND(I46*N(F46),0),0)</f>
        <v>0</v>
      </c>
    </row>
    <row r="47" customFormat="false" ht="15" hidden="false" customHeight="false" outlineLevel="0" collapsed="false">
      <c r="A47" s="33" t="str">
        <f aca="false">IF(B47="","",ROW()-5)</f>
        <v/>
      </c>
      <c r="B47" s="76"/>
      <c r="C47" s="77"/>
      <c r="D47" s="77"/>
      <c r="E47" s="76"/>
      <c r="F47" s="78"/>
      <c r="G47" s="37" t="str">
        <f aca="false">IF(OR(B47="",E47=""),"",IF(VLOOKUP(E47,Lists!$A$2:$B$19,2,FALSE())="Dr",N(C47)-N(D47),N(D47)-N(C47)))</f>
        <v/>
      </c>
      <c r="H47" s="38" t="str">
        <f aca="false">IF(B47="","",SUMIF(Adjustments!$B$6:$B$10,B47,Adjustments!$C$6:$C$10)-SUMIF(Adjustments!$E$6:$E$10,B47,Adjustments!$F$6:$F$10)+SUMIF(Adjustments!$B$14:$B$18,B47,Adjustments!$C$14:$C$18)-SUMIF(Adjustments!$E$14:$E$18,B47,Adjustments!$F$14:$F$18))</f>
        <v/>
      </c>
      <c r="I47" s="39" t="str">
        <f aca="false">IF(B47="","",N(G47)+N(H47))</f>
        <v/>
      </c>
      <c r="J47" s="8" t="str">
        <f aca="false">IF($E47="Direct Expenses",COUNTIF($E$6:$E47,"Direct Expenses"),"")</f>
        <v/>
      </c>
      <c r="K47" s="8" t="str">
        <f aca="false">IF($E47="Indirect Expenses",COUNTIF($E$6:$E47,"Indirect Expenses"),"")</f>
        <v/>
      </c>
      <c r="L47" s="8" t="str">
        <f aca="false">IF($E47="Indirect Income",COUNTIF($E$6:$E47,"Indirect Income"),"")</f>
        <v/>
      </c>
      <c r="M47" s="8" t="str">
        <f aca="false">IF($E47="Fixed Assets",COUNTIF($E$6:$E47,"Fixed Assets"),"")</f>
        <v/>
      </c>
      <c r="N47" s="8" t="str">
        <f aca="false">IF($E47="Investments",COUNTIF($E$6:$E47,"Investments"),"")</f>
        <v/>
      </c>
      <c r="O47" s="8" t="str">
        <f aca="false">IF($E47="Other Current Assets",COUNTIF($E$6:$E47,"Other Current Assets"),"")</f>
        <v/>
      </c>
      <c r="P47" s="8" t="str">
        <f aca="false">IF($E47="Current Liabilities",COUNTIF($E$6:$E47,"Current Liabilities"),"")</f>
        <v/>
      </c>
      <c r="Q47" s="8" t="str">
        <f aca="false">IF($E47="Long-term Loans",COUNTIF($E$6:$E47,"Long-term Loans"),"")</f>
        <v/>
      </c>
      <c r="R47" s="40" t="n">
        <f aca="false">IF(E47="Fixed Assets",ROUND(I47*N(F47),0),0)</f>
        <v>0</v>
      </c>
    </row>
    <row r="48" customFormat="false" ht="15" hidden="false" customHeight="false" outlineLevel="0" collapsed="false">
      <c r="A48" s="33" t="str">
        <f aca="false">IF(B48="","",ROW()-5)</f>
        <v/>
      </c>
      <c r="B48" s="76"/>
      <c r="C48" s="77"/>
      <c r="D48" s="77"/>
      <c r="E48" s="76"/>
      <c r="F48" s="78"/>
      <c r="G48" s="37" t="str">
        <f aca="false">IF(OR(B48="",E48=""),"",IF(VLOOKUP(E48,Lists!$A$2:$B$19,2,FALSE())="Dr",N(C48)-N(D48),N(D48)-N(C48)))</f>
        <v/>
      </c>
      <c r="H48" s="38" t="str">
        <f aca="false">IF(B48="","",SUMIF(Adjustments!$B$6:$B$10,B48,Adjustments!$C$6:$C$10)-SUMIF(Adjustments!$E$6:$E$10,B48,Adjustments!$F$6:$F$10)+SUMIF(Adjustments!$B$14:$B$18,B48,Adjustments!$C$14:$C$18)-SUMIF(Adjustments!$E$14:$E$18,B48,Adjustments!$F$14:$F$18))</f>
        <v/>
      </c>
      <c r="I48" s="39" t="str">
        <f aca="false">IF(B48="","",N(G48)+N(H48))</f>
        <v/>
      </c>
      <c r="J48" s="8" t="str">
        <f aca="false">IF($E48="Direct Expenses",COUNTIF($E$6:$E48,"Direct Expenses"),"")</f>
        <v/>
      </c>
      <c r="K48" s="8" t="str">
        <f aca="false">IF($E48="Indirect Expenses",COUNTIF($E$6:$E48,"Indirect Expenses"),"")</f>
        <v/>
      </c>
      <c r="L48" s="8" t="str">
        <f aca="false">IF($E48="Indirect Income",COUNTIF($E$6:$E48,"Indirect Income"),"")</f>
        <v/>
      </c>
      <c r="M48" s="8" t="str">
        <f aca="false">IF($E48="Fixed Assets",COUNTIF($E$6:$E48,"Fixed Assets"),"")</f>
        <v/>
      </c>
      <c r="N48" s="8" t="str">
        <f aca="false">IF($E48="Investments",COUNTIF($E$6:$E48,"Investments"),"")</f>
        <v/>
      </c>
      <c r="O48" s="8" t="str">
        <f aca="false">IF($E48="Other Current Assets",COUNTIF($E$6:$E48,"Other Current Assets"),"")</f>
        <v/>
      </c>
      <c r="P48" s="8" t="str">
        <f aca="false">IF($E48="Current Liabilities",COUNTIF($E$6:$E48,"Current Liabilities"),"")</f>
        <v/>
      </c>
      <c r="Q48" s="8" t="str">
        <f aca="false">IF($E48="Long-term Loans",COUNTIF($E$6:$E48,"Long-term Loans"),"")</f>
        <v/>
      </c>
      <c r="R48" s="40" t="n">
        <f aca="false">IF(E48="Fixed Assets",ROUND(I48*N(F48),0),0)</f>
        <v>0</v>
      </c>
    </row>
    <row r="49" customFormat="false" ht="15" hidden="false" customHeight="false" outlineLevel="0" collapsed="false">
      <c r="A49" s="33" t="str">
        <f aca="false">IF(B49="","",ROW()-5)</f>
        <v/>
      </c>
      <c r="B49" s="76"/>
      <c r="C49" s="77"/>
      <c r="D49" s="77"/>
      <c r="E49" s="76"/>
      <c r="F49" s="78"/>
      <c r="G49" s="37" t="str">
        <f aca="false">IF(OR(B49="",E49=""),"",IF(VLOOKUP(E49,Lists!$A$2:$B$19,2,FALSE())="Dr",N(C49)-N(D49),N(D49)-N(C49)))</f>
        <v/>
      </c>
      <c r="H49" s="38" t="str">
        <f aca="false">IF(B49="","",SUMIF(Adjustments!$B$6:$B$10,B49,Adjustments!$C$6:$C$10)-SUMIF(Adjustments!$E$6:$E$10,B49,Adjustments!$F$6:$F$10)+SUMIF(Adjustments!$B$14:$B$18,B49,Adjustments!$C$14:$C$18)-SUMIF(Adjustments!$E$14:$E$18,B49,Adjustments!$F$14:$F$18))</f>
        <v/>
      </c>
      <c r="I49" s="39" t="str">
        <f aca="false">IF(B49="","",N(G49)+N(H49))</f>
        <v/>
      </c>
      <c r="J49" s="8" t="str">
        <f aca="false">IF($E49="Direct Expenses",COUNTIF($E$6:$E49,"Direct Expenses"),"")</f>
        <v/>
      </c>
      <c r="K49" s="8" t="str">
        <f aca="false">IF($E49="Indirect Expenses",COUNTIF($E$6:$E49,"Indirect Expenses"),"")</f>
        <v/>
      </c>
      <c r="L49" s="8" t="str">
        <f aca="false">IF($E49="Indirect Income",COUNTIF($E$6:$E49,"Indirect Income"),"")</f>
        <v/>
      </c>
      <c r="M49" s="8" t="str">
        <f aca="false">IF($E49="Fixed Assets",COUNTIF($E$6:$E49,"Fixed Assets"),"")</f>
        <v/>
      </c>
      <c r="N49" s="8" t="str">
        <f aca="false">IF($E49="Investments",COUNTIF($E$6:$E49,"Investments"),"")</f>
        <v/>
      </c>
      <c r="O49" s="8" t="str">
        <f aca="false">IF($E49="Other Current Assets",COUNTIF($E$6:$E49,"Other Current Assets"),"")</f>
        <v/>
      </c>
      <c r="P49" s="8" t="str">
        <f aca="false">IF($E49="Current Liabilities",COUNTIF($E$6:$E49,"Current Liabilities"),"")</f>
        <v/>
      </c>
      <c r="Q49" s="8" t="str">
        <f aca="false">IF($E49="Long-term Loans",COUNTIF($E$6:$E49,"Long-term Loans"),"")</f>
        <v/>
      </c>
      <c r="R49" s="40" t="n">
        <f aca="false">IF(E49="Fixed Assets",ROUND(I49*N(F49),0),0)</f>
        <v>0</v>
      </c>
    </row>
    <row r="50" customFormat="false" ht="15" hidden="false" customHeight="false" outlineLevel="0" collapsed="false">
      <c r="A50" s="33" t="str">
        <f aca="false">IF(B50="","",ROW()-5)</f>
        <v/>
      </c>
      <c r="B50" s="76"/>
      <c r="C50" s="77"/>
      <c r="D50" s="77"/>
      <c r="E50" s="76"/>
      <c r="F50" s="78"/>
      <c r="G50" s="37" t="str">
        <f aca="false">IF(OR(B50="",E50=""),"",IF(VLOOKUP(E50,Lists!$A$2:$B$19,2,FALSE())="Dr",N(C50)-N(D50),N(D50)-N(C50)))</f>
        <v/>
      </c>
      <c r="H50" s="38" t="str">
        <f aca="false">IF(B50="","",SUMIF(Adjustments!$B$6:$B$10,B50,Adjustments!$C$6:$C$10)-SUMIF(Adjustments!$E$6:$E$10,B50,Adjustments!$F$6:$F$10)+SUMIF(Adjustments!$B$14:$B$18,B50,Adjustments!$C$14:$C$18)-SUMIF(Adjustments!$E$14:$E$18,B50,Adjustments!$F$14:$F$18))</f>
        <v/>
      </c>
      <c r="I50" s="39" t="str">
        <f aca="false">IF(B50="","",N(G50)+N(H50))</f>
        <v/>
      </c>
      <c r="J50" s="8" t="str">
        <f aca="false">IF($E50="Direct Expenses",COUNTIF($E$6:$E50,"Direct Expenses"),"")</f>
        <v/>
      </c>
      <c r="K50" s="8" t="str">
        <f aca="false">IF($E50="Indirect Expenses",COUNTIF($E$6:$E50,"Indirect Expenses"),"")</f>
        <v/>
      </c>
      <c r="L50" s="8" t="str">
        <f aca="false">IF($E50="Indirect Income",COUNTIF($E$6:$E50,"Indirect Income"),"")</f>
        <v/>
      </c>
      <c r="M50" s="8" t="str">
        <f aca="false">IF($E50="Fixed Assets",COUNTIF($E$6:$E50,"Fixed Assets"),"")</f>
        <v/>
      </c>
      <c r="N50" s="8" t="str">
        <f aca="false">IF($E50="Investments",COUNTIF($E$6:$E50,"Investments"),"")</f>
        <v/>
      </c>
      <c r="O50" s="8" t="str">
        <f aca="false">IF($E50="Other Current Assets",COUNTIF($E$6:$E50,"Other Current Assets"),"")</f>
        <v/>
      </c>
      <c r="P50" s="8" t="str">
        <f aca="false">IF($E50="Current Liabilities",COUNTIF($E$6:$E50,"Current Liabilities"),"")</f>
        <v/>
      </c>
      <c r="Q50" s="8" t="str">
        <f aca="false">IF($E50="Long-term Loans",COUNTIF($E$6:$E50,"Long-term Loans"),"")</f>
        <v/>
      </c>
      <c r="R50" s="40" t="n">
        <f aca="false">IF(E50="Fixed Assets",ROUND(I50*N(F50),0),0)</f>
        <v>0</v>
      </c>
    </row>
    <row r="51" customFormat="false" ht="15" hidden="false" customHeight="false" outlineLevel="0" collapsed="false">
      <c r="A51" s="33" t="str">
        <f aca="false">IF(B51="","",ROW()-5)</f>
        <v/>
      </c>
      <c r="B51" s="76"/>
      <c r="C51" s="77"/>
      <c r="D51" s="77"/>
      <c r="E51" s="76"/>
      <c r="F51" s="78"/>
      <c r="G51" s="37" t="str">
        <f aca="false">IF(OR(B51="",E51=""),"",IF(VLOOKUP(E51,Lists!$A$2:$B$19,2,FALSE())="Dr",N(C51)-N(D51),N(D51)-N(C51)))</f>
        <v/>
      </c>
      <c r="H51" s="38" t="str">
        <f aca="false">IF(B51="","",SUMIF(Adjustments!$B$6:$B$10,B51,Adjustments!$C$6:$C$10)-SUMIF(Adjustments!$E$6:$E$10,B51,Adjustments!$F$6:$F$10)+SUMIF(Adjustments!$B$14:$B$18,B51,Adjustments!$C$14:$C$18)-SUMIF(Adjustments!$E$14:$E$18,B51,Adjustments!$F$14:$F$18))</f>
        <v/>
      </c>
      <c r="I51" s="39" t="str">
        <f aca="false">IF(B51="","",N(G51)+N(H51))</f>
        <v/>
      </c>
      <c r="J51" s="8" t="str">
        <f aca="false">IF($E51="Direct Expenses",COUNTIF($E$6:$E51,"Direct Expenses"),"")</f>
        <v/>
      </c>
      <c r="K51" s="8" t="str">
        <f aca="false">IF($E51="Indirect Expenses",COUNTIF($E$6:$E51,"Indirect Expenses"),"")</f>
        <v/>
      </c>
      <c r="L51" s="8" t="str">
        <f aca="false">IF($E51="Indirect Income",COUNTIF($E$6:$E51,"Indirect Income"),"")</f>
        <v/>
      </c>
      <c r="M51" s="8" t="str">
        <f aca="false">IF($E51="Fixed Assets",COUNTIF($E$6:$E51,"Fixed Assets"),"")</f>
        <v/>
      </c>
      <c r="N51" s="8" t="str">
        <f aca="false">IF($E51="Investments",COUNTIF($E$6:$E51,"Investments"),"")</f>
        <v/>
      </c>
      <c r="O51" s="8" t="str">
        <f aca="false">IF($E51="Other Current Assets",COUNTIF($E$6:$E51,"Other Current Assets"),"")</f>
        <v/>
      </c>
      <c r="P51" s="8" t="str">
        <f aca="false">IF($E51="Current Liabilities",COUNTIF($E$6:$E51,"Current Liabilities"),"")</f>
        <v/>
      </c>
      <c r="Q51" s="8" t="str">
        <f aca="false">IF($E51="Long-term Loans",COUNTIF($E$6:$E51,"Long-term Loans"),"")</f>
        <v/>
      </c>
      <c r="R51" s="40" t="n">
        <f aca="false">IF(E51="Fixed Assets",ROUND(I51*N(F51),0),0)</f>
        <v>0</v>
      </c>
    </row>
    <row r="52" customFormat="false" ht="15" hidden="false" customHeight="false" outlineLevel="0" collapsed="false">
      <c r="A52" s="33" t="str">
        <f aca="false">IF(B52="","",ROW()-5)</f>
        <v/>
      </c>
      <c r="B52" s="76"/>
      <c r="C52" s="77"/>
      <c r="D52" s="77"/>
      <c r="E52" s="76"/>
      <c r="F52" s="78"/>
      <c r="G52" s="37" t="str">
        <f aca="false">IF(OR(B52="",E52=""),"",IF(VLOOKUP(E52,Lists!$A$2:$B$19,2,FALSE())="Dr",N(C52)-N(D52),N(D52)-N(C52)))</f>
        <v/>
      </c>
      <c r="H52" s="38" t="str">
        <f aca="false">IF(B52="","",SUMIF(Adjustments!$B$6:$B$10,B52,Adjustments!$C$6:$C$10)-SUMIF(Adjustments!$E$6:$E$10,B52,Adjustments!$F$6:$F$10)+SUMIF(Adjustments!$B$14:$B$18,B52,Adjustments!$C$14:$C$18)-SUMIF(Adjustments!$E$14:$E$18,B52,Adjustments!$F$14:$F$18))</f>
        <v/>
      </c>
      <c r="I52" s="39" t="str">
        <f aca="false">IF(B52="","",N(G52)+N(H52))</f>
        <v/>
      </c>
      <c r="J52" s="8" t="str">
        <f aca="false">IF($E52="Direct Expenses",COUNTIF($E$6:$E52,"Direct Expenses"),"")</f>
        <v/>
      </c>
      <c r="K52" s="8" t="str">
        <f aca="false">IF($E52="Indirect Expenses",COUNTIF($E$6:$E52,"Indirect Expenses"),"")</f>
        <v/>
      </c>
      <c r="L52" s="8" t="str">
        <f aca="false">IF($E52="Indirect Income",COUNTIF($E$6:$E52,"Indirect Income"),"")</f>
        <v/>
      </c>
      <c r="M52" s="8" t="str">
        <f aca="false">IF($E52="Fixed Assets",COUNTIF($E$6:$E52,"Fixed Assets"),"")</f>
        <v/>
      </c>
      <c r="N52" s="8" t="str">
        <f aca="false">IF($E52="Investments",COUNTIF($E$6:$E52,"Investments"),"")</f>
        <v/>
      </c>
      <c r="O52" s="8" t="str">
        <f aca="false">IF($E52="Other Current Assets",COUNTIF($E$6:$E52,"Other Current Assets"),"")</f>
        <v/>
      </c>
      <c r="P52" s="8" t="str">
        <f aca="false">IF($E52="Current Liabilities",COUNTIF($E$6:$E52,"Current Liabilities"),"")</f>
        <v/>
      </c>
      <c r="Q52" s="8" t="str">
        <f aca="false">IF($E52="Long-term Loans",COUNTIF($E$6:$E52,"Long-term Loans"),"")</f>
        <v/>
      </c>
      <c r="R52" s="40" t="n">
        <f aca="false">IF(E52="Fixed Assets",ROUND(I52*N(F52),0),0)</f>
        <v>0</v>
      </c>
    </row>
    <row r="53" customFormat="false" ht="15" hidden="false" customHeight="false" outlineLevel="0" collapsed="false">
      <c r="A53" s="33" t="str">
        <f aca="false">IF(B53="","",ROW()-5)</f>
        <v/>
      </c>
      <c r="B53" s="76"/>
      <c r="C53" s="77"/>
      <c r="D53" s="77"/>
      <c r="E53" s="76"/>
      <c r="F53" s="78"/>
      <c r="G53" s="37" t="str">
        <f aca="false">IF(OR(B53="",E53=""),"",IF(VLOOKUP(E53,Lists!$A$2:$B$19,2,FALSE())="Dr",N(C53)-N(D53),N(D53)-N(C53)))</f>
        <v/>
      </c>
      <c r="H53" s="38" t="str">
        <f aca="false">IF(B53="","",SUMIF(Adjustments!$B$6:$B$10,B53,Adjustments!$C$6:$C$10)-SUMIF(Adjustments!$E$6:$E$10,B53,Adjustments!$F$6:$F$10)+SUMIF(Adjustments!$B$14:$B$18,B53,Adjustments!$C$14:$C$18)-SUMIF(Adjustments!$E$14:$E$18,B53,Adjustments!$F$14:$F$18))</f>
        <v/>
      </c>
      <c r="I53" s="39" t="str">
        <f aca="false">IF(B53="","",N(G53)+N(H53))</f>
        <v/>
      </c>
      <c r="J53" s="8" t="str">
        <f aca="false">IF($E53="Direct Expenses",COUNTIF($E$6:$E53,"Direct Expenses"),"")</f>
        <v/>
      </c>
      <c r="K53" s="8" t="str">
        <f aca="false">IF($E53="Indirect Expenses",COUNTIF($E$6:$E53,"Indirect Expenses"),"")</f>
        <v/>
      </c>
      <c r="L53" s="8" t="str">
        <f aca="false">IF($E53="Indirect Income",COUNTIF($E$6:$E53,"Indirect Income"),"")</f>
        <v/>
      </c>
      <c r="M53" s="8" t="str">
        <f aca="false">IF($E53="Fixed Assets",COUNTIF($E$6:$E53,"Fixed Assets"),"")</f>
        <v/>
      </c>
      <c r="N53" s="8" t="str">
        <f aca="false">IF($E53="Investments",COUNTIF($E$6:$E53,"Investments"),"")</f>
        <v/>
      </c>
      <c r="O53" s="8" t="str">
        <f aca="false">IF($E53="Other Current Assets",COUNTIF($E$6:$E53,"Other Current Assets"),"")</f>
        <v/>
      </c>
      <c r="P53" s="8" t="str">
        <f aca="false">IF($E53="Current Liabilities",COUNTIF($E$6:$E53,"Current Liabilities"),"")</f>
        <v/>
      </c>
      <c r="Q53" s="8" t="str">
        <f aca="false">IF($E53="Long-term Loans",COUNTIF($E$6:$E53,"Long-term Loans"),"")</f>
        <v/>
      </c>
      <c r="R53" s="40" t="n">
        <f aca="false">IF(E53="Fixed Assets",ROUND(I53*N(F53),0),0)</f>
        <v>0</v>
      </c>
    </row>
    <row r="54" customFormat="false" ht="15" hidden="false" customHeight="false" outlineLevel="0" collapsed="false">
      <c r="A54" s="33" t="str">
        <f aca="false">IF(B54="","",ROW()-5)</f>
        <v/>
      </c>
      <c r="B54" s="76"/>
      <c r="C54" s="77"/>
      <c r="D54" s="77"/>
      <c r="E54" s="76"/>
      <c r="F54" s="78"/>
      <c r="G54" s="37" t="str">
        <f aca="false">IF(OR(B54="",E54=""),"",IF(VLOOKUP(E54,Lists!$A$2:$B$19,2,FALSE())="Dr",N(C54)-N(D54),N(D54)-N(C54)))</f>
        <v/>
      </c>
      <c r="H54" s="38" t="str">
        <f aca="false">IF(B54="","",SUMIF(Adjustments!$B$6:$B$10,B54,Adjustments!$C$6:$C$10)-SUMIF(Adjustments!$E$6:$E$10,B54,Adjustments!$F$6:$F$10)+SUMIF(Adjustments!$B$14:$B$18,B54,Adjustments!$C$14:$C$18)-SUMIF(Adjustments!$E$14:$E$18,B54,Adjustments!$F$14:$F$18))</f>
        <v/>
      </c>
      <c r="I54" s="39" t="str">
        <f aca="false">IF(B54="","",N(G54)+N(H54))</f>
        <v/>
      </c>
      <c r="J54" s="8" t="str">
        <f aca="false">IF($E54="Direct Expenses",COUNTIF($E$6:$E54,"Direct Expenses"),"")</f>
        <v/>
      </c>
      <c r="K54" s="8" t="str">
        <f aca="false">IF($E54="Indirect Expenses",COUNTIF($E$6:$E54,"Indirect Expenses"),"")</f>
        <v/>
      </c>
      <c r="L54" s="8" t="str">
        <f aca="false">IF($E54="Indirect Income",COUNTIF($E$6:$E54,"Indirect Income"),"")</f>
        <v/>
      </c>
      <c r="M54" s="8" t="str">
        <f aca="false">IF($E54="Fixed Assets",COUNTIF($E$6:$E54,"Fixed Assets"),"")</f>
        <v/>
      </c>
      <c r="N54" s="8" t="str">
        <f aca="false">IF($E54="Investments",COUNTIF($E$6:$E54,"Investments"),"")</f>
        <v/>
      </c>
      <c r="O54" s="8" t="str">
        <f aca="false">IF($E54="Other Current Assets",COUNTIF($E$6:$E54,"Other Current Assets"),"")</f>
        <v/>
      </c>
      <c r="P54" s="8" t="str">
        <f aca="false">IF($E54="Current Liabilities",COUNTIF($E$6:$E54,"Current Liabilities"),"")</f>
        <v/>
      </c>
      <c r="Q54" s="8" t="str">
        <f aca="false">IF($E54="Long-term Loans",COUNTIF($E$6:$E54,"Long-term Loans"),"")</f>
        <v/>
      </c>
      <c r="R54" s="40" t="n">
        <f aca="false">IF(E54="Fixed Assets",ROUND(I54*N(F54),0),0)</f>
        <v>0</v>
      </c>
    </row>
    <row r="55" customFormat="false" ht="15" hidden="false" customHeight="false" outlineLevel="0" collapsed="false">
      <c r="A55" s="33" t="str">
        <f aca="false">IF(B55="","",ROW()-5)</f>
        <v/>
      </c>
      <c r="B55" s="76"/>
      <c r="C55" s="77"/>
      <c r="D55" s="77"/>
      <c r="E55" s="76"/>
      <c r="F55" s="78"/>
      <c r="G55" s="37" t="str">
        <f aca="false">IF(OR(B55="",E55=""),"",IF(VLOOKUP(E55,Lists!$A$2:$B$19,2,FALSE())="Dr",N(C55)-N(D55),N(D55)-N(C55)))</f>
        <v/>
      </c>
      <c r="H55" s="38" t="str">
        <f aca="false">IF(B55="","",SUMIF(Adjustments!$B$6:$B$10,B55,Adjustments!$C$6:$C$10)-SUMIF(Adjustments!$E$6:$E$10,B55,Adjustments!$F$6:$F$10)+SUMIF(Adjustments!$B$14:$B$18,B55,Adjustments!$C$14:$C$18)-SUMIF(Adjustments!$E$14:$E$18,B55,Adjustments!$F$14:$F$18))</f>
        <v/>
      </c>
      <c r="I55" s="39" t="str">
        <f aca="false">IF(B55="","",N(G55)+N(H55))</f>
        <v/>
      </c>
      <c r="J55" s="8" t="str">
        <f aca="false">IF($E55="Direct Expenses",COUNTIF($E$6:$E55,"Direct Expenses"),"")</f>
        <v/>
      </c>
      <c r="K55" s="8" t="str">
        <f aca="false">IF($E55="Indirect Expenses",COUNTIF($E$6:$E55,"Indirect Expenses"),"")</f>
        <v/>
      </c>
      <c r="L55" s="8" t="str">
        <f aca="false">IF($E55="Indirect Income",COUNTIF($E$6:$E55,"Indirect Income"),"")</f>
        <v/>
      </c>
      <c r="M55" s="8" t="str">
        <f aca="false">IF($E55="Fixed Assets",COUNTIF($E$6:$E55,"Fixed Assets"),"")</f>
        <v/>
      </c>
      <c r="N55" s="8" t="str">
        <f aca="false">IF($E55="Investments",COUNTIF($E$6:$E55,"Investments"),"")</f>
        <v/>
      </c>
      <c r="O55" s="8" t="str">
        <f aca="false">IF($E55="Other Current Assets",COUNTIF($E$6:$E55,"Other Current Assets"),"")</f>
        <v/>
      </c>
      <c r="P55" s="8" t="str">
        <f aca="false">IF($E55="Current Liabilities",COUNTIF($E$6:$E55,"Current Liabilities"),"")</f>
        <v/>
      </c>
      <c r="Q55" s="8" t="str">
        <f aca="false">IF($E55="Long-term Loans",COUNTIF($E$6:$E55,"Long-term Loans"),"")</f>
        <v/>
      </c>
      <c r="R55" s="40" t="n">
        <f aca="false">IF(E55="Fixed Assets",ROUND(I55*N(F55),0),0)</f>
        <v>0</v>
      </c>
    </row>
    <row r="56" customFormat="false" ht="15" hidden="false" customHeight="false" outlineLevel="0" collapsed="false">
      <c r="A56" s="33" t="str">
        <f aca="false">IF(B56="","",ROW()-5)</f>
        <v/>
      </c>
      <c r="B56" s="76"/>
      <c r="C56" s="77"/>
      <c r="D56" s="77"/>
      <c r="E56" s="76"/>
      <c r="F56" s="78"/>
      <c r="G56" s="37" t="str">
        <f aca="false">IF(OR(B56="",E56=""),"",IF(VLOOKUP(E56,Lists!$A$2:$B$19,2,FALSE())="Dr",N(C56)-N(D56),N(D56)-N(C56)))</f>
        <v/>
      </c>
      <c r="H56" s="38" t="str">
        <f aca="false">IF(B56="","",SUMIF(Adjustments!$B$6:$B$10,B56,Adjustments!$C$6:$C$10)-SUMIF(Adjustments!$E$6:$E$10,B56,Adjustments!$F$6:$F$10)+SUMIF(Adjustments!$B$14:$B$18,B56,Adjustments!$C$14:$C$18)-SUMIF(Adjustments!$E$14:$E$18,B56,Adjustments!$F$14:$F$18))</f>
        <v/>
      </c>
      <c r="I56" s="39" t="str">
        <f aca="false">IF(B56="","",N(G56)+N(H56))</f>
        <v/>
      </c>
      <c r="J56" s="8" t="str">
        <f aca="false">IF($E56="Direct Expenses",COUNTIF($E$6:$E56,"Direct Expenses"),"")</f>
        <v/>
      </c>
      <c r="K56" s="8" t="str">
        <f aca="false">IF($E56="Indirect Expenses",COUNTIF($E$6:$E56,"Indirect Expenses"),"")</f>
        <v/>
      </c>
      <c r="L56" s="8" t="str">
        <f aca="false">IF($E56="Indirect Income",COUNTIF($E$6:$E56,"Indirect Income"),"")</f>
        <v/>
      </c>
      <c r="M56" s="8" t="str">
        <f aca="false">IF($E56="Fixed Assets",COUNTIF($E$6:$E56,"Fixed Assets"),"")</f>
        <v/>
      </c>
      <c r="N56" s="8" t="str">
        <f aca="false">IF($E56="Investments",COUNTIF($E$6:$E56,"Investments"),"")</f>
        <v/>
      </c>
      <c r="O56" s="8" t="str">
        <f aca="false">IF($E56="Other Current Assets",COUNTIF($E$6:$E56,"Other Current Assets"),"")</f>
        <v/>
      </c>
      <c r="P56" s="8" t="str">
        <f aca="false">IF($E56="Current Liabilities",COUNTIF($E$6:$E56,"Current Liabilities"),"")</f>
        <v/>
      </c>
      <c r="Q56" s="8" t="str">
        <f aca="false">IF($E56="Long-term Loans",COUNTIF($E$6:$E56,"Long-term Loans"),"")</f>
        <v/>
      </c>
      <c r="R56" s="40" t="n">
        <f aca="false">IF(E56="Fixed Assets",ROUND(I56*N(F56),0),0)</f>
        <v>0</v>
      </c>
    </row>
    <row r="57" customFormat="false" ht="15" hidden="false" customHeight="false" outlineLevel="0" collapsed="false">
      <c r="A57" s="33" t="str">
        <f aca="false">IF(B57="","",ROW()-5)</f>
        <v/>
      </c>
      <c r="B57" s="76"/>
      <c r="C57" s="77"/>
      <c r="D57" s="77"/>
      <c r="E57" s="76"/>
      <c r="F57" s="78"/>
      <c r="G57" s="37" t="str">
        <f aca="false">IF(OR(B57="",E57=""),"",IF(VLOOKUP(E57,Lists!$A$2:$B$19,2,FALSE())="Dr",N(C57)-N(D57),N(D57)-N(C57)))</f>
        <v/>
      </c>
      <c r="H57" s="38" t="str">
        <f aca="false">IF(B57="","",SUMIF(Adjustments!$B$6:$B$10,B57,Adjustments!$C$6:$C$10)-SUMIF(Adjustments!$E$6:$E$10,B57,Adjustments!$F$6:$F$10)+SUMIF(Adjustments!$B$14:$B$18,B57,Adjustments!$C$14:$C$18)-SUMIF(Adjustments!$E$14:$E$18,B57,Adjustments!$F$14:$F$18))</f>
        <v/>
      </c>
      <c r="I57" s="39" t="str">
        <f aca="false">IF(B57="","",N(G57)+N(H57))</f>
        <v/>
      </c>
      <c r="J57" s="8" t="str">
        <f aca="false">IF($E57="Direct Expenses",COUNTIF($E$6:$E57,"Direct Expenses"),"")</f>
        <v/>
      </c>
      <c r="K57" s="8" t="str">
        <f aca="false">IF($E57="Indirect Expenses",COUNTIF($E$6:$E57,"Indirect Expenses"),"")</f>
        <v/>
      </c>
      <c r="L57" s="8" t="str">
        <f aca="false">IF($E57="Indirect Income",COUNTIF($E$6:$E57,"Indirect Income"),"")</f>
        <v/>
      </c>
      <c r="M57" s="8" t="str">
        <f aca="false">IF($E57="Fixed Assets",COUNTIF($E$6:$E57,"Fixed Assets"),"")</f>
        <v/>
      </c>
      <c r="N57" s="8" t="str">
        <f aca="false">IF($E57="Investments",COUNTIF($E$6:$E57,"Investments"),"")</f>
        <v/>
      </c>
      <c r="O57" s="8" t="str">
        <f aca="false">IF($E57="Other Current Assets",COUNTIF($E$6:$E57,"Other Current Assets"),"")</f>
        <v/>
      </c>
      <c r="P57" s="8" t="str">
        <f aca="false">IF($E57="Current Liabilities",COUNTIF($E$6:$E57,"Current Liabilities"),"")</f>
        <v/>
      </c>
      <c r="Q57" s="8" t="str">
        <f aca="false">IF($E57="Long-term Loans",COUNTIF($E$6:$E57,"Long-term Loans"),"")</f>
        <v/>
      </c>
      <c r="R57" s="40" t="n">
        <f aca="false">IF(E57="Fixed Assets",ROUND(I57*N(F57),0),0)</f>
        <v>0</v>
      </c>
    </row>
    <row r="58" customFormat="false" ht="15" hidden="false" customHeight="false" outlineLevel="0" collapsed="false">
      <c r="A58" s="33" t="str">
        <f aca="false">IF(B58="","",ROW()-5)</f>
        <v/>
      </c>
      <c r="B58" s="76"/>
      <c r="C58" s="77"/>
      <c r="D58" s="77"/>
      <c r="E58" s="76"/>
      <c r="F58" s="78"/>
      <c r="G58" s="37" t="str">
        <f aca="false">IF(OR(B58="",E58=""),"",IF(VLOOKUP(E58,Lists!$A$2:$B$19,2,FALSE())="Dr",N(C58)-N(D58),N(D58)-N(C58)))</f>
        <v/>
      </c>
      <c r="H58" s="38" t="str">
        <f aca="false">IF(B58="","",SUMIF(Adjustments!$B$6:$B$10,B58,Adjustments!$C$6:$C$10)-SUMIF(Adjustments!$E$6:$E$10,B58,Adjustments!$F$6:$F$10)+SUMIF(Adjustments!$B$14:$B$18,B58,Adjustments!$C$14:$C$18)-SUMIF(Adjustments!$E$14:$E$18,B58,Adjustments!$F$14:$F$18))</f>
        <v/>
      </c>
      <c r="I58" s="39" t="str">
        <f aca="false">IF(B58="","",N(G58)+N(H58))</f>
        <v/>
      </c>
      <c r="J58" s="8" t="str">
        <f aca="false">IF($E58="Direct Expenses",COUNTIF($E$6:$E58,"Direct Expenses"),"")</f>
        <v/>
      </c>
      <c r="K58" s="8" t="str">
        <f aca="false">IF($E58="Indirect Expenses",COUNTIF($E$6:$E58,"Indirect Expenses"),"")</f>
        <v/>
      </c>
      <c r="L58" s="8" t="str">
        <f aca="false">IF($E58="Indirect Income",COUNTIF($E$6:$E58,"Indirect Income"),"")</f>
        <v/>
      </c>
      <c r="M58" s="8" t="str">
        <f aca="false">IF($E58="Fixed Assets",COUNTIF($E$6:$E58,"Fixed Assets"),"")</f>
        <v/>
      </c>
      <c r="N58" s="8" t="str">
        <f aca="false">IF($E58="Investments",COUNTIF($E$6:$E58,"Investments"),"")</f>
        <v/>
      </c>
      <c r="O58" s="8" t="str">
        <f aca="false">IF($E58="Other Current Assets",COUNTIF($E$6:$E58,"Other Current Assets"),"")</f>
        <v/>
      </c>
      <c r="P58" s="8" t="str">
        <f aca="false">IF($E58="Current Liabilities",COUNTIF($E$6:$E58,"Current Liabilities"),"")</f>
        <v/>
      </c>
      <c r="Q58" s="8" t="str">
        <f aca="false">IF($E58="Long-term Loans",COUNTIF($E$6:$E58,"Long-term Loans"),"")</f>
        <v/>
      </c>
      <c r="R58" s="40" t="n">
        <f aca="false">IF(E58="Fixed Assets",ROUND(I58*N(F58),0),0)</f>
        <v>0</v>
      </c>
    </row>
    <row r="59" customFormat="false" ht="15" hidden="false" customHeight="false" outlineLevel="0" collapsed="false">
      <c r="A59" s="33" t="str">
        <f aca="false">IF(B59="","",ROW()-5)</f>
        <v/>
      </c>
      <c r="B59" s="76"/>
      <c r="C59" s="77"/>
      <c r="D59" s="77"/>
      <c r="E59" s="76"/>
      <c r="F59" s="78"/>
      <c r="G59" s="37" t="str">
        <f aca="false">IF(OR(B59="",E59=""),"",IF(VLOOKUP(E59,Lists!$A$2:$B$19,2,FALSE())="Dr",N(C59)-N(D59),N(D59)-N(C59)))</f>
        <v/>
      </c>
      <c r="H59" s="38" t="str">
        <f aca="false">IF(B59="","",SUMIF(Adjustments!$B$6:$B$10,B59,Adjustments!$C$6:$C$10)-SUMIF(Adjustments!$E$6:$E$10,B59,Adjustments!$F$6:$F$10)+SUMIF(Adjustments!$B$14:$B$18,B59,Adjustments!$C$14:$C$18)-SUMIF(Adjustments!$E$14:$E$18,B59,Adjustments!$F$14:$F$18))</f>
        <v/>
      </c>
      <c r="I59" s="39" t="str">
        <f aca="false">IF(B59="","",N(G59)+N(H59))</f>
        <v/>
      </c>
      <c r="J59" s="8" t="str">
        <f aca="false">IF($E59="Direct Expenses",COUNTIF($E$6:$E59,"Direct Expenses"),"")</f>
        <v/>
      </c>
      <c r="K59" s="8" t="str">
        <f aca="false">IF($E59="Indirect Expenses",COUNTIF($E$6:$E59,"Indirect Expenses"),"")</f>
        <v/>
      </c>
      <c r="L59" s="8" t="str">
        <f aca="false">IF($E59="Indirect Income",COUNTIF($E$6:$E59,"Indirect Income"),"")</f>
        <v/>
      </c>
      <c r="M59" s="8" t="str">
        <f aca="false">IF($E59="Fixed Assets",COUNTIF($E$6:$E59,"Fixed Assets"),"")</f>
        <v/>
      </c>
      <c r="N59" s="8" t="str">
        <f aca="false">IF($E59="Investments",COUNTIF($E$6:$E59,"Investments"),"")</f>
        <v/>
      </c>
      <c r="O59" s="8" t="str">
        <f aca="false">IF($E59="Other Current Assets",COUNTIF($E$6:$E59,"Other Current Assets"),"")</f>
        <v/>
      </c>
      <c r="P59" s="8" t="str">
        <f aca="false">IF($E59="Current Liabilities",COUNTIF($E$6:$E59,"Current Liabilities"),"")</f>
        <v/>
      </c>
      <c r="Q59" s="8" t="str">
        <f aca="false">IF($E59="Long-term Loans",COUNTIF($E$6:$E59,"Long-term Loans"),"")</f>
        <v/>
      </c>
      <c r="R59" s="40" t="n">
        <f aca="false">IF(E59="Fixed Assets",ROUND(I59*N(F59),0),0)</f>
        <v>0</v>
      </c>
    </row>
    <row r="60" customFormat="false" ht="15" hidden="false" customHeight="false" outlineLevel="0" collapsed="false">
      <c r="A60" s="33" t="str">
        <f aca="false">IF(B60="","",ROW()-5)</f>
        <v/>
      </c>
      <c r="B60" s="76"/>
      <c r="C60" s="77"/>
      <c r="D60" s="77"/>
      <c r="E60" s="76"/>
      <c r="F60" s="78"/>
      <c r="G60" s="37" t="str">
        <f aca="false">IF(OR(B60="",E60=""),"",IF(VLOOKUP(E60,Lists!$A$2:$B$19,2,FALSE())="Dr",N(C60)-N(D60),N(D60)-N(C60)))</f>
        <v/>
      </c>
      <c r="H60" s="38" t="str">
        <f aca="false">IF(B60="","",SUMIF(Adjustments!$B$6:$B$10,B60,Adjustments!$C$6:$C$10)-SUMIF(Adjustments!$E$6:$E$10,B60,Adjustments!$F$6:$F$10)+SUMIF(Adjustments!$B$14:$B$18,B60,Adjustments!$C$14:$C$18)-SUMIF(Adjustments!$E$14:$E$18,B60,Adjustments!$F$14:$F$18))</f>
        <v/>
      </c>
      <c r="I60" s="39" t="str">
        <f aca="false">IF(B60="","",N(G60)+N(H60))</f>
        <v/>
      </c>
      <c r="J60" s="8" t="str">
        <f aca="false">IF($E60="Direct Expenses",COUNTIF($E$6:$E60,"Direct Expenses"),"")</f>
        <v/>
      </c>
      <c r="K60" s="8" t="str">
        <f aca="false">IF($E60="Indirect Expenses",COUNTIF($E$6:$E60,"Indirect Expenses"),"")</f>
        <v/>
      </c>
      <c r="L60" s="8" t="str">
        <f aca="false">IF($E60="Indirect Income",COUNTIF($E$6:$E60,"Indirect Income"),"")</f>
        <v/>
      </c>
      <c r="M60" s="8" t="str">
        <f aca="false">IF($E60="Fixed Assets",COUNTIF($E$6:$E60,"Fixed Assets"),"")</f>
        <v/>
      </c>
      <c r="N60" s="8" t="str">
        <f aca="false">IF($E60="Investments",COUNTIF($E$6:$E60,"Investments"),"")</f>
        <v/>
      </c>
      <c r="O60" s="8" t="str">
        <f aca="false">IF($E60="Other Current Assets",COUNTIF($E$6:$E60,"Other Current Assets"),"")</f>
        <v/>
      </c>
      <c r="P60" s="8" t="str">
        <f aca="false">IF($E60="Current Liabilities",COUNTIF($E$6:$E60,"Current Liabilities"),"")</f>
        <v/>
      </c>
      <c r="Q60" s="8" t="str">
        <f aca="false">IF($E60="Long-term Loans",COUNTIF($E$6:$E60,"Long-term Loans"),"")</f>
        <v/>
      </c>
      <c r="R60" s="40" t="n">
        <f aca="false">IF(E60="Fixed Assets",ROUND(I60*N(F60),0),0)</f>
        <v>0</v>
      </c>
    </row>
    <row r="61" customFormat="false" ht="15" hidden="false" customHeight="false" outlineLevel="0" collapsed="false">
      <c r="A61" s="33" t="str">
        <f aca="false">IF(B61="","",ROW()-5)</f>
        <v/>
      </c>
      <c r="B61" s="76"/>
      <c r="C61" s="77"/>
      <c r="D61" s="77"/>
      <c r="E61" s="76"/>
      <c r="F61" s="78"/>
      <c r="G61" s="37" t="str">
        <f aca="false">IF(OR(B61="",E61=""),"",IF(VLOOKUP(E61,Lists!$A$2:$B$19,2,FALSE())="Dr",N(C61)-N(D61),N(D61)-N(C61)))</f>
        <v/>
      </c>
      <c r="H61" s="38" t="str">
        <f aca="false">IF(B61="","",SUMIF(Adjustments!$B$6:$B$10,B61,Adjustments!$C$6:$C$10)-SUMIF(Adjustments!$E$6:$E$10,B61,Adjustments!$F$6:$F$10)+SUMIF(Adjustments!$B$14:$B$18,B61,Adjustments!$C$14:$C$18)-SUMIF(Adjustments!$E$14:$E$18,B61,Adjustments!$F$14:$F$18))</f>
        <v/>
      </c>
      <c r="I61" s="39" t="str">
        <f aca="false">IF(B61="","",N(G61)+N(H61))</f>
        <v/>
      </c>
      <c r="J61" s="8" t="str">
        <f aca="false">IF($E61="Direct Expenses",COUNTIF($E$6:$E61,"Direct Expenses"),"")</f>
        <v/>
      </c>
      <c r="K61" s="8" t="str">
        <f aca="false">IF($E61="Indirect Expenses",COUNTIF($E$6:$E61,"Indirect Expenses"),"")</f>
        <v/>
      </c>
      <c r="L61" s="8" t="str">
        <f aca="false">IF($E61="Indirect Income",COUNTIF($E$6:$E61,"Indirect Income"),"")</f>
        <v/>
      </c>
      <c r="M61" s="8" t="str">
        <f aca="false">IF($E61="Fixed Assets",COUNTIF($E$6:$E61,"Fixed Assets"),"")</f>
        <v/>
      </c>
      <c r="N61" s="8" t="str">
        <f aca="false">IF($E61="Investments",COUNTIF($E$6:$E61,"Investments"),"")</f>
        <v/>
      </c>
      <c r="O61" s="8" t="str">
        <f aca="false">IF($E61="Other Current Assets",COUNTIF($E$6:$E61,"Other Current Assets"),"")</f>
        <v/>
      </c>
      <c r="P61" s="8" t="str">
        <f aca="false">IF($E61="Current Liabilities",COUNTIF($E$6:$E61,"Current Liabilities"),"")</f>
        <v/>
      </c>
      <c r="Q61" s="8" t="str">
        <f aca="false">IF($E61="Long-term Loans",COUNTIF($E$6:$E61,"Long-term Loans"),"")</f>
        <v/>
      </c>
      <c r="R61" s="40" t="n">
        <f aca="false">IF(E61="Fixed Assets",ROUND(I61*N(F61),0),0)</f>
        <v>0</v>
      </c>
    </row>
    <row r="62" customFormat="false" ht="15" hidden="false" customHeight="false" outlineLevel="0" collapsed="false">
      <c r="A62" s="33" t="str">
        <f aca="false">IF(B62="","",ROW()-5)</f>
        <v/>
      </c>
      <c r="B62" s="76"/>
      <c r="C62" s="77"/>
      <c r="D62" s="77"/>
      <c r="E62" s="76"/>
      <c r="F62" s="78"/>
      <c r="G62" s="37" t="str">
        <f aca="false">IF(OR(B62="",E62=""),"",IF(VLOOKUP(E62,Lists!$A$2:$B$19,2,FALSE())="Dr",N(C62)-N(D62),N(D62)-N(C62)))</f>
        <v/>
      </c>
      <c r="H62" s="38" t="str">
        <f aca="false">IF(B62="","",SUMIF(Adjustments!$B$6:$B$10,B62,Adjustments!$C$6:$C$10)-SUMIF(Adjustments!$E$6:$E$10,B62,Adjustments!$F$6:$F$10)+SUMIF(Adjustments!$B$14:$B$18,B62,Adjustments!$C$14:$C$18)-SUMIF(Adjustments!$E$14:$E$18,B62,Adjustments!$F$14:$F$18))</f>
        <v/>
      </c>
      <c r="I62" s="39" t="str">
        <f aca="false">IF(B62="","",N(G62)+N(H62))</f>
        <v/>
      </c>
      <c r="J62" s="8" t="str">
        <f aca="false">IF($E62="Direct Expenses",COUNTIF($E$6:$E62,"Direct Expenses"),"")</f>
        <v/>
      </c>
      <c r="K62" s="8" t="str">
        <f aca="false">IF($E62="Indirect Expenses",COUNTIF($E$6:$E62,"Indirect Expenses"),"")</f>
        <v/>
      </c>
      <c r="L62" s="8" t="str">
        <f aca="false">IF($E62="Indirect Income",COUNTIF($E$6:$E62,"Indirect Income"),"")</f>
        <v/>
      </c>
      <c r="M62" s="8" t="str">
        <f aca="false">IF($E62="Fixed Assets",COUNTIF($E$6:$E62,"Fixed Assets"),"")</f>
        <v/>
      </c>
      <c r="N62" s="8" t="str">
        <f aca="false">IF($E62="Investments",COUNTIF($E$6:$E62,"Investments"),"")</f>
        <v/>
      </c>
      <c r="O62" s="8" t="str">
        <f aca="false">IF($E62="Other Current Assets",COUNTIF($E$6:$E62,"Other Current Assets"),"")</f>
        <v/>
      </c>
      <c r="P62" s="8" t="str">
        <f aca="false">IF($E62="Current Liabilities",COUNTIF($E$6:$E62,"Current Liabilities"),"")</f>
        <v/>
      </c>
      <c r="Q62" s="8" t="str">
        <f aca="false">IF($E62="Long-term Loans",COUNTIF($E$6:$E62,"Long-term Loans"),"")</f>
        <v/>
      </c>
      <c r="R62" s="40" t="n">
        <f aca="false">IF(E62="Fixed Assets",ROUND(I62*N(F62),0),0)</f>
        <v>0</v>
      </c>
    </row>
    <row r="63" customFormat="false" ht="15" hidden="false" customHeight="false" outlineLevel="0" collapsed="false">
      <c r="A63" s="33" t="str">
        <f aca="false">IF(B63="","",ROW()-5)</f>
        <v/>
      </c>
      <c r="B63" s="76"/>
      <c r="C63" s="77"/>
      <c r="D63" s="77"/>
      <c r="E63" s="76"/>
      <c r="F63" s="78"/>
      <c r="G63" s="37" t="str">
        <f aca="false">IF(OR(B63="",E63=""),"",IF(VLOOKUP(E63,Lists!$A$2:$B$19,2,FALSE())="Dr",N(C63)-N(D63),N(D63)-N(C63)))</f>
        <v/>
      </c>
      <c r="H63" s="38" t="str">
        <f aca="false">IF(B63="","",SUMIF(Adjustments!$B$6:$B$10,B63,Adjustments!$C$6:$C$10)-SUMIF(Adjustments!$E$6:$E$10,B63,Adjustments!$F$6:$F$10)+SUMIF(Adjustments!$B$14:$B$18,B63,Adjustments!$C$14:$C$18)-SUMIF(Adjustments!$E$14:$E$18,B63,Adjustments!$F$14:$F$18))</f>
        <v/>
      </c>
      <c r="I63" s="39" t="str">
        <f aca="false">IF(B63="","",N(G63)+N(H63))</f>
        <v/>
      </c>
      <c r="J63" s="8" t="str">
        <f aca="false">IF($E63="Direct Expenses",COUNTIF($E$6:$E63,"Direct Expenses"),"")</f>
        <v/>
      </c>
      <c r="K63" s="8" t="str">
        <f aca="false">IF($E63="Indirect Expenses",COUNTIF($E$6:$E63,"Indirect Expenses"),"")</f>
        <v/>
      </c>
      <c r="L63" s="8" t="str">
        <f aca="false">IF($E63="Indirect Income",COUNTIF($E$6:$E63,"Indirect Income"),"")</f>
        <v/>
      </c>
      <c r="M63" s="8" t="str">
        <f aca="false">IF($E63="Fixed Assets",COUNTIF($E$6:$E63,"Fixed Assets"),"")</f>
        <v/>
      </c>
      <c r="N63" s="8" t="str">
        <f aca="false">IF($E63="Investments",COUNTIF($E$6:$E63,"Investments"),"")</f>
        <v/>
      </c>
      <c r="O63" s="8" t="str">
        <f aca="false">IF($E63="Other Current Assets",COUNTIF($E$6:$E63,"Other Current Assets"),"")</f>
        <v/>
      </c>
      <c r="P63" s="8" t="str">
        <f aca="false">IF($E63="Current Liabilities",COUNTIF($E$6:$E63,"Current Liabilities"),"")</f>
        <v/>
      </c>
      <c r="Q63" s="8" t="str">
        <f aca="false">IF($E63="Long-term Loans",COUNTIF($E$6:$E63,"Long-term Loans"),"")</f>
        <v/>
      </c>
      <c r="R63" s="40" t="n">
        <f aca="false">IF(E63="Fixed Assets",ROUND(I63*N(F63),0),0)</f>
        <v>0</v>
      </c>
    </row>
    <row r="64" customFormat="false" ht="15" hidden="false" customHeight="false" outlineLevel="0" collapsed="false">
      <c r="A64" s="33" t="str">
        <f aca="false">IF(B64="","",ROW()-5)</f>
        <v/>
      </c>
      <c r="B64" s="76"/>
      <c r="C64" s="77"/>
      <c r="D64" s="77"/>
      <c r="E64" s="76"/>
      <c r="F64" s="78"/>
      <c r="G64" s="37" t="str">
        <f aca="false">IF(OR(B64="",E64=""),"",IF(VLOOKUP(E64,Lists!$A$2:$B$19,2,FALSE())="Dr",N(C64)-N(D64),N(D64)-N(C64)))</f>
        <v/>
      </c>
      <c r="H64" s="38" t="str">
        <f aca="false">IF(B64="","",SUMIF(Adjustments!$B$6:$B$10,B64,Adjustments!$C$6:$C$10)-SUMIF(Adjustments!$E$6:$E$10,B64,Adjustments!$F$6:$F$10)+SUMIF(Adjustments!$B$14:$B$18,B64,Adjustments!$C$14:$C$18)-SUMIF(Adjustments!$E$14:$E$18,B64,Adjustments!$F$14:$F$18))</f>
        <v/>
      </c>
      <c r="I64" s="39" t="str">
        <f aca="false">IF(B64="","",N(G64)+N(H64))</f>
        <v/>
      </c>
      <c r="J64" s="8" t="str">
        <f aca="false">IF($E64="Direct Expenses",COUNTIF($E$6:$E64,"Direct Expenses"),"")</f>
        <v/>
      </c>
      <c r="K64" s="8" t="str">
        <f aca="false">IF($E64="Indirect Expenses",COUNTIF($E$6:$E64,"Indirect Expenses"),"")</f>
        <v/>
      </c>
      <c r="L64" s="8" t="str">
        <f aca="false">IF($E64="Indirect Income",COUNTIF($E$6:$E64,"Indirect Income"),"")</f>
        <v/>
      </c>
      <c r="M64" s="8" t="str">
        <f aca="false">IF($E64="Fixed Assets",COUNTIF($E$6:$E64,"Fixed Assets"),"")</f>
        <v/>
      </c>
      <c r="N64" s="8" t="str">
        <f aca="false">IF($E64="Investments",COUNTIF($E$6:$E64,"Investments"),"")</f>
        <v/>
      </c>
      <c r="O64" s="8" t="str">
        <f aca="false">IF($E64="Other Current Assets",COUNTIF($E$6:$E64,"Other Current Assets"),"")</f>
        <v/>
      </c>
      <c r="P64" s="8" t="str">
        <f aca="false">IF($E64="Current Liabilities",COUNTIF($E$6:$E64,"Current Liabilities"),"")</f>
        <v/>
      </c>
      <c r="Q64" s="8" t="str">
        <f aca="false">IF($E64="Long-term Loans",COUNTIF($E$6:$E64,"Long-term Loans"),"")</f>
        <v/>
      </c>
      <c r="R64" s="40" t="n">
        <f aca="false">IF(E64="Fixed Assets",ROUND(I64*N(F64),0),0)</f>
        <v>0</v>
      </c>
    </row>
    <row r="65" customFormat="false" ht="15" hidden="false" customHeight="false" outlineLevel="0" collapsed="false">
      <c r="A65" s="33" t="str">
        <f aca="false">IF(B65="","",ROW()-5)</f>
        <v/>
      </c>
      <c r="B65" s="76"/>
      <c r="C65" s="77"/>
      <c r="D65" s="77"/>
      <c r="E65" s="76"/>
      <c r="F65" s="78"/>
      <c r="G65" s="37" t="str">
        <f aca="false">IF(OR(B65="",E65=""),"",IF(VLOOKUP(E65,Lists!$A$2:$B$19,2,FALSE())="Dr",N(C65)-N(D65),N(D65)-N(C65)))</f>
        <v/>
      </c>
      <c r="H65" s="38" t="str">
        <f aca="false">IF(B65="","",SUMIF(Adjustments!$B$6:$B$10,B65,Adjustments!$C$6:$C$10)-SUMIF(Adjustments!$E$6:$E$10,B65,Adjustments!$F$6:$F$10)+SUMIF(Adjustments!$B$14:$B$18,B65,Adjustments!$C$14:$C$18)-SUMIF(Adjustments!$E$14:$E$18,B65,Adjustments!$F$14:$F$18))</f>
        <v/>
      </c>
      <c r="I65" s="39" t="str">
        <f aca="false">IF(B65="","",N(G65)+N(H65))</f>
        <v/>
      </c>
      <c r="J65" s="8" t="str">
        <f aca="false">IF($E65="Direct Expenses",COUNTIF($E$6:$E65,"Direct Expenses"),"")</f>
        <v/>
      </c>
      <c r="K65" s="8" t="str">
        <f aca="false">IF($E65="Indirect Expenses",COUNTIF($E$6:$E65,"Indirect Expenses"),"")</f>
        <v/>
      </c>
      <c r="L65" s="8" t="str">
        <f aca="false">IF($E65="Indirect Income",COUNTIF($E$6:$E65,"Indirect Income"),"")</f>
        <v/>
      </c>
      <c r="M65" s="8" t="str">
        <f aca="false">IF($E65="Fixed Assets",COUNTIF($E$6:$E65,"Fixed Assets"),"")</f>
        <v/>
      </c>
      <c r="N65" s="8" t="str">
        <f aca="false">IF($E65="Investments",COUNTIF($E$6:$E65,"Investments"),"")</f>
        <v/>
      </c>
      <c r="O65" s="8" t="str">
        <f aca="false">IF($E65="Other Current Assets",COUNTIF($E$6:$E65,"Other Current Assets"),"")</f>
        <v/>
      </c>
      <c r="P65" s="8" t="str">
        <f aca="false">IF($E65="Current Liabilities",COUNTIF($E$6:$E65,"Current Liabilities"),"")</f>
        <v/>
      </c>
      <c r="Q65" s="8" t="str">
        <f aca="false">IF($E65="Long-term Loans",COUNTIF($E$6:$E65,"Long-term Loans"),"")</f>
        <v/>
      </c>
      <c r="R65" s="40" t="n">
        <f aca="false">IF(E65="Fixed Assets",ROUND(I65*N(F65),0),0)</f>
        <v>0</v>
      </c>
    </row>
    <row r="66" customFormat="false" ht="15" hidden="false" customHeight="false" outlineLevel="0" collapsed="false">
      <c r="A66" s="33" t="str">
        <f aca="false">IF(B66="","",ROW()-5)</f>
        <v/>
      </c>
      <c r="B66" s="76"/>
      <c r="C66" s="77"/>
      <c r="D66" s="77"/>
      <c r="E66" s="76"/>
      <c r="F66" s="78"/>
      <c r="G66" s="37" t="str">
        <f aca="false">IF(OR(B66="",E66=""),"",IF(VLOOKUP(E66,Lists!$A$2:$B$19,2,FALSE())="Dr",N(C66)-N(D66),N(D66)-N(C66)))</f>
        <v/>
      </c>
      <c r="H66" s="38" t="str">
        <f aca="false">IF(B66="","",SUMIF(Adjustments!$B$6:$B$10,B66,Adjustments!$C$6:$C$10)-SUMIF(Adjustments!$E$6:$E$10,B66,Adjustments!$F$6:$F$10)+SUMIF(Adjustments!$B$14:$B$18,B66,Adjustments!$C$14:$C$18)-SUMIF(Adjustments!$E$14:$E$18,B66,Adjustments!$F$14:$F$18))</f>
        <v/>
      </c>
      <c r="I66" s="39" t="str">
        <f aca="false">IF(B66="","",N(G66)+N(H66))</f>
        <v/>
      </c>
      <c r="J66" s="8" t="str">
        <f aca="false">IF($E66="Direct Expenses",COUNTIF($E$6:$E66,"Direct Expenses"),"")</f>
        <v/>
      </c>
      <c r="K66" s="8" t="str">
        <f aca="false">IF($E66="Indirect Expenses",COUNTIF($E$6:$E66,"Indirect Expenses"),"")</f>
        <v/>
      </c>
      <c r="L66" s="8" t="str">
        <f aca="false">IF($E66="Indirect Income",COUNTIF($E$6:$E66,"Indirect Income"),"")</f>
        <v/>
      </c>
      <c r="M66" s="8" t="str">
        <f aca="false">IF($E66="Fixed Assets",COUNTIF($E$6:$E66,"Fixed Assets"),"")</f>
        <v/>
      </c>
      <c r="N66" s="8" t="str">
        <f aca="false">IF($E66="Investments",COUNTIF($E$6:$E66,"Investments"),"")</f>
        <v/>
      </c>
      <c r="O66" s="8" t="str">
        <f aca="false">IF($E66="Other Current Assets",COUNTIF($E$6:$E66,"Other Current Assets"),"")</f>
        <v/>
      </c>
      <c r="P66" s="8" t="str">
        <f aca="false">IF($E66="Current Liabilities",COUNTIF($E$6:$E66,"Current Liabilities"),"")</f>
        <v/>
      </c>
      <c r="Q66" s="8" t="str">
        <f aca="false">IF($E66="Long-term Loans",COUNTIF($E$6:$E66,"Long-term Loans"),"")</f>
        <v/>
      </c>
      <c r="R66" s="40" t="n">
        <f aca="false">IF(E66="Fixed Assets",ROUND(I66*N(F66),0),0)</f>
        <v>0</v>
      </c>
    </row>
    <row r="67" customFormat="false" ht="15" hidden="false" customHeight="false" outlineLevel="0" collapsed="false">
      <c r="A67" s="33" t="str">
        <f aca="false">IF(B67="","",ROW()-5)</f>
        <v/>
      </c>
      <c r="B67" s="76"/>
      <c r="C67" s="77"/>
      <c r="D67" s="77"/>
      <c r="E67" s="76"/>
      <c r="F67" s="78"/>
      <c r="G67" s="37" t="str">
        <f aca="false">IF(OR(B67="",E67=""),"",IF(VLOOKUP(E67,Lists!$A$2:$B$19,2,FALSE())="Dr",N(C67)-N(D67),N(D67)-N(C67)))</f>
        <v/>
      </c>
      <c r="H67" s="38" t="str">
        <f aca="false">IF(B67="","",SUMIF(Adjustments!$B$6:$B$10,B67,Adjustments!$C$6:$C$10)-SUMIF(Adjustments!$E$6:$E$10,B67,Adjustments!$F$6:$F$10)+SUMIF(Adjustments!$B$14:$B$18,B67,Adjustments!$C$14:$C$18)-SUMIF(Adjustments!$E$14:$E$18,B67,Adjustments!$F$14:$F$18))</f>
        <v/>
      </c>
      <c r="I67" s="39" t="str">
        <f aca="false">IF(B67="","",N(G67)+N(H67))</f>
        <v/>
      </c>
      <c r="J67" s="8" t="str">
        <f aca="false">IF($E67="Direct Expenses",COUNTIF($E$6:$E67,"Direct Expenses"),"")</f>
        <v/>
      </c>
      <c r="K67" s="8" t="str">
        <f aca="false">IF($E67="Indirect Expenses",COUNTIF($E$6:$E67,"Indirect Expenses"),"")</f>
        <v/>
      </c>
      <c r="L67" s="8" t="str">
        <f aca="false">IF($E67="Indirect Income",COUNTIF($E$6:$E67,"Indirect Income"),"")</f>
        <v/>
      </c>
      <c r="M67" s="8" t="str">
        <f aca="false">IF($E67="Fixed Assets",COUNTIF($E$6:$E67,"Fixed Assets"),"")</f>
        <v/>
      </c>
      <c r="N67" s="8" t="str">
        <f aca="false">IF($E67="Investments",COUNTIF($E$6:$E67,"Investments"),"")</f>
        <v/>
      </c>
      <c r="O67" s="8" t="str">
        <f aca="false">IF($E67="Other Current Assets",COUNTIF($E$6:$E67,"Other Current Assets"),"")</f>
        <v/>
      </c>
      <c r="P67" s="8" t="str">
        <f aca="false">IF($E67="Current Liabilities",COUNTIF($E$6:$E67,"Current Liabilities"),"")</f>
        <v/>
      </c>
      <c r="Q67" s="8" t="str">
        <f aca="false">IF($E67="Long-term Loans",COUNTIF($E$6:$E67,"Long-term Loans"),"")</f>
        <v/>
      </c>
      <c r="R67" s="40" t="n">
        <f aca="false">IF(E67="Fixed Assets",ROUND(I67*N(F67),0),0)</f>
        <v>0</v>
      </c>
    </row>
    <row r="68" customFormat="false" ht="15" hidden="false" customHeight="false" outlineLevel="0" collapsed="false">
      <c r="A68" s="33" t="str">
        <f aca="false">IF(B68="","",ROW()-5)</f>
        <v/>
      </c>
      <c r="B68" s="76"/>
      <c r="C68" s="77"/>
      <c r="D68" s="77"/>
      <c r="E68" s="76"/>
      <c r="F68" s="78"/>
      <c r="G68" s="37" t="str">
        <f aca="false">IF(OR(B68="",E68=""),"",IF(VLOOKUP(E68,Lists!$A$2:$B$19,2,FALSE())="Dr",N(C68)-N(D68),N(D68)-N(C68)))</f>
        <v/>
      </c>
      <c r="H68" s="38" t="str">
        <f aca="false">IF(B68="","",SUMIF(Adjustments!$B$6:$B$10,B68,Adjustments!$C$6:$C$10)-SUMIF(Adjustments!$E$6:$E$10,B68,Adjustments!$F$6:$F$10)+SUMIF(Adjustments!$B$14:$B$18,B68,Adjustments!$C$14:$C$18)-SUMIF(Adjustments!$E$14:$E$18,B68,Adjustments!$F$14:$F$18))</f>
        <v/>
      </c>
      <c r="I68" s="39" t="str">
        <f aca="false">IF(B68="","",N(G68)+N(H68))</f>
        <v/>
      </c>
      <c r="J68" s="8" t="str">
        <f aca="false">IF($E68="Direct Expenses",COUNTIF($E$6:$E68,"Direct Expenses"),"")</f>
        <v/>
      </c>
      <c r="K68" s="8" t="str">
        <f aca="false">IF($E68="Indirect Expenses",COUNTIF($E$6:$E68,"Indirect Expenses"),"")</f>
        <v/>
      </c>
      <c r="L68" s="8" t="str">
        <f aca="false">IF($E68="Indirect Income",COUNTIF($E$6:$E68,"Indirect Income"),"")</f>
        <v/>
      </c>
      <c r="M68" s="8" t="str">
        <f aca="false">IF($E68="Fixed Assets",COUNTIF($E$6:$E68,"Fixed Assets"),"")</f>
        <v/>
      </c>
      <c r="N68" s="8" t="str">
        <f aca="false">IF($E68="Investments",COUNTIF($E$6:$E68,"Investments"),"")</f>
        <v/>
      </c>
      <c r="O68" s="8" t="str">
        <f aca="false">IF($E68="Other Current Assets",COUNTIF($E$6:$E68,"Other Current Assets"),"")</f>
        <v/>
      </c>
      <c r="P68" s="8" t="str">
        <f aca="false">IF($E68="Current Liabilities",COUNTIF($E$6:$E68,"Current Liabilities"),"")</f>
        <v/>
      </c>
      <c r="Q68" s="8" t="str">
        <f aca="false">IF($E68="Long-term Loans",COUNTIF($E$6:$E68,"Long-term Loans"),"")</f>
        <v/>
      </c>
      <c r="R68" s="40" t="n">
        <f aca="false">IF(E68="Fixed Assets",ROUND(I68*N(F68),0),0)</f>
        <v>0</v>
      </c>
    </row>
    <row r="69" customFormat="false" ht="15" hidden="false" customHeight="false" outlineLevel="0" collapsed="false">
      <c r="A69" s="33" t="str">
        <f aca="false">IF(B69="","",ROW()-5)</f>
        <v/>
      </c>
      <c r="B69" s="76"/>
      <c r="C69" s="77"/>
      <c r="D69" s="77"/>
      <c r="E69" s="76"/>
      <c r="F69" s="78"/>
      <c r="G69" s="37" t="str">
        <f aca="false">IF(OR(B69="",E69=""),"",IF(VLOOKUP(E69,Lists!$A$2:$B$19,2,FALSE())="Dr",N(C69)-N(D69),N(D69)-N(C69)))</f>
        <v/>
      </c>
      <c r="H69" s="38" t="str">
        <f aca="false">IF(B69="","",SUMIF(Adjustments!$B$6:$B$10,B69,Adjustments!$C$6:$C$10)-SUMIF(Adjustments!$E$6:$E$10,B69,Adjustments!$F$6:$F$10)+SUMIF(Adjustments!$B$14:$B$18,B69,Adjustments!$C$14:$C$18)-SUMIF(Adjustments!$E$14:$E$18,B69,Adjustments!$F$14:$F$18))</f>
        <v/>
      </c>
      <c r="I69" s="39" t="str">
        <f aca="false">IF(B69="","",N(G69)+N(H69))</f>
        <v/>
      </c>
      <c r="J69" s="8" t="str">
        <f aca="false">IF($E69="Direct Expenses",COUNTIF($E$6:$E69,"Direct Expenses"),"")</f>
        <v/>
      </c>
      <c r="K69" s="8" t="str">
        <f aca="false">IF($E69="Indirect Expenses",COUNTIF($E$6:$E69,"Indirect Expenses"),"")</f>
        <v/>
      </c>
      <c r="L69" s="8" t="str">
        <f aca="false">IF($E69="Indirect Income",COUNTIF($E$6:$E69,"Indirect Income"),"")</f>
        <v/>
      </c>
      <c r="M69" s="8" t="str">
        <f aca="false">IF($E69="Fixed Assets",COUNTIF($E$6:$E69,"Fixed Assets"),"")</f>
        <v/>
      </c>
      <c r="N69" s="8" t="str">
        <f aca="false">IF($E69="Investments",COUNTIF($E$6:$E69,"Investments"),"")</f>
        <v/>
      </c>
      <c r="O69" s="8" t="str">
        <f aca="false">IF($E69="Other Current Assets",COUNTIF($E$6:$E69,"Other Current Assets"),"")</f>
        <v/>
      </c>
      <c r="P69" s="8" t="str">
        <f aca="false">IF($E69="Current Liabilities",COUNTIF($E$6:$E69,"Current Liabilities"),"")</f>
        <v/>
      </c>
      <c r="Q69" s="8" t="str">
        <f aca="false">IF($E69="Long-term Loans",COUNTIF($E$6:$E69,"Long-term Loans"),"")</f>
        <v/>
      </c>
      <c r="R69" s="40" t="n">
        <f aca="false">IF(E69="Fixed Assets",ROUND(I69*N(F69),0),0)</f>
        <v>0</v>
      </c>
    </row>
    <row r="70" customFormat="false" ht="15" hidden="false" customHeight="false" outlineLevel="0" collapsed="false">
      <c r="A70" s="33" t="str">
        <f aca="false">IF(B70="","",ROW()-5)</f>
        <v/>
      </c>
      <c r="B70" s="76"/>
      <c r="C70" s="77"/>
      <c r="D70" s="77"/>
      <c r="E70" s="76"/>
      <c r="F70" s="78"/>
      <c r="G70" s="37" t="str">
        <f aca="false">IF(OR(B70="",E70=""),"",IF(VLOOKUP(E70,Lists!$A$2:$B$19,2,FALSE())="Dr",N(C70)-N(D70),N(D70)-N(C70)))</f>
        <v/>
      </c>
      <c r="H70" s="38" t="str">
        <f aca="false">IF(B70="","",SUMIF(Adjustments!$B$6:$B$10,B70,Adjustments!$C$6:$C$10)-SUMIF(Adjustments!$E$6:$E$10,B70,Adjustments!$F$6:$F$10)+SUMIF(Adjustments!$B$14:$B$18,B70,Adjustments!$C$14:$C$18)-SUMIF(Adjustments!$E$14:$E$18,B70,Adjustments!$F$14:$F$18))</f>
        <v/>
      </c>
      <c r="I70" s="39" t="str">
        <f aca="false">IF(B70="","",N(G70)+N(H70))</f>
        <v/>
      </c>
      <c r="J70" s="8" t="str">
        <f aca="false">IF($E70="Direct Expenses",COUNTIF($E$6:$E70,"Direct Expenses"),"")</f>
        <v/>
      </c>
      <c r="K70" s="8" t="str">
        <f aca="false">IF($E70="Indirect Expenses",COUNTIF($E$6:$E70,"Indirect Expenses"),"")</f>
        <v/>
      </c>
      <c r="L70" s="8" t="str">
        <f aca="false">IF($E70="Indirect Income",COUNTIF($E$6:$E70,"Indirect Income"),"")</f>
        <v/>
      </c>
      <c r="M70" s="8" t="str">
        <f aca="false">IF($E70="Fixed Assets",COUNTIF($E$6:$E70,"Fixed Assets"),"")</f>
        <v/>
      </c>
      <c r="N70" s="8" t="str">
        <f aca="false">IF($E70="Investments",COUNTIF($E$6:$E70,"Investments"),"")</f>
        <v/>
      </c>
      <c r="O70" s="8" t="str">
        <f aca="false">IF($E70="Other Current Assets",COUNTIF($E$6:$E70,"Other Current Assets"),"")</f>
        <v/>
      </c>
      <c r="P70" s="8" t="str">
        <f aca="false">IF($E70="Current Liabilities",COUNTIF($E$6:$E70,"Current Liabilities"),"")</f>
        <v/>
      </c>
      <c r="Q70" s="8" t="str">
        <f aca="false">IF($E70="Long-term Loans",COUNTIF($E$6:$E70,"Long-term Loans"),"")</f>
        <v/>
      </c>
      <c r="R70" s="40" t="n">
        <f aca="false">IF(E70="Fixed Assets",ROUND(I70*N(F70),0),0)</f>
        <v>0</v>
      </c>
    </row>
    <row r="71" customFormat="false" ht="15" hidden="false" customHeight="false" outlineLevel="0" collapsed="false">
      <c r="A71" s="33" t="str">
        <f aca="false">IF(B71="","",ROW()-5)</f>
        <v/>
      </c>
      <c r="B71" s="76"/>
      <c r="C71" s="77"/>
      <c r="D71" s="77"/>
      <c r="E71" s="76"/>
      <c r="F71" s="78"/>
      <c r="G71" s="37" t="str">
        <f aca="false">IF(OR(B71="",E71=""),"",IF(VLOOKUP(E71,Lists!$A$2:$B$19,2,FALSE())="Dr",N(C71)-N(D71),N(D71)-N(C71)))</f>
        <v/>
      </c>
      <c r="H71" s="38" t="str">
        <f aca="false">IF(B71="","",SUMIF(Adjustments!$B$6:$B$10,B71,Adjustments!$C$6:$C$10)-SUMIF(Adjustments!$E$6:$E$10,B71,Adjustments!$F$6:$F$10)+SUMIF(Adjustments!$B$14:$B$18,B71,Adjustments!$C$14:$C$18)-SUMIF(Adjustments!$E$14:$E$18,B71,Adjustments!$F$14:$F$18))</f>
        <v/>
      </c>
      <c r="I71" s="39" t="str">
        <f aca="false">IF(B71="","",N(G71)+N(H71))</f>
        <v/>
      </c>
      <c r="J71" s="8" t="str">
        <f aca="false">IF($E71="Direct Expenses",COUNTIF($E$6:$E71,"Direct Expenses"),"")</f>
        <v/>
      </c>
      <c r="K71" s="8" t="str">
        <f aca="false">IF($E71="Indirect Expenses",COUNTIF($E$6:$E71,"Indirect Expenses"),"")</f>
        <v/>
      </c>
      <c r="L71" s="8" t="str">
        <f aca="false">IF($E71="Indirect Income",COUNTIF($E$6:$E71,"Indirect Income"),"")</f>
        <v/>
      </c>
      <c r="M71" s="8" t="str">
        <f aca="false">IF($E71="Fixed Assets",COUNTIF($E$6:$E71,"Fixed Assets"),"")</f>
        <v/>
      </c>
      <c r="N71" s="8" t="str">
        <f aca="false">IF($E71="Investments",COUNTIF($E$6:$E71,"Investments"),"")</f>
        <v/>
      </c>
      <c r="O71" s="8" t="str">
        <f aca="false">IF($E71="Other Current Assets",COUNTIF($E$6:$E71,"Other Current Assets"),"")</f>
        <v/>
      </c>
      <c r="P71" s="8" t="str">
        <f aca="false">IF($E71="Current Liabilities",COUNTIF($E$6:$E71,"Current Liabilities"),"")</f>
        <v/>
      </c>
      <c r="Q71" s="8" t="str">
        <f aca="false">IF($E71="Long-term Loans",COUNTIF($E$6:$E71,"Long-term Loans"),"")</f>
        <v/>
      </c>
      <c r="R71" s="40" t="n">
        <f aca="false">IF(E71="Fixed Assets",ROUND(I71*N(F71),0),0)</f>
        <v>0</v>
      </c>
    </row>
    <row r="72" customFormat="false" ht="15" hidden="false" customHeight="false" outlineLevel="0" collapsed="false">
      <c r="A72" s="33" t="str">
        <f aca="false">IF(B72="","",ROW()-5)</f>
        <v/>
      </c>
      <c r="B72" s="76"/>
      <c r="C72" s="77"/>
      <c r="D72" s="77"/>
      <c r="E72" s="76"/>
      <c r="F72" s="78"/>
      <c r="G72" s="37" t="str">
        <f aca="false">IF(OR(B72="",E72=""),"",IF(VLOOKUP(E72,Lists!$A$2:$B$19,2,FALSE())="Dr",N(C72)-N(D72),N(D72)-N(C72)))</f>
        <v/>
      </c>
      <c r="H72" s="38" t="str">
        <f aca="false">IF(B72="","",SUMIF(Adjustments!$B$6:$B$10,B72,Adjustments!$C$6:$C$10)-SUMIF(Adjustments!$E$6:$E$10,B72,Adjustments!$F$6:$F$10)+SUMIF(Adjustments!$B$14:$B$18,B72,Adjustments!$C$14:$C$18)-SUMIF(Adjustments!$E$14:$E$18,B72,Adjustments!$F$14:$F$18))</f>
        <v/>
      </c>
      <c r="I72" s="39" t="str">
        <f aca="false">IF(B72="","",N(G72)+N(H72))</f>
        <v/>
      </c>
      <c r="J72" s="8" t="str">
        <f aca="false">IF($E72="Direct Expenses",COUNTIF($E$6:$E72,"Direct Expenses"),"")</f>
        <v/>
      </c>
      <c r="K72" s="8" t="str">
        <f aca="false">IF($E72="Indirect Expenses",COUNTIF($E$6:$E72,"Indirect Expenses"),"")</f>
        <v/>
      </c>
      <c r="L72" s="8" t="str">
        <f aca="false">IF($E72="Indirect Income",COUNTIF($E$6:$E72,"Indirect Income"),"")</f>
        <v/>
      </c>
      <c r="M72" s="8" t="str">
        <f aca="false">IF($E72="Fixed Assets",COUNTIF($E$6:$E72,"Fixed Assets"),"")</f>
        <v/>
      </c>
      <c r="N72" s="8" t="str">
        <f aca="false">IF($E72="Investments",COUNTIF($E$6:$E72,"Investments"),"")</f>
        <v/>
      </c>
      <c r="O72" s="8" t="str">
        <f aca="false">IF($E72="Other Current Assets",COUNTIF($E$6:$E72,"Other Current Assets"),"")</f>
        <v/>
      </c>
      <c r="P72" s="8" t="str">
        <f aca="false">IF($E72="Current Liabilities",COUNTIF($E$6:$E72,"Current Liabilities"),"")</f>
        <v/>
      </c>
      <c r="Q72" s="8" t="str">
        <f aca="false">IF($E72="Long-term Loans",COUNTIF($E$6:$E72,"Long-term Loans"),"")</f>
        <v/>
      </c>
      <c r="R72" s="40" t="n">
        <f aca="false">IF(E72="Fixed Assets",ROUND(I72*N(F72),0),0)</f>
        <v>0</v>
      </c>
    </row>
    <row r="73" customFormat="false" ht="15" hidden="false" customHeight="false" outlineLevel="0" collapsed="false">
      <c r="A73" s="33" t="str">
        <f aca="false">IF(B73="","",ROW()-5)</f>
        <v/>
      </c>
      <c r="B73" s="76"/>
      <c r="C73" s="77"/>
      <c r="D73" s="77"/>
      <c r="E73" s="76"/>
      <c r="F73" s="78"/>
      <c r="G73" s="37" t="str">
        <f aca="false">IF(OR(B73="",E73=""),"",IF(VLOOKUP(E73,Lists!$A$2:$B$19,2,FALSE())="Dr",N(C73)-N(D73),N(D73)-N(C73)))</f>
        <v/>
      </c>
      <c r="H73" s="38" t="str">
        <f aca="false">IF(B73="","",SUMIF(Adjustments!$B$6:$B$10,B73,Adjustments!$C$6:$C$10)-SUMIF(Adjustments!$E$6:$E$10,B73,Adjustments!$F$6:$F$10)+SUMIF(Adjustments!$B$14:$B$18,B73,Adjustments!$C$14:$C$18)-SUMIF(Adjustments!$E$14:$E$18,B73,Adjustments!$F$14:$F$18))</f>
        <v/>
      </c>
      <c r="I73" s="39" t="str">
        <f aca="false">IF(B73="","",N(G73)+N(H73))</f>
        <v/>
      </c>
      <c r="J73" s="8" t="str">
        <f aca="false">IF($E73="Direct Expenses",COUNTIF($E$6:$E73,"Direct Expenses"),"")</f>
        <v/>
      </c>
      <c r="K73" s="8" t="str">
        <f aca="false">IF($E73="Indirect Expenses",COUNTIF($E$6:$E73,"Indirect Expenses"),"")</f>
        <v/>
      </c>
      <c r="L73" s="8" t="str">
        <f aca="false">IF($E73="Indirect Income",COUNTIF($E$6:$E73,"Indirect Income"),"")</f>
        <v/>
      </c>
      <c r="M73" s="8" t="str">
        <f aca="false">IF($E73="Fixed Assets",COUNTIF($E$6:$E73,"Fixed Assets"),"")</f>
        <v/>
      </c>
      <c r="N73" s="8" t="str">
        <f aca="false">IF($E73="Investments",COUNTIF($E$6:$E73,"Investments"),"")</f>
        <v/>
      </c>
      <c r="O73" s="8" t="str">
        <f aca="false">IF($E73="Other Current Assets",COUNTIF($E$6:$E73,"Other Current Assets"),"")</f>
        <v/>
      </c>
      <c r="P73" s="8" t="str">
        <f aca="false">IF($E73="Current Liabilities",COUNTIF($E$6:$E73,"Current Liabilities"),"")</f>
        <v/>
      </c>
      <c r="Q73" s="8" t="str">
        <f aca="false">IF($E73="Long-term Loans",COUNTIF($E$6:$E73,"Long-term Loans"),"")</f>
        <v/>
      </c>
      <c r="R73" s="40" t="n">
        <f aca="false">IF(E73="Fixed Assets",ROUND(I73*N(F73),0),0)</f>
        <v>0</v>
      </c>
    </row>
    <row r="74" customFormat="false" ht="15" hidden="false" customHeight="false" outlineLevel="0" collapsed="false">
      <c r="A74" s="33" t="str">
        <f aca="false">IF(B74="","",ROW()-5)</f>
        <v/>
      </c>
      <c r="B74" s="76"/>
      <c r="C74" s="77"/>
      <c r="D74" s="77"/>
      <c r="E74" s="76"/>
      <c r="F74" s="78"/>
      <c r="G74" s="37" t="str">
        <f aca="false">IF(OR(B74="",E74=""),"",IF(VLOOKUP(E74,Lists!$A$2:$B$19,2,FALSE())="Dr",N(C74)-N(D74),N(D74)-N(C74)))</f>
        <v/>
      </c>
      <c r="H74" s="38" t="str">
        <f aca="false">IF(B74="","",SUMIF(Adjustments!$B$6:$B$10,B74,Adjustments!$C$6:$C$10)-SUMIF(Adjustments!$E$6:$E$10,B74,Adjustments!$F$6:$F$10)+SUMIF(Adjustments!$B$14:$B$18,B74,Adjustments!$C$14:$C$18)-SUMIF(Adjustments!$E$14:$E$18,B74,Adjustments!$F$14:$F$18))</f>
        <v/>
      </c>
      <c r="I74" s="39" t="str">
        <f aca="false">IF(B74="","",N(G74)+N(H74))</f>
        <v/>
      </c>
      <c r="J74" s="8" t="str">
        <f aca="false">IF($E74="Direct Expenses",COUNTIF($E$6:$E74,"Direct Expenses"),"")</f>
        <v/>
      </c>
      <c r="K74" s="8" t="str">
        <f aca="false">IF($E74="Indirect Expenses",COUNTIF($E$6:$E74,"Indirect Expenses"),"")</f>
        <v/>
      </c>
      <c r="L74" s="8" t="str">
        <f aca="false">IF($E74="Indirect Income",COUNTIF($E$6:$E74,"Indirect Income"),"")</f>
        <v/>
      </c>
      <c r="M74" s="8" t="str">
        <f aca="false">IF($E74="Fixed Assets",COUNTIF($E$6:$E74,"Fixed Assets"),"")</f>
        <v/>
      </c>
      <c r="N74" s="8" t="str">
        <f aca="false">IF($E74="Investments",COUNTIF($E$6:$E74,"Investments"),"")</f>
        <v/>
      </c>
      <c r="O74" s="8" t="str">
        <f aca="false">IF($E74="Other Current Assets",COUNTIF($E$6:$E74,"Other Current Assets"),"")</f>
        <v/>
      </c>
      <c r="P74" s="8" t="str">
        <f aca="false">IF($E74="Current Liabilities",COUNTIF($E$6:$E74,"Current Liabilities"),"")</f>
        <v/>
      </c>
      <c r="Q74" s="8" t="str">
        <f aca="false">IF($E74="Long-term Loans",COUNTIF($E$6:$E74,"Long-term Loans"),"")</f>
        <v/>
      </c>
      <c r="R74" s="40" t="n">
        <f aca="false">IF(E74="Fixed Assets",ROUND(I74*N(F74),0),0)</f>
        <v>0</v>
      </c>
    </row>
    <row r="75" customFormat="false" ht="15" hidden="false" customHeight="false" outlineLevel="0" collapsed="false">
      <c r="A75" s="33" t="str">
        <f aca="false">IF(B75="","",ROW()-5)</f>
        <v/>
      </c>
      <c r="B75" s="76"/>
      <c r="C75" s="77"/>
      <c r="D75" s="77"/>
      <c r="E75" s="76"/>
      <c r="F75" s="78"/>
      <c r="G75" s="37" t="str">
        <f aca="false">IF(OR(B75="",E75=""),"",IF(VLOOKUP(E75,Lists!$A$2:$B$19,2,FALSE())="Dr",N(C75)-N(D75),N(D75)-N(C75)))</f>
        <v/>
      </c>
      <c r="H75" s="38" t="str">
        <f aca="false">IF(B75="","",SUMIF(Adjustments!$B$6:$B$10,B75,Adjustments!$C$6:$C$10)-SUMIF(Adjustments!$E$6:$E$10,B75,Adjustments!$F$6:$F$10)+SUMIF(Adjustments!$B$14:$B$18,B75,Adjustments!$C$14:$C$18)-SUMIF(Adjustments!$E$14:$E$18,B75,Adjustments!$F$14:$F$18))</f>
        <v/>
      </c>
      <c r="I75" s="39" t="str">
        <f aca="false">IF(B75="","",N(G75)+N(H75))</f>
        <v/>
      </c>
      <c r="J75" s="8" t="str">
        <f aca="false">IF($E75="Direct Expenses",COUNTIF($E$6:$E75,"Direct Expenses"),"")</f>
        <v/>
      </c>
      <c r="K75" s="8" t="str">
        <f aca="false">IF($E75="Indirect Expenses",COUNTIF($E$6:$E75,"Indirect Expenses"),"")</f>
        <v/>
      </c>
      <c r="L75" s="8" t="str">
        <f aca="false">IF($E75="Indirect Income",COUNTIF($E$6:$E75,"Indirect Income"),"")</f>
        <v/>
      </c>
      <c r="M75" s="8" t="str">
        <f aca="false">IF($E75="Fixed Assets",COUNTIF($E$6:$E75,"Fixed Assets"),"")</f>
        <v/>
      </c>
      <c r="N75" s="8" t="str">
        <f aca="false">IF($E75="Investments",COUNTIF($E$6:$E75,"Investments"),"")</f>
        <v/>
      </c>
      <c r="O75" s="8" t="str">
        <f aca="false">IF($E75="Other Current Assets",COUNTIF($E$6:$E75,"Other Current Assets"),"")</f>
        <v/>
      </c>
      <c r="P75" s="8" t="str">
        <f aca="false">IF($E75="Current Liabilities",COUNTIF($E$6:$E75,"Current Liabilities"),"")</f>
        <v/>
      </c>
      <c r="Q75" s="8" t="str">
        <f aca="false">IF($E75="Long-term Loans",COUNTIF($E$6:$E75,"Long-term Loans"),"")</f>
        <v/>
      </c>
      <c r="R75" s="40" t="n">
        <f aca="false">IF(E75="Fixed Assets",ROUND(I75*N(F75),0),0)</f>
        <v>0</v>
      </c>
    </row>
    <row r="76" customFormat="false" ht="15" hidden="false" customHeight="false" outlineLevel="0" collapsed="false">
      <c r="A76" s="33" t="str">
        <f aca="false">IF(B76="","",ROW()-5)</f>
        <v/>
      </c>
      <c r="B76" s="76"/>
      <c r="C76" s="77"/>
      <c r="D76" s="77"/>
      <c r="E76" s="76"/>
      <c r="F76" s="78"/>
      <c r="G76" s="37" t="str">
        <f aca="false">IF(OR(B76="",E76=""),"",IF(VLOOKUP(E76,Lists!$A$2:$B$19,2,FALSE())="Dr",N(C76)-N(D76),N(D76)-N(C76)))</f>
        <v/>
      </c>
      <c r="H76" s="38" t="str">
        <f aca="false">IF(B76="","",SUMIF(Adjustments!$B$6:$B$10,B76,Adjustments!$C$6:$C$10)-SUMIF(Adjustments!$E$6:$E$10,B76,Adjustments!$F$6:$F$10)+SUMIF(Adjustments!$B$14:$B$18,B76,Adjustments!$C$14:$C$18)-SUMIF(Adjustments!$E$14:$E$18,B76,Adjustments!$F$14:$F$18))</f>
        <v/>
      </c>
      <c r="I76" s="39" t="str">
        <f aca="false">IF(B76="","",N(G76)+N(H76))</f>
        <v/>
      </c>
      <c r="J76" s="8" t="str">
        <f aca="false">IF($E76="Direct Expenses",COUNTIF($E$6:$E76,"Direct Expenses"),"")</f>
        <v/>
      </c>
      <c r="K76" s="8" t="str">
        <f aca="false">IF($E76="Indirect Expenses",COUNTIF($E$6:$E76,"Indirect Expenses"),"")</f>
        <v/>
      </c>
      <c r="L76" s="8" t="str">
        <f aca="false">IF($E76="Indirect Income",COUNTIF($E$6:$E76,"Indirect Income"),"")</f>
        <v/>
      </c>
      <c r="M76" s="8" t="str">
        <f aca="false">IF($E76="Fixed Assets",COUNTIF($E$6:$E76,"Fixed Assets"),"")</f>
        <v/>
      </c>
      <c r="N76" s="8" t="str">
        <f aca="false">IF($E76="Investments",COUNTIF($E$6:$E76,"Investments"),"")</f>
        <v/>
      </c>
      <c r="O76" s="8" t="str">
        <f aca="false">IF($E76="Other Current Assets",COUNTIF($E$6:$E76,"Other Current Assets"),"")</f>
        <v/>
      </c>
      <c r="P76" s="8" t="str">
        <f aca="false">IF($E76="Current Liabilities",COUNTIF($E$6:$E76,"Current Liabilities"),"")</f>
        <v/>
      </c>
      <c r="Q76" s="8" t="str">
        <f aca="false">IF($E76="Long-term Loans",COUNTIF($E$6:$E76,"Long-term Loans"),"")</f>
        <v/>
      </c>
      <c r="R76" s="40" t="n">
        <f aca="false">IF(E76="Fixed Assets",ROUND(I76*N(F76),0),0)</f>
        <v>0</v>
      </c>
    </row>
    <row r="77" customFormat="false" ht="15" hidden="false" customHeight="false" outlineLevel="0" collapsed="false">
      <c r="A77" s="33" t="str">
        <f aca="false">IF(B77="","",ROW()-5)</f>
        <v/>
      </c>
      <c r="B77" s="76"/>
      <c r="C77" s="77"/>
      <c r="D77" s="77"/>
      <c r="E77" s="76"/>
      <c r="F77" s="78"/>
      <c r="G77" s="37" t="str">
        <f aca="false">IF(OR(B77="",E77=""),"",IF(VLOOKUP(E77,Lists!$A$2:$B$19,2,FALSE())="Dr",N(C77)-N(D77),N(D77)-N(C77)))</f>
        <v/>
      </c>
      <c r="H77" s="38" t="str">
        <f aca="false">IF(B77="","",SUMIF(Adjustments!$B$6:$B$10,B77,Adjustments!$C$6:$C$10)-SUMIF(Adjustments!$E$6:$E$10,B77,Adjustments!$F$6:$F$10)+SUMIF(Adjustments!$B$14:$B$18,B77,Adjustments!$C$14:$C$18)-SUMIF(Adjustments!$E$14:$E$18,B77,Adjustments!$F$14:$F$18))</f>
        <v/>
      </c>
      <c r="I77" s="39" t="str">
        <f aca="false">IF(B77="","",N(G77)+N(H77))</f>
        <v/>
      </c>
      <c r="J77" s="8" t="str">
        <f aca="false">IF($E77="Direct Expenses",COUNTIF($E$6:$E77,"Direct Expenses"),"")</f>
        <v/>
      </c>
      <c r="K77" s="8" t="str">
        <f aca="false">IF($E77="Indirect Expenses",COUNTIF($E$6:$E77,"Indirect Expenses"),"")</f>
        <v/>
      </c>
      <c r="L77" s="8" t="str">
        <f aca="false">IF($E77="Indirect Income",COUNTIF($E$6:$E77,"Indirect Income"),"")</f>
        <v/>
      </c>
      <c r="M77" s="8" t="str">
        <f aca="false">IF($E77="Fixed Assets",COUNTIF($E$6:$E77,"Fixed Assets"),"")</f>
        <v/>
      </c>
      <c r="N77" s="8" t="str">
        <f aca="false">IF($E77="Investments",COUNTIF($E$6:$E77,"Investments"),"")</f>
        <v/>
      </c>
      <c r="O77" s="8" t="str">
        <f aca="false">IF($E77="Other Current Assets",COUNTIF($E$6:$E77,"Other Current Assets"),"")</f>
        <v/>
      </c>
      <c r="P77" s="8" t="str">
        <f aca="false">IF($E77="Current Liabilities",COUNTIF($E$6:$E77,"Current Liabilities"),"")</f>
        <v/>
      </c>
      <c r="Q77" s="8" t="str">
        <f aca="false">IF($E77="Long-term Loans",COUNTIF($E$6:$E77,"Long-term Loans"),"")</f>
        <v/>
      </c>
      <c r="R77" s="40" t="n">
        <f aca="false">IF(E77="Fixed Assets",ROUND(I77*N(F77),0),0)</f>
        <v>0</v>
      </c>
    </row>
    <row r="78" customFormat="false" ht="15" hidden="false" customHeight="false" outlineLevel="0" collapsed="false">
      <c r="A78" s="33" t="str">
        <f aca="false">IF(B78="","",ROW()-5)</f>
        <v/>
      </c>
      <c r="B78" s="76"/>
      <c r="C78" s="77"/>
      <c r="D78" s="77"/>
      <c r="E78" s="76"/>
      <c r="F78" s="78"/>
      <c r="G78" s="37" t="str">
        <f aca="false">IF(OR(B78="",E78=""),"",IF(VLOOKUP(E78,Lists!$A$2:$B$19,2,FALSE())="Dr",N(C78)-N(D78),N(D78)-N(C78)))</f>
        <v/>
      </c>
      <c r="H78" s="38" t="str">
        <f aca="false">IF(B78="","",SUMIF(Adjustments!$B$6:$B$10,B78,Adjustments!$C$6:$C$10)-SUMIF(Adjustments!$E$6:$E$10,B78,Adjustments!$F$6:$F$10)+SUMIF(Adjustments!$B$14:$B$18,B78,Adjustments!$C$14:$C$18)-SUMIF(Adjustments!$E$14:$E$18,B78,Adjustments!$F$14:$F$18))</f>
        <v/>
      </c>
      <c r="I78" s="39" t="str">
        <f aca="false">IF(B78="","",N(G78)+N(H78))</f>
        <v/>
      </c>
      <c r="J78" s="8" t="str">
        <f aca="false">IF($E78="Direct Expenses",COUNTIF($E$6:$E78,"Direct Expenses"),"")</f>
        <v/>
      </c>
      <c r="K78" s="8" t="str">
        <f aca="false">IF($E78="Indirect Expenses",COUNTIF($E$6:$E78,"Indirect Expenses"),"")</f>
        <v/>
      </c>
      <c r="L78" s="8" t="str">
        <f aca="false">IF($E78="Indirect Income",COUNTIF($E$6:$E78,"Indirect Income"),"")</f>
        <v/>
      </c>
      <c r="M78" s="8" t="str">
        <f aca="false">IF($E78="Fixed Assets",COUNTIF($E$6:$E78,"Fixed Assets"),"")</f>
        <v/>
      </c>
      <c r="N78" s="8" t="str">
        <f aca="false">IF($E78="Investments",COUNTIF($E$6:$E78,"Investments"),"")</f>
        <v/>
      </c>
      <c r="O78" s="8" t="str">
        <f aca="false">IF($E78="Other Current Assets",COUNTIF($E$6:$E78,"Other Current Assets"),"")</f>
        <v/>
      </c>
      <c r="P78" s="8" t="str">
        <f aca="false">IF($E78="Current Liabilities",COUNTIF($E$6:$E78,"Current Liabilities"),"")</f>
        <v/>
      </c>
      <c r="Q78" s="8" t="str">
        <f aca="false">IF($E78="Long-term Loans",COUNTIF($E$6:$E78,"Long-term Loans"),"")</f>
        <v/>
      </c>
      <c r="R78" s="40" t="n">
        <f aca="false">IF(E78="Fixed Assets",ROUND(I78*N(F78),0),0)</f>
        <v>0</v>
      </c>
    </row>
    <row r="79" customFormat="false" ht="15" hidden="false" customHeight="false" outlineLevel="0" collapsed="false">
      <c r="A79" s="33" t="str">
        <f aca="false">IF(B79="","",ROW()-5)</f>
        <v/>
      </c>
      <c r="B79" s="76"/>
      <c r="C79" s="77"/>
      <c r="D79" s="77"/>
      <c r="E79" s="76"/>
      <c r="F79" s="78"/>
      <c r="G79" s="37" t="str">
        <f aca="false">IF(OR(B79="",E79=""),"",IF(VLOOKUP(E79,Lists!$A$2:$B$19,2,FALSE())="Dr",N(C79)-N(D79),N(D79)-N(C79)))</f>
        <v/>
      </c>
      <c r="H79" s="38" t="str">
        <f aca="false">IF(B79="","",SUMIF(Adjustments!$B$6:$B$10,B79,Adjustments!$C$6:$C$10)-SUMIF(Adjustments!$E$6:$E$10,B79,Adjustments!$F$6:$F$10)+SUMIF(Adjustments!$B$14:$B$18,B79,Adjustments!$C$14:$C$18)-SUMIF(Adjustments!$E$14:$E$18,B79,Adjustments!$F$14:$F$18))</f>
        <v/>
      </c>
      <c r="I79" s="39" t="str">
        <f aca="false">IF(B79="","",N(G79)+N(H79))</f>
        <v/>
      </c>
      <c r="J79" s="8" t="str">
        <f aca="false">IF($E79="Direct Expenses",COUNTIF($E$6:$E79,"Direct Expenses"),"")</f>
        <v/>
      </c>
      <c r="K79" s="8" t="str">
        <f aca="false">IF($E79="Indirect Expenses",COUNTIF($E$6:$E79,"Indirect Expenses"),"")</f>
        <v/>
      </c>
      <c r="L79" s="8" t="str">
        <f aca="false">IF($E79="Indirect Income",COUNTIF($E$6:$E79,"Indirect Income"),"")</f>
        <v/>
      </c>
      <c r="M79" s="8" t="str">
        <f aca="false">IF($E79="Fixed Assets",COUNTIF($E$6:$E79,"Fixed Assets"),"")</f>
        <v/>
      </c>
      <c r="N79" s="8" t="str">
        <f aca="false">IF($E79="Investments",COUNTIF($E$6:$E79,"Investments"),"")</f>
        <v/>
      </c>
      <c r="O79" s="8" t="str">
        <f aca="false">IF($E79="Other Current Assets",COUNTIF($E$6:$E79,"Other Current Assets"),"")</f>
        <v/>
      </c>
      <c r="P79" s="8" t="str">
        <f aca="false">IF($E79="Current Liabilities",COUNTIF($E$6:$E79,"Current Liabilities"),"")</f>
        <v/>
      </c>
      <c r="Q79" s="8" t="str">
        <f aca="false">IF($E79="Long-term Loans",COUNTIF($E$6:$E79,"Long-term Loans"),"")</f>
        <v/>
      </c>
      <c r="R79" s="40" t="n">
        <f aca="false">IF(E79="Fixed Assets",ROUND(I79*N(F79),0),0)</f>
        <v>0</v>
      </c>
    </row>
    <row r="80" customFormat="false" ht="15" hidden="false" customHeight="false" outlineLevel="0" collapsed="false">
      <c r="A80" s="33" t="str">
        <f aca="false">IF(B80="","",ROW()-5)</f>
        <v/>
      </c>
      <c r="B80" s="76"/>
      <c r="C80" s="77"/>
      <c r="D80" s="77"/>
      <c r="E80" s="76"/>
      <c r="F80" s="78"/>
      <c r="G80" s="37" t="str">
        <f aca="false">IF(OR(B80="",E80=""),"",IF(VLOOKUP(E80,Lists!$A$2:$B$19,2,FALSE())="Dr",N(C80)-N(D80),N(D80)-N(C80)))</f>
        <v/>
      </c>
      <c r="H80" s="38" t="str">
        <f aca="false">IF(B80="","",SUMIF(Adjustments!$B$6:$B$10,B80,Adjustments!$C$6:$C$10)-SUMIF(Adjustments!$E$6:$E$10,B80,Adjustments!$F$6:$F$10)+SUMIF(Adjustments!$B$14:$B$18,B80,Adjustments!$C$14:$C$18)-SUMIF(Adjustments!$E$14:$E$18,B80,Adjustments!$F$14:$F$18))</f>
        <v/>
      </c>
      <c r="I80" s="39" t="str">
        <f aca="false">IF(B80="","",N(G80)+N(H80))</f>
        <v/>
      </c>
      <c r="J80" s="8" t="str">
        <f aca="false">IF($E80="Direct Expenses",COUNTIF($E$6:$E80,"Direct Expenses"),"")</f>
        <v/>
      </c>
      <c r="K80" s="8" t="str">
        <f aca="false">IF($E80="Indirect Expenses",COUNTIF($E$6:$E80,"Indirect Expenses"),"")</f>
        <v/>
      </c>
      <c r="L80" s="8" t="str">
        <f aca="false">IF($E80="Indirect Income",COUNTIF($E$6:$E80,"Indirect Income"),"")</f>
        <v/>
      </c>
      <c r="M80" s="8" t="str">
        <f aca="false">IF($E80="Fixed Assets",COUNTIF($E$6:$E80,"Fixed Assets"),"")</f>
        <v/>
      </c>
      <c r="N80" s="8" t="str">
        <f aca="false">IF($E80="Investments",COUNTIF($E$6:$E80,"Investments"),"")</f>
        <v/>
      </c>
      <c r="O80" s="8" t="str">
        <f aca="false">IF($E80="Other Current Assets",COUNTIF($E$6:$E80,"Other Current Assets"),"")</f>
        <v/>
      </c>
      <c r="P80" s="8" t="str">
        <f aca="false">IF($E80="Current Liabilities",COUNTIF($E$6:$E80,"Current Liabilities"),"")</f>
        <v/>
      </c>
      <c r="Q80" s="8" t="str">
        <f aca="false">IF($E80="Long-term Loans",COUNTIF($E$6:$E80,"Long-term Loans"),"")</f>
        <v/>
      </c>
      <c r="R80" s="40" t="n">
        <f aca="false">IF(E80="Fixed Assets",ROUND(I80*N(F80),0),0)</f>
        <v>0</v>
      </c>
    </row>
    <row r="81" customFormat="false" ht="15" hidden="false" customHeight="false" outlineLevel="0" collapsed="false">
      <c r="A81" s="33" t="str">
        <f aca="false">IF(B81="","",ROW()-5)</f>
        <v/>
      </c>
      <c r="B81" s="76"/>
      <c r="C81" s="77"/>
      <c r="D81" s="77"/>
      <c r="E81" s="76"/>
      <c r="F81" s="78"/>
      <c r="G81" s="37" t="str">
        <f aca="false">IF(OR(B81="",E81=""),"",IF(VLOOKUP(E81,Lists!$A$2:$B$19,2,FALSE())="Dr",N(C81)-N(D81),N(D81)-N(C81)))</f>
        <v/>
      </c>
      <c r="H81" s="38" t="str">
        <f aca="false">IF(B81="","",SUMIF(Adjustments!$B$6:$B$10,B81,Adjustments!$C$6:$C$10)-SUMIF(Adjustments!$E$6:$E$10,B81,Adjustments!$F$6:$F$10)+SUMIF(Adjustments!$B$14:$B$18,B81,Adjustments!$C$14:$C$18)-SUMIF(Adjustments!$E$14:$E$18,B81,Adjustments!$F$14:$F$18))</f>
        <v/>
      </c>
      <c r="I81" s="39" t="str">
        <f aca="false">IF(B81="","",N(G81)+N(H81))</f>
        <v/>
      </c>
      <c r="J81" s="8" t="str">
        <f aca="false">IF($E81="Direct Expenses",COUNTIF($E$6:$E81,"Direct Expenses"),"")</f>
        <v/>
      </c>
      <c r="K81" s="8" t="str">
        <f aca="false">IF($E81="Indirect Expenses",COUNTIF($E$6:$E81,"Indirect Expenses"),"")</f>
        <v/>
      </c>
      <c r="L81" s="8" t="str">
        <f aca="false">IF($E81="Indirect Income",COUNTIF($E$6:$E81,"Indirect Income"),"")</f>
        <v/>
      </c>
      <c r="M81" s="8" t="str">
        <f aca="false">IF($E81="Fixed Assets",COUNTIF($E$6:$E81,"Fixed Assets"),"")</f>
        <v/>
      </c>
      <c r="N81" s="8" t="str">
        <f aca="false">IF($E81="Investments",COUNTIF($E$6:$E81,"Investments"),"")</f>
        <v/>
      </c>
      <c r="O81" s="8" t="str">
        <f aca="false">IF($E81="Other Current Assets",COUNTIF($E$6:$E81,"Other Current Assets"),"")</f>
        <v/>
      </c>
      <c r="P81" s="8" t="str">
        <f aca="false">IF($E81="Current Liabilities",COUNTIF($E$6:$E81,"Current Liabilities"),"")</f>
        <v/>
      </c>
      <c r="Q81" s="8" t="str">
        <f aca="false">IF($E81="Long-term Loans",COUNTIF($E$6:$E81,"Long-term Loans"),"")</f>
        <v/>
      </c>
      <c r="R81" s="40" t="n">
        <f aca="false">IF(E81="Fixed Assets",ROUND(I81*N(F81),0),0)</f>
        <v>0</v>
      </c>
    </row>
    <row r="82" customFormat="false" ht="15" hidden="false" customHeight="false" outlineLevel="0" collapsed="false">
      <c r="A82" s="33" t="str">
        <f aca="false">IF(B82="","",ROW()-5)</f>
        <v/>
      </c>
      <c r="B82" s="76"/>
      <c r="C82" s="77"/>
      <c r="D82" s="77"/>
      <c r="E82" s="76"/>
      <c r="F82" s="78"/>
      <c r="G82" s="37" t="str">
        <f aca="false">IF(OR(B82="",E82=""),"",IF(VLOOKUP(E82,Lists!$A$2:$B$19,2,FALSE())="Dr",N(C82)-N(D82),N(D82)-N(C82)))</f>
        <v/>
      </c>
      <c r="H82" s="38" t="str">
        <f aca="false">IF(B82="","",SUMIF(Adjustments!$B$6:$B$10,B82,Adjustments!$C$6:$C$10)-SUMIF(Adjustments!$E$6:$E$10,B82,Adjustments!$F$6:$F$10)+SUMIF(Adjustments!$B$14:$B$18,B82,Adjustments!$C$14:$C$18)-SUMIF(Adjustments!$E$14:$E$18,B82,Adjustments!$F$14:$F$18))</f>
        <v/>
      </c>
      <c r="I82" s="39" t="str">
        <f aca="false">IF(B82="","",N(G82)+N(H82))</f>
        <v/>
      </c>
      <c r="J82" s="8" t="str">
        <f aca="false">IF($E82="Direct Expenses",COUNTIF($E$6:$E82,"Direct Expenses"),"")</f>
        <v/>
      </c>
      <c r="K82" s="8" t="str">
        <f aca="false">IF($E82="Indirect Expenses",COUNTIF($E$6:$E82,"Indirect Expenses"),"")</f>
        <v/>
      </c>
      <c r="L82" s="8" t="str">
        <f aca="false">IF($E82="Indirect Income",COUNTIF($E$6:$E82,"Indirect Income"),"")</f>
        <v/>
      </c>
      <c r="M82" s="8" t="str">
        <f aca="false">IF($E82="Fixed Assets",COUNTIF($E$6:$E82,"Fixed Assets"),"")</f>
        <v/>
      </c>
      <c r="N82" s="8" t="str">
        <f aca="false">IF($E82="Investments",COUNTIF($E$6:$E82,"Investments"),"")</f>
        <v/>
      </c>
      <c r="O82" s="8" t="str">
        <f aca="false">IF($E82="Other Current Assets",COUNTIF($E$6:$E82,"Other Current Assets"),"")</f>
        <v/>
      </c>
      <c r="P82" s="8" t="str">
        <f aca="false">IF($E82="Current Liabilities",COUNTIF($E$6:$E82,"Current Liabilities"),"")</f>
        <v/>
      </c>
      <c r="Q82" s="8" t="str">
        <f aca="false">IF($E82="Long-term Loans",COUNTIF($E$6:$E82,"Long-term Loans"),"")</f>
        <v/>
      </c>
      <c r="R82" s="40" t="n">
        <f aca="false">IF(E82="Fixed Assets",ROUND(I82*N(F82),0),0)</f>
        <v>0</v>
      </c>
    </row>
    <row r="83" customFormat="false" ht="15" hidden="false" customHeight="false" outlineLevel="0" collapsed="false">
      <c r="A83" s="33" t="str">
        <f aca="false">IF(B83="","",ROW()-5)</f>
        <v/>
      </c>
      <c r="B83" s="76"/>
      <c r="C83" s="77"/>
      <c r="D83" s="77"/>
      <c r="E83" s="76"/>
      <c r="F83" s="78"/>
      <c r="G83" s="37" t="str">
        <f aca="false">IF(OR(B83="",E83=""),"",IF(VLOOKUP(E83,Lists!$A$2:$B$19,2,FALSE())="Dr",N(C83)-N(D83),N(D83)-N(C83)))</f>
        <v/>
      </c>
      <c r="H83" s="38" t="str">
        <f aca="false">IF(B83="","",SUMIF(Adjustments!$B$6:$B$10,B83,Adjustments!$C$6:$C$10)-SUMIF(Adjustments!$E$6:$E$10,B83,Adjustments!$F$6:$F$10)+SUMIF(Adjustments!$B$14:$B$18,B83,Adjustments!$C$14:$C$18)-SUMIF(Adjustments!$E$14:$E$18,B83,Adjustments!$F$14:$F$18))</f>
        <v/>
      </c>
      <c r="I83" s="39" t="str">
        <f aca="false">IF(B83="","",N(G83)+N(H83))</f>
        <v/>
      </c>
      <c r="J83" s="8" t="str">
        <f aca="false">IF($E83="Direct Expenses",COUNTIF($E$6:$E83,"Direct Expenses"),"")</f>
        <v/>
      </c>
      <c r="K83" s="8" t="str">
        <f aca="false">IF($E83="Indirect Expenses",COUNTIF($E$6:$E83,"Indirect Expenses"),"")</f>
        <v/>
      </c>
      <c r="L83" s="8" t="str">
        <f aca="false">IF($E83="Indirect Income",COUNTIF($E$6:$E83,"Indirect Income"),"")</f>
        <v/>
      </c>
      <c r="M83" s="8" t="str">
        <f aca="false">IF($E83="Fixed Assets",COUNTIF($E$6:$E83,"Fixed Assets"),"")</f>
        <v/>
      </c>
      <c r="N83" s="8" t="str">
        <f aca="false">IF($E83="Investments",COUNTIF($E$6:$E83,"Investments"),"")</f>
        <v/>
      </c>
      <c r="O83" s="8" t="str">
        <f aca="false">IF($E83="Other Current Assets",COUNTIF($E$6:$E83,"Other Current Assets"),"")</f>
        <v/>
      </c>
      <c r="P83" s="8" t="str">
        <f aca="false">IF($E83="Current Liabilities",COUNTIF($E$6:$E83,"Current Liabilities"),"")</f>
        <v/>
      </c>
      <c r="Q83" s="8" t="str">
        <f aca="false">IF($E83="Long-term Loans",COUNTIF($E$6:$E83,"Long-term Loans"),"")</f>
        <v/>
      </c>
      <c r="R83" s="40" t="n">
        <f aca="false">IF(E83="Fixed Assets",ROUND(I83*N(F83),0),0)</f>
        <v>0</v>
      </c>
    </row>
    <row r="84" customFormat="false" ht="15" hidden="false" customHeight="false" outlineLevel="0" collapsed="false">
      <c r="A84" s="33" t="str">
        <f aca="false">IF(B84="","",ROW()-5)</f>
        <v/>
      </c>
      <c r="B84" s="76"/>
      <c r="C84" s="77"/>
      <c r="D84" s="77"/>
      <c r="E84" s="76"/>
      <c r="F84" s="78"/>
      <c r="G84" s="37" t="str">
        <f aca="false">IF(OR(B84="",E84=""),"",IF(VLOOKUP(E84,Lists!$A$2:$B$19,2,FALSE())="Dr",N(C84)-N(D84),N(D84)-N(C84)))</f>
        <v/>
      </c>
      <c r="H84" s="38" t="str">
        <f aca="false">IF(B84="","",SUMIF(Adjustments!$B$6:$B$10,B84,Adjustments!$C$6:$C$10)-SUMIF(Adjustments!$E$6:$E$10,B84,Adjustments!$F$6:$F$10)+SUMIF(Adjustments!$B$14:$B$18,B84,Adjustments!$C$14:$C$18)-SUMIF(Adjustments!$E$14:$E$18,B84,Adjustments!$F$14:$F$18))</f>
        <v/>
      </c>
      <c r="I84" s="39" t="str">
        <f aca="false">IF(B84="","",N(G84)+N(H84))</f>
        <v/>
      </c>
      <c r="J84" s="8" t="str">
        <f aca="false">IF($E84="Direct Expenses",COUNTIF($E$6:$E84,"Direct Expenses"),"")</f>
        <v/>
      </c>
      <c r="K84" s="8" t="str">
        <f aca="false">IF($E84="Indirect Expenses",COUNTIF($E$6:$E84,"Indirect Expenses"),"")</f>
        <v/>
      </c>
      <c r="L84" s="8" t="str">
        <f aca="false">IF($E84="Indirect Income",COUNTIF($E$6:$E84,"Indirect Income"),"")</f>
        <v/>
      </c>
      <c r="M84" s="8" t="str">
        <f aca="false">IF($E84="Fixed Assets",COUNTIF($E$6:$E84,"Fixed Assets"),"")</f>
        <v/>
      </c>
      <c r="N84" s="8" t="str">
        <f aca="false">IF($E84="Investments",COUNTIF($E$6:$E84,"Investments"),"")</f>
        <v/>
      </c>
      <c r="O84" s="8" t="str">
        <f aca="false">IF($E84="Other Current Assets",COUNTIF($E$6:$E84,"Other Current Assets"),"")</f>
        <v/>
      </c>
      <c r="P84" s="8" t="str">
        <f aca="false">IF($E84="Current Liabilities",COUNTIF($E$6:$E84,"Current Liabilities"),"")</f>
        <v/>
      </c>
      <c r="Q84" s="8" t="str">
        <f aca="false">IF($E84="Long-term Loans",COUNTIF($E$6:$E84,"Long-term Loans"),"")</f>
        <v/>
      </c>
      <c r="R84" s="40" t="n">
        <f aca="false">IF(E84="Fixed Assets",ROUND(I84*N(F84),0),0)</f>
        <v>0</v>
      </c>
    </row>
    <row r="85" customFormat="false" ht="15" hidden="false" customHeight="false" outlineLevel="0" collapsed="false">
      <c r="A85" s="33" t="str">
        <f aca="false">IF(B85="","",ROW()-5)</f>
        <v/>
      </c>
      <c r="B85" s="76"/>
      <c r="C85" s="77"/>
      <c r="D85" s="77"/>
      <c r="E85" s="76"/>
      <c r="F85" s="78"/>
      <c r="G85" s="37" t="str">
        <f aca="false">IF(OR(B85="",E85=""),"",IF(VLOOKUP(E85,Lists!$A$2:$B$19,2,FALSE())="Dr",N(C85)-N(D85),N(D85)-N(C85)))</f>
        <v/>
      </c>
      <c r="H85" s="38" t="str">
        <f aca="false">IF(B85="","",SUMIF(Adjustments!$B$6:$B$10,B85,Adjustments!$C$6:$C$10)-SUMIF(Adjustments!$E$6:$E$10,B85,Adjustments!$F$6:$F$10)+SUMIF(Adjustments!$B$14:$B$18,B85,Adjustments!$C$14:$C$18)-SUMIF(Adjustments!$E$14:$E$18,B85,Adjustments!$F$14:$F$18))</f>
        <v/>
      </c>
      <c r="I85" s="39" t="str">
        <f aca="false">IF(B85="","",N(G85)+N(H85))</f>
        <v/>
      </c>
      <c r="J85" s="8" t="str">
        <f aca="false">IF($E85="Direct Expenses",COUNTIF($E$6:$E85,"Direct Expenses"),"")</f>
        <v/>
      </c>
      <c r="K85" s="8" t="str">
        <f aca="false">IF($E85="Indirect Expenses",COUNTIF($E$6:$E85,"Indirect Expenses"),"")</f>
        <v/>
      </c>
      <c r="L85" s="8" t="str">
        <f aca="false">IF($E85="Indirect Income",COUNTIF($E$6:$E85,"Indirect Income"),"")</f>
        <v/>
      </c>
      <c r="M85" s="8" t="str">
        <f aca="false">IF($E85="Fixed Assets",COUNTIF($E$6:$E85,"Fixed Assets"),"")</f>
        <v/>
      </c>
      <c r="N85" s="8" t="str">
        <f aca="false">IF($E85="Investments",COUNTIF($E$6:$E85,"Investments"),"")</f>
        <v/>
      </c>
      <c r="O85" s="8" t="str">
        <f aca="false">IF($E85="Other Current Assets",COUNTIF($E$6:$E85,"Other Current Assets"),"")</f>
        <v/>
      </c>
      <c r="P85" s="8" t="str">
        <f aca="false">IF($E85="Current Liabilities",COUNTIF($E$6:$E85,"Current Liabilities"),"")</f>
        <v/>
      </c>
      <c r="Q85" s="8" t="str">
        <f aca="false">IF($E85="Long-term Loans",COUNTIF($E$6:$E85,"Long-term Loans"),"")</f>
        <v/>
      </c>
      <c r="R85" s="40" t="n">
        <f aca="false">IF(E85="Fixed Assets",ROUND(I85*N(F85),0),0)</f>
        <v>0</v>
      </c>
    </row>
    <row r="86" customFormat="false" ht="15" hidden="false" customHeight="false" outlineLevel="0" collapsed="false">
      <c r="A86" s="33" t="str">
        <f aca="false">IF(B86="","",ROW()-5)</f>
        <v/>
      </c>
      <c r="B86" s="76"/>
      <c r="C86" s="77"/>
      <c r="D86" s="77"/>
      <c r="E86" s="76"/>
      <c r="F86" s="78"/>
      <c r="G86" s="37" t="str">
        <f aca="false">IF(OR(B86="",E86=""),"",IF(VLOOKUP(E86,Lists!$A$2:$B$19,2,FALSE())="Dr",N(C86)-N(D86),N(D86)-N(C86)))</f>
        <v/>
      </c>
      <c r="H86" s="38" t="str">
        <f aca="false">IF(B86="","",SUMIF(Adjustments!$B$6:$B$10,B86,Adjustments!$C$6:$C$10)-SUMIF(Adjustments!$E$6:$E$10,B86,Adjustments!$F$6:$F$10)+SUMIF(Adjustments!$B$14:$B$18,B86,Adjustments!$C$14:$C$18)-SUMIF(Adjustments!$E$14:$E$18,B86,Adjustments!$F$14:$F$18))</f>
        <v/>
      </c>
      <c r="I86" s="39" t="str">
        <f aca="false">IF(B86="","",N(G86)+N(H86))</f>
        <v/>
      </c>
      <c r="J86" s="8" t="str">
        <f aca="false">IF($E86="Direct Expenses",COUNTIF($E$6:$E86,"Direct Expenses"),"")</f>
        <v/>
      </c>
      <c r="K86" s="8" t="str">
        <f aca="false">IF($E86="Indirect Expenses",COUNTIF($E$6:$E86,"Indirect Expenses"),"")</f>
        <v/>
      </c>
      <c r="L86" s="8" t="str">
        <f aca="false">IF($E86="Indirect Income",COUNTIF($E$6:$E86,"Indirect Income"),"")</f>
        <v/>
      </c>
      <c r="M86" s="8" t="str">
        <f aca="false">IF($E86="Fixed Assets",COUNTIF($E$6:$E86,"Fixed Assets"),"")</f>
        <v/>
      </c>
      <c r="N86" s="8" t="str">
        <f aca="false">IF($E86="Investments",COUNTIF($E$6:$E86,"Investments"),"")</f>
        <v/>
      </c>
      <c r="O86" s="8" t="str">
        <f aca="false">IF($E86="Other Current Assets",COUNTIF($E$6:$E86,"Other Current Assets"),"")</f>
        <v/>
      </c>
      <c r="P86" s="8" t="str">
        <f aca="false">IF($E86="Current Liabilities",COUNTIF($E$6:$E86,"Current Liabilities"),"")</f>
        <v/>
      </c>
      <c r="Q86" s="8" t="str">
        <f aca="false">IF($E86="Long-term Loans",COUNTIF($E$6:$E86,"Long-term Loans"),"")</f>
        <v/>
      </c>
      <c r="R86" s="40" t="n">
        <f aca="false">IF(E86="Fixed Assets",ROUND(I86*N(F86),0),0)</f>
        <v>0</v>
      </c>
    </row>
    <row r="87" customFormat="false" ht="15" hidden="false" customHeight="false" outlineLevel="0" collapsed="false">
      <c r="A87" s="33" t="str">
        <f aca="false">IF(B87="","",ROW()-5)</f>
        <v/>
      </c>
      <c r="B87" s="76"/>
      <c r="C87" s="77"/>
      <c r="D87" s="77"/>
      <c r="E87" s="76"/>
      <c r="F87" s="78"/>
      <c r="G87" s="37" t="str">
        <f aca="false">IF(OR(B87="",E87=""),"",IF(VLOOKUP(E87,Lists!$A$2:$B$19,2,FALSE())="Dr",N(C87)-N(D87),N(D87)-N(C87)))</f>
        <v/>
      </c>
      <c r="H87" s="38" t="str">
        <f aca="false">IF(B87="","",SUMIF(Adjustments!$B$6:$B$10,B87,Adjustments!$C$6:$C$10)-SUMIF(Adjustments!$E$6:$E$10,B87,Adjustments!$F$6:$F$10)+SUMIF(Adjustments!$B$14:$B$18,B87,Adjustments!$C$14:$C$18)-SUMIF(Adjustments!$E$14:$E$18,B87,Adjustments!$F$14:$F$18))</f>
        <v/>
      </c>
      <c r="I87" s="39" t="str">
        <f aca="false">IF(B87="","",N(G87)+N(H87))</f>
        <v/>
      </c>
      <c r="J87" s="8" t="str">
        <f aca="false">IF($E87="Direct Expenses",COUNTIF($E$6:$E87,"Direct Expenses"),"")</f>
        <v/>
      </c>
      <c r="K87" s="8" t="str">
        <f aca="false">IF($E87="Indirect Expenses",COUNTIF($E$6:$E87,"Indirect Expenses"),"")</f>
        <v/>
      </c>
      <c r="L87" s="8" t="str">
        <f aca="false">IF($E87="Indirect Income",COUNTIF($E$6:$E87,"Indirect Income"),"")</f>
        <v/>
      </c>
      <c r="M87" s="8" t="str">
        <f aca="false">IF($E87="Fixed Assets",COUNTIF($E$6:$E87,"Fixed Assets"),"")</f>
        <v/>
      </c>
      <c r="N87" s="8" t="str">
        <f aca="false">IF($E87="Investments",COUNTIF($E$6:$E87,"Investments"),"")</f>
        <v/>
      </c>
      <c r="O87" s="8" t="str">
        <f aca="false">IF($E87="Other Current Assets",COUNTIF($E$6:$E87,"Other Current Assets"),"")</f>
        <v/>
      </c>
      <c r="P87" s="8" t="str">
        <f aca="false">IF($E87="Current Liabilities",COUNTIF($E$6:$E87,"Current Liabilities"),"")</f>
        <v/>
      </c>
      <c r="Q87" s="8" t="str">
        <f aca="false">IF($E87="Long-term Loans",COUNTIF($E$6:$E87,"Long-term Loans"),"")</f>
        <v/>
      </c>
      <c r="R87" s="40" t="n">
        <f aca="false">IF(E87="Fixed Assets",ROUND(I87*N(F87),0),0)</f>
        <v>0</v>
      </c>
    </row>
    <row r="88" customFormat="false" ht="15" hidden="false" customHeight="false" outlineLevel="0" collapsed="false">
      <c r="A88" s="33" t="str">
        <f aca="false">IF(B88="","",ROW()-5)</f>
        <v/>
      </c>
      <c r="B88" s="76"/>
      <c r="C88" s="77"/>
      <c r="D88" s="77"/>
      <c r="E88" s="76"/>
      <c r="F88" s="78"/>
      <c r="G88" s="37" t="str">
        <f aca="false">IF(OR(B88="",E88=""),"",IF(VLOOKUP(E88,Lists!$A$2:$B$19,2,FALSE())="Dr",N(C88)-N(D88),N(D88)-N(C88)))</f>
        <v/>
      </c>
      <c r="H88" s="38" t="str">
        <f aca="false">IF(B88="","",SUMIF(Adjustments!$B$6:$B$10,B88,Adjustments!$C$6:$C$10)-SUMIF(Adjustments!$E$6:$E$10,B88,Adjustments!$F$6:$F$10)+SUMIF(Adjustments!$B$14:$B$18,B88,Adjustments!$C$14:$C$18)-SUMIF(Adjustments!$E$14:$E$18,B88,Adjustments!$F$14:$F$18))</f>
        <v/>
      </c>
      <c r="I88" s="39" t="str">
        <f aca="false">IF(B88="","",N(G88)+N(H88))</f>
        <v/>
      </c>
      <c r="J88" s="8" t="str">
        <f aca="false">IF($E88="Direct Expenses",COUNTIF($E$6:$E88,"Direct Expenses"),"")</f>
        <v/>
      </c>
      <c r="K88" s="8" t="str">
        <f aca="false">IF($E88="Indirect Expenses",COUNTIF($E$6:$E88,"Indirect Expenses"),"")</f>
        <v/>
      </c>
      <c r="L88" s="8" t="str">
        <f aca="false">IF($E88="Indirect Income",COUNTIF($E$6:$E88,"Indirect Income"),"")</f>
        <v/>
      </c>
      <c r="M88" s="8" t="str">
        <f aca="false">IF($E88="Fixed Assets",COUNTIF($E$6:$E88,"Fixed Assets"),"")</f>
        <v/>
      </c>
      <c r="N88" s="8" t="str">
        <f aca="false">IF($E88="Investments",COUNTIF($E$6:$E88,"Investments"),"")</f>
        <v/>
      </c>
      <c r="O88" s="8" t="str">
        <f aca="false">IF($E88="Other Current Assets",COUNTIF($E$6:$E88,"Other Current Assets"),"")</f>
        <v/>
      </c>
      <c r="P88" s="8" t="str">
        <f aca="false">IF($E88="Current Liabilities",COUNTIF($E$6:$E88,"Current Liabilities"),"")</f>
        <v/>
      </c>
      <c r="Q88" s="8" t="str">
        <f aca="false">IF($E88="Long-term Loans",COUNTIF($E$6:$E88,"Long-term Loans"),"")</f>
        <v/>
      </c>
      <c r="R88" s="40" t="n">
        <f aca="false">IF(E88="Fixed Assets",ROUND(I88*N(F88),0),0)</f>
        <v>0</v>
      </c>
    </row>
    <row r="89" customFormat="false" ht="15" hidden="false" customHeight="false" outlineLevel="0" collapsed="false">
      <c r="A89" s="33" t="str">
        <f aca="false">IF(B89="","",ROW()-5)</f>
        <v/>
      </c>
      <c r="B89" s="76"/>
      <c r="C89" s="77"/>
      <c r="D89" s="77"/>
      <c r="E89" s="76"/>
      <c r="F89" s="78"/>
      <c r="G89" s="37" t="str">
        <f aca="false">IF(OR(B89="",E89=""),"",IF(VLOOKUP(E89,Lists!$A$2:$B$19,2,FALSE())="Dr",N(C89)-N(D89),N(D89)-N(C89)))</f>
        <v/>
      </c>
      <c r="H89" s="38" t="str">
        <f aca="false">IF(B89="","",SUMIF(Adjustments!$B$6:$B$10,B89,Adjustments!$C$6:$C$10)-SUMIF(Adjustments!$E$6:$E$10,B89,Adjustments!$F$6:$F$10)+SUMIF(Adjustments!$B$14:$B$18,B89,Adjustments!$C$14:$C$18)-SUMIF(Adjustments!$E$14:$E$18,B89,Adjustments!$F$14:$F$18))</f>
        <v/>
      </c>
      <c r="I89" s="39" t="str">
        <f aca="false">IF(B89="","",N(G89)+N(H89))</f>
        <v/>
      </c>
      <c r="J89" s="8" t="str">
        <f aca="false">IF($E89="Direct Expenses",COUNTIF($E$6:$E89,"Direct Expenses"),"")</f>
        <v/>
      </c>
      <c r="K89" s="8" t="str">
        <f aca="false">IF($E89="Indirect Expenses",COUNTIF($E$6:$E89,"Indirect Expenses"),"")</f>
        <v/>
      </c>
      <c r="L89" s="8" t="str">
        <f aca="false">IF($E89="Indirect Income",COUNTIF($E$6:$E89,"Indirect Income"),"")</f>
        <v/>
      </c>
      <c r="M89" s="8" t="str">
        <f aca="false">IF($E89="Fixed Assets",COUNTIF($E$6:$E89,"Fixed Assets"),"")</f>
        <v/>
      </c>
      <c r="N89" s="8" t="str">
        <f aca="false">IF($E89="Investments",COUNTIF($E$6:$E89,"Investments"),"")</f>
        <v/>
      </c>
      <c r="O89" s="8" t="str">
        <f aca="false">IF($E89="Other Current Assets",COUNTIF($E$6:$E89,"Other Current Assets"),"")</f>
        <v/>
      </c>
      <c r="P89" s="8" t="str">
        <f aca="false">IF($E89="Current Liabilities",COUNTIF($E$6:$E89,"Current Liabilities"),"")</f>
        <v/>
      </c>
      <c r="Q89" s="8" t="str">
        <f aca="false">IF($E89="Long-term Loans",COUNTIF($E$6:$E89,"Long-term Loans"),"")</f>
        <v/>
      </c>
      <c r="R89" s="40" t="n">
        <f aca="false">IF(E89="Fixed Assets",ROUND(I89*N(F89),0),0)</f>
        <v>0</v>
      </c>
    </row>
    <row r="90" customFormat="false" ht="15" hidden="false" customHeight="false" outlineLevel="0" collapsed="false">
      <c r="A90" s="33" t="str">
        <f aca="false">IF(B90="","",ROW()-5)</f>
        <v/>
      </c>
      <c r="B90" s="76"/>
      <c r="C90" s="77"/>
      <c r="D90" s="77"/>
      <c r="E90" s="76"/>
      <c r="F90" s="78"/>
      <c r="G90" s="37" t="str">
        <f aca="false">IF(OR(B90="",E90=""),"",IF(VLOOKUP(E90,Lists!$A$2:$B$19,2,FALSE())="Dr",N(C90)-N(D90),N(D90)-N(C90)))</f>
        <v/>
      </c>
      <c r="H90" s="38" t="str">
        <f aca="false">IF(B90="","",SUMIF(Adjustments!$B$6:$B$10,B90,Adjustments!$C$6:$C$10)-SUMIF(Adjustments!$E$6:$E$10,B90,Adjustments!$F$6:$F$10)+SUMIF(Adjustments!$B$14:$B$18,B90,Adjustments!$C$14:$C$18)-SUMIF(Adjustments!$E$14:$E$18,B90,Adjustments!$F$14:$F$18))</f>
        <v/>
      </c>
      <c r="I90" s="39" t="str">
        <f aca="false">IF(B90="","",N(G90)+N(H90))</f>
        <v/>
      </c>
      <c r="J90" s="8" t="str">
        <f aca="false">IF($E90="Direct Expenses",COUNTIF($E$6:$E90,"Direct Expenses"),"")</f>
        <v/>
      </c>
      <c r="K90" s="8" t="str">
        <f aca="false">IF($E90="Indirect Expenses",COUNTIF($E$6:$E90,"Indirect Expenses"),"")</f>
        <v/>
      </c>
      <c r="L90" s="8" t="str">
        <f aca="false">IF($E90="Indirect Income",COUNTIF($E$6:$E90,"Indirect Income"),"")</f>
        <v/>
      </c>
      <c r="M90" s="8" t="str">
        <f aca="false">IF($E90="Fixed Assets",COUNTIF($E$6:$E90,"Fixed Assets"),"")</f>
        <v/>
      </c>
      <c r="N90" s="8" t="str">
        <f aca="false">IF($E90="Investments",COUNTIF($E$6:$E90,"Investments"),"")</f>
        <v/>
      </c>
      <c r="O90" s="8" t="str">
        <f aca="false">IF($E90="Other Current Assets",COUNTIF($E$6:$E90,"Other Current Assets"),"")</f>
        <v/>
      </c>
      <c r="P90" s="8" t="str">
        <f aca="false">IF($E90="Current Liabilities",COUNTIF($E$6:$E90,"Current Liabilities"),"")</f>
        <v/>
      </c>
      <c r="Q90" s="8" t="str">
        <f aca="false">IF($E90="Long-term Loans",COUNTIF($E$6:$E90,"Long-term Loans"),"")</f>
        <v/>
      </c>
      <c r="R90" s="40" t="n">
        <f aca="false">IF(E90="Fixed Assets",ROUND(I90*N(F90),0),0)</f>
        <v>0</v>
      </c>
    </row>
    <row r="91" customFormat="false" ht="15" hidden="false" customHeight="false" outlineLevel="0" collapsed="false">
      <c r="A91" s="33" t="str">
        <f aca="false">IF(B91="","",ROW()-5)</f>
        <v/>
      </c>
      <c r="B91" s="76"/>
      <c r="C91" s="77"/>
      <c r="D91" s="77"/>
      <c r="E91" s="76"/>
      <c r="F91" s="78"/>
      <c r="G91" s="37" t="str">
        <f aca="false">IF(OR(B91="",E91=""),"",IF(VLOOKUP(E91,Lists!$A$2:$B$19,2,FALSE())="Dr",N(C91)-N(D91),N(D91)-N(C91)))</f>
        <v/>
      </c>
      <c r="H91" s="38" t="str">
        <f aca="false">IF(B91="","",SUMIF(Adjustments!$B$6:$B$10,B91,Adjustments!$C$6:$C$10)-SUMIF(Adjustments!$E$6:$E$10,B91,Adjustments!$F$6:$F$10)+SUMIF(Adjustments!$B$14:$B$18,B91,Adjustments!$C$14:$C$18)-SUMIF(Adjustments!$E$14:$E$18,B91,Adjustments!$F$14:$F$18))</f>
        <v/>
      </c>
      <c r="I91" s="39" t="str">
        <f aca="false">IF(B91="","",N(G91)+N(H91))</f>
        <v/>
      </c>
      <c r="J91" s="8" t="str">
        <f aca="false">IF($E91="Direct Expenses",COUNTIF($E$6:$E91,"Direct Expenses"),"")</f>
        <v/>
      </c>
      <c r="K91" s="8" t="str">
        <f aca="false">IF($E91="Indirect Expenses",COUNTIF($E$6:$E91,"Indirect Expenses"),"")</f>
        <v/>
      </c>
      <c r="L91" s="8" t="str">
        <f aca="false">IF($E91="Indirect Income",COUNTIF($E$6:$E91,"Indirect Income"),"")</f>
        <v/>
      </c>
      <c r="M91" s="8" t="str">
        <f aca="false">IF($E91="Fixed Assets",COUNTIF($E$6:$E91,"Fixed Assets"),"")</f>
        <v/>
      </c>
      <c r="N91" s="8" t="str">
        <f aca="false">IF($E91="Investments",COUNTIF($E$6:$E91,"Investments"),"")</f>
        <v/>
      </c>
      <c r="O91" s="8" t="str">
        <f aca="false">IF($E91="Other Current Assets",COUNTIF($E$6:$E91,"Other Current Assets"),"")</f>
        <v/>
      </c>
      <c r="P91" s="8" t="str">
        <f aca="false">IF($E91="Current Liabilities",COUNTIF($E$6:$E91,"Current Liabilities"),"")</f>
        <v/>
      </c>
      <c r="Q91" s="8" t="str">
        <f aca="false">IF($E91="Long-term Loans",COUNTIF($E$6:$E91,"Long-term Loans"),"")</f>
        <v/>
      </c>
      <c r="R91" s="40" t="n">
        <f aca="false">IF(E91="Fixed Assets",ROUND(I91*N(F91),0),0)</f>
        <v>0</v>
      </c>
    </row>
    <row r="92" customFormat="false" ht="15" hidden="false" customHeight="false" outlineLevel="0" collapsed="false">
      <c r="A92" s="33" t="str">
        <f aca="false">IF(B92="","",ROW()-5)</f>
        <v/>
      </c>
      <c r="B92" s="76"/>
      <c r="C92" s="77"/>
      <c r="D92" s="77"/>
      <c r="E92" s="76"/>
      <c r="F92" s="78"/>
      <c r="G92" s="37" t="str">
        <f aca="false">IF(OR(B92="",E92=""),"",IF(VLOOKUP(E92,Lists!$A$2:$B$19,2,FALSE())="Dr",N(C92)-N(D92),N(D92)-N(C92)))</f>
        <v/>
      </c>
      <c r="H92" s="38" t="str">
        <f aca="false">IF(B92="","",SUMIF(Adjustments!$B$6:$B$10,B92,Adjustments!$C$6:$C$10)-SUMIF(Adjustments!$E$6:$E$10,B92,Adjustments!$F$6:$F$10)+SUMIF(Adjustments!$B$14:$B$18,B92,Adjustments!$C$14:$C$18)-SUMIF(Adjustments!$E$14:$E$18,B92,Adjustments!$F$14:$F$18))</f>
        <v/>
      </c>
      <c r="I92" s="39" t="str">
        <f aca="false">IF(B92="","",N(G92)+N(H92))</f>
        <v/>
      </c>
      <c r="J92" s="8" t="str">
        <f aca="false">IF($E92="Direct Expenses",COUNTIF($E$6:$E92,"Direct Expenses"),"")</f>
        <v/>
      </c>
      <c r="K92" s="8" t="str">
        <f aca="false">IF($E92="Indirect Expenses",COUNTIF($E$6:$E92,"Indirect Expenses"),"")</f>
        <v/>
      </c>
      <c r="L92" s="8" t="str">
        <f aca="false">IF($E92="Indirect Income",COUNTIF($E$6:$E92,"Indirect Income"),"")</f>
        <v/>
      </c>
      <c r="M92" s="8" t="str">
        <f aca="false">IF($E92="Fixed Assets",COUNTIF($E$6:$E92,"Fixed Assets"),"")</f>
        <v/>
      </c>
      <c r="N92" s="8" t="str">
        <f aca="false">IF($E92="Investments",COUNTIF($E$6:$E92,"Investments"),"")</f>
        <v/>
      </c>
      <c r="O92" s="8" t="str">
        <f aca="false">IF($E92="Other Current Assets",COUNTIF($E$6:$E92,"Other Current Assets"),"")</f>
        <v/>
      </c>
      <c r="P92" s="8" t="str">
        <f aca="false">IF($E92="Current Liabilities",COUNTIF($E$6:$E92,"Current Liabilities"),"")</f>
        <v/>
      </c>
      <c r="Q92" s="8" t="str">
        <f aca="false">IF($E92="Long-term Loans",COUNTIF($E$6:$E92,"Long-term Loans"),"")</f>
        <v/>
      </c>
      <c r="R92" s="40" t="n">
        <f aca="false">IF(E92="Fixed Assets",ROUND(I92*N(F92),0),0)</f>
        <v>0</v>
      </c>
    </row>
    <row r="93" customFormat="false" ht="15" hidden="false" customHeight="false" outlineLevel="0" collapsed="false">
      <c r="A93" s="33" t="str">
        <f aca="false">IF(B93="","",ROW()-5)</f>
        <v/>
      </c>
      <c r="B93" s="76"/>
      <c r="C93" s="77"/>
      <c r="D93" s="77"/>
      <c r="E93" s="76"/>
      <c r="F93" s="78"/>
      <c r="G93" s="37" t="str">
        <f aca="false">IF(OR(B93="",E93=""),"",IF(VLOOKUP(E93,Lists!$A$2:$B$19,2,FALSE())="Dr",N(C93)-N(D93),N(D93)-N(C93)))</f>
        <v/>
      </c>
      <c r="H93" s="38" t="str">
        <f aca="false">IF(B93="","",SUMIF(Adjustments!$B$6:$B$10,B93,Adjustments!$C$6:$C$10)-SUMIF(Adjustments!$E$6:$E$10,B93,Adjustments!$F$6:$F$10)+SUMIF(Adjustments!$B$14:$B$18,B93,Adjustments!$C$14:$C$18)-SUMIF(Adjustments!$E$14:$E$18,B93,Adjustments!$F$14:$F$18))</f>
        <v/>
      </c>
      <c r="I93" s="39" t="str">
        <f aca="false">IF(B93="","",N(G93)+N(H93))</f>
        <v/>
      </c>
      <c r="J93" s="8" t="str">
        <f aca="false">IF($E93="Direct Expenses",COUNTIF($E$6:$E93,"Direct Expenses"),"")</f>
        <v/>
      </c>
      <c r="K93" s="8" t="str">
        <f aca="false">IF($E93="Indirect Expenses",COUNTIF($E$6:$E93,"Indirect Expenses"),"")</f>
        <v/>
      </c>
      <c r="L93" s="8" t="str">
        <f aca="false">IF($E93="Indirect Income",COUNTIF($E$6:$E93,"Indirect Income"),"")</f>
        <v/>
      </c>
      <c r="M93" s="8" t="str">
        <f aca="false">IF($E93="Fixed Assets",COUNTIF($E$6:$E93,"Fixed Assets"),"")</f>
        <v/>
      </c>
      <c r="N93" s="8" t="str">
        <f aca="false">IF($E93="Investments",COUNTIF($E$6:$E93,"Investments"),"")</f>
        <v/>
      </c>
      <c r="O93" s="8" t="str">
        <f aca="false">IF($E93="Other Current Assets",COUNTIF($E$6:$E93,"Other Current Assets"),"")</f>
        <v/>
      </c>
      <c r="P93" s="8" t="str">
        <f aca="false">IF($E93="Current Liabilities",COUNTIF($E$6:$E93,"Current Liabilities"),"")</f>
        <v/>
      </c>
      <c r="Q93" s="8" t="str">
        <f aca="false">IF($E93="Long-term Loans",COUNTIF($E$6:$E93,"Long-term Loans"),"")</f>
        <v/>
      </c>
      <c r="R93" s="40" t="n">
        <f aca="false">IF(E93="Fixed Assets",ROUND(I93*N(F93),0),0)</f>
        <v>0</v>
      </c>
    </row>
    <row r="94" customFormat="false" ht="15" hidden="false" customHeight="false" outlineLevel="0" collapsed="false">
      <c r="A94" s="33" t="str">
        <f aca="false">IF(B94="","",ROW()-5)</f>
        <v/>
      </c>
      <c r="B94" s="76"/>
      <c r="C94" s="77"/>
      <c r="D94" s="77"/>
      <c r="E94" s="76"/>
      <c r="F94" s="78"/>
      <c r="G94" s="37" t="str">
        <f aca="false">IF(OR(B94="",E94=""),"",IF(VLOOKUP(E94,Lists!$A$2:$B$19,2,FALSE())="Dr",N(C94)-N(D94),N(D94)-N(C94)))</f>
        <v/>
      </c>
      <c r="H94" s="38" t="str">
        <f aca="false">IF(B94="","",SUMIF(Adjustments!$B$6:$B$10,B94,Adjustments!$C$6:$C$10)-SUMIF(Adjustments!$E$6:$E$10,B94,Adjustments!$F$6:$F$10)+SUMIF(Adjustments!$B$14:$B$18,B94,Adjustments!$C$14:$C$18)-SUMIF(Adjustments!$E$14:$E$18,B94,Adjustments!$F$14:$F$18))</f>
        <v/>
      </c>
      <c r="I94" s="39" t="str">
        <f aca="false">IF(B94="","",N(G94)+N(H94))</f>
        <v/>
      </c>
      <c r="J94" s="8" t="str">
        <f aca="false">IF($E94="Direct Expenses",COUNTIF($E$6:$E94,"Direct Expenses"),"")</f>
        <v/>
      </c>
      <c r="K94" s="8" t="str">
        <f aca="false">IF($E94="Indirect Expenses",COUNTIF($E$6:$E94,"Indirect Expenses"),"")</f>
        <v/>
      </c>
      <c r="L94" s="8" t="str">
        <f aca="false">IF($E94="Indirect Income",COUNTIF($E$6:$E94,"Indirect Income"),"")</f>
        <v/>
      </c>
      <c r="M94" s="8" t="str">
        <f aca="false">IF($E94="Fixed Assets",COUNTIF($E$6:$E94,"Fixed Assets"),"")</f>
        <v/>
      </c>
      <c r="N94" s="8" t="str">
        <f aca="false">IF($E94="Investments",COUNTIF($E$6:$E94,"Investments"),"")</f>
        <v/>
      </c>
      <c r="O94" s="8" t="str">
        <f aca="false">IF($E94="Other Current Assets",COUNTIF($E$6:$E94,"Other Current Assets"),"")</f>
        <v/>
      </c>
      <c r="P94" s="8" t="str">
        <f aca="false">IF($E94="Current Liabilities",COUNTIF($E$6:$E94,"Current Liabilities"),"")</f>
        <v/>
      </c>
      <c r="Q94" s="8" t="str">
        <f aca="false">IF($E94="Long-term Loans",COUNTIF($E$6:$E94,"Long-term Loans"),"")</f>
        <v/>
      </c>
      <c r="R94" s="40" t="n">
        <f aca="false">IF(E94="Fixed Assets",ROUND(I94*N(F94),0),0)</f>
        <v>0</v>
      </c>
    </row>
    <row r="95" customFormat="false" ht="15" hidden="false" customHeight="false" outlineLevel="0" collapsed="false">
      <c r="A95" s="33" t="str">
        <f aca="false">IF(B95="","",ROW()-5)</f>
        <v/>
      </c>
      <c r="B95" s="76"/>
      <c r="C95" s="77"/>
      <c r="D95" s="77"/>
      <c r="E95" s="76"/>
      <c r="F95" s="78"/>
      <c r="G95" s="37" t="str">
        <f aca="false">IF(OR(B95="",E95=""),"",IF(VLOOKUP(E95,Lists!$A$2:$B$19,2,FALSE())="Dr",N(C95)-N(D95),N(D95)-N(C95)))</f>
        <v/>
      </c>
      <c r="H95" s="38" t="str">
        <f aca="false">IF(B95="","",SUMIF(Adjustments!$B$6:$B$10,B95,Adjustments!$C$6:$C$10)-SUMIF(Adjustments!$E$6:$E$10,B95,Adjustments!$F$6:$F$10)+SUMIF(Adjustments!$B$14:$B$18,B95,Adjustments!$C$14:$C$18)-SUMIF(Adjustments!$E$14:$E$18,B95,Adjustments!$F$14:$F$18))</f>
        <v/>
      </c>
      <c r="I95" s="39" t="str">
        <f aca="false">IF(B95="","",N(G95)+N(H95))</f>
        <v/>
      </c>
      <c r="J95" s="8" t="str">
        <f aca="false">IF($E95="Direct Expenses",COUNTIF($E$6:$E95,"Direct Expenses"),"")</f>
        <v/>
      </c>
      <c r="K95" s="8" t="str">
        <f aca="false">IF($E95="Indirect Expenses",COUNTIF($E$6:$E95,"Indirect Expenses"),"")</f>
        <v/>
      </c>
      <c r="L95" s="8" t="str">
        <f aca="false">IF($E95="Indirect Income",COUNTIF($E$6:$E95,"Indirect Income"),"")</f>
        <v/>
      </c>
      <c r="M95" s="8" t="str">
        <f aca="false">IF($E95="Fixed Assets",COUNTIF($E$6:$E95,"Fixed Assets"),"")</f>
        <v/>
      </c>
      <c r="N95" s="8" t="str">
        <f aca="false">IF($E95="Investments",COUNTIF($E$6:$E95,"Investments"),"")</f>
        <v/>
      </c>
      <c r="O95" s="8" t="str">
        <f aca="false">IF($E95="Other Current Assets",COUNTIF($E$6:$E95,"Other Current Assets"),"")</f>
        <v/>
      </c>
      <c r="P95" s="8" t="str">
        <f aca="false">IF($E95="Current Liabilities",COUNTIF($E$6:$E95,"Current Liabilities"),"")</f>
        <v/>
      </c>
      <c r="Q95" s="8" t="str">
        <f aca="false">IF($E95="Long-term Loans",COUNTIF($E$6:$E95,"Long-term Loans"),"")</f>
        <v/>
      </c>
      <c r="R95" s="40" t="n">
        <f aca="false">IF(E95="Fixed Assets",ROUND(I95*N(F95),0),0)</f>
        <v>0</v>
      </c>
    </row>
    <row r="96" customFormat="false" ht="15" hidden="false" customHeight="false" outlineLevel="0" collapsed="false">
      <c r="A96" s="33" t="str">
        <f aca="false">IF(B96="","",ROW()-5)</f>
        <v/>
      </c>
      <c r="B96" s="76"/>
      <c r="C96" s="77"/>
      <c r="D96" s="77"/>
      <c r="E96" s="76"/>
      <c r="F96" s="78"/>
      <c r="G96" s="37" t="str">
        <f aca="false">IF(OR(B96="",E96=""),"",IF(VLOOKUP(E96,Lists!$A$2:$B$19,2,FALSE())="Dr",N(C96)-N(D96),N(D96)-N(C96)))</f>
        <v/>
      </c>
      <c r="H96" s="38" t="str">
        <f aca="false">IF(B96="","",SUMIF(Adjustments!$B$6:$B$10,B96,Adjustments!$C$6:$C$10)-SUMIF(Adjustments!$E$6:$E$10,B96,Adjustments!$F$6:$F$10)+SUMIF(Adjustments!$B$14:$B$18,B96,Adjustments!$C$14:$C$18)-SUMIF(Adjustments!$E$14:$E$18,B96,Adjustments!$F$14:$F$18))</f>
        <v/>
      </c>
      <c r="I96" s="39" t="str">
        <f aca="false">IF(B96="","",N(G96)+N(H96))</f>
        <v/>
      </c>
      <c r="J96" s="8" t="str">
        <f aca="false">IF($E96="Direct Expenses",COUNTIF($E$6:$E96,"Direct Expenses"),"")</f>
        <v/>
      </c>
      <c r="K96" s="8" t="str">
        <f aca="false">IF($E96="Indirect Expenses",COUNTIF($E$6:$E96,"Indirect Expenses"),"")</f>
        <v/>
      </c>
      <c r="L96" s="8" t="str">
        <f aca="false">IF($E96="Indirect Income",COUNTIF($E$6:$E96,"Indirect Income"),"")</f>
        <v/>
      </c>
      <c r="M96" s="8" t="str">
        <f aca="false">IF($E96="Fixed Assets",COUNTIF($E$6:$E96,"Fixed Assets"),"")</f>
        <v/>
      </c>
      <c r="N96" s="8" t="str">
        <f aca="false">IF($E96="Investments",COUNTIF($E$6:$E96,"Investments"),"")</f>
        <v/>
      </c>
      <c r="O96" s="8" t="str">
        <f aca="false">IF($E96="Other Current Assets",COUNTIF($E$6:$E96,"Other Current Assets"),"")</f>
        <v/>
      </c>
      <c r="P96" s="8" t="str">
        <f aca="false">IF($E96="Current Liabilities",COUNTIF($E$6:$E96,"Current Liabilities"),"")</f>
        <v/>
      </c>
      <c r="Q96" s="8" t="str">
        <f aca="false">IF($E96="Long-term Loans",COUNTIF($E$6:$E96,"Long-term Loans"),"")</f>
        <v/>
      </c>
      <c r="R96" s="40" t="n">
        <f aca="false">IF(E96="Fixed Assets",ROUND(I96*N(F96),0),0)</f>
        <v>0</v>
      </c>
    </row>
    <row r="97" customFormat="false" ht="15" hidden="false" customHeight="false" outlineLevel="0" collapsed="false">
      <c r="A97" s="33" t="str">
        <f aca="false">IF(B97="","",ROW()-5)</f>
        <v/>
      </c>
      <c r="B97" s="76"/>
      <c r="C97" s="77"/>
      <c r="D97" s="77"/>
      <c r="E97" s="76"/>
      <c r="F97" s="78"/>
      <c r="G97" s="37" t="str">
        <f aca="false">IF(OR(B97="",E97=""),"",IF(VLOOKUP(E97,Lists!$A$2:$B$19,2,FALSE())="Dr",N(C97)-N(D97),N(D97)-N(C97)))</f>
        <v/>
      </c>
      <c r="H97" s="38" t="str">
        <f aca="false">IF(B97="","",SUMIF(Adjustments!$B$6:$B$10,B97,Adjustments!$C$6:$C$10)-SUMIF(Adjustments!$E$6:$E$10,B97,Adjustments!$F$6:$F$10)+SUMIF(Adjustments!$B$14:$B$18,B97,Adjustments!$C$14:$C$18)-SUMIF(Adjustments!$E$14:$E$18,B97,Adjustments!$F$14:$F$18))</f>
        <v/>
      </c>
      <c r="I97" s="39" t="str">
        <f aca="false">IF(B97="","",N(G97)+N(H97))</f>
        <v/>
      </c>
      <c r="J97" s="8" t="str">
        <f aca="false">IF($E97="Direct Expenses",COUNTIF($E$6:$E97,"Direct Expenses"),"")</f>
        <v/>
      </c>
      <c r="K97" s="8" t="str">
        <f aca="false">IF($E97="Indirect Expenses",COUNTIF($E$6:$E97,"Indirect Expenses"),"")</f>
        <v/>
      </c>
      <c r="L97" s="8" t="str">
        <f aca="false">IF($E97="Indirect Income",COUNTIF($E$6:$E97,"Indirect Income"),"")</f>
        <v/>
      </c>
      <c r="M97" s="8" t="str">
        <f aca="false">IF($E97="Fixed Assets",COUNTIF($E$6:$E97,"Fixed Assets"),"")</f>
        <v/>
      </c>
      <c r="N97" s="8" t="str">
        <f aca="false">IF($E97="Investments",COUNTIF($E$6:$E97,"Investments"),"")</f>
        <v/>
      </c>
      <c r="O97" s="8" t="str">
        <f aca="false">IF($E97="Other Current Assets",COUNTIF($E$6:$E97,"Other Current Assets"),"")</f>
        <v/>
      </c>
      <c r="P97" s="8" t="str">
        <f aca="false">IF($E97="Current Liabilities",COUNTIF($E$6:$E97,"Current Liabilities"),"")</f>
        <v/>
      </c>
      <c r="Q97" s="8" t="str">
        <f aca="false">IF($E97="Long-term Loans",COUNTIF($E$6:$E97,"Long-term Loans"),"")</f>
        <v/>
      </c>
      <c r="R97" s="40" t="n">
        <f aca="false">IF(E97="Fixed Assets",ROUND(I97*N(F97),0),0)</f>
        <v>0</v>
      </c>
    </row>
    <row r="98" customFormat="false" ht="15" hidden="false" customHeight="false" outlineLevel="0" collapsed="false">
      <c r="A98" s="33" t="str">
        <f aca="false">IF(B98="","",ROW()-5)</f>
        <v/>
      </c>
      <c r="B98" s="76"/>
      <c r="C98" s="77"/>
      <c r="D98" s="77"/>
      <c r="E98" s="76"/>
      <c r="F98" s="78"/>
      <c r="G98" s="37" t="str">
        <f aca="false">IF(OR(B98="",E98=""),"",IF(VLOOKUP(E98,Lists!$A$2:$B$19,2,FALSE())="Dr",N(C98)-N(D98),N(D98)-N(C98)))</f>
        <v/>
      </c>
      <c r="H98" s="38" t="str">
        <f aca="false">IF(B98="","",SUMIF(Adjustments!$B$6:$B$10,B98,Adjustments!$C$6:$C$10)-SUMIF(Adjustments!$E$6:$E$10,B98,Adjustments!$F$6:$F$10)+SUMIF(Adjustments!$B$14:$B$18,B98,Adjustments!$C$14:$C$18)-SUMIF(Adjustments!$E$14:$E$18,B98,Adjustments!$F$14:$F$18))</f>
        <v/>
      </c>
      <c r="I98" s="39" t="str">
        <f aca="false">IF(B98="","",N(G98)+N(H98))</f>
        <v/>
      </c>
      <c r="J98" s="8" t="str">
        <f aca="false">IF($E98="Direct Expenses",COUNTIF($E$6:$E98,"Direct Expenses"),"")</f>
        <v/>
      </c>
      <c r="K98" s="8" t="str">
        <f aca="false">IF($E98="Indirect Expenses",COUNTIF($E$6:$E98,"Indirect Expenses"),"")</f>
        <v/>
      </c>
      <c r="L98" s="8" t="str">
        <f aca="false">IF($E98="Indirect Income",COUNTIF($E$6:$E98,"Indirect Income"),"")</f>
        <v/>
      </c>
      <c r="M98" s="8" t="str">
        <f aca="false">IF($E98="Fixed Assets",COUNTIF($E$6:$E98,"Fixed Assets"),"")</f>
        <v/>
      </c>
      <c r="N98" s="8" t="str">
        <f aca="false">IF($E98="Investments",COUNTIF($E$6:$E98,"Investments"),"")</f>
        <v/>
      </c>
      <c r="O98" s="8" t="str">
        <f aca="false">IF($E98="Other Current Assets",COUNTIF($E$6:$E98,"Other Current Assets"),"")</f>
        <v/>
      </c>
      <c r="P98" s="8" t="str">
        <f aca="false">IF($E98="Current Liabilities",COUNTIF($E$6:$E98,"Current Liabilities"),"")</f>
        <v/>
      </c>
      <c r="Q98" s="8" t="str">
        <f aca="false">IF($E98="Long-term Loans",COUNTIF($E$6:$E98,"Long-term Loans"),"")</f>
        <v/>
      </c>
      <c r="R98" s="40" t="n">
        <f aca="false">IF(E98="Fixed Assets",ROUND(I98*N(F98),0),0)</f>
        <v>0</v>
      </c>
    </row>
    <row r="99" customFormat="false" ht="15" hidden="false" customHeight="false" outlineLevel="0" collapsed="false">
      <c r="A99" s="33" t="str">
        <f aca="false">IF(B99="","",ROW()-5)</f>
        <v/>
      </c>
      <c r="B99" s="76"/>
      <c r="C99" s="77"/>
      <c r="D99" s="77"/>
      <c r="E99" s="76"/>
      <c r="F99" s="78"/>
      <c r="G99" s="37" t="str">
        <f aca="false">IF(OR(B99="",E99=""),"",IF(VLOOKUP(E99,Lists!$A$2:$B$19,2,FALSE())="Dr",N(C99)-N(D99),N(D99)-N(C99)))</f>
        <v/>
      </c>
      <c r="H99" s="38" t="str">
        <f aca="false">IF(B99="","",SUMIF(Adjustments!$B$6:$B$10,B99,Adjustments!$C$6:$C$10)-SUMIF(Adjustments!$E$6:$E$10,B99,Adjustments!$F$6:$F$10)+SUMIF(Adjustments!$B$14:$B$18,B99,Adjustments!$C$14:$C$18)-SUMIF(Adjustments!$E$14:$E$18,B99,Adjustments!$F$14:$F$18))</f>
        <v/>
      </c>
      <c r="I99" s="39" t="str">
        <f aca="false">IF(B99="","",N(G99)+N(H99))</f>
        <v/>
      </c>
      <c r="J99" s="8" t="str">
        <f aca="false">IF($E99="Direct Expenses",COUNTIF($E$6:$E99,"Direct Expenses"),"")</f>
        <v/>
      </c>
      <c r="K99" s="8" t="str">
        <f aca="false">IF($E99="Indirect Expenses",COUNTIF($E$6:$E99,"Indirect Expenses"),"")</f>
        <v/>
      </c>
      <c r="L99" s="8" t="str">
        <f aca="false">IF($E99="Indirect Income",COUNTIF($E$6:$E99,"Indirect Income"),"")</f>
        <v/>
      </c>
      <c r="M99" s="8" t="str">
        <f aca="false">IF($E99="Fixed Assets",COUNTIF($E$6:$E99,"Fixed Assets"),"")</f>
        <v/>
      </c>
      <c r="N99" s="8" t="str">
        <f aca="false">IF($E99="Investments",COUNTIF($E$6:$E99,"Investments"),"")</f>
        <v/>
      </c>
      <c r="O99" s="8" t="str">
        <f aca="false">IF($E99="Other Current Assets",COUNTIF($E$6:$E99,"Other Current Assets"),"")</f>
        <v/>
      </c>
      <c r="P99" s="8" t="str">
        <f aca="false">IF($E99="Current Liabilities",COUNTIF($E$6:$E99,"Current Liabilities"),"")</f>
        <v/>
      </c>
      <c r="Q99" s="8" t="str">
        <f aca="false">IF($E99="Long-term Loans",COUNTIF($E$6:$E99,"Long-term Loans"),"")</f>
        <v/>
      </c>
      <c r="R99" s="40" t="n">
        <f aca="false">IF(E99="Fixed Assets",ROUND(I99*N(F99),0),0)</f>
        <v>0</v>
      </c>
    </row>
    <row r="100" customFormat="false" ht="15" hidden="false" customHeight="false" outlineLevel="0" collapsed="false">
      <c r="A100" s="33" t="str">
        <f aca="false">IF(B100="","",ROW()-5)</f>
        <v/>
      </c>
      <c r="B100" s="76"/>
      <c r="C100" s="77"/>
      <c r="D100" s="77"/>
      <c r="E100" s="76"/>
      <c r="F100" s="78"/>
      <c r="G100" s="37" t="str">
        <f aca="false">IF(OR(B100="",E100=""),"",IF(VLOOKUP(E100,Lists!$A$2:$B$19,2,FALSE())="Dr",N(C100)-N(D100),N(D100)-N(C100)))</f>
        <v/>
      </c>
      <c r="H100" s="38" t="str">
        <f aca="false">IF(B100="","",SUMIF(Adjustments!$B$6:$B$10,B100,Adjustments!$C$6:$C$10)-SUMIF(Adjustments!$E$6:$E$10,B100,Adjustments!$F$6:$F$10)+SUMIF(Adjustments!$B$14:$B$18,B100,Adjustments!$C$14:$C$18)-SUMIF(Adjustments!$E$14:$E$18,B100,Adjustments!$F$14:$F$18))</f>
        <v/>
      </c>
      <c r="I100" s="39" t="str">
        <f aca="false">IF(B100="","",N(G100)+N(H100))</f>
        <v/>
      </c>
      <c r="J100" s="8" t="str">
        <f aca="false">IF($E100="Direct Expenses",COUNTIF($E$6:$E100,"Direct Expenses"),"")</f>
        <v/>
      </c>
      <c r="K100" s="8" t="str">
        <f aca="false">IF($E100="Indirect Expenses",COUNTIF($E$6:$E100,"Indirect Expenses"),"")</f>
        <v/>
      </c>
      <c r="L100" s="8" t="str">
        <f aca="false">IF($E100="Indirect Income",COUNTIF($E$6:$E100,"Indirect Income"),"")</f>
        <v/>
      </c>
      <c r="M100" s="8" t="str">
        <f aca="false">IF($E100="Fixed Assets",COUNTIF($E$6:$E100,"Fixed Assets"),"")</f>
        <v/>
      </c>
      <c r="N100" s="8" t="str">
        <f aca="false">IF($E100="Investments",COUNTIF($E$6:$E100,"Investments"),"")</f>
        <v/>
      </c>
      <c r="O100" s="8" t="str">
        <f aca="false">IF($E100="Other Current Assets",COUNTIF($E$6:$E100,"Other Current Assets"),"")</f>
        <v/>
      </c>
      <c r="P100" s="8" t="str">
        <f aca="false">IF($E100="Current Liabilities",COUNTIF($E$6:$E100,"Current Liabilities"),"")</f>
        <v/>
      </c>
      <c r="Q100" s="8" t="str">
        <f aca="false">IF($E100="Long-term Loans",COUNTIF($E$6:$E100,"Long-term Loans"),"")</f>
        <v/>
      </c>
      <c r="R100" s="40" t="n">
        <f aca="false">IF(E100="Fixed Assets",ROUND(I100*N(F100),0),0)</f>
        <v>0</v>
      </c>
    </row>
    <row r="101" customFormat="false" ht="15" hidden="false" customHeight="false" outlineLevel="0" collapsed="false">
      <c r="A101" s="33" t="str">
        <f aca="false">IF(B101="","",ROW()-5)</f>
        <v/>
      </c>
      <c r="B101" s="76"/>
      <c r="C101" s="77"/>
      <c r="D101" s="77"/>
      <c r="E101" s="76"/>
      <c r="F101" s="78"/>
      <c r="G101" s="37" t="str">
        <f aca="false">IF(OR(B101="",E101=""),"",IF(VLOOKUP(E101,Lists!$A$2:$B$19,2,FALSE())="Dr",N(C101)-N(D101),N(D101)-N(C101)))</f>
        <v/>
      </c>
      <c r="H101" s="38" t="str">
        <f aca="false">IF(B101="","",SUMIF(Adjustments!$B$6:$B$10,B101,Adjustments!$C$6:$C$10)-SUMIF(Adjustments!$E$6:$E$10,B101,Adjustments!$F$6:$F$10)+SUMIF(Adjustments!$B$14:$B$18,B101,Adjustments!$C$14:$C$18)-SUMIF(Adjustments!$E$14:$E$18,B101,Adjustments!$F$14:$F$18))</f>
        <v/>
      </c>
      <c r="I101" s="39" t="str">
        <f aca="false">IF(B101="","",N(G101)+N(H101))</f>
        <v/>
      </c>
      <c r="J101" s="8" t="str">
        <f aca="false">IF($E101="Direct Expenses",COUNTIF($E$6:$E101,"Direct Expenses"),"")</f>
        <v/>
      </c>
      <c r="K101" s="8" t="str">
        <f aca="false">IF($E101="Indirect Expenses",COUNTIF($E$6:$E101,"Indirect Expenses"),"")</f>
        <v/>
      </c>
      <c r="L101" s="8" t="str">
        <f aca="false">IF($E101="Indirect Income",COUNTIF($E$6:$E101,"Indirect Income"),"")</f>
        <v/>
      </c>
      <c r="M101" s="8" t="str">
        <f aca="false">IF($E101="Fixed Assets",COUNTIF($E$6:$E101,"Fixed Assets"),"")</f>
        <v/>
      </c>
      <c r="N101" s="8" t="str">
        <f aca="false">IF($E101="Investments",COUNTIF($E$6:$E101,"Investments"),"")</f>
        <v/>
      </c>
      <c r="O101" s="8" t="str">
        <f aca="false">IF($E101="Other Current Assets",COUNTIF($E$6:$E101,"Other Current Assets"),"")</f>
        <v/>
      </c>
      <c r="P101" s="8" t="str">
        <f aca="false">IF($E101="Current Liabilities",COUNTIF($E$6:$E101,"Current Liabilities"),"")</f>
        <v/>
      </c>
      <c r="Q101" s="8" t="str">
        <f aca="false">IF($E101="Long-term Loans",COUNTIF($E$6:$E101,"Long-term Loans"),"")</f>
        <v/>
      </c>
      <c r="R101" s="40" t="n">
        <f aca="false">IF(E101="Fixed Assets",ROUND(I101*N(F101),0),0)</f>
        <v>0</v>
      </c>
    </row>
    <row r="102" customFormat="false" ht="15" hidden="false" customHeight="false" outlineLevel="0" collapsed="false">
      <c r="A102" s="33" t="str">
        <f aca="false">IF(B102="","",ROW()-5)</f>
        <v/>
      </c>
      <c r="B102" s="76"/>
      <c r="C102" s="77"/>
      <c r="D102" s="77"/>
      <c r="E102" s="76"/>
      <c r="F102" s="78"/>
      <c r="G102" s="37" t="str">
        <f aca="false">IF(OR(B102="",E102=""),"",IF(VLOOKUP(E102,Lists!$A$2:$B$19,2,FALSE())="Dr",N(C102)-N(D102),N(D102)-N(C102)))</f>
        <v/>
      </c>
      <c r="H102" s="38" t="str">
        <f aca="false">IF(B102="","",SUMIF(Adjustments!$B$6:$B$10,B102,Adjustments!$C$6:$C$10)-SUMIF(Adjustments!$E$6:$E$10,B102,Adjustments!$F$6:$F$10)+SUMIF(Adjustments!$B$14:$B$18,B102,Adjustments!$C$14:$C$18)-SUMIF(Adjustments!$E$14:$E$18,B102,Adjustments!$F$14:$F$18))</f>
        <v/>
      </c>
      <c r="I102" s="39" t="str">
        <f aca="false">IF(B102="","",N(G102)+N(H102))</f>
        <v/>
      </c>
      <c r="J102" s="8" t="str">
        <f aca="false">IF($E102="Direct Expenses",COUNTIF($E$6:$E102,"Direct Expenses"),"")</f>
        <v/>
      </c>
      <c r="K102" s="8" t="str">
        <f aca="false">IF($E102="Indirect Expenses",COUNTIF($E$6:$E102,"Indirect Expenses"),"")</f>
        <v/>
      </c>
      <c r="L102" s="8" t="str">
        <f aca="false">IF($E102="Indirect Income",COUNTIF($E$6:$E102,"Indirect Income"),"")</f>
        <v/>
      </c>
      <c r="M102" s="8" t="str">
        <f aca="false">IF($E102="Fixed Assets",COUNTIF($E$6:$E102,"Fixed Assets"),"")</f>
        <v/>
      </c>
      <c r="N102" s="8" t="str">
        <f aca="false">IF($E102="Investments",COUNTIF($E$6:$E102,"Investments"),"")</f>
        <v/>
      </c>
      <c r="O102" s="8" t="str">
        <f aca="false">IF($E102="Other Current Assets",COUNTIF($E$6:$E102,"Other Current Assets"),"")</f>
        <v/>
      </c>
      <c r="P102" s="8" t="str">
        <f aca="false">IF($E102="Current Liabilities",COUNTIF($E$6:$E102,"Current Liabilities"),"")</f>
        <v/>
      </c>
      <c r="Q102" s="8" t="str">
        <f aca="false">IF($E102="Long-term Loans",COUNTIF($E$6:$E102,"Long-term Loans"),"")</f>
        <v/>
      </c>
      <c r="R102" s="40" t="n">
        <f aca="false">IF(E102="Fixed Assets",ROUND(I102*N(F102),0),0)</f>
        <v>0</v>
      </c>
    </row>
    <row r="103" customFormat="false" ht="15" hidden="false" customHeight="false" outlineLevel="0" collapsed="false">
      <c r="A103" s="33" t="str">
        <f aca="false">IF(B103="","",ROW()-5)</f>
        <v/>
      </c>
      <c r="B103" s="76"/>
      <c r="C103" s="77"/>
      <c r="D103" s="77"/>
      <c r="E103" s="76"/>
      <c r="F103" s="78"/>
      <c r="G103" s="37" t="str">
        <f aca="false">IF(OR(B103="",E103=""),"",IF(VLOOKUP(E103,Lists!$A$2:$B$19,2,FALSE())="Dr",N(C103)-N(D103),N(D103)-N(C103)))</f>
        <v/>
      </c>
      <c r="H103" s="38" t="str">
        <f aca="false">IF(B103="","",SUMIF(Adjustments!$B$6:$B$10,B103,Adjustments!$C$6:$C$10)-SUMIF(Adjustments!$E$6:$E$10,B103,Adjustments!$F$6:$F$10)+SUMIF(Adjustments!$B$14:$B$18,B103,Adjustments!$C$14:$C$18)-SUMIF(Adjustments!$E$14:$E$18,B103,Adjustments!$F$14:$F$18))</f>
        <v/>
      </c>
      <c r="I103" s="39" t="str">
        <f aca="false">IF(B103="","",N(G103)+N(H103))</f>
        <v/>
      </c>
      <c r="J103" s="8" t="str">
        <f aca="false">IF($E103="Direct Expenses",COUNTIF($E$6:$E103,"Direct Expenses"),"")</f>
        <v/>
      </c>
      <c r="K103" s="8" t="str">
        <f aca="false">IF($E103="Indirect Expenses",COUNTIF($E$6:$E103,"Indirect Expenses"),"")</f>
        <v/>
      </c>
      <c r="L103" s="8" t="str">
        <f aca="false">IF($E103="Indirect Income",COUNTIF($E$6:$E103,"Indirect Income"),"")</f>
        <v/>
      </c>
      <c r="M103" s="8" t="str">
        <f aca="false">IF($E103="Fixed Assets",COUNTIF($E$6:$E103,"Fixed Assets"),"")</f>
        <v/>
      </c>
      <c r="N103" s="8" t="str">
        <f aca="false">IF($E103="Investments",COUNTIF($E$6:$E103,"Investments"),"")</f>
        <v/>
      </c>
      <c r="O103" s="8" t="str">
        <f aca="false">IF($E103="Other Current Assets",COUNTIF($E$6:$E103,"Other Current Assets"),"")</f>
        <v/>
      </c>
      <c r="P103" s="8" t="str">
        <f aca="false">IF($E103="Current Liabilities",COUNTIF($E$6:$E103,"Current Liabilities"),"")</f>
        <v/>
      </c>
      <c r="Q103" s="8" t="str">
        <f aca="false">IF($E103="Long-term Loans",COUNTIF($E$6:$E103,"Long-term Loans"),"")</f>
        <v/>
      </c>
      <c r="R103" s="40" t="n">
        <f aca="false">IF(E103="Fixed Assets",ROUND(I103*N(F103),0),0)</f>
        <v>0</v>
      </c>
    </row>
    <row r="104" customFormat="false" ht="15" hidden="false" customHeight="false" outlineLevel="0" collapsed="false">
      <c r="A104" s="33" t="str">
        <f aca="false">IF(B104="","",ROW()-5)</f>
        <v/>
      </c>
      <c r="B104" s="76"/>
      <c r="C104" s="77"/>
      <c r="D104" s="77"/>
      <c r="E104" s="76"/>
      <c r="F104" s="78"/>
      <c r="G104" s="37" t="str">
        <f aca="false">IF(OR(B104="",E104=""),"",IF(VLOOKUP(E104,Lists!$A$2:$B$19,2,FALSE())="Dr",N(C104)-N(D104),N(D104)-N(C104)))</f>
        <v/>
      </c>
      <c r="H104" s="38" t="str">
        <f aca="false">IF(B104="","",SUMIF(Adjustments!$B$6:$B$10,B104,Adjustments!$C$6:$C$10)-SUMIF(Adjustments!$E$6:$E$10,B104,Adjustments!$F$6:$F$10)+SUMIF(Adjustments!$B$14:$B$18,B104,Adjustments!$C$14:$C$18)-SUMIF(Adjustments!$E$14:$E$18,B104,Adjustments!$F$14:$F$18))</f>
        <v/>
      </c>
      <c r="I104" s="39" t="str">
        <f aca="false">IF(B104="","",N(G104)+N(H104))</f>
        <v/>
      </c>
      <c r="J104" s="8" t="str">
        <f aca="false">IF($E104="Direct Expenses",COUNTIF($E$6:$E104,"Direct Expenses"),"")</f>
        <v/>
      </c>
      <c r="K104" s="8" t="str">
        <f aca="false">IF($E104="Indirect Expenses",COUNTIF($E$6:$E104,"Indirect Expenses"),"")</f>
        <v/>
      </c>
      <c r="L104" s="8" t="str">
        <f aca="false">IF($E104="Indirect Income",COUNTIF($E$6:$E104,"Indirect Income"),"")</f>
        <v/>
      </c>
      <c r="M104" s="8" t="str">
        <f aca="false">IF($E104="Fixed Assets",COUNTIF($E$6:$E104,"Fixed Assets"),"")</f>
        <v/>
      </c>
      <c r="N104" s="8" t="str">
        <f aca="false">IF($E104="Investments",COUNTIF($E$6:$E104,"Investments"),"")</f>
        <v/>
      </c>
      <c r="O104" s="8" t="str">
        <f aca="false">IF($E104="Other Current Assets",COUNTIF($E$6:$E104,"Other Current Assets"),"")</f>
        <v/>
      </c>
      <c r="P104" s="8" t="str">
        <f aca="false">IF($E104="Current Liabilities",COUNTIF($E$6:$E104,"Current Liabilities"),"")</f>
        <v/>
      </c>
      <c r="Q104" s="8" t="str">
        <f aca="false">IF($E104="Long-term Loans",COUNTIF($E$6:$E104,"Long-term Loans"),"")</f>
        <v/>
      </c>
      <c r="R104" s="40" t="n">
        <f aca="false">IF(E104="Fixed Assets",ROUND(I104*N(F104),0),0)</f>
        <v>0</v>
      </c>
    </row>
    <row r="105" customFormat="false" ht="15" hidden="false" customHeight="false" outlineLevel="0" collapsed="false">
      <c r="A105" s="33" t="str">
        <f aca="false">IF(B105="","",ROW()-5)</f>
        <v/>
      </c>
      <c r="B105" s="76"/>
      <c r="C105" s="77"/>
      <c r="D105" s="77"/>
      <c r="E105" s="76"/>
      <c r="F105" s="78"/>
      <c r="G105" s="37" t="str">
        <f aca="false">IF(OR(B105="",E105=""),"",IF(VLOOKUP(E105,Lists!$A$2:$B$19,2,FALSE())="Dr",N(C105)-N(D105),N(D105)-N(C105)))</f>
        <v/>
      </c>
      <c r="H105" s="38" t="str">
        <f aca="false">IF(B105="","",SUMIF(Adjustments!$B$6:$B$10,B105,Adjustments!$C$6:$C$10)-SUMIF(Adjustments!$E$6:$E$10,B105,Adjustments!$F$6:$F$10)+SUMIF(Adjustments!$B$14:$B$18,B105,Adjustments!$C$14:$C$18)-SUMIF(Adjustments!$E$14:$E$18,B105,Adjustments!$F$14:$F$18))</f>
        <v/>
      </c>
      <c r="I105" s="39" t="str">
        <f aca="false">IF(B105="","",N(G105)+N(H105))</f>
        <v/>
      </c>
      <c r="J105" s="8" t="str">
        <f aca="false">IF($E105="Direct Expenses",COUNTIF($E$6:$E105,"Direct Expenses"),"")</f>
        <v/>
      </c>
      <c r="K105" s="8" t="str">
        <f aca="false">IF($E105="Indirect Expenses",COUNTIF($E$6:$E105,"Indirect Expenses"),"")</f>
        <v/>
      </c>
      <c r="L105" s="8" t="str">
        <f aca="false">IF($E105="Indirect Income",COUNTIF($E$6:$E105,"Indirect Income"),"")</f>
        <v/>
      </c>
      <c r="M105" s="8" t="str">
        <f aca="false">IF($E105="Fixed Assets",COUNTIF($E$6:$E105,"Fixed Assets"),"")</f>
        <v/>
      </c>
      <c r="N105" s="8" t="str">
        <f aca="false">IF($E105="Investments",COUNTIF($E$6:$E105,"Investments"),"")</f>
        <v/>
      </c>
      <c r="O105" s="8" t="str">
        <f aca="false">IF($E105="Other Current Assets",COUNTIF($E$6:$E105,"Other Current Assets"),"")</f>
        <v/>
      </c>
      <c r="P105" s="8" t="str">
        <f aca="false">IF($E105="Current Liabilities",COUNTIF($E$6:$E105,"Current Liabilities"),"")</f>
        <v/>
      </c>
      <c r="Q105" s="8" t="str">
        <f aca="false">IF($E105="Long-term Loans",COUNTIF($E$6:$E105,"Long-term Loans"),"")</f>
        <v/>
      </c>
      <c r="R105" s="40" t="n">
        <f aca="false">IF(E105="Fixed Assets",ROUND(I105*N(F105),0),0)</f>
        <v>0</v>
      </c>
    </row>
    <row r="106" customFormat="false" ht="15" hidden="false" customHeight="false" outlineLevel="0" collapsed="false">
      <c r="B106" s="41" t="s">
        <v>99</v>
      </c>
      <c r="C106" s="42" t="n">
        <f aca="false">SUM(C6:C105)</f>
        <v>1197000</v>
      </c>
      <c r="D106" s="42" t="n">
        <f aca="false">SUM(D6:D105)</f>
        <v>1197000</v>
      </c>
      <c r="E106" s="31" t="str">
        <f aca="false">IF(ROUND(C106-D106,2)=0,"✔ Trial Balance tallies","⚠ Difference: "&amp;TEXT(C106-D106,"#,##0"))</f>
        <v>✔ Trial Balance tallies</v>
      </c>
      <c r="F106" s="31"/>
      <c r="G106" s="31"/>
      <c r="H106" s="31"/>
      <c r="I106" s="31"/>
    </row>
  </sheetData>
  <sheetProtection sheet="1" objects="1" scenarios="1" formatColumns="0" formatRows="0" algorithmName="SHA-512" hashValue="p/qRJtWJEzKFzY70e9KifKAgni4B74KbZ0FVOchW81SwdXvGs3kwAxAU5cZM/MCYnHe5oMakbeh3Qx4P7o0t9Q==" saltValue="R6KI47lLzoIYtGRgIC7oWw==" spinCount="100000"/>
  <mergeCells count="3">
    <mergeCell ref="A2:I2"/>
    <mergeCell ref="A3:I3"/>
    <mergeCell ref="E106:I106"/>
  </mergeCells>
  <conditionalFormatting sqref="E6:E105">
    <cfRule type="expression" priority="2" aboveAverage="0" equalAverage="0" bottom="0" percent="0" rank="0" text="" dxfId="0">
      <formula>AND(B6&lt;&gt;"",E6="")</formula>
    </cfRule>
  </conditionalFormatting>
  <conditionalFormatting sqref="F6:F105">
    <cfRule type="expression" priority="3" aboveAverage="0" equalAverage="0" bottom="0" percent="0" rank="0" text="" dxfId="0">
      <formula>AND(E6="Fixed Assets",F6="")</formula>
    </cfRule>
  </conditionalFormatting>
  <dataValidations count="1">
    <dataValidation allowBlank="true" errorStyle="stop" operator="between" showDropDown="false" showErrorMessage="false" showInputMessage="false" sqref="E6:E105" type="list">
      <formula1>Lists!$A$2:$A$19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15" t="s">
        <v>20</v>
      </c>
    </row>
    <row r="2" customFormat="false" ht="31.5" hidden="false" customHeight="true" outlineLevel="0" collapsed="false">
      <c r="A2" s="23" t="s">
        <v>100</v>
      </c>
      <c r="B2" s="23"/>
      <c r="C2" s="23"/>
      <c r="D2" s="23"/>
      <c r="E2" s="23"/>
      <c r="F2" s="23"/>
      <c r="G2" s="23"/>
    </row>
    <row r="3" customFormat="false" ht="15" hidden="false" customHeight="false" outlineLevel="0" collapsed="false">
      <c r="A3" s="30" t="s">
        <v>101</v>
      </c>
      <c r="B3" s="30"/>
      <c r="C3" s="30"/>
      <c r="D3" s="30"/>
      <c r="E3" s="30"/>
      <c r="F3" s="30"/>
      <c r="G3" s="30"/>
    </row>
    <row r="4" customFormat="false" ht="15" hidden="false" customHeight="true" outlineLevel="0" collapsed="false">
      <c r="B4" s="43" t="s">
        <v>102</v>
      </c>
      <c r="C4" s="43"/>
      <c r="E4" s="43" t="s">
        <v>103</v>
      </c>
      <c r="F4" s="43"/>
    </row>
    <row r="5" customFormat="false" ht="15" hidden="false" customHeight="false" outlineLevel="0" collapsed="false">
      <c r="B5" s="44" t="s">
        <v>104</v>
      </c>
      <c r="C5" s="44" t="s">
        <v>105</v>
      </c>
      <c r="E5" s="44" t="s">
        <v>104</v>
      </c>
      <c r="F5" s="44" t="s">
        <v>105</v>
      </c>
    </row>
    <row r="6" customFormat="false" ht="15" hidden="false" customHeight="false" outlineLevel="0" collapsed="false">
      <c r="B6" s="76" t="s">
        <v>72</v>
      </c>
      <c r="C6" s="77" t="n">
        <v>5000</v>
      </c>
      <c r="E6" s="76" t="s">
        <v>76</v>
      </c>
      <c r="F6" s="77" t="n">
        <v>1500</v>
      </c>
    </row>
    <row r="7" customFormat="false" ht="15" hidden="false" customHeight="false" outlineLevel="0" collapsed="false">
      <c r="B7" s="76" t="s">
        <v>69</v>
      </c>
      <c r="C7" s="77" t="n">
        <v>4000</v>
      </c>
      <c r="E7" s="76"/>
      <c r="F7" s="77"/>
    </row>
    <row r="8" customFormat="false" ht="15" hidden="false" customHeight="false" outlineLevel="0" collapsed="false">
      <c r="B8" s="76"/>
      <c r="C8" s="77"/>
      <c r="E8" s="76"/>
      <c r="F8" s="77"/>
    </row>
    <row r="9" customFormat="false" ht="15" hidden="false" customHeight="false" outlineLevel="0" collapsed="false">
      <c r="B9" s="76"/>
      <c r="C9" s="77"/>
      <c r="E9" s="76"/>
      <c r="F9" s="77"/>
    </row>
    <row r="10" customFormat="false" ht="15" hidden="false" customHeight="false" outlineLevel="0" collapsed="false">
      <c r="B10" s="76"/>
      <c r="C10" s="77"/>
      <c r="E10" s="76"/>
      <c r="F10" s="77"/>
    </row>
    <row r="12" customFormat="false" ht="15" hidden="false" customHeight="true" outlineLevel="0" collapsed="false">
      <c r="B12" s="43" t="s">
        <v>106</v>
      </c>
      <c r="C12" s="43"/>
      <c r="E12" s="43" t="s">
        <v>107</v>
      </c>
      <c r="F12" s="43"/>
    </row>
    <row r="13" customFormat="false" ht="15" hidden="false" customHeight="false" outlineLevel="0" collapsed="false">
      <c r="B13" s="44" t="s">
        <v>104</v>
      </c>
      <c r="C13" s="44" t="s">
        <v>105</v>
      </c>
      <c r="E13" s="44" t="s">
        <v>104</v>
      </c>
      <c r="F13" s="44" t="s">
        <v>105</v>
      </c>
    </row>
    <row r="14" customFormat="false" ht="15" hidden="false" customHeight="false" outlineLevel="0" collapsed="false">
      <c r="B14" s="76" t="s">
        <v>80</v>
      </c>
      <c r="C14" s="77" t="n">
        <v>1000</v>
      </c>
      <c r="E14" s="76"/>
      <c r="F14" s="77"/>
    </row>
    <row r="15" customFormat="false" ht="15" hidden="false" customHeight="false" outlineLevel="0" collapsed="false">
      <c r="B15" s="76"/>
      <c r="C15" s="77"/>
      <c r="E15" s="76"/>
      <c r="F15" s="77"/>
    </row>
    <row r="16" customFormat="false" ht="15" hidden="false" customHeight="false" outlineLevel="0" collapsed="false">
      <c r="B16" s="76"/>
      <c r="C16" s="77"/>
      <c r="E16" s="76"/>
      <c r="F16" s="77"/>
    </row>
    <row r="17" customFormat="false" ht="15" hidden="false" customHeight="false" outlineLevel="0" collapsed="false">
      <c r="B17" s="76"/>
      <c r="C17" s="77"/>
      <c r="E17" s="76"/>
      <c r="F17" s="77"/>
    </row>
    <row r="18" customFormat="false" ht="15" hidden="false" customHeight="false" outlineLevel="0" collapsed="false">
      <c r="B18" s="76"/>
      <c r="C18" s="77"/>
      <c r="E18" s="76"/>
      <c r="F18" s="77"/>
    </row>
    <row r="21" customFormat="false" ht="15" hidden="false" customHeight="true" outlineLevel="0" collapsed="false">
      <c r="B21" s="43" t="s">
        <v>108</v>
      </c>
      <c r="C21" s="43"/>
      <c r="D21" s="43"/>
      <c r="E21" s="43"/>
      <c r="F21" s="43"/>
    </row>
    <row r="22" customFormat="false" ht="15" hidden="false" customHeight="true" outlineLevel="0" collapsed="false">
      <c r="B22" s="45" t="s">
        <v>109</v>
      </c>
      <c r="C22" s="45"/>
      <c r="D22" s="79" t="n">
        <v>70000</v>
      </c>
      <c r="E22" s="47" t="s">
        <v>110</v>
      </c>
      <c r="F22" s="47"/>
      <c r="G22" s="47"/>
    </row>
    <row r="23" customFormat="false" ht="15" hidden="false" customHeight="true" outlineLevel="0" collapsed="false">
      <c r="B23" s="45" t="s">
        <v>111</v>
      </c>
      <c r="C23" s="45"/>
      <c r="D23" s="79" t="n">
        <v>2000</v>
      </c>
      <c r="E23" s="47" t="s">
        <v>112</v>
      </c>
      <c r="F23" s="47"/>
      <c r="G23" s="47"/>
    </row>
    <row r="24" customFormat="false" ht="15" hidden="false" customHeight="true" outlineLevel="0" collapsed="false">
      <c r="B24" s="45" t="s">
        <v>113</v>
      </c>
      <c r="C24" s="45"/>
      <c r="D24" s="80" t="n">
        <v>0.05</v>
      </c>
      <c r="E24" s="47" t="s">
        <v>114</v>
      </c>
      <c r="F24" s="47"/>
      <c r="G24" s="47"/>
    </row>
    <row r="25" customFormat="false" ht="15" hidden="false" customHeight="true" outlineLevel="0" collapsed="false">
      <c r="B25" s="45" t="s">
        <v>115</v>
      </c>
      <c r="C25" s="45"/>
      <c r="D25" s="80" t="n">
        <v>0.06</v>
      </c>
      <c r="E25" s="47" t="s">
        <v>116</v>
      </c>
      <c r="F25" s="47"/>
      <c r="G25" s="47"/>
    </row>
    <row r="26" customFormat="false" ht="15" hidden="false" customHeight="true" outlineLevel="0" collapsed="false">
      <c r="B26" s="45" t="s">
        <v>117</v>
      </c>
      <c r="C26" s="45"/>
      <c r="D26" s="79" t="n">
        <v>1500</v>
      </c>
      <c r="E26" s="47" t="s">
        <v>118</v>
      </c>
      <c r="F26" s="47"/>
      <c r="G26" s="47"/>
    </row>
    <row r="27" customFormat="false" ht="28.35" hidden="false" customHeight="true" outlineLevel="0" collapsed="false">
      <c r="B27" s="45" t="s">
        <v>119</v>
      </c>
      <c r="C27" s="45"/>
      <c r="D27" s="49" t="s">
        <v>120</v>
      </c>
      <c r="E27" s="47" t="s">
        <v>121</v>
      </c>
      <c r="F27" s="47"/>
      <c r="G27" s="47"/>
    </row>
  </sheetData>
  <sheetProtection sheet="1" objects="1" scenarios="1" formatColumns="0" formatRows="0" algorithmName="SHA-512" hashValue="kbdQPDuf4E2fPe9RzIUQUmpsJBBXy+Q0W1AjqcM9hedVGn1NblVw9KFOoqR2ituq/rlHgqWLbIoeJaXkD2zEIQ==" saltValue="ISU1wI01dunJyy+e7tYAeQ==" spinCount="100000"/>
  <mergeCells count="19">
    <mergeCell ref="A2:G2"/>
    <mergeCell ref="A3:G3"/>
    <mergeCell ref="B4:C4"/>
    <mergeCell ref="E4:F4"/>
    <mergeCell ref="B12:C12"/>
    <mergeCell ref="E12:F12"/>
    <mergeCell ref="B21:F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</mergeCells>
  <dataValidations count="4">
    <dataValidation allowBlank="true" errorStyle="stop" operator="between" showDropDown="false" showErrorMessage="false" showInputMessage="false" sqref="B6:B10" type="list">
      <formula1>'Trial Balance'!$B$6:$B$105</formula1>
      <formula2>0</formula2>
    </dataValidation>
    <dataValidation allowBlank="true" errorStyle="stop" operator="between" showDropDown="false" showErrorMessage="false" showInputMessage="false" sqref="E6:E10" type="list">
      <formula1>'Trial Balance'!$B$6:$B$105</formula1>
      <formula2>0</formula2>
    </dataValidation>
    <dataValidation allowBlank="true" errorStyle="stop" operator="between" showDropDown="false" showErrorMessage="false" showInputMessage="false" sqref="B14:B18" type="list">
      <formula1>'Trial Balance'!$B$6:$B$105</formula1>
      <formula2>0</formula2>
    </dataValidation>
    <dataValidation allowBlank="true" errorStyle="stop" operator="between" showDropDown="false" showErrorMessage="false" showInputMessage="false" sqref="E14:E18" type="list">
      <formula1>'Trial Balance'!$B$6:$B$105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I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4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4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15"/>
  </cols>
  <sheetData>
    <row r="1" customFormat="false" ht="15" hidden="false" customHeight="false" outlineLevel="0" collapsed="false">
      <c r="B1" s="50" t="s">
        <v>20</v>
      </c>
    </row>
    <row r="2" customFormat="false" ht="17.9" hidden="false" customHeight="false" outlineLevel="0" collapsed="false">
      <c r="B2" s="51" t="str">
        <f aca="false">Setup!$C$4</f>
        <v>M/s Xplore Traders</v>
      </c>
      <c r="C2" s="51"/>
      <c r="D2" s="51"/>
      <c r="E2" s="51"/>
      <c r="F2" s="51"/>
      <c r="G2" s="51"/>
      <c r="H2" s="51"/>
      <c r="I2" s="51"/>
    </row>
    <row r="3" customFormat="false" ht="24" hidden="false" customHeight="true" outlineLevel="0" collapsed="false">
      <c r="B3" s="52" t="str">
        <f aca="false">"Trading Account for the year ended "&amp;TEXT(Setup!$C$5,"dd mmmm yyyy")</f>
        <v>Trading Account for the year ended 31 March 2027</v>
      </c>
      <c r="C3" s="52"/>
      <c r="D3" s="52"/>
      <c r="E3" s="52"/>
      <c r="F3" s="52"/>
      <c r="G3" s="52"/>
      <c r="H3" s="52"/>
      <c r="I3" s="52"/>
    </row>
    <row r="4" customFormat="false" ht="15" hidden="false" customHeight="false" outlineLevel="0" collapsed="false">
      <c r="B4" s="53" t="s">
        <v>122</v>
      </c>
      <c r="C4" s="53" t="s">
        <v>123</v>
      </c>
      <c r="D4" s="53" t="s">
        <v>124</v>
      </c>
      <c r="E4" s="53" t="s">
        <v>105</v>
      </c>
      <c r="F4" s="53" t="s">
        <v>125</v>
      </c>
      <c r="G4" s="53" t="s">
        <v>123</v>
      </c>
      <c r="H4" s="53" t="s">
        <v>124</v>
      </c>
      <c r="I4" s="53" t="s">
        <v>105</v>
      </c>
    </row>
    <row r="5" customFormat="false" ht="15" hidden="false" customHeight="false" outlineLevel="0" collapsed="false">
      <c r="C5" s="54" t="s">
        <v>126</v>
      </c>
      <c r="D5" s="55"/>
      <c r="E5" s="56" t="n">
        <f aca="false">Calc!$B$1</f>
        <v>50000</v>
      </c>
      <c r="G5" s="54" t="s">
        <v>127</v>
      </c>
      <c r="H5" s="55" t="n">
        <f aca="false">Calc!$B$5</f>
        <v>700000</v>
      </c>
      <c r="I5" s="55"/>
    </row>
    <row r="6" customFormat="false" ht="15" hidden="false" customHeight="false" outlineLevel="0" collapsed="false">
      <c r="C6" s="54" t="s">
        <v>128</v>
      </c>
      <c r="D6" s="55" t="n">
        <f aca="false">Calc!$B$2</f>
        <v>400000</v>
      </c>
      <c r="E6" s="56"/>
      <c r="G6" s="54" t="s">
        <v>129</v>
      </c>
      <c r="H6" s="55" t="n">
        <f aca="false">-Calc!$B$6</f>
        <v>-15000</v>
      </c>
      <c r="I6" s="55" t="n">
        <f aca="false">Calc!$B$21</f>
        <v>685000</v>
      </c>
    </row>
    <row r="7" customFormat="false" ht="15" hidden="false" customHeight="false" outlineLevel="0" collapsed="false">
      <c r="C7" s="54" t="s">
        <v>130</v>
      </c>
      <c r="D7" s="55" t="n">
        <f aca="false">-Calc!$B$3</f>
        <v>-10000</v>
      </c>
      <c r="E7" s="56" t="n">
        <f aca="false">Calc!$B$20</f>
        <v>390000</v>
      </c>
      <c r="G7" s="54" t="s">
        <v>131</v>
      </c>
      <c r="H7" s="55"/>
      <c r="I7" s="55" t="n">
        <f aca="false">Calc!$B$22</f>
        <v>70000</v>
      </c>
    </row>
    <row r="8" customFormat="false" ht="15" hidden="false" customHeight="false" outlineLevel="0" collapsed="false">
      <c r="C8" s="54" t="str">
        <f aca="false">IF(IFERROR(INDEX('Trial Balance'!$B$6:$B$105,MATCH(1,'Trial Balance'!$J$6:$J$105,0)),"")="","","To "&amp;IFERROR(INDEX('Trial Balance'!$B$6:$B$105,MATCH(1,'Trial Balance'!$J$6:$J$105,0)),"")&amp;IF(N(IFERROR(INDEX('Trial Balance'!$H$6:$H$105,MATCH(1,'Trial Balance'!$J$6:$J$105,0)),""))&gt;0," (+ outstanding)",IF(N(IFERROR(INDEX('Trial Balance'!$H$6:$H$105,MATCH(1,'Trial Balance'!$J$6:$J$105,0)),""))&lt;0," (− prepaid)","")))</f>
        <v>To Wages (+ outstanding)</v>
      </c>
      <c r="E8" s="56" t="n">
        <f aca="false">IF(IFERROR(INDEX('Trial Balance'!$B$6:$B$105,MATCH(1,'Trial Balance'!$J$6:$J$105,0)),"")="","",IFERROR(INDEX('Trial Balance'!$I$6:$I$105,MATCH(1,'Trial Balance'!$J$6:$J$105,0)),""))</f>
        <v>44000</v>
      </c>
      <c r="G8" s="57" t="str">
        <f aca="false">IF(Calc!$B$23&lt;0,"By Gross Loss c/d","")</f>
        <v/>
      </c>
      <c r="I8" s="58" t="str">
        <f aca="false">IF(Calc!$B$23&lt;0,-Calc!$B$23,"")</f>
        <v/>
      </c>
    </row>
    <row r="9" customFormat="false" ht="15" hidden="false" customHeight="false" outlineLevel="0" collapsed="false">
      <c r="C9" s="54" t="str">
        <f aca="false">IF(IFERROR(INDEX('Trial Balance'!$B$6:$B$105,MATCH(2,'Trial Balance'!$J$6:$J$105,0)),"")="","","To "&amp;IFERROR(INDEX('Trial Balance'!$B$6:$B$105,MATCH(2,'Trial Balance'!$J$6:$J$105,0)),"")&amp;IF(N(IFERROR(INDEX('Trial Balance'!$H$6:$H$105,MATCH(2,'Trial Balance'!$J$6:$J$105,0)),""))&gt;0," (+ outstanding)",IF(N(IFERROR(INDEX('Trial Balance'!$H$6:$H$105,MATCH(2,'Trial Balance'!$J$6:$J$105,0)),""))&lt;0," (− prepaid)","")))</f>
        <v>To Carriage Inward</v>
      </c>
      <c r="E9" s="56" t="n">
        <f aca="false">IF(IFERROR(INDEX('Trial Balance'!$B$6:$B$105,MATCH(2,'Trial Balance'!$J$6:$J$105,0)),"")="","",IFERROR(INDEX('Trial Balance'!$I$6:$I$105,MATCH(2,'Trial Balance'!$J$6:$J$105,0)),""))</f>
        <v>6000</v>
      </c>
    </row>
    <row r="10" customFormat="false" ht="15" hidden="false" customHeight="false" outlineLevel="0" collapsed="false">
      <c r="C10" s="54" t="str">
        <f aca="false">IF(IFERROR(INDEX('Trial Balance'!$B$6:$B$105,MATCH(3,'Trial Balance'!$J$6:$J$105,0)),"")="","","To "&amp;IFERROR(INDEX('Trial Balance'!$B$6:$B$105,MATCH(3,'Trial Balance'!$J$6:$J$105,0)),"")&amp;IF(N(IFERROR(INDEX('Trial Balance'!$H$6:$H$105,MATCH(3,'Trial Balance'!$J$6:$J$105,0)),""))&gt;0," (+ outstanding)",IF(N(IFERROR(INDEX('Trial Balance'!$H$6:$H$105,MATCH(3,'Trial Balance'!$J$6:$J$105,0)),""))&lt;0," (− prepaid)","")))</f>
        <v/>
      </c>
      <c r="E10" s="56" t="str">
        <f aca="false">IF(IFERROR(INDEX('Trial Balance'!$B$6:$B$105,MATCH(3,'Trial Balance'!$J$6:$J$105,0)),"")="","",IFERROR(INDEX('Trial Balance'!$I$6:$I$105,MATCH(3,'Trial Balance'!$J$6:$J$105,0)),""))</f>
        <v/>
      </c>
    </row>
    <row r="11" customFormat="false" ht="15" hidden="false" customHeight="false" outlineLevel="0" collapsed="false">
      <c r="C11" s="54" t="str">
        <f aca="false">IF(IFERROR(INDEX('Trial Balance'!$B$6:$B$105,MATCH(4,'Trial Balance'!$J$6:$J$105,0)),"")="","","To "&amp;IFERROR(INDEX('Trial Balance'!$B$6:$B$105,MATCH(4,'Trial Balance'!$J$6:$J$105,0)),"")&amp;IF(N(IFERROR(INDEX('Trial Balance'!$H$6:$H$105,MATCH(4,'Trial Balance'!$J$6:$J$105,0)),""))&gt;0," (+ outstanding)",IF(N(IFERROR(INDEX('Trial Balance'!$H$6:$H$105,MATCH(4,'Trial Balance'!$J$6:$J$105,0)),""))&lt;0," (− prepaid)","")))</f>
        <v/>
      </c>
      <c r="E11" s="56" t="str">
        <f aca="false">IF(IFERROR(INDEX('Trial Balance'!$B$6:$B$105,MATCH(4,'Trial Balance'!$J$6:$J$105,0)),"")="","",IFERROR(INDEX('Trial Balance'!$I$6:$I$105,MATCH(4,'Trial Balance'!$J$6:$J$105,0)),""))</f>
        <v/>
      </c>
    </row>
    <row r="12" customFormat="false" ht="15" hidden="false" customHeight="false" outlineLevel="0" collapsed="false">
      <c r="C12" s="54" t="str">
        <f aca="false">IF(IFERROR(INDEX('Trial Balance'!$B$6:$B$105,MATCH(5,'Trial Balance'!$J$6:$J$105,0)),"")="","","To "&amp;IFERROR(INDEX('Trial Balance'!$B$6:$B$105,MATCH(5,'Trial Balance'!$J$6:$J$105,0)),"")&amp;IF(N(IFERROR(INDEX('Trial Balance'!$H$6:$H$105,MATCH(5,'Trial Balance'!$J$6:$J$105,0)),""))&gt;0," (+ outstanding)",IF(N(IFERROR(INDEX('Trial Balance'!$H$6:$H$105,MATCH(5,'Trial Balance'!$J$6:$J$105,0)),""))&lt;0," (− prepaid)","")))</f>
        <v/>
      </c>
      <c r="E12" s="56" t="str">
        <f aca="false">IF(IFERROR(INDEX('Trial Balance'!$B$6:$B$105,MATCH(5,'Trial Balance'!$J$6:$J$105,0)),"")="","",IFERROR(INDEX('Trial Balance'!$I$6:$I$105,MATCH(5,'Trial Balance'!$J$6:$J$105,0)),""))</f>
        <v/>
      </c>
    </row>
    <row r="13" customFormat="false" ht="15" hidden="false" customHeight="false" outlineLevel="0" collapsed="false">
      <c r="C13" s="54" t="str">
        <f aca="false">IF(IFERROR(INDEX('Trial Balance'!$B$6:$B$105,MATCH(6,'Trial Balance'!$J$6:$J$105,0)),"")="","","To "&amp;IFERROR(INDEX('Trial Balance'!$B$6:$B$105,MATCH(6,'Trial Balance'!$J$6:$J$105,0)),"")&amp;IF(N(IFERROR(INDEX('Trial Balance'!$H$6:$H$105,MATCH(6,'Trial Balance'!$J$6:$J$105,0)),""))&gt;0," (+ outstanding)",IF(N(IFERROR(INDEX('Trial Balance'!$H$6:$H$105,MATCH(6,'Trial Balance'!$J$6:$J$105,0)),""))&lt;0," (− prepaid)","")))</f>
        <v/>
      </c>
      <c r="E13" s="56" t="str">
        <f aca="false">IF(IFERROR(INDEX('Trial Balance'!$B$6:$B$105,MATCH(6,'Trial Balance'!$J$6:$J$105,0)),"")="","",IFERROR(INDEX('Trial Balance'!$I$6:$I$105,MATCH(6,'Trial Balance'!$J$6:$J$105,0)),""))</f>
        <v/>
      </c>
    </row>
    <row r="14" customFormat="false" ht="15" hidden="false" customHeight="false" outlineLevel="0" collapsed="false">
      <c r="C14" s="54" t="str">
        <f aca="false">IF(IFERROR(INDEX('Trial Balance'!$B$6:$B$105,MATCH(7,'Trial Balance'!$J$6:$J$105,0)),"")="","","To "&amp;IFERROR(INDEX('Trial Balance'!$B$6:$B$105,MATCH(7,'Trial Balance'!$J$6:$J$105,0)),"")&amp;IF(N(IFERROR(INDEX('Trial Balance'!$H$6:$H$105,MATCH(7,'Trial Balance'!$J$6:$J$105,0)),""))&gt;0," (+ outstanding)",IF(N(IFERROR(INDEX('Trial Balance'!$H$6:$H$105,MATCH(7,'Trial Balance'!$J$6:$J$105,0)),""))&lt;0," (− prepaid)","")))</f>
        <v/>
      </c>
      <c r="E14" s="56" t="str">
        <f aca="false">IF(IFERROR(INDEX('Trial Balance'!$B$6:$B$105,MATCH(7,'Trial Balance'!$J$6:$J$105,0)),"")="","",IFERROR(INDEX('Trial Balance'!$I$6:$I$105,MATCH(7,'Trial Balance'!$J$6:$J$105,0)),""))</f>
        <v/>
      </c>
    </row>
    <row r="15" customFormat="false" ht="15" hidden="false" customHeight="false" outlineLevel="0" collapsed="false">
      <c r="C15" s="54" t="str">
        <f aca="false">IF(IFERROR(INDEX('Trial Balance'!$B$6:$B$105,MATCH(8,'Trial Balance'!$J$6:$J$105,0)),"")="","","To "&amp;IFERROR(INDEX('Trial Balance'!$B$6:$B$105,MATCH(8,'Trial Balance'!$J$6:$J$105,0)),"")&amp;IF(N(IFERROR(INDEX('Trial Balance'!$H$6:$H$105,MATCH(8,'Trial Balance'!$J$6:$J$105,0)),""))&gt;0," (+ outstanding)",IF(N(IFERROR(INDEX('Trial Balance'!$H$6:$H$105,MATCH(8,'Trial Balance'!$J$6:$J$105,0)),""))&lt;0," (− prepaid)","")))</f>
        <v/>
      </c>
      <c r="E15" s="56" t="str">
        <f aca="false">IF(IFERROR(INDEX('Trial Balance'!$B$6:$B$105,MATCH(8,'Trial Balance'!$J$6:$J$105,0)),"")="","",IFERROR(INDEX('Trial Balance'!$I$6:$I$105,MATCH(8,'Trial Balance'!$J$6:$J$105,0)),""))</f>
        <v/>
      </c>
    </row>
    <row r="16" customFormat="false" ht="15" hidden="false" customHeight="false" outlineLevel="0" collapsed="false">
      <c r="C16" s="57" t="str">
        <f aca="false">IF(Calc!$B$23&gt;=0,"To Gross Profit c/d","")</f>
        <v>To Gross Profit c/d</v>
      </c>
      <c r="E16" s="59" t="n">
        <f aca="false">IF(Calc!$B$23&gt;=0,Calc!$B$23,"")</f>
        <v>265000</v>
      </c>
    </row>
    <row r="17" customFormat="false" ht="15" hidden="false" customHeight="false" outlineLevel="0" collapsed="false">
      <c r="E17" s="60" t="n">
        <f aca="false">Calc!$B$1+Calc!$B$20+Calc!$B$4+MAX(0,Calc!$B$23)</f>
        <v>755000</v>
      </c>
      <c r="I17" s="61" t="n">
        <f aca="false">Calc!$B$21+Calc!$B$22+MAX(0,-Calc!$B$23)</f>
        <v>755000</v>
      </c>
    </row>
    <row r="19" customFormat="false" ht="17.9" hidden="false" customHeight="false" outlineLevel="0" collapsed="false">
      <c r="B19" s="51" t="str">
        <f aca="false">Setup!$C$4</f>
        <v>M/s Xplore Traders</v>
      </c>
      <c r="C19" s="51"/>
      <c r="D19" s="51"/>
      <c r="E19" s="51"/>
      <c r="F19" s="51"/>
      <c r="G19" s="51"/>
      <c r="H19" s="51"/>
      <c r="I19" s="51"/>
    </row>
    <row r="20" customFormat="false" ht="24" hidden="false" customHeight="true" outlineLevel="0" collapsed="false">
      <c r="B20" s="52" t="str">
        <f aca="false">"Profit &amp; Loss Account for the year ended "&amp;TEXT(Setup!$C$5,"dd mmmm yyyy")</f>
        <v>Profit &amp; Loss Account for the year ended 31 March 2027</v>
      </c>
      <c r="C20" s="52"/>
      <c r="D20" s="52"/>
      <c r="E20" s="52"/>
      <c r="F20" s="52"/>
      <c r="G20" s="52"/>
      <c r="H20" s="52"/>
      <c r="I20" s="52"/>
    </row>
    <row r="21" customFormat="false" ht="15" hidden="false" customHeight="false" outlineLevel="0" collapsed="false">
      <c r="B21" s="53" t="s">
        <v>122</v>
      </c>
      <c r="C21" s="53" t="s">
        <v>123</v>
      </c>
      <c r="D21" s="53" t="s">
        <v>124</v>
      </c>
      <c r="E21" s="53" t="s">
        <v>105</v>
      </c>
      <c r="F21" s="53" t="s">
        <v>125</v>
      </c>
      <c r="G21" s="53" t="s">
        <v>123</v>
      </c>
      <c r="H21" s="53" t="s">
        <v>124</v>
      </c>
      <c r="I21" s="53" t="s">
        <v>105</v>
      </c>
    </row>
    <row r="22" customFormat="false" ht="15" hidden="false" customHeight="false" outlineLevel="0" collapsed="false">
      <c r="C22" s="57" t="str">
        <f aca="false">IF(Calc!$B$23&lt;0,"To Gross Loss b/d","")</f>
        <v/>
      </c>
      <c r="E22" s="62" t="str">
        <f aca="false">IF(Calc!$B$23&lt;0,-Calc!$B$23,"")</f>
        <v/>
      </c>
      <c r="G22" s="57" t="str">
        <f aca="false">IF(Calc!$B$23&gt;=0,"By Gross Profit b/d","")</f>
        <v>By Gross Profit b/d</v>
      </c>
      <c r="I22" s="63" t="n">
        <f aca="false">IF(Calc!$B$23&gt;=0,Calc!$B$23,"")</f>
        <v>265000</v>
      </c>
    </row>
    <row r="23" customFormat="false" ht="15" hidden="false" customHeight="false" outlineLevel="0" collapsed="false">
      <c r="C23" s="54" t="str">
        <f aca="false">IF(IFERROR(INDEX('Trial Balance'!$B$6:$B$105,MATCH(1,'Trial Balance'!$K$6:$K$105,0)),"")="","","To "&amp;IFERROR(INDEX('Trial Balance'!$B$6:$B$105,MATCH(1,'Trial Balance'!$K$6:$K$105,0)),"")&amp;IF(N(IFERROR(INDEX('Trial Balance'!$H$6:$H$105,MATCH(1,'Trial Balance'!$K$6:$K$105,0)),""))&gt;0," (+ outstanding)",IF(N(IFERROR(INDEX('Trial Balance'!$H$6:$H$105,MATCH(1,'Trial Balance'!$K$6:$K$105,0)),""))&lt;0," (− prepaid)","")))</f>
        <v>To Salaries (+ outstanding)</v>
      </c>
      <c r="E23" s="56" t="n">
        <f aca="false">IF(IFERROR(INDEX('Trial Balance'!$B$6:$B$105,MATCH(1,'Trial Balance'!$K$6:$K$105,0)),"")="","",IFERROR(INDEX('Trial Balance'!$I$6:$I$105,MATCH(1,'Trial Balance'!$K$6:$K$105,0)),""))</f>
        <v>65000</v>
      </c>
      <c r="G23" s="54" t="str">
        <f aca="false">IF(IFERROR(INDEX('Trial Balance'!$B$6:$B$105,MATCH(1,'Trial Balance'!$L$6:$L$105,0)),"")="","","By "&amp;IFERROR(INDEX('Trial Balance'!$B$6:$B$105,MATCH(1,'Trial Balance'!$L$6:$L$105,0)),"")&amp;IF(N(IFERROR(INDEX('Trial Balance'!$H$6:$H$105,MATCH(1,'Trial Balance'!$L$6:$L$105,0)),""))&gt;0," (+ accrued)",IF(N(IFERROR(INDEX('Trial Balance'!$H$6:$H$105,MATCH(1,'Trial Balance'!$L$6:$L$105,0)),""))&lt;0," (− received in advance)","")))</f>
        <v>By Commission Received (+ accrued)</v>
      </c>
      <c r="I23" s="55" t="n">
        <f aca="false">IF(IFERROR(INDEX('Trial Balance'!$B$6:$B$105,MATCH(1,'Trial Balance'!$L$6:$L$105,0)),"")="","",IFERROR(INDEX('Trial Balance'!$I$6:$I$105,MATCH(1,'Trial Balance'!$L$6:$L$105,0)),""))</f>
        <v>8000</v>
      </c>
    </row>
    <row r="24" customFormat="false" ht="15" hidden="false" customHeight="false" outlineLevel="0" collapsed="false">
      <c r="C24" s="54" t="str">
        <f aca="false">IF(IFERROR(INDEX('Trial Balance'!$B$6:$B$105,MATCH(2,'Trial Balance'!$K$6:$K$105,0)),"")="","","To "&amp;IFERROR(INDEX('Trial Balance'!$B$6:$B$105,MATCH(2,'Trial Balance'!$K$6:$K$105,0)),"")&amp;IF(N(IFERROR(INDEX('Trial Balance'!$H$6:$H$105,MATCH(2,'Trial Balance'!$K$6:$K$105,0)),""))&gt;0," (+ outstanding)",IF(N(IFERROR(INDEX('Trial Balance'!$H$6:$H$105,MATCH(2,'Trial Balance'!$K$6:$K$105,0)),""))&lt;0," (− prepaid)","")))</f>
        <v>To Rent</v>
      </c>
      <c r="E24" s="56" t="n">
        <f aca="false">IF(IFERROR(INDEX('Trial Balance'!$B$6:$B$105,MATCH(2,'Trial Balance'!$K$6:$K$105,0)),"")="","",IFERROR(INDEX('Trial Balance'!$I$6:$I$105,MATCH(2,'Trial Balance'!$K$6:$K$105,0)),""))</f>
        <v>24000</v>
      </c>
      <c r="G24" s="54" t="str">
        <f aca="false">IF(IFERROR(INDEX('Trial Balance'!$B$6:$B$105,MATCH(2,'Trial Balance'!$L$6:$L$105,0)),"")="","","By "&amp;IFERROR(INDEX('Trial Balance'!$B$6:$B$105,MATCH(2,'Trial Balance'!$L$6:$L$105,0)),"")&amp;IF(N(IFERROR(INDEX('Trial Balance'!$H$6:$H$105,MATCH(2,'Trial Balance'!$L$6:$L$105,0)),""))&gt;0," (+ accrued)",IF(N(IFERROR(INDEX('Trial Balance'!$H$6:$H$105,MATCH(2,'Trial Balance'!$L$6:$L$105,0)),""))&lt;0," (− received in advance)","")))</f>
        <v>By Discount Received</v>
      </c>
      <c r="I24" s="55" t="n">
        <f aca="false">IF(IFERROR(INDEX('Trial Balance'!$B$6:$B$105,MATCH(2,'Trial Balance'!$L$6:$L$105,0)),"")="","",IFERROR(INDEX('Trial Balance'!$I$6:$I$105,MATCH(2,'Trial Balance'!$L$6:$L$105,0)),""))</f>
        <v>2000</v>
      </c>
    </row>
    <row r="25" customFormat="false" ht="15" hidden="false" customHeight="false" outlineLevel="0" collapsed="false">
      <c r="C25" s="54" t="str">
        <f aca="false">IF(IFERROR(INDEX('Trial Balance'!$B$6:$B$105,MATCH(3,'Trial Balance'!$K$6:$K$105,0)),"")="","","To "&amp;IFERROR(INDEX('Trial Balance'!$B$6:$B$105,MATCH(3,'Trial Balance'!$K$6:$K$105,0)),"")&amp;IF(N(IFERROR(INDEX('Trial Balance'!$H$6:$H$105,MATCH(3,'Trial Balance'!$K$6:$K$105,0)),""))&gt;0," (+ outstanding)",IF(N(IFERROR(INDEX('Trial Balance'!$H$6:$H$105,MATCH(3,'Trial Balance'!$K$6:$K$105,0)),""))&lt;0," (− prepaid)","")))</f>
        <v>To Electricity</v>
      </c>
      <c r="E25" s="56" t="n">
        <f aca="false">IF(IFERROR(INDEX('Trial Balance'!$B$6:$B$105,MATCH(3,'Trial Balance'!$K$6:$K$105,0)),"")="","",IFERROR(INDEX('Trial Balance'!$I$6:$I$105,MATCH(3,'Trial Balance'!$K$6:$K$105,0)),""))</f>
        <v>9000</v>
      </c>
      <c r="G25" s="54" t="str">
        <f aca="false">IF(IFERROR(INDEX('Trial Balance'!$B$6:$B$105,MATCH(3,'Trial Balance'!$L$6:$L$105,0)),"")="","","By "&amp;IFERROR(INDEX('Trial Balance'!$B$6:$B$105,MATCH(3,'Trial Balance'!$L$6:$L$105,0)),"")&amp;IF(N(IFERROR(INDEX('Trial Balance'!$H$6:$H$105,MATCH(3,'Trial Balance'!$L$6:$L$105,0)),""))&gt;0," (+ accrued)",IF(N(IFERROR(INDEX('Trial Balance'!$H$6:$H$105,MATCH(3,'Trial Balance'!$L$6:$L$105,0)),""))&lt;0," (− received in advance)","")))</f>
        <v/>
      </c>
      <c r="I25" s="55" t="str">
        <f aca="false">IF(IFERROR(INDEX('Trial Balance'!$B$6:$B$105,MATCH(3,'Trial Balance'!$L$6:$L$105,0)),"")="","",IFERROR(INDEX('Trial Balance'!$I$6:$I$105,MATCH(3,'Trial Balance'!$L$6:$L$105,0)),""))</f>
        <v/>
      </c>
    </row>
    <row r="26" customFormat="false" ht="15" hidden="false" customHeight="false" outlineLevel="0" collapsed="false">
      <c r="C26" s="54" t="str">
        <f aca="false">IF(IFERROR(INDEX('Trial Balance'!$B$6:$B$105,MATCH(4,'Trial Balance'!$K$6:$K$105,0)),"")="","","To "&amp;IFERROR(INDEX('Trial Balance'!$B$6:$B$105,MATCH(4,'Trial Balance'!$K$6:$K$105,0)),"")&amp;IF(N(IFERROR(INDEX('Trial Balance'!$H$6:$H$105,MATCH(4,'Trial Balance'!$K$6:$K$105,0)),""))&gt;0," (+ outstanding)",IF(N(IFERROR(INDEX('Trial Balance'!$H$6:$H$105,MATCH(4,'Trial Balance'!$K$6:$K$105,0)),""))&lt;0," (− prepaid)","")))</f>
        <v>To Insurance (− prepaid)</v>
      </c>
      <c r="E26" s="56" t="n">
        <f aca="false">IF(IFERROR(INDEX('Trial Balance'!$B$6:$B$105,MATCH(4,'Trial Balance'!$K$6:$K$105,0)),"")="","",IFERROR(INDEX('Trial Balance'!$I$6:$I$105,MATCH(4,'Trial Balance'!$K$6:$K$105,0)),""))</f>
        <v>4500</v>
      </c>
      <c r="G26" s="54" t="str">
        <f aca="false">IF(IFERROR(INDEX('Trial Balance'!$B$6:$B$105,MATCH(4,'Trial Balance'!$L$6:$L$105,0)),"")="","","By "&amp;IFERROR(INDEX('Trial Balance'!$B$6:$B$105,MATCH(4,'Trial Balance'!$L$6:$L$105,0)),"")&amp;IF(N(IFERROR(INDEX('Trial Balance'!$H$6:$H$105,MATCH(4,'Trial Balance'!$L$6:$L$105,0)),""))&gt;0," (+ accrued)",IF(N(IFERROR(INDEX('Trial Balance'!$H$6:$H$105,MATCH(4,'Trial Balance'!$L$6:$L$105,0)),""))&lt;0," (− received in advance)","")))</f>
        <v/>
      </c>
      <c r="I26" s="55" t="str">
        <f aca="false">IF(IFERROR(INDEX('Trial Balance'!$B$6:$B$105,MATCH(4,'Trial Balance'!$L$6:$L$105,0)),"")="","",IFERROR(INDEX('Trial Balance'!$I$6:$I$105,MATCH(4,'Trial Balance'!$L$6:$L$105,0)),""))</f>
        <v/>
      </c>
    </row>
    <row r="27" customFormat="false" ht="15" hidden="false" customHeight="false" outlineLevel="0" collapsed="false">
      <c r="C27" s="54" t="str">
        <f aca="false">IF(IFERROR(INDEX('Trial Balance'!$B$6:$B$105,MATCH(5,'Trial Balance'!$K$6:$K$105,0)),"")="","","To "&amp;IFERROR(INDEX('Trial Balance'!$B$6:$B$105,MATCH(5,'Trial Balance'!$K$6:$K$105,0)),"")&amp;IF(N(IFERROR(INDEX('Trial Balance'!$H$6:$H$105,MATCH(5,'Trial Balance'!$K$6:$K$105,0)),""))&gt;0," (+ outstanding)",IF(N(IFERROR(INDEX('Trial Balance'!$H$6:$H$105,MATCH(5,'Trial Balance'!$K$6:$K$105,0)),""))&lt;0," (− prepaid)","")))</f>
        <v>To General Expenses</v>
      </c>
      <c r="E27" s="56" t="n">
        <f aca="false">IF(IFERROR(INDEX('Trial Balance'!$B$6:$B$105,MATCH(5,'Trial Balance'!$K$6:$K$105,0)),"")="","",IFERROR(INDEX('Trial Balance'!$I$6:$I$105,MATCH(5,'Trial Balance'!$K$6:$K$105,0)),""))</f>
        <v>8000</v>
      </c>
      <c r="G27" s="54" t="str">
        <f aca="false">IF(IFERROR(INDEX('Trial Balance'!$B$6:$B$105,MATCH(5,'Trial Balance'!$L$6:$L$105,0)),"")="","","By "&amp;IFERROR(INDEX('Trial Balance'!$B$6:$B$105,MATCH(5,'Trial Balance'!$L$6:$L$105,0)),"")&amp;IF(N(IFERROR(INDEX('Trial Balance'!$H$6:$H$105,MATCH(5,'Trial Balance'!$L$6:$L$105,0)),""))&gt;0," (+ accrued)",IF(N(IFERROR(INDEX('Trial Balance'!$H$6:$H$105,MATCH(5,'Trial Balance'!$L$6:$L$105,0)),""))&lt;0," (− received in advance)","")))</f>
        <v/>
      </c>
      <c r="I27" s="55" t="str">
        <f aca="false">IF(IFERROR(INDEX('Trial Balance'!$B$6:$B$105,MATCH(5,'Trial Balance'!$L$6:$L$105,0)),"")="","",IFERROR(INDEX('Trial Balance'!$I$6:$I$105,MATCH(5,'Trial Balance'!$L$6:$L$105,0)),""))</f>
        <v/>
      </c>
    </row>
    <row r="28" customFormat="false" ht="15" hidden="false" customHeight="false" outlineLevel="0" collapsed="false">
      <c r="C28" s="54" t="str">
        <f aca="false">IF(IFERROR(INDEX('Trial Balance'!$B$6:$B$105,MATCH(6,'Trial Balance'!$K$6:$K$105,0)),"")="","","To "&amp;IFERROR(INDEX('Trial Balance'!$B$6:$B$105,MATCH(6,'Trial Balance'!$K$6:$K$105,0)),"")&amp;IF(N(IFERROR(INDEX('Trial Balance'!$H$6:$H$105,MATCH(6,'Trial Balance'!$K$6:$K$105,0)),""))&gt;0," (+ outstanding)",IF(N(IFERROR(INDEX('Trial Balance'!$H$6:$H$105,MATCH(6,'Trial Balance'!$K$6:$K$105,0)),""))&lt;0," (− prepaid)","")))</f>
        <v/>
      </c>
      <c r="E28" s="56" t="str">
        <f aca="false">IF(IFERROR(INDEX('Trial Balance'!$B$6:$B$105,MATCH(6,'Trial Balance'!$K$6:$K$105,0)),"")="","",IFERROR(INDEX('Trial Balance'!$I$6:$I$105,MATCH(6,'Trial Balance'!$K$6:$K$105,0)),""))</f>
        <v/>
      </c>
      <c r="G28" s="54" t="str">
        <f aca="false">IF(IFERROR(INDEX('Trial Balance'!$B$6:$B$105,MATCH(6,'Trial Balance'!$L$6:$L$105,0)),"")="","","By "&amp;IFERROR(INDEX('Trial Balance'!$B$6:$B$105,MATCH(6,'Trial Balance'!$L$6:$L$105,0)),"")&amp;IF(N(IFERROR(INDEX('Trial Balance'!$H$6:$H$105,MATCH(6,'Trial Balance'!$L$6:$L$105,0)),""))&gt;0," (+ accrued)",IF(N(IFERROR(INDEX('Trial Balance'!$H$6:$H$105,MATCH(6,'Trial Balance'!$L$6:$L$105,0)),""))&lt;0," (− received in advance)","")))</f>
        <v/>
      </c>
      <c r="I28" s="55" t="str">
        <f aca="false">IF(IFERROR(INDEX('Trial Balance'!$B$6:$B$105,MATCH(6,'Trial Balance'!$L$6:$L$105,0)),"")="","",IFERROR(INDEX('Trial Balance'!$I$6:$I$105,MATCH(6,'Trial Balance'!$L$6:$L$105,0)),""))</f>
        <v/>
      </c>
    </row>
    <row r="29" customFormat="false" ht="15" hidden="false" customHeight="false" outlineLevel="0" collapsed="false">
      <c r="C29" s="54" t="str">
        <f aca="false">IF(IFERROR(INDEX('Trial Balance'!$B$6:$B$105,MATCH(7,'Trial Balance'!$K$6:$K$105,0)),"")="","","To "&amp;IFERROR(INDEX('Trial Balance'!$B$6:$B$105,MATCH(7,'Trial Balance'!$K$6:$K$105,0)),"")&amp;IF(N(IFERROR(INDEX('Trial Balance'!$H$6:$H$105,MATCH(7,'Trial Balance'!$K$6:$K$105,0)),""))&gt;0," (+ outstanding)",IF(N(IFERROR(INDEX('Trial Balance'!$H$6:$H$105,MATCH(7,'Trial Balance'!$K$6:$K$105,0)),""))&lt;0," (− prepaid)","")))</f>
        <v/>
      </c>
      <c r="E29" s="56" t="str">
        <f aca="false">IF(IFERROR(INDEX('Trial Balance'!$B$6:$B$105,MATCH(7,'Trial Balance'!$K$6:$K$105,0)),"")="","",IFERROR(INDEX('Trial Balance'!$I$6:$I$105,MATCH(7,'Trial Balance'!$K$6:$K$105,0)),""))</f>
        <v/>
      </c>
      <c r="G29" s="54" t="str">
        <f aca="false">IF(Calc!$B$28&gt;0,"By Interest on Drawings","")</f>
        <v>By Interest on Drawings</v>
      </c>
      <c r="I29" s="55" t="n">
        <f aca="false">IF(Calc!$B$28&gt;0,Calc!$B$28,"")</f>
        <v>1500</v>
      </c>
    </row>
    <row r="30" customFormat="false" ht="15" hidden="false" customHeight="false" outlineLevel="0" collapsed="false">
      <c r="C30" s="54" t="str">
        <f aca="false">IF(IFERROR(INDEX('Trial Balance'!$B$6:$B$105,MATCH(8,'Trial Balance'!$K$6:$K$105,0)),"")="","","To "&amp;IFERROR(INDEX('Trial Balance'!$B$6:$B$105,MATCH(8,'Trial Balance'!$K$6:$K$105,0)),"")&amp;IF(N(IFERROR(INDEX('Trial Balance'!$H$6:$H$105,MATCH(8,'Trial Balance'!$K$6:$K$105,0)),""))&gt;0," (+ outstanding)",IF(N(IFERROR(INDEX('Trial Balance'!$H$6:$H$105,MATCH(8,'Trial Balance'!$K$6:$K$105,0)),""))&lt;0," (− prepaid)","")))</f>
        <v/>
      </c>
      <c r="E30" s="56" t="str">
        <f aca="false">IF(IFERROR(INDEX('Trial Balance'!$B$6:$B$105,MATCH(8,'Trial Balance'!$K$6:$K$105,0)),"")="","",IFERROR(INDEX('Trial Balance'!$I$6:$I$105,MATCH(8,'Trial Balance'!$K$6:$K$105,0)),""))</f>
        <v/>
      </c>
    </row>
    <row r="31" customFormat="false" ht="15" hidden="false" customHeight="false" outlineLevel="0" collapsed="false">
      <c r="C31" s="54" t="str">
        <f aca="false">IF(IFERROR(INDEX('Trial Balance'!$B$6:$B$105,MATCH(9,'Trial Balance'!$K$6:$K$105,0)),"")="","","To "&amp;IFERROR(INDEX('Trial Balance'!$B$6:$B$105,MATCH(9,'Trial Balance'!$K$6:$K$105,0)),"")&amp;IF(N(IFERROR(INDEX('Trial Balance'!$H$6:$H$105,MATCH(9,'Trial Balance'!$K$6:$K$105,0)),""))&gt;0," (+ outstanding)",IF(N(IFERROR(INDEX('Trial Balance'!$H$6:$H$105,MATCH(9,'Trial Balance'!$K$6:$K$105,0)),""))&lt;0," (− prepaid)","")))</f>
        <v/>
      </c>
      <c r="E31" s="56" t="str">
        <f aca="false">IF(IFERROR(INDEX('Trial Balance'!$B$6:$B$105,MATCH(9,'Trial Balance'!$K$6:$K$105,0)),"")="","",IFERROR(INDEX('Trial Balance'!$I$6:$I$105,MATCH(9,'Trial Balance'!$K$6:$K$105,0)),""))</f>
        <v/>
      </c>
    </row>
    <row r="32" customFormat="false" ht="15" hidden="false" customHeight="false" outlineLevel="0" collapsed="false">
      <c r="C32" s="54" t="str">
        <f aca="false">IF(IFERROR(INDEX('Trial Balance'!$B$6:$B$105,MATCH(10,'Trial Balance'!$K$6:$K$105,0)),"")="","","To "&amp;IFERROR(INDEX('Trial Balance'!$B$6:$B$105,MATCH(10,'Trial Balance'!$K$6:$K$105,0)),"")&amp;IF(N(IFERROR(INDEX('Trial Balance'!$H$6:$H$105,MATCH(10,'Trial Balance'!$K$6:$K$105,0)),""))&gt;0," (+ outstanding)",IF(N(IFERROR(INDEX('Trial Balance'!$H$6:$H$105,MATCH(10,'Trial Balance'!$K$6:$K$105,0)),""))&lt;0," (− prepaid)","")))</f>
        <v/>
      </c>
      <c r="E32" s="56" t="str">
        <f aca="false">IF(IFERROR(INDEX('Trial Balance'!$B$6:$B$105,MATCH(10,'Trial Balance'!$K$6:$K$105,0)),"")="","",IFERROR(INDEX('Trial Balance'!$I$6:$I$105,MATCH(10,'Trial Balance'!$K$6:$K$105,0)),""))</f>
        <v/>
      </c>
    </row>
    <row r="33" customFormat="false" ht="15" hidden="false" customHeight="false" outlineLevel="0" collapsed="false">
      <c r="C33" s="54" t="s">
        <v>132</v>
      </c>
      <c r="D33" s="55" t="n">
        <f aca="false">Calc!$B$9+Adjustments!$D$23</f>
        <v>4000</v>
      </c>
      <c r="E33" s="64"/>
    </row>
    <row r="34" customFormat="false" ht="15" hidden="false" customHeight="false" outlineLevel="0" collapsed="false">
      <c r="C34" s="54" t="s">
        <v>133</v>
      </c>
      <c r="D34" s="55" t="n">
        <f aca="false">Calc!$B$25</f>
        <v>4400</v>
      </c>
      <c r="E34" s="64"/>
    </row>
    <row r="35" customFormat="false" ht="15" hidden="false" customHeight="false" outlineLevel="0" collapsed="false">
      <c r="C35" s="54" t="s">
        <v>134</v>
      </c>
      <c r="D35" s="55" t="n">
        <f aca="false">-Calc!$B$10</f>
        <v>-3000</v>
      </c>
      <c r="E35" s="56" t="n">
        <f aca="false">Calc!$B$26</f>
        <v>5400</v>
      </c>
    </row>
    <row r="36" customFormat="false" ht="15" hidden="false" customHeight="false" outlineLevel="0" collapsed="false">
      <c r="C36" s="54" t="s">
        <v>135</v>
      </c>
      <c r="E36" s="56" t="n">
        <f aca="false">Calc!$B$19</f>
        <v>25000</v>
      </c>
    </row>
    <row r="37" customFormat="false" ht="15" hidden="false" customHeight="false" outlineLevel="0" collapsed="false">
      <c r="C37" s="54" t="str">
        <f aca="false">IF(Calc!$B$27&gt;0,"To Interest on Capital","")</f>
        <v>To Interest on Capital</v>
      </c>
      <c r="E37" s="56" t="n">
        <f aca="false">IF(Calc!$B$27&gt;0,Calc!$B$27,"")</f>
        <v>18000</v>
      </c>
    </row>
    <row r="38" customFormat="false" ht="23.85" hidden="false" customHeight="false" outlineLevel="0" collapsed="false">
      <c r="C38" s="57" t="str">
        <f aca="false">IF(Calc!$B$29&gt;=0,"To Net Profit (transferred to Capital)","")</f>
        <v>To Net Profit (transferred to Capital)</v>
      </c>
      <c r="E38" s="59" t="n">
        <f aca="false">IF(Calc!$B$29&gt;=0,Calc!$B$29,"")</f>
        <v>117600</v>
      </c>
      <c r="G38" s="57" t="str">
        <f aca="false">IF(Calc!$B$29&lt;0,"By Net Loss (transferred to Capital)","")</f>
        <v/>
      </c>
      <c r="I38" s="65" t="str">
        <f aca="false">IF(Calc!$B$29&lt;0,-Calc!$B$29,"")</f>
        <v/>
      </c>
    </row>
    <row r="39" customFormat="false" ht="15" hidden="false" customHeight="false" outlineLevel="0" collapsed="false">
      <c r="E39" s="60" t="n">
        <f aca="false">MAX(0,-Calc!$B$23)+Calc!$B$7+Calc!$B$26+Calc!$B$19+Calc!$B$27+MAX(0,Calc!$B$29)</f>
        <v>276500</v>
      </c>
      <c r="I39" s="61" t="n">
        <f aca="false">MAX(0,Calc!$B$23)+Calc!$B$8+Calc!$B$28+MAX(0,-Calc!$B$29)</f>
        <v>276500</v>
      </c>
    </row>
    <row r="42" customFormat="false" ht="17.9" hidden="false" customHeight="false" outlineLevel="0" collapsed="false">
      <c r="B42" s="51" t="str">
        <f aca="false">Setup!$C$4</f>
        <v>M/s Xplore Traders</v>
      </c>
      <c r="C42" s="51"/>
      <c r="D42" s="51"/>
      <c r="E42" s="51"/>
      <c r="F42" s="51"/>
      <c r="G42" s="51"/>
      <c r="H42" s="51"/>
      <c r="I42" s="51"/>
    </row>
    <row r="43" customFormat="false" ht="24" hidden="false" customHeight="true" outlineLevel="0" collapsed="false">
      <c r="B43" s="52" t="str">
        <f aca="false">"Balance Sheet as at "&amp;TEXT(Setup!$C$5,"dd mmmm yyyy")</f>
        <v>Balance Sheet as at 31 March 2027</v>
      </c>
      <c r="C43" s="52"/>
      <c r="D43" s="52"/>
      <c r="E43" s="52"/>
      <c r="F43" s="52"/>
      <c r="G43" s="52"/>
      <c r="H43" s="52"/>
      <c r="I43" s="52"/>
    </row>
    <row r="44" customFormat="false" ht="15" hidden="false" customHeight="false" outlineLevel="0" collapsed="false">
      <c r="B44" s="53"/>
      <c r="C44" s="53" t="s">
        <v>136</v>
      </c>
      <c r="D44" s="53" t="s">
        <v>124</v>
      </c>
      <c r="E44" s="53" t="s">
        <v>105</v>
      </c>
      <c r="F44" s="53"/>
      <c r="G44" s="53" t="s">
        <v>137</v>
      </c>
      <c r="H44" s="53" t="s">
        <v>124</v>
      </c>
      <c r="I44" s="53" t="s">
        <v>105</v>
      </c>
    </row>
    <row r="45" customFormat="false" ht="15" hidden="false" customHeight="false" outlineLevel="0" collapsed="false">
      <c r="C45" s="57" t="s">
        <v>62</v>
      </c>
      <c r="D45" s="55" t="n">
        <f aca="false">Calc!$B$11</f>
        <v>300000</v>
      </c>
      <c r="E45" s="62"/>
      <c r="G45" s="54" t="str">
        <f aca="false">IF(IFERROR(INDEX('Trial Balance'!$B$6:$B$105,MATCH(1,'Trial Balance'!$M$6:$M$105,0)),"")="","",IFERROR(INDEX('Trial Balance'!$B$6:$B$105,MATCH(1,'Trial Balance'!$M$6:$M$105,0)),"")&amp;" "&amp;TEXT(IFERROR(INDEX('Trial Balance'!$I$6:$I$105,MATCH(1,'Trial Balance'!$M$6:$M$105,0)),""),"[&gt;=100000]##\,##\,##0;##,##0")&amp;" less dep. "&amp;TEXT(IFERROR(INDEX('Trial Balance'!$R$6:$R$105,MATCH(1,'Trial Balance'!$M$6:$M$105,0)),""),"[&gt;=100000]##\,##\,##0;##,##0"))</f>
        <v>Machinery 1,20,000 less dep. 12,000</v>
      </c>
      <c r="I45" s="55" t="n">
        <f aca="false">IF(IFERROR(INDEX('Trial Balance'!$B$6:$B$105,MATCH(1,'Trial Balance'!$M$6:$M$105,0)),"")="","",IFERROR(INDEX('Trial Balance'!$I$6:$I$105,MATCH(1,'Trial Balance'!$M$6:$M$105,0)),"")-IFERROR(INDEX('Trial Balance'!$R$6:$R$105,MATCH(1,'Trial Balance'!$M$6:$M$105,0)),""))</f>
        <v>108000</v>
      </c>
    </row>
    <row r="46" customFormat="false" ht="15" hidden="false" customHeight="false" outlineLevel="0" collapsed="false">
      <c r="C46" s="54" t="s">
        <v>138</v>
      </c>
      <c r="D46" s="55" t="n">
        <f aca="false">Calc!$B$29</f>
        <v>117600</v>
      </c>
      <c r="E46" s="56"/>
      <c r="G46" s="54" t="str">
        <f aca="false">IF(IFERROR(INDEX('Trial Balance'!$B$6:$B$105,MATCH(2,'Trial Balance'!$M$6:$M$105,0)),"")="","",IFERROR(INDEX('Trial Balance'!$B$6:$B$105,MATCH(2,'Trial Balance'!$M$6:$M$105,0)),"")&amp;" "&amp;TEXT(IFERROR(INDEX('Trial Balance'!$I$6:$I$105,MATCH(2,'Trial Balance'!$M$6:$M$105,0)),""),"[&gt;=100000]##\,##\,##0;##,##0")&amp;" less dep. "&amp;TEXT(IFERROR(INDEX('Trial Balance'!$R$6:$R$105,MATCH(2,'Trial Balance'!$M$6:$M$105,0)),""),"[&gt;=100000]##\,##\,##0;##,##0"))</f>
        <v>Furniture 30,000 less dep. 3,000</v>
      </c>
      <c r="I46" s="55" t="n">
        <f aca="false">IF(IFERROR(INDEX('Trial Balance'!$B$6:$B$105,MATCH(2,'Trial Balance'!$M$6:$M$105,0)),"")="","",IFERROR(INDEX('Trial Balance'!$I$6:$I$105,MATCH(2,'Trial Balance'!$M$6:$M$105,0)),"")-IFERROR(INDEX('Trial Balance'!$R$6:$R$105,MATCH(2,'Trial Balance'!$M$6:$M$105,0)),""))</f>
        <v>27000</v>
      </c>
    </row>
    <row r="47" customFormat="false" ht="15" hidden="false" customHeight="false" outlineLevel="0" collapsed="false">
      <c r="C47" s="54" t="s">
        <v>139</v>
      </c>
      <c r="D47" s="55" t="n">
        <f aca="false">Calc!$B$27</f>
        <v>18000</v>
      </c>
      <c r="E47" s="56"/>
      <c r="G47" s="54" t="str">
        <f aca="false">IF(IFERROR(INDEX('Trial Balance'!$B$6:$B$105,MATCH(3,'Trial Balance'!$M$6:$M$105,0)),"")="","",IFERROR(INDEX('Trial Balance'!$B$6:$B$105,MATCH(3,'Trial Balance'!$M$6:$M$105,0)),"")&amp;" "&amp;TEXT(IFERROR(INDEX('Trial Balance'!$I$6:$I$105,MATCH(3,'Trial Balance'!$M$6:$M$105,0)),""),"[&gt;=100000]##\,##\,##0;##,##0")&amp;" less dep. "&amp;TEXT(IFERROR(INDEX('Trial Balance'!$R$6:$R$105,MATCH(3,'Trial Balance'!$M$6:$M$105,0)),""),"[&gt;=100000]##\,##\,##0;##,##0"))</f>
        <v>Building 2,00,000 less dep. 10,000</v>
      </c>
      <c r="I47" s="55" t="n">
        <f aca="false">IF(IFERROR(INDEX('Trial Balance'!$B$6:$B$105,MATCH(3,'Trial Balance'!$M$6:$M$105,0)),"")="","",IFERROR(INDEX('Trial Balance'!$I$6:$I$105,MATCH(3,'Trial Balance'!$M$6:$M$105,0)),"")-IFERROR(INDEX('Trial Balance'!$R$6:$R$105,MATCH(3,'Trial Balance'!$M$6:$M$105,0)),""))</f>
        <v>190000</v>
      </c>
    </row>
    <row r="48" customFormat="false" ht="15" hidden="false" customHeight="false" outlineLevel="0" collapsed="false">
      <c r="C48" s="54" t="s">
        <v>140</v>
      </c>
      <c r="D48" s="55" t="n">
        <f aca="false">-Calc!$B$12</f>
        <v>-30000</v>
      </c>
      <c r="E48" s="56"/>
      <c r="G48" s="54" t="str">
        <f aca="false">IF(IFERROR(INDEX('Trial Balance'!$B$6:$B$105,MATCH(4,'Trial Balance'!$M$6:$M$105,0)),"")="","",IFERROR(INDEX('Trial Balance'!$B$6:$B$105,MATCH(4,'Trial Balance'!$M$6:$M$105,0)),"")&amp;" "&amp;TEXT(IFERROR(INDEX('Trial Balance'!$I$6:$I$105,MATCH(4,'Trial Balance'!$M$6:$M$105,0)),""),"[&gt;=100000]##\,##\,##0;##,##0")&amp;" less dep. "&amp;TEXT(IFERROR(INDEX('Trial Balance'!$R$6:$R$105,MATCH(4,'Trial Balance'!$M$6:$M$105,0)),""),"[&gt;=100000]##\,##\,##0;##,##0"))</f>
        <v/>
      </c>
      <c r="I48" s="55" t="str">
        <f aca="false">IF(IFERROR(INDEX('Trial Balance'!$B$6:$B$105,MATCH(4,'Trial Balance'!$M$6:$M$105,0)),"")="","",IFERROR(INDEX('Trial Balance'!$I$6:$I$105,MATCH(4,'Trial Balance'!$M$6:$M$105,0)),"")-IFERROR(INDEX('Trial Balance'!$R$6:$R$105,MATCH(4,'Trial Balance'!$M$6:$M$105,0)),""))</f>
        <v/>
      </c>
    </row>
    <row r="49" customFormat="false" ht="15" hidden="false" customHeight="false" outlineLevel="0" collapsed="false">
      <c r="C49" s="54" t="s">
        <v>141</v>
      </c>
      <c r="D49" s="55" t="n">
        <f aca="false">-Calc!$B$28</f>
        <v>-1500</v>
      </c>
      <c r="E49" s="56" t="n">
        <f aca="false">Calc!$B$30</f>
        <v>404100</v>
      </c>
      <c r="G49" s="54" t="str">
        <f aca="false">IF(IFERROR(INDEX('Trial Balance'!$B$6:$B$105,MATCH(5,'Trial Balance'!$M$6:$M$105,0)),"")="","",IFERROR(INDEX('Trial Balance'!$B$6:$B$105,MATCH(5,'Trial Balance'!$M$6:$M$105,0)),"")&amp;" "&amp;TEXT(IFERROR(INDEX('Trial Balance'!$I$6:$I$105,MATCH(5,'Trial Balance'!$M$6:$M$105,0)),""),"[&gt;=100000]##\,##\,##0;##,##0")&amp;" less dep. "&amp;TEXT(IFERROR(INDEX('Trial Balance'!$R$6:$R$105,MATCH(5,'Trial Balance'!$M$6:$M$105,0)),""),"[&gt;=100000]##\,##\,##0;##,##0"))</f>
        <v/>
      </c>
      <c r="I49" s="55" t="str">
        <f aca="false">IF(IFERROR(INDEX('Trial Balance'!$B$6:$B$105,MATCH(5,'Trial Balance'!$M$6:$M$105,0)),"")="","",IFERROR(INDEX('Trial Balance'!$I$6:$I$105,MATCH(5,'Trial Balance'!$M$6:$M$105,0)),"")-IFERROR(INDEX('Trial Balance'!$R$6:$R$105,MATCH(5,'Trial Balance'!$M$6:$M$105,0)),""))</f>
        <v/>
      </c>
    </row>
    <row r="50" customFormat="false" ht="15" hidden="false" customHeight="false" outlineLevel="0" collapsed="false">
      <c r="C50" s="54" t="str">
        <f aca="false">IFERROR(INDEX('Trial Balance'!$B$6:$B$105,MATCH(1,'Trial Balance'!$Q$6:$Q$105,0)),"")</f>
        <v>Loan from Bank</v>
      </c>
      <c r="E50" s="56" t="n">
        <f aca="false">IF(IFERROR(INDEX('Trial Balance'!$B$6:$B$105,MATCH(1,'Trial Balance'!$Q$6:$Q$105,0)),"")="","",IFERROR(INDEX('Trial Balance'!$I$6:$I$105,MATCH(1,'Trial Balance'!$Q$6:$Q$105,0)),""))</f>
        <v>100000</v>
      </c>
      <c r="G50" s="54" t="str">
        <f aca="false">IFERROR(INDEX('Trial Balance'!$B$6:$B$105,MATCH(1,'Trial Balance'!$N$6:$N$105,0)),"")</f>
        <v>Fixed Deposit</v>
      </c>
      <c r="I50" s="55" t="n">
        <f aca="false">IF(IFERROR(INDEX('Trial Balance'!$B$6:$B$105,MATCH(1,'Trial Balance'!$N$6:$N$105,0)),"")="","",IFERROR(INDEX('Trial Balance'!$I$6:$I$105,MATCH(1,'Trial Balance'!$N$6:$N$105,0)),""))</f>
        <v>47000</v>
      </c>
    </row>
    <row r="51" customFormat="false" ht="15" hidden="false" customHeight="false" outlineLevel="0" collapsed="false">
      <c r="C51" s="54" t="str">
        <f aca="false">IFERROR(INDEX('Trial Balance'!$B$6:$B$105,MATCH(2,'Trial Balance'!$Q$6:$Q$105,0)),"")</f>
        <v/>
      </c>
      <c r="E51" s="56" t="str">
        <f aca="false">IF(IFERROR(INDEX('Trial Balance'!$B$6:$B$105,MATCH(2,'Trial Balance'!$Q$6:$Q$105,0)),"")="","",IFERROR(INDEX('Trial Balance'!$I$6:$I$105,MATCH(2,'Trial Balance'!$Q$6:$Q$105,0)),""))</f>
        <v/>
      </c>
      <c r="G51" s="54" t="str">
        <f aca="false">IFERROR(INDEX('Trial Balance'!$B$6:$B$105,MATCH(2,'Trial Balance'!$N$6:$N$105,0)),"")</f>
        <v/>
      </c>
      <c r="I51" s="55" t="str">
        <f aca="false">IF(IFERROR(INDEX('Trial Balance'!$B$6:$B$105,MATCH(2,'Trial Balance'!$N$6:$N$105,0)),"")="","",IFERROR(INDEX('Trial Balance'!$I$6:$I$105,MATCH(2,'Trial Balance'!$N$6:$N$105,0)),""))</f>
        <v/>
      </c>
    </row>
    <row r="52" customFormat="false" ht="15" hidden="false" customHeight="false" outlineLevel="0" collapsed="false">
      <c r="C52" s="54" t="str">
        <f aca="false">IFERROR(INDEX('Trial Balance'!$B$6:$B$105,MATCH(3,'Trial Balance'!$Q$6:$Q$105,0)),"")</f>
        <v/>
      </c>
      <c r="E52" s="56" t="str">
        <f aca="false">IF(IFERROR(INDEX('Trial Balance'!$B$6:$B$105,MATCH(3,'Trial Balance'!$Q$6:$Q$105,0)),"")="","",IFERROR(INDEX('Trial Balance'!$I$6:$I$105,MATCH(3,'Trial Balance'!$Q$6:$Q$105,0)),""))</f>
        <v/>
      </c>
      <c r="G52" s="54" t="s">
        <v>142</v>
      </c>
      <c r="I52" s="55" t="n">
        <f aca="false">Calc!$B$22</f>
        <v>70000</v>
      </c>
    </row>
    <row r="53" customFormat="false" ht="15" hidden="false" customHeight="false" outlineLevel="0" collapsed="false">
      <c r="C53" s="54" t="str">
        <f aca="false">IFERROR(INDEX('Trial Balance'!$B$6:$B$105,MATCH(1,'Trial Balance'!$P$6:$P$105,0)),"")</f>
        <v>Sundry Creditors</v>
      </c>
      <c r="E53" s="56" t="n">
        <f aca="false">IF(IFERROR(INDEX('Trial Balance'!$B$6:$B$105,MATCH(1,'Trial Balance'!$P$6:$P$105,0)),"")="","",IFERROR(INDEX('Trial Balance'!$I$6:$I$105,MATCH(1,'Trial Balance'!$P$6:$P$105,0)),""))</f>
        <v>60000</v>
      </c>
      <c r="G53" s="54" t="s">
        <v>89</v>
      </c>
      <c r="H53" s="55" t="n">
        <f aca="false">Calc!$B$17</f>
        <v>90000</v>
      </c>
    </row>
    <row r="54" customFormat="false" ht="15" hidden="false" customHeight="false" outlineLevel="0" collapsed="false">
      <c r="C54" s="54" t="str">
        <f aca="false">IFERROR(INDEX('Trial Balance'!$B$6:$B$105,MATCH(2,'Trial Balance'!$P$6:$P$105,0)),"")</f>
        <v>Bills Payable</v>
      </c>
      <c r="E54" s="56" t="n">
        <f aca="false">IF(IFERROR(INDEX('Trial Balance'!$B$6:$B$105,MATCH(2,'Trial Balance'!$P$6:$P$105,0)),"")="","",IFERROR(INDEX('Trial Balance'!$I$6:$I$105,MATCH(2,'Trial Balance'!$P$6:$P$105,0)),""))</f>
        <v>15000</v>
      </c>
      <c r="G54" s="54" t="s">
        <v>143</v>
      </c>
      <c r="H54" s="55" t="n">
        <f aca="false">-Adjustments!$D$23</f>
        <v>-2000</v>
      </c>
    </row>
    <row r="55" customFormat="false" ht="15" hidden="false" customHeight="false" outlineLevel="0" collapsed="false">
      <c r="C55" s="54" t="str">
        <f aca="false">IFERROR(INDEX('Trial Balance'!$B$6:$B$105,MATCH(3,'Trial Balance'!$P$6:$P$105,0)),"")</f>
        <v/>
      </c>
      <c r="E55" s="56" t="str">
        <f aca="false">IF(IFERROR(INDEX('Trial Balance'!$B$6:$B$105,MATCH(3,'Trial Balance'!$P$6:$P$105,0)),"")="","",IFERROR(INDEX('Trial Balance'!$I$6:$I$105,MATCH(3,'Trial Balance'!$P$6:$P$105,0)),""))</f>
        <v/>
      </c>
      <c r="G55" s="54" t="s">
        <v>144</v>
      </c>
      <c r="H55" s="55" t="n">
        <f aca="false">-Calc!$B$25</f>
        <v>-4400</v>
      </c>
      <c r="I55" s="55" t="n">
        <f aca="false">Calc!$B$31</f>
        <v>83600</v>
      </c>
    </row>
    <row r="56" customFormat="false" ht="15" hidden="false" customHeight="false" outlineLevel="0" collapsed="false">
      <c r="C56" s="54" t="str">
        <f aca="false">IFERROR(INDEX('Trial Balance'!$B$6:$B$105,MATCH(4,'Trial Balance'!$P$6:$P$105,0)),"")</f>
        <v/>
      </c>
      <c r="E56" s="56" t="str">
        <f aca="false">IF(IFERROR(INDEX('Trial Balance'!$B$6:$B$105,MATCH(4,'Trial Balance'!$P$6:$P$105,0)),"")="","",IFERROR(INDEX('Trial Balance'!$I$6:$I$105,MATCH(4,'Trial Balance'!$P$6:$P$105,0)),""))</f>
        <v/>
      </c>
      <c r="G56" s="54" t="str">
        <f aca="false">IFERROR(INDEX('Trial Balance'!$B$6:$B$105,MATCH(1,'Trial Balance'!$O$6:$O$105,0)),"")</f>
        <v>Cash in Hand</v>
      </c>
      <c r="I56" s="55" t="n">
        <f aca="false">IF(IFERROR(INDEX('Trial Balance'!$B$6:$B$105,MATCH(1,'Trial Balance'!$O$6:$O$105,0)),"")="","",IFERROR(INDEX('Trial Balance'!$I$6:$I$105,MATCH(1,'Trial Balance'!$O$6:$O$105,0)),""))</f>
        <v>8000</v>
      </c>
    </row>
    <row r="57" customFormat="false" ht="15" hidden="false" customHeight="false" outlineLevel="0" collapsed="false">
      <c r="C57" s="54" t="str">
        <f aca="false">IFERROR(INDEX('Trial Balance'!$B$6:$B$105,MATCH(5,'Trial Balance'!$P$6:$P$105,0)),"")</f>
        <v/>
      </c>
      <c r="E57" s="56" t="str">
        <f aca="false">IF(IFERROR(INDEX('Trial Balance'!$B$6:$B$105,MATCH(5,'Trial Balance'!$P$6:$P$105,0)),"")="","",IFERROR(INDEX('Trial Balance'!$I$6:$I$105,MATCH(5,'Trial Balance'!$P$6:$P$105,0)),""))</f>
        <v/>
      </c>
      <c r="G57" s="54" t="str">
        <f aca="false">IFERROR(INDEX('Trial Balance'!$B$6:$B$105,MATCH(2,'Trial Balance'!$O$6:$O$105,0)),"")</f>
        <v>Cash at Bank</v>
      </c>
      <c r="I57" s="55" t="n">
        <f aca="false">IF(IFERROR(INDEX('Trial Balance'!$B$6:$B$105,MATCH(2,'Trial Balance'!$O$6:$O$105,0)),"")="","",IFERROR(INDEX('Trial Balance'!$I$6:$I$105,MATCH(2,'Trial Balance'!$O$6:$O$105,0)),""))</f>
        <v>52000</v>
      </c>
    </row>
    <row r="58" customFormat="false" ht="15" hidden="false" customHeight="false" outlineLevel="0" collapsed="false">
      <c r="C58" s="54" t="str">
        <f aca="false">IFERROR(INDEX('Trial Balance'!$B$6:$B$105,MATCH(6,'Trial Balance'!$P$6:$P$105,0)),"")</f>
        <v/>
      </c>
      <c r="E58" s="56" t="str">
        <f aca="false">IF(IFERROR(INDEX('Trial Balance'!$B$6:$B$105,MATCH(6,'Trial Balance'!$P$6:$P$105,0)),"")="","",IFERROR(INDEX('Trial Balance'!$I$6:$I$105,MATCH(6,'Trial Balance'!$P$6:$P$105,0)),""))</f>
        <v/>
      </c>
      <c r="G58" s="54" t="str">
        <f aca="false">IFERROR(INDEX('Trial Balance'!$B$6:$B$105,MATCH(3,'Trial Balance'!$O$6:$O$105,0)),"")</f>
        <v/>
      </c>
      <c r="I58" s="55" t="str">
        <f aca="false">IF(IFERROR(INDEX('Trial Balance'!$B$6:$B$105,MATCH(3,'Trial Balance'!$O$6:$O$105,0)),"")="","",IFERROR(INDEX('Trial Balance'!$I$6:$I$105,MATCH(3,'Trial Balance'!$O$6:$O$105,0)),""))</f>
        <v/>
      </c>
    </row>
    <row r="59" customFormat="false" ht="15" hidden="false" customHeight="false" outlineLevel="0" collapsed="false">
      <c r="C59" s="54" t="str">
        <f aca="false">IF(SUM(Adjustments!$C$6:$C$10)&gt;0,"Outstanding Expenses","")</f>
        <v>Outstanding Expenses</v>
      </c>
      <c r="E59" s="56" t="n">
        <f aca="false">IF(SUM(Adjustments!$C$6:$C$10)&gt;0,SUM(Adjustments!$C$6:$C$10),"")</f>
        <v>9000</v>
      </c>
      <c r="G59" s="54" t="str">
        <f aca="false">IF(SUM(Adjustments!$F$6:$F$10)&gt;0,"Prepaid Expenses","")</f>
        <v>Prepaid Expenses</v>
      </c>
      <c r="I59" s="55" t="n">
        <f aca="false">IF(SUM(Adjustments!$F$6:$F$10)&gt;0,SUM(Adjustments!$F$6:$F$10),"")</f>
        <v>1500</v>
      </c>
    </row>
    <row r="60" customFormat="false" ht="15" hidden="false" customHeight="false" outlineLevel="0" collapsed="false">
      <c r="C60" s="54" t="str">
        <f aca="false">IF(SUM(Adjustments!$F$14:$F$18)&gt;0,"Income Received in Advance","")</f>
        <v/>
      </c>
      <c r="E60" s="56" t="str">
        <f aca="false">IF(SUM(Adjustments!$F$14:$F$18)&gt;0,SUM(Adjustments!$F$14:$F$18),"")</f>
        <v/>
      </c>
      <c r="G60" s="54" t="str">
        <f aca="false">IF(SUM(Adjustments!$C$14:$C$18)&gt;0,"Accrued Income","")</f>
        <v>Accrued Income</v>
      </c>
      <c r="I60" s="55" t="n">
        <f aca="false">IF(SUM(Adjustments!$C$14:$C$18)&gt;0,SUM(Adjustments!$C$14:$C$18),"")</f>
        <v>1000</v>
      </c>
    </row>
    <row r="61" customFormat="false" ht="15" hidden="false" customHeight="false" outlineLevel="0" collapsed="false">
      <c r="E61" s="60" t="n">
        <f aca="false">Calc!$B$32</f>
        <v>588100</v>
      </c>
      <c r="I61" s="61" t="n">
        <f aca="false">Calc!$B$33</f>
        <v>588100</v>
      </c>
    </row>
    <row r="62" customFormat="false" ht="15" hidden="false" customHeight="false" outlineLevel="0" collapsed="false">
      <c r="B62" s="66" t="str">
        <f aca="false">IF(ROUND(E61-I61,0)=0,"✔ Balance Sheet tallies.","⚠ Balance Sheet does not tally by "&amp;TEXT(E61-I61,"#,##0")&amp;" – check the Trial Balance and heads.")</f>
        <v>✔ Balance Sheet tallies.</v>
      </c>
      <c r="C62" s="66"/>
      <c r="D62" s="66"/>
      <c r="E62" s="66"/>
      <c r="F62" s="66"/>
      <c r="G62" s="66"/>
      <c r="H62" s="66"/>
      <c r="I62" s="66"/>
    </row>
    <row r="64" customFormat="false" ht="15" hidden="false" customHeight="true" outlineLevel="0" collapsed="false">
      <c r="B64" s="67" t="s">
        <v>145</v>
      </c>
      <c r="C64" s="67"/>
      <c r="D64" s="67"/>
      <c r="E64" s="67"/>
      <c r="F64" s="67"/>
      <c r="G64" s="67"/>
      <c r="H64" s="67"/>
      <c r="I64" s="67"/>
    </row>
  </sheetData>
  <sheetProtection sheet="1" objects="1" scenarios="1" formatColumns="0" formatRows="0" algorithmName="SHA-512" hashValue="9aiZHY9U7GQvn35YBDC9vAx9FVt9L/G1umMR8DcKdE/nuAl7x9y6gcaCY50oIOF/stUHa763b6n5F0rOpHa+oA==" saltValue="ESlwre3noT4a9j2tysRBXA==" spinCount="100000"/>
  <mergeCells count="8">
    <mergeCell ref="B2:I2"/>
    <mergeCell ref="B3:I3"/>
    <mergeCell ref="B19:I19"/>
    <mergeCell ref="B20:I20"/>
    <mergeCell ref="B42:I42"/>
    <mergeCell ref="B43:I43"/>
    <mergeCell ref="B62:I62"/>
    <mergeCell ref="B64:I64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0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46"/>
  </cols>
  <sheetData>
    <row r="1" customFormat="false" ht="15" hidden="false" customHeight="false" outlineLevel="0" collapsed="false">
      <c r="A1" s="15" t="s">
        <v>20</v>
      </c>
    </row>
    <row r="2" customFormat="false" ht="31.5" hidden="false" customHeight="true" outlineLevel="0" collapsed="false">
      <c r="A2" s="23" t="s">
        <v>146</v>
      </c>
      <c r="B2" s="23"/>
      <c r="C2" s="23"/>
      <c r="D2" s="23"/>
    </row>
    <row r="4" customFormat="false" ht="33.75" hidden="false" customHeight="true" outlineLevel="0" collapsed="false">
      <c r="A4" s="31" t="s">
        <v>147</v>
      </c>
      <c r="B4" s="31" t="s">
        <v>148</v>
      </c>
      <c r="C4" s="31" t="s">
        <v>149</v>
      </c>
      <c r="D4" s="31" t="s">
        <v>150</v>
      </c>
    </row>
    <row r="5" customFormat="false" ht="24" hidden="false" customHeight="true" outlineLevel="0" collapsed="false">
      <c r="A5" s="6" t="s">
        <v>151</v>
      </c>
      <c r="B5" s="68" t="s">
        <v>152</v>
      </c>
      <c r="C5" s="69" t="n">
        <f aca="false">IFERROR(Calc!$B$23/Calc!$B$21,0)</f>
        <v>0.386861313868613</v>
      </c>
      <c r="D5" s="70" t="s">
        <v>153</v>
      </c>
    </row>
    <row r="6" customFormat="false" ht="24" hidden="false" customHeight="true" outlineLevel="0" collapsed="false">
      <c r="A6" s="6" t="s">
        <v>16</v>
      </c>
      <c r="B6" s="68" t="s">
        <v>154</v>
      </c>
      <c r="C6" s="69" t="n">
        <f aca="false">IFERROR(Calc!$B$29/Calc!$B$21,0)</f>
        <v>0.171678832116788</v>
      </c>
      <c r="D6" s="70" t="s">
        <v>155</v>
      </c>
    </row>
    <row r="7" customFormat="false" ht="24" hidden="false" customHeight="true" outlineLevel="0" collapsed="false">
      <c r="A7" s="6" t="s">
        <v>156</v>
      </c>
      <c r="B7" s="68" t="s">
        <v>157</v>
      </c>
      <c r="C7" s="69" t="n">
        <f aca="false">IFERROR((Calc!$B$7+Calc!$B$26+Calc!$B$19)/Calc!$B$21,0)</f>
        <v>0.205693430656934</v>
      </c>
      <c r="D7" s="70" t="s">
        <v>158</v>
      </c>
    </row>
    <row r="8" customFormat="false" ht="24" hidden="false" customHeight="true" outlineLevel="0" collapsed="false">
      <c r="A8" s="6" t="s">
        <v>159</v>
      </c>
      <c r="B8" s="68" t="s">
        <v>160</v>
      </c>
      <c r="C8" s="71" t="n">
        <f aca="false">IFERROR((Calc!$B$22+Calc!$B$31+Calc!$B$18+SUM(Adjustments!$F$6:$F$10)+SUM(Adjustments!$C$14:$C$18))/(Calc!$B$14+SUM(Adjustments!$C$6:$C$10)+SUM(Adjustments!$F$14:$F$18)),0)</f>
        <v>2.57261904761905</v>
      </c>
      <c r="D8" s="70" t="s">
        <v>161</v>
      </c>
    </row>
    <row r="9" customFormat="false" ht="24" hidden="false" customHeight="true" outlineLevel="0" collapsed="false">
      <c r="A9" s="6" t="s">
        <v>162</v>
      </c>
      <c r="B9" s="68" t="s">
        <v>163</v>
      </c>
      <c r="C9" s="71" t="n">
        <f aca="false">IFERROR(((Calc!$B$22+Calc!$B$31+Calc!$B$18+SUM(Adjustments!$F$6:$F$10)+SUM(Adjustments!$C$14:$C$18))-Calc!$B$22)/(Calc!$B$14+SUM(Adjustments!$C$6:$C$10)+SUM(Adjustments!$F$14:$F$18)),0)</f>
        <v>1.73928571428571</v>
      </c>
      <c r="D9" s="70" t="s">
        <v>164</v>
      </c>
    </row>
    <row r="10" customFormat="false" ht="24" hidden="false" customHeight="true" outlineLevel="0" collapsed="false">
      <c r="A10" s="6" t="s">
        <v>165</v>
      </c>
      <c r="B10" s="68" t="s">
        <v>166</v>
      </c>
      <c r="C10" s="72" t="n">
        <f aca="false">IFERROR((Calc!$B$1+Calc!$B$20+Calc!$B$4-Calc!$B$22)/((Calc!$B$1+Calc!$B$22)/2),0)</f>
        <v>7</v>
      </c>
      <c r="D10" s="70" t="s">
        <v>167</v>
      </c>
    </row>
    <row r="11" customFormat="false" ht="24" hidden="false" customHeight="true" outlineLevel="0" collapsed="false">
      <c r="A11" s="6" t="s">
        <v>168</v>
      </c>
      <c r="B11" s="68" t="s">
        <v>169</v>
      </c>
      <c r="C11" s="69" t="n">
        <f aca="false">IFERROR(Calc!$B$29/Calc!$B$11,0)</f>
        <v>0.392</v>
      </c>
      <c r="D11" s="70" t="s">
        <v>170</v>
      </c>
    </row>
    <row r="12" customFormat="false" ht="24" hidden="false" customHeight="true" outlineLevel="0" collapsed="false">
      <c r="A12" s="6" t="s">
        <v>171</v>
      </c>
      <c r="B12" s="68" t="s">
        <v>172</v>
      </c>
      <c r="C12" s="71" t="n">
        <f aca="false">IFERROR(Calc!$B$13/Calc!$B$30,0)</f>
        <v>0.247463499133878</v>
      </c>
      <c r="D12" s="70" t="s">
        <v>173</v>
      </c>
    </row>
  </sheetData>
  <sheetProtection sheet="1" objects="1" scenarios="1" formatColumns="0" formatRows="0" algorithmName="SHA-512" hashValue="2D6Q+87g4S8xZKe5a2JCAo6dvTdApdxEi8tUy8pkrTQgIxz4kDQPAcPetWsagguRLfrEg7/KmWrY70Bac3JugQ==" saltValue="kPaVXd+LP6KR1txSjhxUfQ==" spinCount="100000"/>
  <mergeCells count="1">
    <mergeCell ref="A2:D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B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174</v>
      </c>
      <c r="B1" s="0" t="n">
        <f aca="false">SUMIF('Trial Balance'!$E$6:$E$105,"Opening Stock",'Trial Balance'!$I$6:$I$105)</f>
        <v>50000</v>
      </c>
    </row>
    <row r="2" customFormat="false" ht="15" hidden="false" customHeight="false" outlineLevel="0" collapsed="false">
      <c r="A2" s="0" t="s">
        <v>175</v>
      </c>
      <c r="B2" s="0" t="n">
        <f aca="false">SUMIF('Trial Balance'!$E$6:$E$105,"Purchases",'Trial Balance'!$I$6:$I$105)</f>
        <v>400000</v>
      </c>
    </row>
    <row r="3" customFormat="false" ht="15" hidden="false" customHeight="false" outlineLevel="0" collapsed="false">
      <c r="A3" s="0" t="s">
        <v>176</v>
      </c>
      <c r="B3" s="0" t="n">
        <f aca="false">SUMIF('Trial Balance'!$E$6:$E$105,"Purchase Returns",'Trial Balance'!$I$6:$I$105)</f>
        <v>10000</v>
      </c>
    </row>
    <row r="4" customFormat="false" ht="15" hidden="false" customHeight="false" outlineLevel="0" collapsed="false">
      <c r="A4" s="0" t="s">
        <v>177</v>
      </c>
      <c r="B4" s="0" t="n">
        <f aca="false">SUMIF('Trial Balance'!$E$6:$E$105,"Direct Expenses",'Trial Balance'!$I$6:$I$105)</f>
        <v>50000</v>
      </c>
    </row>
    <row r="5" customFormat="false" ht="15" hidden="false" customHeight="false" outlineLevel="0" collapsed="false">
      <c r="A5" s="0" t="s">
        <v>178</v>
      </c>
      <c r="B5" s="0" t="n">
        <f aca="false">SUMIF('Trial Balance'!$E$6:$E$105,"Sales",'Trial Balance'!$I$6:$I$105)</f>
        <v>700000</v>
      </c>
    </row>
    <row r="6" customFormat="false" ht="15" hidden="false" customHeight="false" outlineLevel="0" collapsed="false">
      <c r="A6" s="0" t="s">
        <v>179</v>
      </c>
      <c r="B6" s="0" t="n">
        <f aca="false">SUMIF('Trial Balance'!$E$6:$E$105,"Sales Returns",'Trial Balance'!$I$6:$I$105)</f>
        <v>15000</v>
      </c>
    </row>
    <row r="7" customFormat="false" ht="15" hidden="false" customHeight="false" outlineLevel="0" collapsed="false">
      <c r="A7" s="0" t="s">
        <v>180</v>
      </c>
      <c r="B7" s="0" t="n">
        <f aca="false">SUMIF('Trial Balance'!$E$6:$E$105,"Indirect Expenses",'Trial Balance'!$I$6:$I$105)</f>
        <v>110500</v>
      </c>
    </row>
    <row r="8" customFormat="false" ht="15" hidden="false" customHeight="false" outlineLevel="0" collapsed="false">
      <c r="A8" s="0" t="s">
        <v>181</v>
      </c>
      <c r="B8" s="0" t="n">
        <f aca="false">SUMIF('Trial Balance'!$E$6:$E$105,"Indirect Income",'Trial Balance'!$I$6:$I$105)</f>
        <v>10000</v>
      </c>
    </row>
    <row r="9" customFormat="false" ht="15" hidden="false" customHeight="false" outlineLevel="0" collapsed="false">
      <c r="A9" s="0" t="s">
        <v>182</v>
      </c>
      <c r="B9" s="0" t="n">
        <f aca="false">SUMIF('Trial Balance'!$E$6:$E$105,"Bad Debts",'Trial Balance'!$I$6:$I$105)</f>
        <v>2000</v>
      </c>
    </row>
    <row r="10" customFormat="false" ht="15" hidden="false" customHeight="false" outlineLevel="0" collapsed="false">
      <c r="A10" s="0" t="s">
        <v>183</v>
      </c>
      <c r="B10" s="0" t="n">
        <f aca="false">SUMIF('Trial Balance'!$E$6:$E$105,"Provision for Doubtful Debts",'Trial Balance'!$I$6:$I$105)</f>
        <v>3000</v>
      </c>
    </row>
    <row r="11" customFormat="false" ht="15" hidden="false" customHeight="false" outlineLevel="0" collapsed="false">
      <c r="A11" s="0" t="s">
        <v>184</v>
      </c>
      <c r="B11" s="0" t="n">
        <f aca="false">SUMIF('Trial Balance'!$E$6:$E$105,"Capital",'Trial Balance'!$I$6:$I$105)</f>
        <v>300000</v>
      </c>
    </row>
    <row r="12" customFormat="false" ht="15" hidden="false" customHeight="false" outlineLevel="0" collapsed="false">
      <c r="A12" s="0" t="s">
        <v>185</v>
      </c>
      <c r="B12" s="0" t="n">
        <f aca="false">SUMIF('Trial Balance'!$E$6:$E$105,"Drawings",'Trial Balance'!$I$6:$I$105)</f>
        <v>30000</v>
      </c>
    </row>
    <row r="13" customFormat="false" ht="15" hidden="false" customHeight="false" outlineLevel="0" collapsed="false">
      <c r="A13" s="0" t="s">
        <v>186</v>
      </c>
      <c r="B13" s="0" t="n">
        <f aca="false">SUMIF('Trial Balance'!$E$6:$E$105,"Long-term Loans",'Trial Balance'!$I$6:$I$105)</f>
        <v>100000</v>
      </c>
    </row>
    <row r="14" customFormat="false" ht="15" hidden="false" customHeight="false" outlineLevel="0" collapsed="false">
      <c r="A14" s="0" t="s">
        <v>187</v>
      </c>
      <c r="B14" s="0" t="n">
        <f aca="false">SUMIF('Trial Balance'!$E$6:$E$105,"Current Liabilities",'Trial Balance'!$I$6:$I$105)</f>
        <v>75000</v>
      </c>
    </row>
    <row r="15" customFormat="false" ht="15" hidden="false" customHeight="false" outlineLevel="0" collapsed="false">
      <c r="A15" s="0" t="s">
        <v>188</v>
      </c>
      <c r="B15" s="0" t="n">
        <f aca="false">SUMIF('Trial Balance'!$E$6:$E$105,"Fixed Assets",'Trial Balance'!$I$6:$I$105)</f>
        <v>350000</v>
      </c>
    </row>
    <row r="16" customFormat="false" ht="15" hidden="false" customHeight="false" outlineLevel="0" collapsed="false">
      <c r="A16" s="0" t="s">
        <v>189</v>
      </c>
      <c r="B16" s="0" t="n">
        <f aca="false">SUMIF('Trial Balance'!$E$6:$E$105,"Investments",'Trial Balance'!$I$6:$I$105)</f>
        <v>47000</v>
      </c>
    </row>
    <row r="17" customFormat="false" ht="15" hidden="false" customHeight="false" outlineLevel="0" collapsed="false">
      <c r="A17" s="0" t="s">
        <v>190</v>
      </c>
      <c r="B17" s="0" t="n">
        <f aca="false">SUMIF('Trial Balance'!$E$6:$E$105,"Debtors",'Trial Balance'!$I$6:$I$105)</f>
        <v>90000</v>
      </c>
    </row>
    <row r="18" customFormat="false" ht="15" hidden="false" customHeight="false" outlineLevel="0" collapsed="false">
      <c r="A18" s="0" t="s">
        <v>191</v>
      </c>
      <c r="B18" s="0" t="n">
        <f aca="false">SUMIF('Trial Balance'!$E$6:$E$105,"Other Current Assets",'Trial Balance'!$I$6:$I$105)</f>
        <v>60000</v>
      </c>
    </row>
    <row r="19" customFormat="false" ht="15" hidden="false" customHeight="false" outlineLevel="0" collapsed="false">
      <c r="A19" s="0" t="s">
        <v>192</v>
      </c>
      <c r="B19" s="0" t="n">
        <f aca="false">SUM('Trial Balance'!$R$6:$R$105)</f>
        <v>25000</v>
      </c>
    </row>
    <row r="20" customFormat="false" ht="15" hidden="false" customHeight="false" outlineLevel="0" collapsed="false">
      <c r="A20" s="0" t="s">
        <v>193</v>
      </c>
      <c r="B20" s="0" t="n">
        <f aca="false">Calc!$B$2-Calc!$B$3</f>
        <v>390000</v>
      </c>
    </row>
    <row r="21" customFormat="false" ht="15" hidden="false" customHeight="false" outlineLevel="0" collapsed="false">
      <c r="A21" s="0" t="s">
        <v>194</v>
      </c>
      <c r="B21" s="0" t="n">
        <f aca="false">Calc!$B$5-Calc!$B$6</f>
        <v>685000</v>
      </c>
    </row>
    <row r="22" customFormat="false" ht="15" hidden="false" customHeight="false" outlineLevel="0" collapsed="false">
      <c r="A22" s="0" t="s">
        <v>195</v>
      </c>
      <c r="B22" s="73" t="n">
        <f aca="false">Adjustments!$D$22</f>
        <v>70000</v>
      </c>
    </row>
    <row r="23" customFormat="false" ht="15" hidden="false" customHeight="false" outlineLevel="0" collapsed="false">
      <c r="A23" s="0" t="s">
        <v>196</v>
      </c>
      <c r="B23" s="0" t="n">
        <f aca="false">(Calc!B21+Calc!B22)-(Calc!$B$1+Calc!B20+Calc!$B$4)</f>
        <v>265000</v>
      </c>
    </row>
    <row r="24" customFormat="false" ht="15" hidden="false" customHeight="false" outlineLevel="0" collapsed="false">
      <c r="A24" s="0" t="s">
        <v>197</v>
      </c>
      <c r="B24" s="0" t="n">
        <f aca="false">Calc!$B$17-Adjustments!$D$23</f>
        <v>88000</v>
      </c>
    </row>
    <row r="25" customFormat="false" ht="15" hidden="false" customHeight="false" outlineLevel="0" collapsed="false">
      <c r="A25" s="0" t="s">
        <v>198</v>
      </c>
      <c r="B25" s="0" t="n">
        <f aca="false">ROUND(MAX(0,Calc!B24)*Adjustments!$D$24,0)</f>
        <v>4400</v>
      </c>
    </row>
    <row r="26" customFormat="false" ht="15" hidden="false" customHeight="false" outlineLevel="0" collapsed="false">
      <c r="A26" s="0" t="s">
        <v>199</v>
      </c>
      <c r="B26" s="0" t="n">
        <f aca="false">Calc!$B$9+Adjustments!$D$23+Calc!B25-Calc!$B$10</f>
        <v>5400</v>
      </c>
    </row>
    <row r="27" customFormat="false" ht="15" hidden="false" customHeight="false" outlineLevel="0" collapsed="false">
      <c r="A27" s="0" t="s">
        <v>200</v>
      </c>
      <c r="B27" s="0" t="n">
        <f aca="false">ROUND(Calc!$B$11*Adjustments!$D$25,0)</f>
        <v>18000</v>
      </c>
    </row>
    <row r="28" customFormat="false" ht="15" hidden="false" customHeight="false" outlineLevel="0" collapsed="false">
      <c r="A28" s="0" t="s">
        <v>201</v>
      </c>
      <c r="B28" s="73" t="n">
        <f aca="false">Adjustments!$D$26</f>
        <v>1500</v>
      </c>
    </row>
    <row r="29" customFormat="false" ht="15" hidden="false" customHeight="false" outlineLevel="0" collapsed="false">
      <c r="A29" s="0" t="s">
        <v>202</v>
      </c>
      <c r="B29" s="0" t="n">
        <f aca="false">Calc!$B$23+Calc!$B$8+Calc!$B$28-(Calc!$B$7+Calc!$B$26+Calc!$B$19+Calc!$B$27)</f>
        <v>117600</v>
      </c>
    </row>
    <row r="30" customFormat="false" ht="15" hidden="false" customHeight="false" outlineLevel="0" collapsed="false">
      <c r="A30" s="0" t="s">
        <v>203</v>
      </c>
      <c r="B30" s="0" t="n">
        <f aca="false">Calc!$B$11+Calc!$B$29+Calc!$B$27-Calc!$B$12-Calc!$B$28</f>
        <v>404100</v>
      </c>
    </row>
    <row r="31" customFormat="false" ht="15" hidden="false" customHeight="false" outlineLevel="0" collapsed="false">
      <c r="A31" s="0" t="s">
        <v>204</v>
      </c>
      <c r="B31" s="0" t="n">
        <f aca="false">Calc!$B$24-Calc!$B$25</f>
        <v>83600</v>
      </c>
    </row>
    <row r="32" customFormat="false" ht="15" hidden="false" customHeight="false" outlineLevel="0" collapsed="false">
      <c r="A32" s="0" t="s">
        <v>205</v>
      </c>
      <c r="B32" s="0" t="n">
        <f aca="false">Calc!$B$30+Calc!$B$13+Calc!$B$14+SUM(Adjustments!$C$6:$C$10)+SUM(Adjustments!$F$14:$F$18)</f>
        <v>588100</v>
      </c>
    </row>
    <row r="33" customFormat="false" ht="15" hidden="false" customHeight="false" outlineLevel="0" collapsed="false">
      <c r="A33" s="0" t="s">
        <v>206</v>
      </c>
      <c r="B33" s="0" t="n">
        <f aca="false">(Calc!$B$15-Calc!$B$19)+Calc!$B$16+Calc!$B$22+Calc!$B$31+Calc!$B$18+SUM(Adjustments!$F$6:$F$10)+SUM(Adjustments!$C$14:$C$18)</f>
        <v>588100</v>
      </c>
    </row>
  </sheetData>
  <sheetProtection sheet="1" objects="1" scenarios="1" formatColumns="0" formatRows="0" algorithmName="SHA-512" hashValue="eCYgh7q2Donxtih6VTZG0gmGyugLmqQBTwQV74kxFlPi33bvuLFiYKA9e+i4cMbcW2ROm7svjIeV+st3y2tkxA==" saltValue="da5OJ91oAOzScQbJNX1awg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57</v>
      </c>
      <c r="B1" s="0" t="s">
        <v>207</v>
      </c>
    </row>
    <row r="2" customFormat="false" ht="15" hidden="false" customHeight="false" outlineLevel="0" collapsed="false">
      <c r="A2" s="0" t="s">
        <v>64</v>
      </c>
      <c r="B2" s="0" t="s">
        <v>208</v>
      </c>
    </row>
    <row r="3" customFormat="false" ht="15" hidden="false" customHeight="false" outlineLevel="0" collapsed="false">
      <c r="A3" s="0" t="s">
        <v>65</v>
      </c>
      <c r="B3" s="0" t="s">
        <v>208</v>
      </c>
    </row>
    <row r="4" customFormat="false" ht="15" hidden="false" customHeight="false" outlineLevel="0" collapsed="false">
      <c r="A4" s="0" t="s">
        <v>66</v>
      </c>
      <c r="B4" s="0" t="s">
        <v>209</v>
      </c>
    </row>
    <row r="5" customFormat="false" ht="15" hidden="false" customHeight="false" outlineLevel="0" collapsed="false">
      <c r="A5" s="0" t="s">
        <v>70</v>
      </c>
      <c r="B5" s="0" t="s">
        <v>208</v>
      </c>
    </row>
    <row r="6" customFormat="false" ht="15" hidden="false" customHeight="false" outlineLevel="0" collapsed="false">
      <c r="A6" s="0" t="s">
        <v>67</v>
      </c>
      <c r="B6" s="0" t="s">
        <v>209</v>
      </c>
    </row>
    <row r="7" customFormat="false" ht="15" hidden="false" customHeight="false" outlineLevel="0" collapsed="false">
      <c r="A7" s="0" t="s">
        <v>68</v>
      </c>
      <c r="B7" s="0" t="s">
        <v>208</v>
      </c>
    </row>
    <row r="8" customFormat="false" ht="15" hidden="false" customHeight="false" outlineLevel="0" collapsed="false">
      <c r="A8" s="0" t="s">
        <v>73</v>
      </c>
      <c r="B8" s="0" t="s">
        <v>208</v>
      </c>
    </row>
    <row r="9" customFormat="false" ht="15" hidden="false" customHeight="false" outlineLevel="0" collapsed="false">
      <c r="A9" s="0" t="s">
        <v>81</v>
      </c>
      <c r="B9" s="0" t="s">
        <v>209</v>
      </c>
    </row>
    <row r="10" customFormat="false" ht="15" hidden="false" customHeight="false" outlineLevel="0" collapsed="false">
      <c r="A10" s="0" t="s">
        <v>78</v>
      </c>
      <c r="B10" s="0" t="s">
        <v>208</v>
      </c>
    </row>
    <row r="11" customFormat="false" ht="15" hidden="false" customHeight="false" outlineLevel="0" collapsed="false">
      <c r="A11" s="0" t="s">
        <v>79</v>
      </c>
      <c r="B11" s="0" t="s">
        <v>209</v>
      </c>
    </row>
    <row r="12" customFormat="false" ht="15" hidden="false" customHeight="false" outlineLevel="0" collapsed="false">
      <c r="A12" s="0" t="s">
        <v>62</v>
      </c>
      <c r="B12" s="0" t="s">
        <v>209</v>
      </c>
    </row>
    <row r="13" customFormat="false" ht="15" hidden="false" customHeight="false" outlineLevel="0" collapsed="false">
      <c r="A13" s="0" t="s">
        <v>63</v>
      </c>
      <c r="B13" s="0" t="s">
        <v>208</v>
      </c>
    </row>
    <row r="14" customFormat="false" ht="15" hidden="false" customHeight="false" outlineLevel="0" collapsed="false">
      <c r="A14" s="0" t="s">
        <v>98</v>
      </c>
      <c r="B14" s="0" t="s">
        <v>209</v>
      </c>
    </row>
    <row r="15" customFormat="false" ht="15" hidden="false" customHeight="false" outlineLevel="0" collapsed="false">
      <c r="A15" s="0" t="s">
        <v>95</v>
      </c>
      <c r="B15" s="0" t="s">
        <v>209</v>
      </c>
    </row>
    <row r="16" customFormat="false" ht="15" hidden="false" customHeight="false" outlineLevel="0" collapsed="false">
      <c r="A16" s="0" t="s">
        <v>84</v>
      </c>
      <c r="B16" s="0" t="s">
        <v>208</v>
      </c>
    </row>
    <row r="17" customFormat="false" ht="15" hidden="false" customHeight="false" outlineLevel="0" collapsed="false">
      <c r="A17" s="0" t="s">
        <v>88</v>
      </c>
      <c r="B17" s="0" t="s">
        <v>208</v>
      </c>
    </row>
    <row r="18" customFormat="false" ht="15" hidden="false" customHeight="false" outlineLevel="0" collapsed="false">
      <c r="A18" s="0" t="s">
        <v>90</v>
      </c>
      <c r="B18" s="0" t="s">
        <v>208</v>
      </c>
    </row>
    <row r="19" customFormat="false" ht="15" hidden="false" customHeight="false" outlineLevel="0" collapsed="false">
      <c r="A19" s="0" t="s">
        <v>92</v>
      </c>
      <c r="B19" s="0" t="s">
        <v>208</v>
      </c>
    </row>
  </sheetData>
  <sheetProtection sheet="1" objects="1" scenarios="1" formatColumns="0" formatRows="0" algorithmName="SHA-512" hashValue="dEI2b/biALicZuo9LLDKwBoA+puO4uDtEdh7aEe/7oV1ogko3LMnei1McVjvQRW/ET2dkmf9hQ3gjIuDt9oFlg==" saltValue="TDE2k3dKHF75nJ/FiZHE9Q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2026-10-08T12:01:39Z</dcterms:created>
  <dc:creator>Xplorexcel.com</dc:creator>
  <dc:description/>
  <dc:language>en-US</dc:language>
  <cp:lastModifiedBy/>
  <dcterms:modified xsi:type="dcterms:W3CDTF">2026-10-08T12:01:41Z</dcterms:modified>
  <cp:revision>1</cp:revision>
  <dc:subject/>
  <dc:title>Final Accounts – Trading, P&amp;L and Balance Sheet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