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L8uBjYJ/ti13YIB0t8corlB6f/XkKhjOzs+5YbCBCGL6PA/4/f0kmXG4xDNO/PkTZyrT45oOxB6E5UBf2VHX8Q==" workbookSaltValue="DLF8pm9BeifyvA2W4hmKS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Rate Chart" sheetId="4" state="visible" r:id="rId6"/>
    <sheet name="Asset Register" sheetId="5" state="visible" r:id="rId7"/>
    <sheet name="PPE Schedule" sheetId="6" state="visible" r:id="rId8"/>
    <sheet name="Income Tax Block" sheetId="7" state="visible" r:id="rId9"/>
    <sheet name="Asset Projection" sheetId="8" state="visible" r:id="rId10"/>
    <sheet name="Lists" sheetId="9" state="hidden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<sst xmlns="http://schemas.openxmlformats.org/spreadsheetml/2006/main" count="272" uniqueCount="195">
  <si>
    <t xml:space="preserve">Fixed Asset Register &amp; Depreciation Calculator</t>
  </si>
  <si>
    <t xml:space="preserve">GO TO SHEET</t>
  </si>
  <si>
    <t xml:space="preserve">THIS YEAR AT A GLANCE</t>
  </si>
  <si>
    <t xml:space="preserve">Company, year, residual %</t>
  </si>
  <si>
    <t xml:space="preserve">Assets on register</t>
  </si>
  <si>
    <t xml:space="preserve">Useful lives, SLM/WDV &amp; IT rates</t>
  </si>
  <si>
    <t xml:space="preserve">Gross block at year end</t>
  </si>
  <si>
    <t xml:space="preserve">Every asset, depreciation, sales</t>
  </si>
  <si>
    <t xml:space="preserve">Depreciation – Companies Act</t>
  </si>
  <si>
    <t xml:space="preserve">Gross block, dep., net block</t>
  </si>
  <si>
    <t xml:space="preserve">Net block at year end</t>
  </si>
  <si>
    <t xml:space="preserve">Block-wise tax depreciation</t>
  </si>
  <si>
    <t xml:space="preserve">Depreciation – Income Tax</t>
  </si>
  <si>
    <t xml:space="preserve">SLM vs WDV year by year</t>
  </si>
  <si>
    <t xml:space="preserve">Profit / (loss) on assets sold</t>
  </si>
  <si>
    <t xml:space="preserve">Features &amp; steps</t>
  </si>
  <si>
    <t xml:space="preserve">Additions this year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</si>
  <si>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</si>
  <si>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</si>
  <si>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</si>
  <si>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</si>
  <si>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Fixed Asset Register &amp; Depreciation Calculator 1.0 in Microsoft Excel :-</t>
  </si>
  <si>
    <t xml:space="preserve">Life-time free – no macros, works in Excel 2010+, Excel for Mac and Google Sheets</t>
  </si>
  <si>
    <t xml:space="preserve">Fixed asset register for up to 100 assets with ID, category, location, put-to-use date, cost and sale details</t>
  </si>
  <si>
    <t xml:space="preserve">Depreciation as per Companies Act, 2013 (Schedule II) – SLM or WDV per asset, pro-rata by days, residual value 5%</t>
  </si>
  <si>
    <t xml:space="preserve">Editable rate chart – useful lives with SLM and WDV rates worked out automatically; add your own categories</t>
  </si>
  <si>
    <t xml:space="preserve">Opening accumulated depreciation calculated from the put-to-use date, or typed in from your books</t>
  </si>
  <si>
    <t xml:space="preserve">Sales and discards – depreciation up to the date of sale, profit or loss on sale</t>
  </si>
  <si>
    <t xml:space="preserve">PPE Schedule in Schedule III style – gross block, depreciation and net block by category</t>
  </si>
  <si>
    <t xml:space="preserve">Income Tax depreciation by block of assets with the half-rate rule for assets used less than 180 days</t>
  </si>
  <si>
    <t xml:space="preserve">Book vs tax depreciation difference (for deferred tax)</t>
  </si>
  <si>
    <t xml:space="preserve">Asset Projection – SLM vs WDV for any asset over its whole life, with a chart</t>
  </si>
  <si>
    <t xml:space="preserve">Checks for missing category, date or cost, sale before use and fully depreciated assets</t>
  </si>
  <si>
    <t xml:space="preserve">How to use it (4 steps)</t>
  </si>
  <si>
    <t xml:space="preserve">Step 1</t>
  </si>
  <si>
    <t xml:space="preserve">Setup – company name, financial year start, residual value % and default method.</t>
  </si>
  <si>
    <t xml:space="preserve">Step 2</t>
  </si>
  <si>
    <t xml:space="preserve">Rate Chart – check useful lives and Income Tax blocks; edit or add categories if needed.</t>
  </si>
  <si>
    <t xml:space="preserve">Step 3</t>
  </si>
  <si>
    <t xml:space="preserve">Asset Register – one row per asset. Fix anything the Check column flags.</t>
  </si>
  <si>
    <t xml:space="preserve">Step 4</t>
  </si>
  <si>
    <t xml:space="preserve">Read the PPE Schedule and Income Tax Block (enter each block's opening WDV). Use Asset Projection to plan.</t>
  </si>
  <si>
    <t xml:space="preserve">Rates and lives are for guidance; confirm with your auditor or tax adviser before finalising accounts or returns.</t>
  </si>
  <si>
    <t xml:space="preserve">Company &amp; Year Settings</t>
  </si>
  <si>
    <t xml:space="preserve">Company / Firm Name</t>
  </si>
  <si>
    <t xml:space="preserve">M/s Xplore Industries</t>
  </si>
  <si>
    <t xml:space="preserve">Financial year starts on</t>
  </si>
  <si>
    <t xml:space="preserve">Financial year ends on</t>
  </si>
  <si>
    <t xml:space="preserve">calculated</t>
  </si>
  <si>
    <t xml:space="preserve">Residual value (% of cost)</t>
  </si>
  <si>
    <t xml:space="preserve">Schedule II allows up to 5%</t>
  </si>
  <si>
    <t xml:space="preserve">Default method (SLM / WDV)</t>
  </si>
  <si>
    <t xml:space="preserve">WDV</t>
  </si>
  <si>
    <t xml:space="preserve">Prepared by</t>
  </si>
  <si>
    <t xml:space="preserve">Accounts Department</t>
  </si>
  <si>
    <t xml:space="preserve">How it works</t>
  </si>
  <si>
    <t xml:space="preserve">1. Check the useful lives and Income Tax blocks on the Rate Chart (edit or add your own categories).</t>
  </si>
  <si>
    <t xml:space="preserve">2. Enter every asset on the Asset Register: category, put-to-use date, cost, method, and sale details if sold.</t>
  </si>
  <si>
    <t xml:space="preserve">3. Read the PPE Schedule (Companies Act) and the Income Tax Block sheet. Use Asset Projection to see one asset year by year.</t>
  </si>
  <si>
    <t xml:space="preserve">Depreciation Rate Chart – Companies Act (Schedule II) and Income Tax</t>
  </si>
  <si>
    <t xml:space="preserve">Yellow cells are editable. SLM and WDV rates are worked out from useful life and the residual value % on Setup. Add your own categories in the blank rows.</t>
  </si>
  <si>
    <t xml:space="preserve">Asset category</t>
  </si>
  <si>
    <t xml:space="preserve">Useful life (years) – Schedule II</t>
  </si>
  <si>
    <t xml:space="preserve">SLM rate</t>
  </si>
  <si>
    <t xml:space="preserve">WDV rate</t>
  </si>
  <si>
    <t xml:space="preserve">Income Tax block</t>
  </si>
  <si>
    <t xml:space="preserve">IT rate</t>
  </si>
  <si>
    <t xml:space="preserve">Rate</t>
  </si>
  <si>
    <t xml:space="preserve">Land (freehold)</t>
  </si>
  <si>
    <t xml:space="preserve">Not depreciable</t>
  </si>
  <si>
    <t xml:space="preserve">Building – Residential (5%)</t>
  </si>
  <si>
    <t xml:space="preserve">Buildings – RCC (other than factory)</t>
  </si>
  <si>
    <t xml:space="preserve">Building – Others (10%)</t>
  </si>
  <si>
    <t xml:space="preserve">Factory Buildings</t>
  </si>
  <si>
    <t xml:space="preserve">Furniture &amp; Fittings (10%)</t>
  </si>
  <si>
    <t xml:space="preserve">Residential Buildings</t>
  </si>
  <si>
    <t xml:space="preserve">Plant &amp; Machinery (15%)</t>
  </si>
  <si>
    <t xml:space="preserve">Plant &amp; Machinery (general)</t>
  </si>
  <si>
    <t xml:space="preserve">Vehicles on Hire (30%)</t>
  </si>
  <si>
    <t xml:space="preserve">Furniture &amp; Fittings</t>
  </si>
  <si>
    <t xml:space="preserve">Computers &amp; Software (40%)</t>
  </si>
  <si>
    <t xml:space="preserve">Electrical Installations</t>
  </si>
  <si>
    <t xml:space="preserve">Office Equipment</t>
  </si>
  <si>
    <t xml:space="preserve">Computers &amp; Laptops</t>
  </si>
  <si>
    <t xml:space="preserve">Servers &amp; Networks</t>
  </si>
  <si>
    <t xml:space="preserve">Motor Cars (not on hire)</t>
  </si>
  <si>
    <t xml:space="preserve">Motor Cycles &amp; Scooters</t>
  </si>
  <si>
    <t xml:space="preserve">Commercial Vehicles (on hire)</t>
  </si>
  <si>
    <t xml:space="preserve">Notes</t>
  </si>
  <si>
    <t xml:space="preserve">• Useful lives are from Part C of Schedule II to the Companies Act, 2013. A company may use a different life if it is technically justified and disclosed.</t>
  </si>
  <si>
    <t xml:space="preserve">• WDV rate = 1 − (residual value ÷ cost)^(1 ÷ useful life). SLM rate = (100% − residual %) ÷ useful life.</t>
  </si>
  <si>
    <t xml:space="preserve">• Income Tax rates follow the block-of-assets depreciation table under the Income-tax law. Check the current rates before filing; every rate here is editable.</t>
  </si>
  <si>
    <t xml:space="preserve">• Land is not depreciated under either law.</t>
  </si>
  <si>
    <t xml:space="preserve">Fill the yellow columns. Leave Opening Acc. Dep. blank to have it calculated from the put-to-use date, or type the figure from your books. Method blank = default on Setup.</t>
  </si>
  <si>
    <t xml:space="preserve">ASSET DETAILS (enter)</t>
  </si>
  <si>
    <t xml:space="preserve">RATE</t>
  </si>
  <si>
    <t xml:space="preserve">GROSS BLOCK</t>
  </si>
  <si>
    <t xml:space="preserve">DEPRECIATION THIS YEAR</t>
  </si>
  <si>
    <t xml:space="preserve">SALES &amp; CLOSING</t>
  </si>
  <si>
    <t xml:space="preserve">S.No</t>
  </si>
  <si>
    <t xml:space="preserve">Asset ID</t>
  </si>
  <si>
    <t xml:space="preserve">Asset description</t>
  </si>
  <si>
    <t xml:space="preserve">Category</t>
  </si>
  <si>
    <t xml:space="preserve">Location / Dept.</t>
  </si>
  <si>
    <t xml:space="preserve">Put-to-use date</t>
  </si>
  <si>
    <t xml:space="preserve">Cost (₹)</t>
  </si>
  <si>
    <t xml:space="preserve">Method (SLM/WDV)</t>
  </si>
  <si>
    <t xml:space="preserve">Opening Acc. Dep. (optional)</t>
  </si>
  <si>
    <t xml:space="preserve">Sale / discard date</t>
  </si>
  <si>
    <t xml:space="preserve">Sale value (₹)</t>
  </si>
  <si>
    <t xml:space="preserve">Useful life (yrs)</t>
  </si>
  <si>
    <t xml:space="preserve">Residual value (₹)</t>
  </si>
  <si>
    <t xml:space="preserve">Opening gross (₹)</t>
  </si>
  <si>
    <t xml:space="preserve">Additions (₹)</t>
  </si>
  <si>
    <t xml:space="preserve">Opening Acc. Dep. (₹)</t>
  </si>
  <si>
    <t xml:space="preserve">Days used</t>
  </si>
  <si>
    <t xml:space="preserve">Depreciation (₹)</t>
  </si>
  <si>
    <t xml:space="preserve">Deletions – gross (₹)</t>
  </si>
  <si>
    <t xml:space="preserve">Dep. on deletions (₹)</t>
  </si>
  <si>
    <t xml:space="preserve">Closing Acc. Dep. (₹)</t>
  </si>
  <si>
    <t xml:space="preserve">Closing WDV / NBV (₹)</t>
  </si>
  <si>
    <t xml:space="preserve">Profit / (Loss) on sale (₹)</t>
  </si>
  <si>
    <t xml:space="preserve">Check</t>
  </si>
  <si>
    <t xml:space="preserve">FA-001</t>
  </si>
  <si>
    <t xml:space="preserve">Freehold land – plot no. 14</t>
  </si>
  <si>
    <t xml:space="preserve">Factory</t>
  </si>
  <si>
    <t xml:space="preserve">SLM</t>
  </si>
  <si>
    <t xml:space="preserve">FA-002</t>
  </si>
  <si>
    <t xml:space="preserve">Office building</t>
  </si>
  <si>
    <t xml:space="preserve">Head office</t>
  </si>
  <si>
    <t xml:space="preserve">FA-003</t>
  </si>
  <si>
    <t xml:space="preserve">Factory shed</t>
  </si>
  <si>
    <t xml:space="preserve">FA-004</t>
  </si>
  <si>
    <t xml:space="preserve">CNC machine</t>
  </si>
  <si>
    <t xml:space="preserve">FA-005</t>
  </si>
  <si>
    <t xml:space="preserve">Packing machine</t>
  </si>
  <si>
    <t xml:space="preserve">FA-006</t>
  </si>
  <si>
    <t xml:space="preserve">Office furniture</t>
  </si>
  <si>
    <t xml:space="preserve">FA-007</t>
  </si>
  <si>
    <t xml:space="preserve">Electrical wiring &amp; fittings</t>
  </si>
  <si>
    <t xml:space="preserve">FA-008</t>
  </si>
  <si>
    <t xml:space="preserve">Laptops (5 nos.)</t>
  </si>
  <si>
    <t xml:space="preserve">FA-009</t>
  </si>
  <si>
    <t xml:space="preserve">Desktop computers (old)</t>
  </si>
  <si>
    <t xml:space="preserve">FA-010</t>
  </si>
  <si>
    <t xml:space="preserve">Air conditioners</t>
  </si>
  <si>
    <t xml:space="preserve">FA-011</t>
  </si>
  <si>
    <t xml:space="preserve">Company car</t>
  </si>
  <si>
    <t xml:space="preserve">FA-012</t>
  </si>
  <si>
    <t xml:space="preserve">Delivery truck (given on hire)</t>
  </si>
  <si>
    <t xml:space="preserve">Transport</t>
  </si>
  <si>
    <t xml:space="preserve">TOTAL</t>
  </si>
  <si>
    <t xml:space="preserve">Schedule III style note: gross block, depreciation and net block by category. All figures come from the Asset Register.</t>
  </si>
  <si>
    <t xml:space="preserve">DEPRECIATION</t>
  </si>
  <si>
    <t xml:space="preserve">NET BLOCK</t>
  </si>
  <si>
    <t xml:space="preserve">As at year start</t>
  </si>
  <si>
    <t xml:space="preserve">Additions</t>
  </si>
  <si>
    <t xml:space="preserve">Deletions</t>
  </si>
  <si>
    <t xml:space="preserve">As at year end</t>
  </si>
  <si>
    <t xml:space="preserve">Up to year start</t>
  </si>
  <si>
    <t xml:space="preserve">For the year</t>
  </si>
  <si>
    <t xml:space="preserve">On deletions</t>
  </si>
  <si>
    <t xml:space="preserve">Up to year end</t>
  </si>
  <si>
    <t xml:space="preserve">Enter the opening WDV of each block (yellow). Additions and sales come from the Asset Register. Assets used for less than 180 days in the year get half the rate.</t>
  </si>
  <si>
    <t xml:space="preserve">Block of assets</t>
  </si>
  <si>
    <t xml:space="preserve">Opening WDV (₹)</t>
  </si>
  <si>
    <t xml:space="preserve">Additions – used 180 days or more (₹)</t>
  </si>
  <si>
    <t xml:space="preserve">Additions – used less than 180 days (₹)</t>
  </si>
  <si>
    <t xml:space="preserve">Sale proceeds (₹)</t>
  </si>
  <si>
    <t xml:space="preserve">WDV before depreciation (₹)</t>
  </si>
  <si>
    <t xml:space="preserve">Closing WDV (₹)</t>
  </si>
  <si>
    <t xml:space="preserve">Note</t>
  </si>
  <si>
    <t xml:space="preserve">Book vs tax depreciation</t>
  </si>
  <si>
    <t xml:space="preserve">Depreciation in the books (Companies Act)</t>
  </si>
  <si>
    <t xml:space="preserve">Depreciation as per Income Tax</t>
  </si>
  <si>
    <t xml:space="preserve">Difference (timing difference for deferred tax)</t>
  </si>
  <si>
    <t xml:space="preserve">Positive = tax depreciation is higher this year</t>
  </si>
  <si>
    <t xml:space="preserve">• Additional depreciation, the special rules for assets bought and sold in the same block, and a block that ends when all its assets are sold are not calculated here – adjust manually if they apply.</t>
  </si>
  <si>
    <t xml:space="preserve">Asset Projection – SLM vs WDV over the useful life</t>
  </si>
  <si>
    <t xml:space="preserve">Pick Asset ID ►</t>
  </si>
  <si>
    <t xml:space="preserve">Description</t>
  </si>
  <si>
    <t xml:space="preserve">Useful life (years)</t>
  </si>
  <si>
    <t xml:space="preserve">First year ends on</t>
  </si>
  <si>
    <t xml:space="preserve">First-year fraction</t>
  </si>
  <si>
    <t xml:space="preserve">Year</t>
  </si>
  <si>
    <t xml:space="preserve">Financial year</t>
  </si>
  <si>
    <t xml:space="preserve">Straight Line (SLM)</t>
  </si>
  <si>
    <t xml:space="preserve">Written Down Value (WDV)</t>
  </si>
  <si>
    <t xml:space="preserve">Fraction</t>
  </si>
  <si>
    <t xml:space="preserve">Chart data</t>
  </si>
  <si>
    <t xml:space="preserve">Opening (₹)</t>
  </si>
  <si>
    <t xml:space="preserve">Closing (₹)</t>
  </si>
  <si>
    <t xml:space="preserve">of year</t>
  </si>
  <si>
    <t xml:space="preserve">Start</t>
  </si>
  <si>
    <t xml:space="preserve">Method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</si>
</sst>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[&gt;=10000000]##\,##\,##\,##0;[&gt;=100000]##\,##\,##0;##,##0"/>
    <numFmt numFmtId="167" formatCode="###,##0"/>
    <numFmt numFmtId="168" formatCode="dd\ mmmm\ yyyy"/>
    <numFmt numFmtId="169" formatCode="0%"/>
    <numFmt numFmtId="170" formatCode="0.00%"/>
    <numFmt numFmtId="171" formatCode="General"/>
    <numFmt numFmtId="172" formatCode="dd\-mmm\-yyyy"/>
    <numFmt numFmtId="173" formatCode="dd\-mmm\-yy"/>
    <numFmt numFmtId="174" formatCode="0.000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9"/>
      <color rgb="FFC00000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i val="true"/>
      <sz val="9"/>
      <color rgb="FFC00000"/>
      <name val="Cambria"/>
      <family val="0"/>
      <charset val="1"/>
    </font>
    <font>
      <sz val="9"/>
      <color rgb="FF7F7F7F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FFF2CC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BF8F00"/>
        <bgColor rgb="FF808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3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11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11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2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FFFFFF"/>
      </font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838"/>
      </font>
    </dxf>
    <dxf>
      <font>
        <color rgb="FFC00000"/>
      </font>
    </dxf>
    <dxf>
      <font>
        <color rgb="FFBFBFBF"/>
      </font>
    </dxf>
    <dxf>
      <font>
        <b val="1"/>
        <color rgb="FF006838"/>
      </font>
      <fill>
        <patternFill>
          <bgColor rgb="FFE2EFDA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878787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block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Dashboard!$I$9:$I$18</c:f>
              <c:strCache>
                <c:ptCount val="10"/>
                <c:pt idx="0">
                  <c:v>Land (freehold)</c:v>
                </c:pt>
                <c:pt idx="1">
                  <c:v>Buildings – RCC (other than factory)</c:v>
                </c:pt>
                <c:pt idx="2">
                  <c:v>Factory Buildings</c:v>
                </c:pt>
                <c:pt idx="3">
                  <c:v>Plant &amp; Machinery (general)</c:v>
                </c:pt>
                <c:pt idx="4">
                  <c:v>Furniture &amp; Fittings</c:v>
                </c:pt>
                <c:pt idx="5">
                  <c:v>Electrical Installations</c:v>
                </c:pt>
                <c:pt idx="6">
                  <c:v>Office Equipment</c:v>
                </c:pt>
                <c:pt idx="7">
                  <c:v>Computers &amp; Laptops</c:v>
                </c:pt>
                <c:pt idx="8">
                  <c:v>Motor Cars (not on hire)</c:v>
                </c:pt>
                <c:pt idx="9">
                  <c:v>Commercial Vehicles (on hire)</c:v>
                </c:pt>
              </c:strCache>
            </c:strRef>
          </c:cat>
          <c:val>
            <c:numRef>
              <c:f>Dashboard!$J$9:$J$18</c:f>
              <c:numCache>
                <c:formatCode>[&gt;=10000000]##\,##\,##\,##0;[&gt;=100000]##\,##\,##0;##,##0</c:formatCode>
                <c:ptCount val="10"/>
                <c:pt idx="0">
                  <c:v>1500000</c:v>
                </c:pt>
                <c:pt idx="1">
                  <c:v>2222917</c:v>
                </c:pt>
                <c:pt idx="2">
                  <c:v>1018573</c:v>
                </c:pt>
                <c:pt idx="3">
                  <c:v>879879</c:v>
                </c:pt>
                <c:pt idx="4">
                  <c:v>101051</c:v>
                </c:pt>
                <c:pt idx="5">
                  <c:v>111600</c:v>
                </c:pt>
                <c:pt idx="6">
                  <c:v>40757</c:v>
                </c:pt>
                <c:pt idx="7">
                  <c:v>276635</c:v>
                </c:pt>
                <c:pt idx="8">
                  <c:v>400406</c:v>
                </c:pt>
                <c:pt idx="9">
                  <c:v>1768843</c:v>
                </c:pt>
              </c:numCache>
            </c:numRef>
          </c:val>
        </c:ser>
        <c:gapWidth val="150"/>
        <c:overlap val="0"/>
        <c:axId val="10840705"/>
        <c:axId val="37578203"/>
      </c:barChart>
      <c:catAx>
        <c:axId val="1084070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578203"/>
        <c:crosses val="autoZero"/>
        <c:auto val="1"/>
        <c:lblAlgn val="ctr"/>
        <c:lblOffset val="100"/>
        <c:noMultiLvlLbl val="0"/>
      </c:catAx>
      <c:valAx>
        <c:axId val="37578203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840705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Book value over the useful life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'Asset Projection'!L16</c:f>
              <c:strCache>
                <c:ptCount val="1"/>
                <c:pt idx="0">
                  <c:v>SLM</c:v>
                </c:pt>
              </c:strCache>
            </c:strRef>
          </c:tx>
          <c:spPr>
            <a:solidFill>
              <a:srgbClr val="002060"/>
            </a:solidFill>
            <a:ln w="28080">
              <a:solidFill>
                <a:srgbClr val="00206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'Asset Projection'!$K$17:$K$27</c:f>
              <c:strCache>
                <c:ptCount val="11"/>
                <c:pt idx="0">
                  <c:v>Start</c:v>
                </c:pt>
                <c:pt idx="1">
                  <c:v>Yr 2</c:v>
                </c:pt>
                <c:pt idx="2">
                  <c:v>Yr 3</c:v>
                </c:pt>
                <c:pt idx="3">
                  <c:v>Yr 5</c:v>
                </c:pt>
                <c:pt idx="4">
                  <c:v>Yr 6</c:v>
                </c:pt>
                <c:pt idx="5">
                  <c:v>Yr 8</c:v>
                </c:pt>
                <c:pt idx="6">
                  <c:v>Yr 10</c:v>
                </c:pt>
                <c:pt idx="7">
                  <c:v>Yr 11</c:v>
                </c:pt>
                <c:pt idx="8">
                  <c:v>Yr 13</c:v>
                </c:pt>
                <c:pt idx="9">
                  <c:v>Yr 14</c:v>
                </c:pt>
                <c:pt idx="10">
                  <c:v>Yr 16</c:v>
                </c:pt>
              </c:strCache>
            </c:strRef>
          </c:cat>
          <c:val>
            <c:numRef>
              <c:f>'Asset Projection'!$L$17:$L$27</c:f>
              <c:numCache>
                <c:formatCode>[&gt;=10000000]##\,##\,##\,##0;[&gt;=100000]##\,##\,##0;##,##0</c:formatCode>
                <c:ptCount val="11"/>
                <c:pt idx="0">
                  <c:v>1200000</c:v>
                </c:pt>
                <c:pt idx="1">
                  <c:v>1087978</c:v>
                </c:pt>
                <c:pt idx="2">
                  <c:v>1011978</c:v>
                </c:pt>
                <c:pt idx="3">
                  <c:v>859978</c:v>
                </c:pt>
                <c:pt idx="4">
                  <c:v>783978</c:v>
                </c:pt>
                <c:pt idx="5">
                  <c:v>631978</c:v>
                </c:pt>
                <c:pt idx="6">
                  <c:v>479978</c:v>
                </c:pt>
                <c:pt idx="7">
                  <c:v>403978</c:v>
                </c:pt>
                <c:pt idx="8">
                  <c:v>251978</c:v>
                </c:pt>
                <c:pt idx="9">
                  <c:v>175978</c:v>
                </c:pt>
                <c:pt idx="10">
                  <c:v>60000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'Asset Projection'!M16</c:f>
              <c:strCache>
                <c:ptCount val="1"/>
                <c:pt idx="0">
                  <c:v>WDV</c:v>
                </c:pt>
              </c:strCache>
            </c:strRef>
          </c:tx>
          <c:spPr>
            <a:solidFill>
              <a:srgbClr val="006838"/>
            </a:solidFill>
            <a:ln w="28080">
              <a:solidFill>
                <a:srgbClr val="00683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'Asset Projection'!$K$17:$K$27</c:f>
              <c:strCache>
                <c:ptCount val="11"/>
                <c:pt idx="0">
                  <c:v>Start</c:v>
                </c:pt>
                <c:pt idx="1">
                  <c:v>Yr 2</c:v>
                </c:pt>
                <c:pt idx="2">
                  <c:v>Yr 3</c:v>
                </c:pt>
                <c:pt idx="3">
                  <c:v>Yr 5</c:v>
                </c:pt>
                <c:pt idx="4">
                  <c:v>Yr 6</c:v>
                </c:pt>
                <c:pt idx="5">
                  <c:v>Yr 8</c:v>
                </c:pt>
                <c:pt idx="6">
                  <c:v>Yr 10</c:v>
                </c:pt>
                <c:pt idx="7">
                  <c:v>Yr 11</c:v>
                </c:pt>
                <c:pt idx="8">
                  <c:v>Yr 13</c:v>
                </c:pt>
                <c:pt idx="9">
                  <c:v>Yr 14</c:v>
                </c:pt>
                <c:pt idx="10">
                  <c:v>Yr 16</c:v>
                </c:pt>
              </c:strCache>
            </c:strRef>
          </c:cat>
          <c:val>
            <c:numRef>
              <c:f>'Asset Projection'!$M$17:$M$27</c:f>
              <c:numCache>
                <c:formatCode>[&gt;=10000000]##\,##\,##\,##0;[&gt;=100000]##\,##\,##0;##,##0</c:formatCode>
                <c:ptCount val="11"/>
                <c:pt idx="0">
                  <c:v>1200000</c:v>
                </c:pt>
                <c:pt idx="1">
                  <c:v>898430</c:v>
                </c:pt>
                <c:pt idx="2">
                  <c:v>735782</c:v>
                </c:pt>
                <c:pt idx="3">
                  <c:v>493490</c:v>
                </c:pt>
                <c:pt idx="4">
                  <c:v>404150</c:v>
                </c:pt>
                <c:pt idx="5">
                  <c:v>271064</c:v>
                </c:pt>
                <c:pt idx="6">
                  <c:v>181803</c:v>
                </c:pt>
                <c:pt idx="7">
                  <c:v>148890</c:v>
                </c:pt>
                <c:pt idx="8">
                  <c:v>99861</c:v>
                </c:pt>
                <c:pt idx="9">
                  <c:v>81783</c:v>
                </c:pt>
                <c:pt idx="10">
                  <c:v>60000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8061319"/>
        <c:axId val="5592734"/>
      </c:lineChart>
      <c:catAx>
        <c:axId val="48061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92734"/>
        <c:crosses val="autoZero"/>
        <c:auto val="1"/>
        <c:lblAlgn val="ctr"/>
        <c:lblOffset val="100"/>
        <c:noMultiLvlLbl val="0"/>
      </c:catAx>
      <c:valAx>
        <c:axId val="5592734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06131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5</xdr:col>
      <xdr:colOff>856080</xdr:colOff>
      <xdr:row>38</xdr:row>
      <xdr:rowOff>1080</xdr:rowOff>
    </xdr:to>
    <xdr:graphicFrame>
      <xdr:nvGraphicFramePr>
        <xdr:cNvPr id="0" name="Chart 1"/>
        <xdr:cNvGraphicFramePr/>
      </xdr:nvGraphicFramePr>
      <xdr:xfrm>
        <a:off x="141120" y="517212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1142640</xdr:colOff>
      <xdr:row>41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484680" y="87915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83160</xdr:rowOff>
    </xdr:from>
    <xdr:to>
      <xdr:col>1</xdr:col>
      <xdr:colOff>1904760</xdr:colOff>
      <xdr:row>22</xdr:row>
      <xdr:rowOff>149760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419112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2</xdr:col>
      <xdr:colOff>1238040</xdr:colOff>
      <xdr:row>18</xdr:row>
      <xdr:rowOff>28440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2819520" y="374328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</xdr:row>
      <xdr:rowOff>0</xdr:rowOff>
    </xdr:from>
    <xdr:to>
      <xdr:col>9</xdr:col>
      <xdr:colOff>198720</xdr:colOff>
      <xdr:row>14</xdr:row>
      <xdr:rowOff>64080</xdr:rowOff>
    </xdr:to>
    <xdr:graphicFrame>
      <xdr:nvGraphicFramePr>
        <xdr:cNvPr id="5" name="Chart 1"/>
        <xdr:cNvGraphicFramePr/>
      </xdr:nvGraphicFramePr>
      <xdr:xfrm>
        <a:off x="3242160" y="762120"/>
        <a:ext cx="611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Fixed%20Asset%20Register%20and%20Depreciation%20Calculator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true" outlineLevel="0" max="10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"&amp;TEXT(Setup!$C$5,"dd mmm yyyy")&amp;" to "&amp;TEXT(Setup!$C$6,"dd mmm yyyy")</f>
        <v>M/s Xplore Industries  •  01 Apr 2026 to 31 Mar 2027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HYPERLINK("#'Setup'!A1","1. Setup  ►")</f>
        <v>1. Setup  ►</v>
      </c>
      <c r="C9" s="5" t="s">
        <v>3</v>
      </c>
      <c r="E9" s="6" t="s">
        <v>4</v>
      </c>
      <c r="F9" s="7" t="n">
        <f aca="false">COUNTIF('Asset Register'!$G$7:$G$106,"&gt;0")</f>
        <v>12</v>
      </c>
      <c r="I9" s="8" t="str">
        <f aca="false">IFERROR(INDEX('PPE Schedule'!$A$7:$A$24,MATCH(1,'PPE Schedule'!$L$7:$L$24,0)),"")</f>
        <v>Land (freehold)</v>
      </c>
      <c r="J9" s="9" t="n">
        <f aca="false">IFERROR(INDEX('PPE Schedule'!$J$7:$J$24,MATCH(1,'PPE Schedule'!$L$7:$L$24,0)),0)</f>
        <v>1500000</v>
      </c>
    </row>
    <row r="10" customFormat="false" ht="24" hidden="false" customHeight="true" outlineLevel="0" collapsed="false">
      <c r="B10" s="4" t="str">
        <f aca="false">HYPERLINK("#'Rate Chart'!A1","2. Rate Chart  ►")</f>
        <v>2. Rate Chart  ►</v>
      </c>
      <c r="C10" s="5" t="s">
        <v>5</v>
      </c>
      <c r="E10" s="6" t="s">
        <v>6</v>
      </c>
      <c r="F10" s="10" t="n">
        <f aca="false">'PPE Schedule'!E25</f>
        <v>11645000</v>
      </c>
      <c r="I10" s="8" t="str">
        <f aca="false">IFERROR(INDEX('PPE Schedule'!$A$7:$A$24,MATCH(2,'PPE Schedule'!$L$7:$L$24,0)),"")</f>
        <v>Buildings – RCC (other than factory)</v>
      </c>
      <c r="J10" s="9" t="n">
        <f aca="false">IFERROR(INDEX('PPE Schedule'!$J$7:$J$24,MATCH(2,'PPE Schedule'!$L$7:$L$24,0)),0)</f>
        <v>2222917</v>
      </c>
    </row>
    <row r="11" customFormat="false" ht="24" hidden="false" customHeight="true" outlineLevel="0" collapsed="false">
      <c r="B11" s="4" t="str">
        <f aca="false">HYPERLINK("#'Asset Register'!A1","3. Asset Register  ►")</f>
        <v>3. Asset Register  ►</v>
      </c>
      <c r="C11" s="5" t="s">
        <v>7</v>
      </c>
      <c r="E11" s="6" t="s">
        <v>8</v>
      </c>
      <c r="F11" s="11" t="n">
        <f aca="false">'PPE Schedule'!G25</f>
        <v>1066477</v>
      </c>
      <c r="I11" s="8" t="str">
        <f aca="false">IFERROR(INDEX('PPE Schedule'!$A$7:$A$24,MATCH(3,'PPE Schedule'!$L$7:$L$24,0)),"")</f>
        <v>Factory Buildings</v>
      </c>
      <c r="J11" s="9" t="n">
        <f aca="false">IFERROR(INDEX('PPE Schedule'!$J$7:$J$24,MATCH(3,'PPE Schedule'!$L$7:$L$24,0)),0)</f>
        <v>1018573</v>
      </c>
    </row>
    <row r="12" customFormat="false" ht="24" hidden="false" customHeight="true" outlineLevel="0" collapsed="false">
      <c r="B12" s="4" t="str">
        <f aca="false">HYPERLINK("#'PPE Schedule'!A1","4. PPE Schedule  ►")</f>
        <v>4. PPE Schedule  ►</v>
      </c>
      <c r="C12" s="5" t="s">
        <v>9</v>
      </c>
      <c r="E12" s="6" t="s">
        <v>10</v>
      </c>
      <c r="F12" s="10" t="n">
        <f aca="false">'PPE Schedule'!J25</f>
        <v>8320661</v>
      </c>
      <c r="I12" s="8" t="str">
        <f aca="false">IFERROR(INDEX('PPE Schedule'!$A$7:$A$24,MATCH(4,'PPE Schedule'!$L$7:$L$24,0)),"")</f>
        <v>Plant &amp; Machinery (general)</v>
      </c>
      <c r="J12" s="9" t="n">
        <f aca="false">IFERROR(INDEX('PPE Schedule'!$J$7:$J$24,MATCH(4,'PPE Schedule'!$L$7:$L$24,0)),0)</f>
        <v>879879</v>
      </c>
    </row>
    <row r="13" customFormat="false" ht="24" hidden="false" customHeight="true" outlineLevel="0" collapsed="false">
      <c r="B13" s="4" t="str">
        <f aca="false">HYPERLINK("#'Income Tax Block'!A1","5. Income Tax Block  ►")</f>
        <v>5. Income Tax Block  ►</v>
      </c>
      <c r="C13" s="5" t="s">
        <v>11</v>
      </c>
      <c r="E13" s="6" t="s">
        <v>12</v>
      </c>
      <c r="F13" s="11" t="n">
        <f aca="false">'Income Tax Block'!H13</f>
        <v>1467000</v>
      </c>
      <c r="I13" s="8" t="str">
        <f aca="false">IFERROR(INDEX('PPE Schedule'!$A$7:$A$24,MATCH(5,'PPE Schedule'!$L$7:$L$24,0)),"")</f>
        <v>Furniture &amp; Fittings</v>
      </c>
      <c r="J13" s="9" t="n">
        <f aca="false">IFERROR(INDEX('PPE Schedule'!$J$7:$J$24,MATCH(5,'PPE Schedule'!$L$7:$L$24,0)),0)</f>
        <v>101051</v>
      </c>
    </row>
    <row r="14" customFormat="false" ht="24" hidden="false" customHeight="true" outlineLevel="0" collapsed="false">
      <c r="B14" s="4" t="str">
        <f aca="false">HYPERLINK("#'Asset Projection'!A1","6. Asset Projection  ►")</f>
        <v>6. Asset Projection  ►</v>
      </c>
      <c r="C14" s="5" t="s">
        <v>13</v>
      </c>
      <c r="E14" s="6" t="s">
        <v>14</v>
      </c>
      <c r="F14" s="10" t="n">
        <f aca="false">'Asset Register'!X107</f>
        <v>5000</v>
      </c>
      <c r="I14" s="8" t="str">
        <f aca="false">IFERROR(INDEX('PPE Schedule'!$A$7:$A$24,MATCH(6,'PPE Schedule'!$L$7:$L$24,0)),"")</f>
        <v>Electrical Installations</v>
      </c>
      <c r="J14" s="9" t="n">
        <f aca="false">IFERROR(INDEX('PPE Schedule'!$J$7:$J$24,MATCH(6,'PPE Schedule'!$L$7:$L$24,0)),0)</f>
        <v>111600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  <c r="E15" s="6" t="s">
        <v>16</v>
      </c>
      <c r="F15" s="10" t="n">
        <f aca="false">'PPE Schedule'!C25</f>
        <v>2975000</v>
      </c>
      <c r="I15" s="8" t="str">
        <f aca="false">IFERROR(INDEX('PPE Schedule'!$A$7:$A$24,MATCH(7,'PPE Schedule'!$L$7:$L$24,0)),"")</f>
        <v>Office Equipment</v>
      </c>
      <c r="J15" s="9" t="n">
        <f aca="false">IFERROR(INDEX('PPE Schedule'!$J$7:$J$24,MATCH(7,'PPE Schedule'!$L$7:$L$24,0)),0)</f>
        <v>40757</v>
      </c>
    </row>
    <row r="16" customFormat="false" ht="15" hidden="false" customHeight="false" outlineLevel="0" collapsed="false">
      <c r="I16" s="8" t="str">
        <f aca="false">IFERROR(INDEX('PPE Schedule'!$A$7:$A$24,MATCH(8,'PPE Schedule'!$L$7:$L$24,0)),"")</f>
        <v>Computers &amp; Laptops</v>
      </c>
      <c r="J16" s="9" t="n">
        <f aca="false">IFERROR(INDEX('PPE Schedule'!$J$7:$J$24,MATCH(8,'PPE Schedule'!$L$7:$L$24,0)),0)</f>
        <v>276635</v>
      </c>
    </row>
    <row r="17" customFormat="false" ht="15" hidden="false" customHeight="false" outlineLevel="0" collapsed="false">
      <c r="B17" s="12" t="s">
        <v>17</v>
      </c>
      <c r="I17" s="8" t="str">
        <f aca="false">IFERROR(INDEX('PPE Schedule'!$A$7:$A$24,MATCH(9,'PPE Schedule'!$L$7:$L$24,0)),"")</f>
        <v>Motor Cars (not on hire)</v>
      </c>
      <c r="J17" s="9" t="n">
        <f aca="false">IFERROR(INDEX('PPE Schedule'!$J$7:$J$24,MATCH(9,'PPE Schedule'!$L$7:$L$24,0)),0)</f>
        <v>400406</v>
      </c>
    </row>
    <row r="18" customFormat="false" ht="15" hidden="false" customHeight="false" outlineLevel="0" collapsed="false">
      <c r="B18" s="13" t="str">
        <f aca="false">IF(COUNTIF('Asset Register'!$Y$7:$Y$106,"⚠*")&gt;0,"⚠ "&amp;COUNTIF('Asset Register'!$Y$7:$Y$106,"⚠*")&amp;" asset row(s) need attention – see the Check column on the Asset Register.","✔ All asset rows are complete.")</f>
        <v>✔ All asset rows are complete.</v>
      </c>
      <c r="C18" s="13"/>
      <c r="D18" s="13"/>
      <c r="E18" s="13"/>
      <c r="F18" s="13"/>
      <c r="I18" s="8" t="str">
        <f aca="false">IFERROR(INDEX('PPE Schedule'!$A$7:$A$24,MATCH(10,'PPE Schedule'!$L$7:$L$24,0)),"")</f>
        <v>Commercial Vehicles (on hire)</v>
      </c>
      <c r="J18" s="9" t="n">
        <f aca="false">IFERROR(INDEX('PPE Schedule'!$J$7:$J$24,MATCH(10,'PPE Schedule'!$L$7:$L$24,0)),0)</f>
        <v>1768843</v>
      </c>
    </row>
    <row r="19" customFormat="false" ht="15" hidden="false" customHeight="false" outlineLevel="0" collapsed="false">
      <c r="B19" s="13" t="str">
        <f aca="false">'PPE Schedule'!A26</f>
        <v>✔ Net block agrees with the Asset Register.</v>
      </c>
      <c r="C19" s="13"/>
      <c r="D19" s="13"/>
      <c r="E19" s="13"/>
      <c r="F19" s="13"/>
    </row>
    <row r="20" customFormat="false" ht="15" hidden="false" customHeight="false" outlineLevel="0" collapsed="false">
      <c r="B20" s="13" t="str">
        <f aca="false">COUNTIF('Asset Register'!$Y$7:$Y$106,"Fully depreciated")&amp;" asset(s) fully depreciated  •  "&amp;COUNTIF('Asset Register'!$Y$7:$Y$106,"Sold this year")&amp;" sold this year"</f>
        <v>0 asset(s) fully depreciated  •  1 sold this year</v>
      </c>
      <c r="C20" s="13"/>
      <c r="D20" s="13"/>
      <c r="E20" s="13"/>
      <c r="F20" s="13"/>
    </row>
    <row r="41" customFormat="false" ht="15" hidden="false" customHeight="false" outlineLevel="0" collapsed="false">
      <c r="E41" s="14" t="s">
        <v>18</v>
      </c>
    </row>
    <row r="44" customFormat="false" ht="15" hidden="false" customHeight="false" outlineLevel="0" collapsed="false">
      <c r="F44" s="15" t="s">
        <v>19</v>
      </c>
    </row>
  </sheetData>
  <sheetProtection sheet="1" objects="1" scenarios="1" formatColumns="0" formatRows="0" algorithmName="SHA-512" hashValue="F3XS5zGdtSqmhd2V6C2Z/TMw3q/cnX0pGb/aBGv+6CmFM176kBNaHx/QfeaRvp6TTpEUV/3hwdWdIM02UrrEJA==" saltValue="D0CGWhiUC0hIhfn7pRkAPA==" spinCount="100000"/>
  <mergeCells count="5">
    <mergeCell ref="B5:F5"/>
    <mergeCell ref="B6:F6"/>
    <mergeCell ref="B18:F18"/>
    <mergeCell ref="B19:F19"/>
    <mergeCell ref="B20:F20"/>
  </mergeCells>
  <hyperlinks>
    <hyperlink ref="F4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6" t="s">
        <v>20</v>
      </c>
    </row>
    <row r="2" customFormat="false" ht="22.05" hidden="false" customHeight="false" outlineLevel="0" collapsed="false">
      <c r="A2" s="17" t="s">
        <v>21</v>
      </c>
    </row>
    <row r="3" customFormat="false" ht="15" hidden="false" customHeight="false" outlineLevel="0" collapsed="false">
      <c r="A3" s="18" t="n">
        <v>1</v>
      </c>
      <c r="B3" s="19" t="s">
        <v>22</v>
      </c>
    </row>
    <row r="4" customFormat="false" ht="15" hidden="false" customHeight="false" outlineLevel="0" collapsed="false">
      <c r="A4" s="18" t="n">
        <v>2</v>
      </c>
      <c r="B4" s="19" t="s">
        <v>23</v>
      </c>
    </row>
    <row r="5" customFormat="false" ht="28.35" hidden="false" customHeight="false" outlineLevel="0" collapsed="false">
      <c r="A5" s="18" t="n">
        <v>3</v>
      </c>
      <c r="B5" s="19" t="s">
        <v>24</v>
      </c>
    </row>
    <row r="6" customFormat="false" ht="15" hidden="false" customHeight="false" outlineLevel="0" collapsed="false">
      <c r="A6" s="18" t="n">
        <v>4</v>
      </c>
      <c r="B6" s="19" t="s">
        <v>25</v>
      </c>
    </row>
    <row r="7" customFormat="false" ht="15" hidden="false" customHeight="false" outlineLevel="0" collapsed="false">
      <c r="A7" s="18" t="n">
        <v>5</v>
      </c>
      <c r="B7" s="19" t="s">
        <v>26</v>
      </c>
    </row>
    <row r="8" customFormat="false" ht="15" hidden="false" customHeight="false" outlineLevel="0" collapsed="false">
      <c r="A8" s="18" t="n">
        <v>6</v>
      </c>
      <c r="B8" s="19" t="s">
        <v>27</v>
      </c>
    </row>
    <row r="9" customFormat="false" ht="15" hidden="false" customHeight="false" outlineLevel="0" collapsed="false">
      <c r="A9" s="18" t="n">
        <v>7</v>
      </c>
      <c r="B9" s="19" t="s">
        <v>28</v>
      </c>
    </row>
    <row r="10" customFormat="false" ht="15" hidden="false" customHeight="false" outlineLevel="0" collapsed="false">
      <c r="A10" s="18" t="n">
        <v>8</v>
      </c>
      <c r="B10" s="19" t="s">
        <v>29</v>
      </c>
    </row>
    <row r="11" customFormat="false" ht="15" hidden="false" customHeight="false" outlineLevel="0" collapsed="false">
      <c r="A11" s="18" t="n">
        <v>9</v>
      </c>
      <c r="B11" s="19" t="s">
        <v>30</v>
      </c>
    </row>
    <row r="12" customFormat="false" ht="15" hidden="false" customHeight="false" outlineLevel="0" collapsed="false">
      <c r="A12" s="18" t="n">
        <v>10</v>
      </c>
      <c r="B12" s="19" t="s">
        <v>31</v>
      </c>
    </row>
    <row r="13" customFormat="false" ht="15" hidden="false" customHeight="false" outlineLevel="0" collapsed="false">
      <c r="A13" s="18" t="n">
        <v>11</v>
      </c>
      <c r="B13" s="19" t="s">
        <v>32</v>
      </c>
    </row>
    <row r="15" customFormat="false" ht="19.7" hidden="false" customHeight="false" outlineLevel="0" collapsed="false">
      <c r="A15" s="20" t="s">
        <v>33</v>
      </c>
      <c r="B15" s="20"/>
    </row>
    <row r="16" customFormat="false" ht="15" hidden="false" customHeight="false" outlineLevel="0" collapsed="false">
      <c r="A16" s="21" t="s">
        <v>34</v>
      </c>
      <c r="B16" s="22" t="s">
        <v>35</v>
      </c>
    </row>
    <row r="17" customFormat="false" ht="15" hidden="false" customHeight="false" outlineLevel="0" collapsed="false">
      <c r="A17" s="21" t="s">
        <v>36</v>
      </c>
      <c r="B17" s="22" t="s">
        <v>37</v>
      </c>
    </row>
    <row r="18" customFormat="false" ht="15" hidden="false" customHeight="false" outlineLevel="0" collapsed="false">
      <c r="A18" s="21" t="s">
        <v>38</v>
      </c>
      <c r="B18" s="22" t="s">
        <v>39</v>
      </c>
    </row>
    <row r="19" customFormat="false" ht="28.35" hidden="false" customHeight="false" outlineLevel="0" collapsed="false">
      <c r="A19" s="21" t="s">
        <v>40</v>
      </c>
      <c r="B19" s="22" t="s">
        <v>41</v>
      </c>
    </row>
    <row r="21" customFormat="false" ht="15" hidden="false" customHeight="false" outlineLevel="0" collapsed="false">
      <c r="B21" s="23" t="s">
        <v>42</v>
      </c>
    </row>
  </sheetData>
  <sheetProtection sheet="1" objects="1" scenarios="1" formatColumns="0" formatRows="0" algorithmName="SHA-512" hashValue="KMWEDO1Bz5+MXPqhpPM8rUdZF4YZItj5MDfmz7JxgRNhuB8mCvVRaur4rf9LXO5lNyZi7x0ItWKYLM8KtVKHJA==" saltValue="tfb6mZDx86kUdXEbzk4gdg==" spinCount="100000"/>
  <mergeCells count="1">
    <mergeCell ref="A15:B15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6" t="s">
        <v>20</v>
      </c>
    </row>
    <row r="2" customFormat="false" ht="31.5" hidden="false" customHeight="true" outlineLevel="0" collapsed="false">
      <c r="A2" s="24" t="s">
        <v>43</v>
      </c>
      <c r="B2" s="24"/>
      <c r="C2" s="24"/>
      <c r="D2" s="24"/>
    </row>
    <row r="4" customFormat="false" ht="15" hidden="false" customHeight="true" outlineLevel="0" collapsed="false">
      <c r="A4" s="25" t="s">
        <v>44</v>
      </c>
      <c r="B4" s="25"/>
      <c r="C4" s="83" t="s">
        <v>45</v>
      </c>
    </row>
    <row r="5" customFormat="false" ht="15" hidden="false" customHeight="true" outlineLevel="0" collapsed="false">
      <c r="A5" s="25" t="s">
        <v>46</v>
      </c>
      <c r="B5" s="25"/>
      <c r="C5" s="84" t="n">
        <v>46113</v>
      </c>
    </row>
    <row r="6" customFormat="false" ht="15" hidden="false" customHeight="true" outlineLevel="0" collapsed="false">
      <c r="A6" s="25" t="s">
        <v>47</v>
      </c>
      <c r="B6" s="25"/>
      <c r="C6" s="28" t="n">
        <f aca="false">EDATE(C5,12)-1</f>
        <v>46477</v>
      </c>
      <c r="D6" s="5" t="s">
        <v>48</v>
      </c>
    </row>
    <row r="7" customFormat="false" ht="15" hidden="false" customHeight="true" outlineLevel="0" collapsed="false">
      <c r="A7" s="25" t="s">
        <v>49</v>
      </c>
      <c r="B7" s="25"/>
      <c r="C7" s="85" t="n">
        <v>0.05</v>
      </c>
      <c r="D7" s="5" t="s">
        <v>50</v>
      </c>
    </row>
    <row r="8" customFormat="false" ht="15" hidden="false" customHeight="true" outlineLevel="0" collapsed="false">
      <c r="A8" s="25" t="s">
        <v>51</v>
      </c>
      <c r="B8" s="25"/>
      <c r="C8" s="83" t="s">
        <v>52</v>
      </c>
    </row>
    <row r="9" customFormat="false" ht="15" hidden="false" customHeight="true" outlineLevel="0" collapsed="false">
      <c r="A9" s="25" t="s">
        <v>53</v>
      </c>
      <c r="B9" s="25"/>
      <c r="C9" s="83" t="s">
        <v>54</v>
      </c>
    </row>
    <row r="11" customFormat="false" ht="15" hidden="false" customHeight="false" outlineLevel="0" collapsed="false">
      <c r="A11" s="3" t="s">
        <v>55</v>
      </c>
    </row>
    <row r="12" customFormat="false" ht="27.75" hidden="false" customHeight="true" outlineLevel="0" collapsed="false">
      <c r="A12" s="30" t="s">
        <v>56</v>
      </c>
      <c r="B12" s="30"/>
      <c r="C12" s="30"/>
      <c r="D12" s="30"/>
    </row>
    <row r="13" customFormat="false" ht="27.75" hidden="false" customHeight="true" outlineLevel="0" collapsed="false">
      <c r="A13" s="30" t="s">
        <v>57</v>
      </c>
      <c r="B13" s="30"/>
      <c r="C13" s="30"/>
      <c r="D13" s="30"/>
    </row>
    <row r="14" customFormat="false" ht="27.75" hidden="false" customHeight="true" outlineLevel="0" collapsed="false">
      <c r="A14" s="30" t="s">
        <v>58</v>
      </c>
      <c r="B14" s="30"/>
      <c r="C14" s="30"/>
      <c r="D14" s="30"/>
    </row>
    <row r="17" customFormat="false" ht="15" hidden="false" customHeight="false" outlineLevel="0" collapsed="false">
      <c r="B17" s="31" t="s">
        <v>18</v>
      </c>
    </row>
  </sheetData>
  <sheetProtection sheet="1" objects="1" scenarios="1" formatColumns="0" formatRows="0" algorithmName="SHA-512" hashValue="xiQ4R9wFKs1CiZwat/qqasJAe+z2Mf8HXCLnChy8HWfsC2KBEXvAh0cxhuqWXlMSJumBJSJcrcc4mDfltrn0Hw==" saltValue="jjk51xKosLTGKR/lCdsWwg==" spinCount="100000"/>
  <mergeCells count="10">
    <mergeCell ref="A2:D2"/>
    <mergeCell ref="A4:B4"/>
    <mergeCell ref="A5:B5"/>
    <mergeCell ref="A6:B6"/>
    <mergeCell ref="A7:B7"/>
    <mergeCell ref="A8:B8"/>
    <mergeCell ref="A9:B9"/>
    <mergeCell ref="A12:D12"/>
    <mergeCell ref="A13:D13"/>
    <mergeCell ref="A14:D14"/>
  </mergeCells>
  <dataValidations count="1">
    <dataValidation allowBlank="true" errorStyle="stop" operator="between" showDropDown="false" showErrorMessage="false" showInputMessage="false" sqref="C8" type="list">
      <formula1>Lists!$A$2:$A$3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4" min="3" style="0" width="10"/>
    <col collapsed="false" customWidth="true" hidden="false" outlineLevel="0" max="5" min="5" style="0" width="30"/>
    <col collapsed="false" customWidth="true" hidden="false" outlineLevel="0" max="6" min="6" style="0" width="8"/>
    <col collapsed="false" customWidth="true" hidden="false" outlineLevel="0" max="7" min="7" style="0" width="3"/>
    <col collapsed="false" customWidth="true" hidden="false" outlineLevel="0" max="8" min="8" style="0" width="30"/>
    <col collapsed="false" customWidth="true" hidden="false" outlineLevel="0" max="9" min="9" style="0" width="8"/>
  </cols>
  <sheetData>
    <row r="1" customFormat="false" ht="15" hidden="false" customHeight="false" outlineLevel="0" collapsed="false">
      <c r="A1" s="16" t="s">
        <v>20</v>
      </c>
    </row>
    <row r="2" customFormat="false" ht="30" hidden="false" customHeight="true" outlineLevel="0" collapsed="false">
      <c r="A2" s="32" t="s">
        <v>59</v>
      </c>
      <c r="B2" s="32"/>
      <c r="C2" s="32"/>
      <c r="D2" s="32"/>
      <c r="E2" s="32"/>
      <c r="F2" s="32"/>
      <c r="G2" s="32"/>
      <c r="H2" s="32"/>
      <c r="I2" s="32"/>
    </row>
    <row r="3" customFormat="false" ht="15" hidden="false" customHeight="false" outlineLevel="0" collapsed="false">
      <c r="A3" s="33" t="s">
        <v>60</v>
      </c>
      <c r="B3" s="33"/>
      <c r="C3" s="33"/>
      <c r="D3" s="33"/>
      <c r="E3" s="33"/>
      <c r="F3" s="33"/>
      <c r="G3" s="33"/>
      <c r="H3" s="33"/>
      <c r="I3" s="33"/>
    </row>
    <row r="5" customFormat="false" ht="33.75" hidden="false" customHeight="true" outlineLevel="0" collapsed="false">
      <c r="A5" s="34" t="s">
        <v>61</v>
      </c>
      <c r="B5" s="34" t="s">
        <v>62</v>
      </c>
      <c r="C5" s="34" t="s">
        <v>63</v>
      </c>
      <c r="D5" s="34" t="s">
        <v>64</v>
      </c>
      <c r="E5" s="34" t="s">
        <v>65</v>
      </c>
      <c r="F5" s="34" t="s">
        <v>66</v>
      </c>
      <c r="H5" s="35" t="s">
        <v>65</v>
      </c>
      <c r="I5" s="35" t="s">
        <v>67</v>
      </c>
    </row>
    <row r="6" customFormat="false" ht="15" hidden="false" customHeight="false" outlineLevel="0" collapsed="false">
      <c r="A6" s="86" t="s">
        <v>68</v>
      </c>
      <c r="B6" s="87" t="n">
        <v>0</v>
      </c>
      <c r="C6" s="38" t="str">
        <f aca="false">IF(OR(A6="",N(B6)=0),"",(1-Setup!$C$7)/B6)</f>
        <v/>
      </c>
      <c r="D6" s="38" t="str">
        <f aca="false">IF(OR(A6="",N(B6)=0),"",1-Setup!$C$7^(1/B6))</f>
        <v/>
      </c>
      <c r="E6" s="86" t="s">
        <v>69</v>
      </c>
      <c r="F6" s="39" t="n">
        <f aca="false">IF(E6="","",IFERROR(VLOOKUP(E6,$H$6:$I$12,2,FALSE()),""))</f>
        <v>0</v>
      </c>
      <c r="H6" s="86" t="s">
        <v>70</v>
      </c>
      <c r="I6" s="88" t="n">
        <v>0.05</v>
      </c>
    </row>
    <row r="7" customFormat="false" ht="15" hidden="false" customHeight="false" outlineLevel="0" collapsed="false">
      <c r="A7" s="86" t="s">
        <v>71</v>
      </c>
      <c r="B7" s="87" t="n">
        <v>60</v>
      </c>
      <c r="C7" s="38" t="n">
        <f aca="false">IF(OR(A7="",N(B7)=0),"",(1-Setup!$C$7)/B7)</f>
        <v>0.0158333333333333</v>
      </c>
      <c r="D7" s="38" t="n">
        <f aca="false">IF(OR(A7="",N(B7)=0),"",1-Setup!$C$7^(1/B7))</f>
        <v>0.0487029133100975</v>
      </c>
      <c r="E7" s="86" t="s">
        <v>72</v>
      </c>
      <c r="F7" s="39" t="n">
        <f aca="false">IF(E7="","",IFERROR(VLOOKUP(E7,$H$6:$I$12,2,FALSE()),""))</f>
        <v>0.1</v>
      </c>
      <c r="H7" s="86" t="s">
        <v>72</v>
      </c>
      <c r="I7" s="88" t="n">
        <v>0.1</v>
      </c>
    </row>
    <row r="8" customFormat="false" ht="15" hidden="false" customHeight="false" outlineLevel="0" collapsed="false">
      <c r="A8" s="86" t="s">
        <v>73</v>
      </c>
      <c r="B8" s="87" t="n">
        <v>30</v>
      </c>
      <c r="C8" s="38" t="n">
        <f aca="false">IF(OR(A8="",N(B8)=0),"",(1-Setup!$C$7)/B8)</f>
        <v>0.0316666666666667</v>
      </c>
      <c r="D8" s="38" t="n">
        <f aca="false">IF(OR(A8="",N(B8)=0),"",1-Setup!$C$7^(1/B8))</f>
        <v>0.0950338528553042</v>
      </c>
      <c r="E8" s="86" t="s">
        <v>72</v>
      </c>
      <c r="F8" s="39" t="n">
        <f aca="false">IF(E8="","",IFERROR(VLOOKUP(E8,$H$6:$I$12,2,FALSE()),""))</f>
        <v>0.1</v>
      </c>
      <c r="H8" s="86" t="s">
        <v>74</v>
      </c>
      <c r="I8" s="88" t="n">
        <v>0.1</v>
      </c>
    </row>
    <row r="9" customFormat="false" ht="15" hidden="false" customHeight="false" outlineLevel="0" collapsed="false">
      <c r="A9" s="86" t="s">
        <v>75</v>
      </c>
      <c r="B9" s="87" t="n">
        <v>60</v>
      </c>
      <c r="C9" s="38" t="n">
        <f aca="false">IF(OR(A9="",N(B9)=0),"",(1-Setup!$C$7)/B9)</f>
        <v>0.0158333333333333</v>
      </c>
      <c r="D9" s="38" t="n">
        <f aca="false">IF(OR(A9="",N(B9)=0),"",1-Setup!$C$7^(1/B9))</f>
        <v>0.0487029133100975</v>
      </c>
      <c r="E9" s="86" t="s">
        <v>70</v>
      </c>
      <c r="F9" s="39" t="n">
        <f aca="false">IF(E9="","",IFERROR(VLOOKUP(E9,$H$6:$I$12,2,FALSE()),""))</f>
        <v>0.05</v>
      </c>
      <c r="H9" s="86" t="s">
        <v>76</v>
      </c>
      <c r="I9" s="88" t="n">
        <v>0.15</v>
      </c>
    </row>
    <row r="10" customFormat="false" ht="15" hidden="false" customHeight="false" outlineLevel="0" collapsed="false">
      <c r="A10" s="86" t="s">
        <v>77</v>
      </c>
      <c r="B10" s="87" t="n">
        <v>15</v>
      </c>
      <c r="C10" s="38" t="n">
        <f aca="false">IF(OR(A10="",N(B10)=0),"",(1-Setup!$C$7)/B10)</f>
        <v>0.0633333333333333</v>
      </c>
      <c r="D10" s="38" t="n">
        <f aca="false">IF(OR(A10="",N(B10)=0),"",1-Setup!$C$7^(1/B10))</f>
        <v>0.181036272522085</v>
      </c>
      <c r="E10" s="86" t="s">
        <v>76</v>
      </c>
      <c r="F10" s="39" t="n">
        <f aca="false">IF(E10="","",IFERROR(VLOOKUP(E10,$H$6:$I$12,2,FALSE()),""))</f>
        <v>0.15</v>
      </c>
      <c r="H10" s="86" t="s">
        <v>78</v>
      </c>
      <c r="I10" s="88" t="n">
        <v>0.3</v>
      </c>
    </row>
    <row r="11" customFormat="false" ht="15" hidden="false" customHeight="false" outlineLevel="0" collapsed="false">
      <c r="A11" s="86" t="s">
        <v>79</v>
      </c>
      <c r="B11" s="87" t="n">
        <v>10</v>
      </c>
      <c r="C11" s="38" t="n">
        <f aca="false">IF(OR(A11="",N(B11)=0),"",(1-Setup!$C$7)/B11)</f>
        <v>0.095</v>
      </c>
      <c r="D11" s="38" t="n">
        <f aca="false">IF(OR(A11="",N(B11)=0),"",1-Setup!$C$7^(1/B11))</f>
        <v>0.258865550893052</v>
      </c>
      <c r="E11" s="86" t="s">
        <v>74</v>
      </c>
      <c r="F11" s="39" t="n">
        <f aca="false">IF(E11="","",IFERROR(VLOOKUP(E11,$H$6:$I$12,2,FALSE()),""))</f>
        <v>0.1</v>
      </c>
      <c r="H11" s="86" t="s">
        <v>80</v>
      </c>
      <c r="I11" s="88" t="n">
        <v>0.4</v>
      </c>
    </row>
    <row r="12" customFormat="false" ht="15" hidden="false" customHeight="false" outlineLevel="0" collapsed="false">
      <c r="A12" s="86" t="s">
        <v>81</v>
      </c>
      <c r="B12" s="87" t="n">
        <v>10</v>
      </c>
      <c r="C12" s="38" t="n">
        <f aca="false">IF(OR(A12="",N(B12)=0),"",(1-Setup!$C$7)/B12)</f>
        <v>0.095</v>
      </c>
      <c r="D12" s="38" t="n">
        <f aca="false">IF(OR(A12="",N(B12)=0),"",1-Setup!$C$7^(1/B12))</f>
        <v>0.258865550893052</v>
      </c>
      <c r="E12" s="86" t="s">
        <v>74</v>
      </c>
      <c r="F12" s="39" t="n">
        <f aca="false">IF(E12="","",IFERROR(VLOOKUP(E12,$H$6:$I$12,2,FALSE()),""))</f>
        <v>0.1</v>
      </c>
      <c r="H12" s="86" t="s">
        <v>69</v>
      </c>
      <c r="I12" s="88" t="n">
        <v>0</v>
      </c>
    </row>
    <row r="13" customFormat="false" ht="15" hidden="false" customHeight="false" outlineLevel="0" collapsed="false">
      <c r="A13" s="86" t="s">
        <v>82</v>
      </c>
      <c r="B13" s="87" t="n">
        <v>5</v>
      </c>
      <c r="C13" s="38" t="n">
        <f aca="false">IF(OR(A13="",N(B13)=0),"",(1-Setup!$C$7)/B13)</f>
        <v>0.19</v>
      </c>
      <c r="D13" s="38" t="n">
        <f aca="false">IF(OR(A13="",N(B13)=0),"",1-Setup!$C$7^(1/B13))</f>
        <v>0.450719728346941</v>
      </c>
      <c r="E13" s="86" t="s">
        <v>76</v>
      </c>
      <c r="F13" s="39" t="n">
        <f aca="false">IF(E13="","",IFERROR(VLOOKUP(E13,$H$6:$I$12,2,FALSE()),""))</f>
        <v>0.15</v>
      </c>
    </row>
    <row r="14" customFormat="false" ht="15" hidden="false" customHeight="false" outlineLevel="0" collapsed="false">
      <c r="A14" s="86" t="s">
        <v>83</v>
      </c>
      <c r="B14" s="87" t="n">
        <v>3</v>
      </c>
      <c r="C14" s="38" t="n">
        <f aca="false">IF(OR(A14="",N(B14)=0),"",(1-Setup!$C$7)/B14)</f>
        <v>0.316666666666667</v>
      </c>
      <c r="D14" s="38" t="n">
        <f aca="false">IF(OR(A14="",N(B14)=0),"",1-Setup!$C$7^(1/B14))</f>
        <v>0.631596850135961</v>
      </c>
      <c r="E14" s="86" t="s">
        <v>80</v>
      </c>
      <c r="F14" s="39" t="n">
        <f aca="false">IF(E14="","",IFERROR(VLOOKUP(E14,$H$6:$I$12,2,FALSE()),""))</f>
        <v>0.4</v>
      </c>
    </row>
    <row r="15" customFormat="false" ht="15" hidden="false" customHeight="false" outlineLevel="0" collapsed="false">
      <c r="A15" s="86" t="s">
        <v>84</v>
      </c>
      <c r="B15" s="87" t="n">
        <v>6</v>
      </c>
      <c r="C15" s="38" t="n">
        <f aca="false">IF(OR(A15="",N(B15)=0),"",(1-Setup!$C$7)/B15)</f>
        <v>0.158333333333333</v>
      </c>
      <c r="D15" s="38" t="n">
        <f aca="false">IF(OR(A15="",N(B15)=0),"",1-Setup!$C$7^(1/B15))</f>
        <v>0.393037768997083</v>
      </c>
      <c r="E15" s="86" t="s">
        <v>80</v>
      </c>
      <c r="F15" s="39" t="n">
        <f aca="false">IF(E15="","",IFERROR(VLOOKUP(E15,$H$6:$I$12,2,FALSE()),""))</f>
        <v>0.4</v>
      </c>
    </row>
    <row r="16" customFormat="false" ht="15" hidden="false" customHeight="false" outlineLevel="0" collapsed="false">
      <c r="A16" s="86" t="s">
        <v>85</v>
      </c>
      <c r="B16" s="87" t="n">
        <v>8</v>
      </c>
      <c r="C16" s="38" t="n">
        <f aca="false">IF(OR(A16="",N(B16)=0),"",(1-Setup!$C$7)/B16)</f>
        <v>0.11875</v>
      </c>
      <c r="D16" s="38" t="n">
        <f aca="false">IF(OR(A16="",N(B16)=0),"",1-Setup!$C$7^(1/B16))</f>
        <v>0.312343978066368</v>
      </c>
      <c r="E16" s="86" t="s">
        <v>76</v>
      </c>
      <c r="F16" s="39" t="n">
        <f aca="false">IF(E16="","",IFERROR(VLOOKUP(E16,$H$6:$I$12,2,FALSE()),""))</f>
        <v>0.15</v>
      </c>
    </row>
    <row r="17" customFormat="false" ht="15" hidden="false" customHeight="false" outlineLevel="0" collapsed="false">
      <c r="A17" s="86" t="s">
        <v>86</v>
      </c>
      <c r="B17" s="87" t="n">
        <v>10</v>
      </c>
      <c r="C17" s="38" t="n">
        <f aca="false">IF(OR(A17="",N(B17)=0),"",(1-Setup!$C$7)/B17)</f>
        <v>0.095</v>
      </c>
      <c r="D17" s="38" t="n">
        <f aca="false">IF(OR(A17="",N(B17)=0),"",1-Setup!$C$7^(1/B17))</f>
        <v>0.258865550893052</v>
      </c>
      <c r="E17" s="86" t="s">
        <v>76</v>
      </c>
      <c r="F17" s="39" t="n">
        <f aca="false">IF(E17="","",IFERROR(VLOOKUP(E17,$H$6:$I$12,2,FALSE()),""))</f>
        <v>0.15</v>
      </c>
    </row>
    <row r="18" customFormat="false" ht="15" hidden="false" customHeight="false" outlineLevel="0" collapsed="false">
      <c r="A18" s="86" t="s">
        <v>87</v>
      </c>
      <c r="B18" s="87" t="n">
        <v>6</v>
      </c>
      <c r="C18" s="38" t="n">
        <f aca="false">IF(OR(A18="",N(B18)=0),"",(1-Setup!$C$7)/B18)</f>
        <v>0.158333333333333</v>
      </c>
      <c r="D18" s="38" t="n">
        <f aca="false">IF(OR(A18="",N(B18)=0),"",1-Setup!$C$7^(1/B18))</f>
        <v>0.393037768997083</v>
      </c>
      <c r="E18" s="86" t="s">
        <v>78</v>
      </c>
      <c r="F18" s="39" t="n">
        <f aca="false">IF(E18="","",IFERROR(VLOOKUP(E18,$H$6:$I$12,2,FALSE()),""))</f>
        <v>0.3</v>
      </c>
    </row>
    <row r="19" customFormat="false" ht="15" hidden="false" customHeight="false" outlineLevel="0" collapsed="false">
      <c r="A19" s="86"/>
      <c r="B19" s="87"/>
      <c r="C19" s="38" t="str">
        <f aca="false">IF(OR(A19="",N(B19)=0),"",(1-Setup!$C$7)/B19)</f>
        <v/>
      </c>
      <c r="D19" s="38" t="str">
        <f aca="false">IF(OR(A19="",N(B19)=0),"",1-Setup!$C$7^(1/B19))</f>
        <v/>
      </c>
      <c r="E19" s="86"/>
      <c r="F19" s="39" t="str">
        <f aca="false">IF(E19="","",IFERROR(VLOOKUP(E19,$H$6:$I$12,2,FALSE()),""))</f>
        <v/>
      </c>
    </row>
    <row r="20" customFormat="false" ht="15" hidden="false" customHeight="false" outlineLevel="0" collapsed="false">
      <c r="A20" s="86"/>
      <c r="B20" s="87"/>
      <c r="C20" s="38" t="str">
        <f aca="false">IF(OR(A20="",N(B20)=0),"",(1-Setup!$C$7)/B20)</f>
        <v/>
      </c>
      <c r="D20" s="38" t="str">
        <f aca="false">IF(OR(A20="",N(B20)=0),"",1-Setup!$C$7^(1/B20))</f>
        <v/>
      </c>
      <c r="E20" s="86"/>
      <c r="F20" s="39" t="str">
        <f aca="false">IF(E20="","",IFERROR(VLOOKUP(E20,$H$6:$I$12,2,FALSE()),""))</f>
        <v/>
      </c>
    </row>
    <row r="21" customFormat="false" ht="15" hidden="false" customHeight="false" outlineLevel="0" collapsed="false">
      <c r="A21" s="86"/>
      <c r="B21" s="87"/>
      <c r="C21" s="38" t="str">
        <f aca="false">IF(OR(A21="",N(B21)=0),"",(1-Setup!$C$7)/B21)</f>
        <v/>
      </c>
      <c r="D21" s="38" t="str">
        <f aca="false">IF(OR(A21="",N(B21)=0),"",1-Setup!$C$7^(1/B21))</f>
        <v/>
      </c>
      <c r="E21" s="86"/>
      <c r="F21" s="39" t="str">
        <f aca="false">IF(E21="","",IFERROR(VLOOKUP(E21,$H$6:$I$12,2,FALSE()),""))</f>
        <v/>
      </c>
    </row>
    <row r="22" customFormat="false" ht="15" hidden="false" customHeight="false" outlineLevel="0" collapsed="false">
      <c r="A22" s="86"/>
      <c r="B22" s="87"/>
      <c r="C22" s="38" t="str">
        <f aca="false">IF(OR(A22="",N(B22)=0),"",(1-Setup!$C$7)/B22)</f>
        <v/>
      </c>
      <c r="D22" s="38" t="str">
        <f aca="false">IF(OR(A22="",N(B22)=0),"",1-Setup!$C$7^(1/B22))</f>
        <v/>
      </c>
      <c r="E22" s="86"/>
      <c r="F22" s="39" t="str">
        <f aca="false">IF(E22="","",IFERROR(VLOOKUP(E22,$H$6:$I$12,2,FALSE()),""))</f>
        <v/>
      </c>
    </row>
    <row r="23" customFormat="false" ht="15" hidden="false" customHeight="false" outlineLevel="0" collapsed="false">
      <c r="A23" s="86"/>
      <c r="B23" s="87"/>
      <c r="C23" s="38" t="str">
        <f aca="false">IF(OR(A23="",N(B23)=0),"",(1-Setup!$C$7)/B23)</f>
        <v/>
      </c>
      <c r="D23" s="38" t="str">
        <f aca="false">IF(OR(A23="",N(B23)=0),"",1-Setup!$C$7^(1/B23))</f>
        <v/>
      </c>
      <c r="E23" s="86"/>
      <c r="F23" s="39" t="str">
        <f aca="false">IF(E23="","",IFERROR(VLOOKUP(E23,$H$6:$I$12,2,FALSE()),""))</f>
        <v/>
      </c>
    </row>
    <row r="25" customFormat="false" ht="15" hidden="false" customHeight="false" outlineLevel="0" collapsed="false">
      <c r="A25" s="41" t="s">
        <v>88</v>
      </c>
    </row>
    <row r="26" customFormat="false" ht="25.5" hidden="false" customHeight="true" outlineLevel="0" collapsed="false">
      <c r="A26" s="42" t="s">
        <v>89</v>
      </c>
      <c r="B26" s="42"/>
      <c r="C26" s="42"/>
      <c r="D26" s="42"/>
      <c r="E26" s="42"/>
      <c r="F26" s="42"/>
      <c r="G26" s="42"/>
      <c r="H26" s="42"/>
      <c r="I26" s="42"/>
    </row>
    <row r="27" customFormat="false" ht="25.5" hidden="false" customHeight="true" outlineLevel="0" collapsed="false">
      <c r="A27" s="42" t="s">
        <v>90</v>
      </c>
      <c r="B27" s="42"/>
      <c r="C27" s="42"/>
      <c r="D27" s="42"/>
      <c r="E27" s="42"/>
      <c r="F27" s="42"/>
      <c r="G27" s="42"/>
      <c r="H27" s="42"/>
      <c r="I27" s="42"/>
    </row>
    <row r="28" customFormat="false" ht="25.5" hidden="false" customHeight="true" outlineLevel="0" collapsed="false">
      <c r="A28" s="42" t="s">
        <v>91</v>
      </c>
      <c r="B28" s="42"/>
      <c r="C28" s="42"/>
      <c r="D28" s="42"/>
      <c r="E28" s="42"/>
      <c r="F28" s="42"/>
      <c r="G28" s="42"/>
      <c r="H28" s="42"/>
      <c r="I28" s="42"/>
    </row>
    <row r="29" customFormat="false" ht="25.5" hidden="false" customHeight="true" outlineLevel="0" collapsed="false">
      <c r="A29" s="42" t="s">
        <v>92</v>
      </c>
      <c r="B29" s="42"/>
      <c r="C29" s="42"/>
      <c r="D29" s="42"/>
      <c r="E29" s="42"/>
      <c r="F29" s="42"/>
      <c r="G29" s="42"/>
      <c r="H29" s="42"/>
      <c r="I29" s="42"/>
    </row>
  </sheetData>
  <sheetProtection sheet="1" objects="1" scenarios="1" formatColumns="0" formatRows="0" algorithmName="SHA-512" hashValue="5IlvTBmn3qGJeoHsvyl30vxRrnfCzUladnYG7PcerFqZQjuiyGd+XEtqj/TF8AgRlqUA6W430uAoB+EByl0Edg==" saltValue="v7vm95k9CLx1O3sdZTDZWg==" spinCount="100000"/>
  <mergeCells count="6">
    <mergeCell ref="A2:I2"/>
    <mergeCell ref="A3:I3"/>
    <mergeCell ref="A26:I26"/>
    <mergeCell ref="A27:I27"/>
    <mergeCell ref="A28:I28"/>
    <mergeCell ref="A29:I29"/>
  </mergeCells>
  <dataValidations count="1">
    <dataValidation allowBlank="true" errorStyle="stop" operator="between" showDropDown="false" showErrorMessage="false" showInputMessage="false" sqref="E6:E23" type="list">
      <formula1>$H$6:$H$12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AE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28"/>
    <col collapsed="false" customWidth="true" hidden="false" outlineLevel="0" max="4" min="4" style="0" width="30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3" min="12" style="0" width="8"/>
    <col collapsed="false" customWidth="true" hidden="false" outlineLevel="0" max="14" min="14" style="0" width="11"/>
    <col collapsed="false" customWidth="true" hidden="false" outlineLevel="0" max="15" min="15" style="0" width="13"/>
    <col collapsed="false" customWidth="true" hidden="false" outlineLevel="0" max="16" min="16" style="0" width="12"/>
    <col collapsed="false" customWidth="true" hidden="false" outlineLevel="0" max="17" min="17" style="0" width="13"/>
    <col collapsed="false" customWidth="true" hidden="false" outlineLevel="0" max="18" min="18" style="0" width="7"/>
    <col collapsed="false" customWidth="true" hidden="false" outlineLevel="0" max="19" min="19" style="0" width="13"/>
    <col collapsed="false" customWidth="true" hidden="false" outlineLevel="0" max="21" min="20" style="0" width="12"/>
    <col collapsed="false" customWidth="true" hidden="false" outlineLevel="0" max="22" min="22" style="0" width="13"/>
    <col collapsed="false" customWidth="true" hidden="false" outlineLevel="0" max="23" min="23" style="0" width="14"/>
    <col collapsed="false" customWidth="true" hidden="false" outlineLevel="0" max="24" min="24" style="0" width="12"/>
    <col collapsed="false" customWidth="true" hidden="false" outlineLevel="0" max="25" min="25" style="0" width="22"/>
    <col collapsed="false" customWidth="true" hidden="true" outlineLevel="0" max="31" min="26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43" t="str">
        <f aca="false">"Fixed Asset Register – "&amp;Setup!$C$4&amp;"  •  "&amp;TEXT(Setup!$C$5,"dd mmm yyyy")&amp;" to "&amp;TEXT(Setup!$C$6,"dd mmm yyyy")&amp;"  •  Companies Act (Schedule II)"</f>
        <v>Fixed Asset Register – M/s Xplore Industries  •  01 Apr 2026 to 31 Mar 2027  •  Companies Act (Schedule II)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customFormat="false" ht="15" hidden="false" customHeight="false" outlineLevel="0" collapsed="false">
      <c r="A3" s="33" t="s">
        <v>93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5" customFormat="false" ht="15" hidden="false" customHeight="true" outlineLevel="0" collapsed="false">
      <c r="B5" s="44" t="s">
        <v>94</v>
      </c>
      <c r="C5" s="44"/>
      <c r="D5" s="44"/>
      <c r="E5" s="44"/>
      <c r="F5" s="44"/>
      <c r="G5" s="44"/>
      <c r="H5" s="44"/>
      <c r="I5" s="44"/>
      <c r="J5" s="44"/>
      <c r="K5" s="44"/>
      <c r="L5" s="45" t="s">
        <v>95</v>
      </c>
      <c r="M5" s="45"/>
      <c r="N5" s="45"/>
      <c r="O5" s="45" t="s">
        <v>96</v>
      </c>
      <c r="P5" s="45"/>
      <c r="Q5" s="45" t="s">
        <v>97</v>
      </c>
      <c r="R5" s="45"/>
      <c r="S5" s="45"/>
      <c r="T5" s="45" t="s">
        <v>98</v>
      </c>
      <c r="U5" s="45"/>
      <c r="V5" s="45"/>
      <c r="W5" s="45"/>
      <c r="X5" s="45"/>
    </row>
    <row r="6" customFormat="false" ht="48" hidden="false" customHeight="true" outlineLevel="0" collapsed="false">
      <c r="A6" s="34" t="s">
        <v>99</v>
      </c>
      <c r="B6" s="46" t="s">
        <v>100</v>
      </c>
      <c r="C6" s="46" t="s">
        <v>101</v>
      </c>
      <c r="D6" s="46" t="s">
        <v>102</v>
      </c>
      <c r="E6" s="46" t="s">
        <v>103</v>
      </c>
      <c r="F6" s="46" t="s">
        <v>104</v>
      </c>
      <c r="G6" s="46" t="s">
        <v>105</v>
      </c>
      <c r="H6" s="46" t="s">
        <v>106</v>
      </c>
      <c r="I6" s="46" t="s">
        <v>107</v>
      </c>
      <c r="J6" s="46" t="s">
        <v>108</v>
      </c>
      <c r="K6" s="46" t="s">
        <v>109</v>
      </c>
      <c r="L6" s="34" t="s">
        <v>110</v>
      </c>
      <c r="M6" s="34" t="s">
        <v>67</v>
      </c>
      <c r="N6" s="34" t="s">
        <v>111</v>
      </c>
      <c r="O6" s="34" t="s">
        <v>112</v>
      </c>
      <c r="P6" s="34" t="s">
        <v>113</v>
      </c>
      <c r="Q6" s="34" t="s">
        <v>114</v>
      </c>
      <c r="R6" s="34" t="s">
        <v>115</v>
      </c>
      <c r="S6" s="34" t="s">
        <v>116</v>
      </c>
      <c r="T6" s="34" t="s">
        <v>117</v>
      </c>
      <c r="U6" s="34" t="s">
        <v>118</v>
      </c>
      <c r="V6" s="34" t="s">
        <v>119</v>
      </c>
      <c r="W6" s="34" t="s">
        <v>120</v>
      </c>
      <c r="X6" s="34" t="s">
        <v>121</v>
      </c>
      <c r="Y6" s="34" t="s">
        <v>122</v>
      </c>
    </row>
    <row r="7" customFormat="false" ht="15" hidden="false" customHeight="false" outlineLevel="0" collapsed="false">
      <c r="A7" s="47" t="n">
        <f aca="false">IF(AND(B7="",C7=""),"",ROW()-6)</f>
        <v>1</v>
      </c>
      <c r="B7" s="89" t="s">
        <v>123</v>
      </c>
      <c r="C7" s="86" t="s">
        <v>124</v>
      </c>
      <c r="D7" s="86" t="s">
        <v>68</v>
      </c>
      <c r="E7" s="86" t="s">
        <v>125</v>
      </c>
      <c r="F7" s="90" t="n">
        <v>43922</v>
      </c>
      <c r="G7" s="91" t="n">
        <v>1500000</v>
      </c>
      <c r="H7" s="89" t="s">
        <v>126</v>
      </c>
      <c r="I7" s="91"/>
      <c r="J7" s="90"/>
      <c r="K7" s="91"/>
      <c r="L7" s="51" t="n">
        <f aca="false">IF(D7="","",IFERROR(VLOOKUP(D7,'Rate Chart'!$A$6:$F$23,2,FALSE()),0))</f>
        <v>0</v>
      </c>
      <c r="M7" s="38" t="n">
        <f aca="false">IF(OR(L7="",N(L7)=0),0,IF(AE7="SLM",(1-Setup!$C$7)/L7,1-Setup!$C$7^(1/L7)))</f>
        <v>0</v>
      </c>
      <c r="N7" s="52" t="n">
        <f aca="false">IF(G7="",0,ROUND(G7*Setup!$C$7,0))</f>
        <v>75000</v>
      </c>
      <c r="O7" s="52" t="n">
        <f aca="false">IF(OR(G7="",F7=""),0,IF(AND(F7&lt;Setup!$C$5,OR(J7="",J7&gt;=Setup!$C$5)),G7,0))</f>
        <v>1500000</v>
      </c>
      <c r="P7" s="52" t="n">
        <f aca="false">IF(OR(G7="",F7=""),0,IF(AND(F7&gt;=Setup!$C$5,F7&lt;=Setup!$C$6),G7,0))</f>
        <v>0</v>
      </c>
      <c r="Q7" s="52" t="n">
        <f aca="false">IF(O7=0,0,IF(I7&lt;&gt;"",I7,IF(N(L7)=0,0,ROUND(IF(AE7="SLM",MIN(G7-N7,(G7-N7)/L7*(AA7+AB7)),G7-MAX(N7,G7*(1-M7*AA7)*(1-M7)^AB7)),0))))</f>
        <v>0</v>
      </c>
      <c r="R7" s="51" t="n">
        <f aca="false">IF(OR(F7="",G7=""),0,IF(OR(F7&gt;Setup!$C$6,AND(J7&lt;&gt;"",J7&lt;Setup!$C$5)),0,MAX(0,MIN(Setup!$C$6,IF(J7="",Setup!$C$6,J7))-MAX(Setup!$C$5,F7)+1)))</f>
        <v>365</v>
      </c>
      <c r="S7" s="53" t="n">
        <f aca="false">IF(OR(N(L7)=0,R7=0),0,MAX(0,ROUND(MIN(IF(AE7="SLM",(G7-N7)/L7,(O7+P7-Q7)*M7)*R7/(Setup!$C$6-Setup!$C$5+1),O7+P7-Q7-N7),0)))</f>
        <v>0</v>
      </c>
      <c r="T7" s="52" t="n">
        <f aca="false">IF(AND(J7&lt;&gt;"",G7&lt;&gt;""),IF(AND(J7&gt;=Setup!$C$5,J7&lt;=Setup!$C$6),O7+P7,0),0)</f>
        <v>0</v>
      </c>
      <c r="U7" s="52" t="n">
        <f aca="false">IF(T7&gt;0,Q7+S7,0)</f>
        <v>0</v>
      </c>
      <c r="V7" s="52" t="n">
        <f aca="false">Q7+S7-U7</f>
        <v>0</v>
      </c>
      <c r="W7" s="54" t="n">
        <f aca="false">O7+P7-T7-V7</f>
        <v>1500000</v>
      </c>
      <c r="X7" s="52" t="str">
        <f aca="false">IF(T7&gt;0,N(K7)-(O7+P7-Q7-S7),"")</f>
        <v/>
      </c>
      <c r="Y7" s="55" t="str">
        <f aca="false">IF(AND(B7="",C7="",G7=""),"",IF(D7="","⚠ Pick category",IF(F7="","⚠ Enter put-to-use date",IF(G7="","⚠ Enter cost",IF(F7&gt;Setup!$C$6,"Not yet in use",IF(AND(J7&lt;&gt;"",J7&lt;F7),"⚠ Sale before put-to-use",IF(AND(J7&lt;&gt;"",J7&lt;Setup!$C$5),"Sold in an earlier year",IF(N(I7)&gt;G7,"⚠ Opening dep. more than cost",IF(T7&gt;0,"Sold this year",IF(AND(N(L7)&gt;0,W7&lt;=N7+1),"Fully depreciated","✔ OK"))))))))))</f>
        <v>✔ OK</v>
      </c>
      <c r="Z7" s="56" t="n">
        <f aca="false">IF(F7="","",DATE(YEAR(F7)+IF(MONTH(F7)&gt;=MONTH(Setup!$C$5),1,0),MONTH(Setup!$C$5),1)-1)</f>
        <v>44286</v>
      </c>
      <c r="AA7" s="57" t="n">
        <f aca="false">IF(F7="","",(Z7-F7+1)/(Z7-DATE(YEAR(Z7+1)-1,MONTH(Setup!$C$5),1)+1))</f>
        <v>1</v>
      </c>
      <c r="AB7" s="9" t="n">
        <f aca="false">IF(F7="","",MAX(0,YEAR(Setup!$C$5)-YEAR(Z7+1)))</f>
        <v>5</v>
      </c>
      <c r="AC7" s="9" t="str">
        <f aca="false">IF(D7="","",IFERROR(VLOOKUP(D7,'Rate Chart'!$A$6:$F$23,5,FALSE()),""))</f>
        <v>Not depreciable</v>
      </c>
      <c r="AD7" s="9" t="str">
        <f aca="false">IF(P7&gt;0,Setup!$C$6-F7+1,"")</f>
        <v/>
      </c>
      <c r="AE7" s="9" t="str">
        <f aca="false">IF(D7="","",IF(H7="",Setup!$C$8,H7))</f>
        <v>SLM</v>
      </c>
    </row>
    <row r="8" customFormat="false" ht="15" hidden="false" customHeight="false" outlineLevel="0" collapsed="false">
      <c r="A8" s="47" t="n">
        <f aca="false">IF(AND(B8="",C8=""),"",ROW()-6)</f>
        <v>2</v>
      </c>
      <c r="B8" s="89" t="s">
        <v>127</v>
      </c>
      <c r="C8" s="86" t="s">
        <v>128</v>
      </c>
      <c r="D8" s="86" t="s">
        <v>71</v>
      </c>
      <c r="E8" s="86" t="s">
        <v>129</v>
      </c>
      <c r="F8" s="90" t="n">
        <v>43922</v>
      </c>
      <c r="G8" s="91" t="n">
        <v>2500000</v>
      </c>
      <c r="H8" s="89" t="s">
        <v>126</v>
      </c>
      <c r="I8" s="91"/>
      <c r="J8" s="90"/>
      <c r="K8" s="91"/>
      <c r="L8" s="51" t="n">
        <f aca="false">IF(D8="","",IFERROR(VLOOKUP(D8,'Rate Chart'!$A$6:$F$23,2,FALSE()),0))</f>
        <v>60</v>
      </c>
      <c r="M8" s="38" t="n">
        <f aca="false">IF(OR(L8="",N(L8)=0),0,IF(AE8="SLM",(1-Setup!$C$7)/L8,1-Setup!$C$7^(1/L8)))</f>
        <v>0.0158333333333333</v>
      </c>
      <c r="N8" s="52" t="n">
        <f aca="false">IF(G8="",0,ROUND(G8*Setup!$C$7,0))</f>
        <v>125000</v>
      </c>
      <c r="O8" s="52" t="n">
        <f aca="false">IF(OR(G8="",F8=""),0,IF(AND(F8&lt;Setup!$C$5,OR(J8="",J8&gt;=Setup!$C$5)),G8,0))</f>
        <v>2500000</v>
      </c>
      <c r="P8" s="52" t="n">
        <f aca="false">IF(OR(G8="",F8=""),0,IF(AND(F8&gt;=Setup!$C$5,F8&lt;=Setup!$C$6),G8,0))</f>
        <v>0</v>
      </c>
      <c r="Q8" s="52" t="n">
        <f aca="false">IF(O8=0,0,IF(I8&lt;&gt;"",I8,IF(N(L8)=0,0,ROUND(IF(AE8="SLM",MIN(G8-N8,(G8-N8)/L8*(AA8+AB8)),G8-MAX(N8,G8*(1-M8*AA8)*(1-M8)^AB8)),0))))</f>
        <v>237500</v>
      </c>
      <c r="R8" s="51" t="n">
        <f aca="false">IF(OR(F8="",G8=""),0,IF(OR(F8&gt;Setup!$C$6,AND(J8&lt;&gt;"",J8&lt;Setup!$C$5)),0,MAX(0,MIN(Setup!$C$6,IF(J8="",Setup!$C$6,J8))-MAX(Setup!$C$5,F8)+1)))</f>
        <v>365</v>
      </c>
      <c r="S8" s="53" t="n">
        <f aca="false">IF(OR(N(L8)=0,R8=0),0,MAX(0,ROUND(MIN(IF(AE8="SLM",(G8-N8)/L8,(O8+P8-Q8)*M8)*R8/(Setup!$C$6-Setup!$C$5+1),O8+P8-Q8-N8),0)))</f>
        <v>39583</v>
      </c>
      <c r="T8" s="52" t="n">
        <f aca="false">IF(AND(J8&lt;&gt;"",G8&lt;&gt;""),IF(AND(J8&gt;=Setup!$C$5,J8&lt;=Setup!$C$6),O8+P8,0),0)</f>
        <v>0</v>
      </c>
      <c r="U8" s="52" t="n">
        <f aca="false">IF(T8&gt;0,Q8+S8,0)</f>
        <v>0</v>
      </c>
      <c r="V8" s="52" t="n">
        <f aca="false">Q8+S8-U8</f>
        <v>277083</v>
      </c>
      <c r="W8" s="54" t="n">
        <f aca="false">O8+P8-T8-V8</f>
        <v>2222917</v>
      </c>
      <c r="X8" s="52" t="str">
        <f aca="false">IF(T8&gt;0,N(K8)-(O8+P8-Q8-S8),"")</f>
        <v/>
      </c>
      <c r="Y8" s="55" t="str">
        <f aca="false">IF(AND(B8="",C8="",G8=""),"",IF(D8="","⚠ Pick category",IF(F8="","⚠ Enter put-to-use date",IF(G8="","⚠ Enter cost",IF(F8&gt;Setup!$C$6,"Not yet in use",IF(AND(J8&lt;&gt;"",J8&lt;F8),"⚠ Sale before put-to-use",IF(AND(J8&lt;&gt;"",J8&lt;Setup!$C$5),"Sold in an earlier year",IF(N(I8)&gt;G8,"⚠ Opening dep. more than cost",IF(T8&gt;0,"Sold this year",IF(AND(N(L8)&gt;0,W8&lt;=N8+1),"Fully depreciated","✔ OK"))))))))))</f>
        <v>✔ OK</v>
      </c>
      <c r="Z8" s="56" t="n">
        <f aca="false">IF(F8="","",DATE(YEAR(F8)+IF(MONTH(F8)&gt;=MONTH(Setup!$C$5),1,0),MONTH(Setup!$C$5),1)-1)</f>
        <v>44286</v>
      </c>
      <c r="AA8" s="57" t="n">
        <f aca="false">IF(F8="","",(Z8-F8+1)/(Z8-DATE(YEAR(Z8+1)-1,MONTH(Setup!$C$5),1)+1))</f>
        <v>1</v>
      </c>
      <c r="AB8" s="9" t="n">
        <f aca="false">IF(F8="","",MAX(0,YEAR(Setup!$C$5)-YEAR(Z8+1)))</f>
        <v>5</v>
      </c>
      <c r="AC8" s="9" t="str">
        <f aca="false">IF(D8="","",IFERROR(VLOOKUP(D8,'Rate Chart'!$A$6:$F$23,5,FALSE()),""))</f>
        <v>Building – Others (10%)</v>
      </c>
      <c r="AD8" s="9" t="str">
        <f aca="false">IF(P8&gt;0,Setup!$C$6-F8+1,"")</f>
        <v/>
      </c>
      <c r="AE8" s="9" t="str">
        <f aca="false">IF(D8="","",IF(H8="",Setup!$C$8,H8))</f>
        <v>SLM</v>
      </c>
    </row>
    <row r="9" customFormat="false" ht="15" hidden="false" customHeight="false" outlineLevel="0" collapsed="false">
      <c r="A9" s="47" t="n">
        <f aca="false">IF(AND(B9="",C9=""),"",ROW()-6)</f>
        <v>3</v>
      </c>
      <c r="B9" s="89" t="s">
        <v>130</v>
      </c>
      <c r="C9" s="86" t="s">
        <v>131</v>
      </c>
      <c r="D9" s="86" t="s">
        <v>73</v>
      </c>
      <c r="E9" s="86" t="s">
        <v>125</v>
      </c>
      <c r="F9" s="90" t="n">
        <v>44392</v>
      </c>
      <c r="G9" s="91" t="n">
        <v>1800000</v>
      </c>
      <c r="H9" s="89" t="s">
        <v>52</v>
      </c>
      <c r="I9" s="91"/>
      <c r="J9" s="90"/>
      <c r="K9" s="91"/>
      <c r="L9" s="51" t="n">
        <f aca="false">IF(D9="","",IFERROR(VLOOKUP(D9,'Rate Chart'!$A$6:$F$23,2,FALSE()),0))</f>
        <v>30</v>
      </c>
      <c r="M9" s="38" t="n">
        <f aca="false">IF(OR(L9="",N(L9)=0),0,IF(AE9="SLM",(1-Setup!$C$7)/L9,1-Setup!$C$7^(1/L9)))</f>
        <v>0.0950338528553042</v>
      </c>
      <c r="N9" s="52" t="n">
        <f aca="false">IF(G9="",0,ROUND(G9*Setup!$C$7,0))</f>
        <v>90000</v>
      </c>
      <c r="O9" s="52" t="n">
        <f aca="false">IF(OR(G9="",F9=""),0,IF(AND(F9&lt;Setup!$C$5,OR(J9="",J9&gt;=Setup!$C$5)),G9,0))</f>
        <v>1800000</v>
      </c>
      <c r="P9" s="52" t="n">
        <f aca="false">IF(OR(G9="",F9=""),0,IF(AND(F9&gt;=Setup!$C$5,F9&lt;=Setup!$C$6),G9,0))</f>
        <v>0</v>
      </c>
      <c r="Q9" s="52" t="n">
        <f aca="false">IF(O9=0,0,IF(I9&lt;&gt;"",I9,IF(N(L9)=0,0,ROUND(IF(AE9="SLM",MIN(G9-N9,(G9-N9)/L9*(AA9+AB9)),G9-MAX(N9,G9*(1-M9*AA9)*(1-M9)^AB9)),0))))</f>
        <v>674463</v>
      </c>
      <c r="R9" s="51" t="n">
        <f aca="false">IF(OR(F9="",G9=""),0,IF(OR(F9&gt;Setup!$C$6,AND(J9&lt;&gt;"",J9&lt;Setup!$C$5)),0,MAX(0,MIN(Setup!$C$6,IF(J9="",Setup!$C$6,J9))-MAX(Setup!$C$5,F9)+1)))</f>
        <v>365</v>
      </c>
      <c r="S9" s="53" t="n">
        <f aca="false">IF(OR(N(L9)=0,R9=0),0,MAX(0,ROUND(MIN(IF(AE9="SLM",(G9-N9)/L9,(O9+P9-Q9)*M9)*R9/(Setup!$C$6-Setup!$C$5+1),O9+P9-Q9-N9),0)))</f>
        <v>106964</v>
      </c>
      <c r="T9" s="52" t="n">
        <f aca="false">IF(AND(J9&lt;&gt;"",G9&lt;&gt;""),IF(AND(J9&gt;=Setup!$C$5,J9&lt;=Setup!$C$6),O9+P9,0),0)</f>
        <v>0</v>
      </c>
      <c r="U9" s="52" t="n">
        <f aca="false">IF(T9&gt;0,Q9+S9,0)</f>
        <v>0</v>
      </c>
      <c r="V9" s="52" t="n">
        <f aca="false">Q9+S9-U9</f>
        <v>781427</v>
      </c>
      <c r="W9" s="54" t="n">
        <f aca="false">O9+P9-T9-V9</f>
        <v>1018573</v>
      </c>
      <c r="X9" s="52" t="str">
        <f aca="false">IF(T9&gt;0,N(K9)-(O9+P9-Q9-S9),"")</f>
        <v/>
      </c>
      <c r="Y9" s="55" t="str">
        <f aca="false">IF(AND(B9="",C9="",G9=""),"",IF(D9="","⚠ Pick category",IF(F9="","⚠ Enter put-to-use date",IF(G9="","⚠ Enter cost",IF(F9&gt;Setup!$C$6,"Not yet in use",IF(AND(J9&lt;&gt;"",J9&lt;F9),"⚠ Sale before put-to-use",IF(AND(J9&lt;&gt;"",J9&lt;Setup!$C$5),"Sold in an earlier year",IF(N(I9)&gt;G9,"⚠ Opening dep. more than cost",IF(T9&gt;0,"Sold this year",IF(AND(N(L9)&gt;0,W9&lt;=N9+1),"Fully depreciated","✔ OK"))))))))))</f>
        <v>✔ OK</v>
      </c>
      <c r="Z9" s="56" t="n">
        <f aca="false">IF(F9="","",DATE(YEAR(F9)+IF(MONTH(F9)&gt;=MONTH(Setup!$C$5),1,0),MONTH(Setup!$C$5),1)-1)</f>
        <v>44651</v>
      </c>
      <c r="AA9" s="57" t="n">
        <f aca="false">IF(F9="","",(Z9-F9+1)/(Z9-DATE(YEAR(Z9+1)-1,MONTH(Setup!$C$5),1)+1))</f>
        <v>0.712328767123288</v>
      </c>
      <c r="AB9" s="9" t="n">
        <f aca="false">IF(F9="","",MAX(0,YEAR(Setup!$C$5)-YEAR(Z9+1)))</f>
        <v>4</v>
      </c>
      <c r="AC9" s="9" t="str">
        <f aca="false">IF(D9="","",IFERROR(VLOOKUP(D9,'Rate Chart'!$A$6:$F$23,5,FALSE()),""))</f>
        <v>Building – Others (10%)</v>
      </c>
      <c r="AD9" s="9" t="str">
        <f aca="false">IF(P9&gt;0,Setup!$C$6-F9+1,"")</f>
        <v/>
      </c>
      <c r="AE9" s="9" t="str">
        <f aca="false">IF(D9="","",IF(H9="",Setup!$C$8,H9))</f>
        <v>WDV</v>
      </c>
    </row>
    <row r="10" customFormat="false" ht="15" hidden="false" customHeight="false" outlineLevel="0" collapsed="false">
      <c r="A10" s="47" t="n">
        <f aca="false">IF(AND(B10="",C10=""),"",ROW()-6)</f>
        <v>4</v>
      </c>
      <c r="B10" s="89" t="s">
        <v>132</v>
      </c>
      <c r="C10" s="86" t="s">
        <v>133</v>
      </c>
      <c r="D10" s="86" t="s">
        <v>77</v>
      </c>
      <c r="E10" s="86" t="s">
        <v>125</v>
      </c>
      <c r="F10" s="90" t="n">
        <v>44844</v>
      </c>
      <c r="G10" s="91" t="n">
        <v>1200000</v>
      </c>
      <c r="H10" s="89" t="s">
        <v>52</v>
      </c>
      <c r="I10" s="91"/>
      <c r="J10" s="90"/>
      <c r="K10" s="91"/>
      <c r="L10" s="51" t="n">
        <f aca="false">IF(D10="","",IFERROR(VLOOKUP(D10,'Rate Chart'!$A$6:$F$23,2,FALSE()),0))</f>
        <v>15</v>
      </c>
      <c r="M10" s="38" t="n">
        <f aca="false">IF(OR(L10="",N(L10)=0),0,IF(AE10="SLM",(1-Setup!$C$7)/L10,1-Setup!$C$7^(1/L10)))</f>
        <v>0.181036272522085</v>
      </c>
      <c r="N10" s="52" t="n">
        <f aca="false">IF(G10="",0,ROUND(G10*Setup!$C$7,0))</f>
        <v>60000</v>
      </c>
      <c r="O10" s="52" t="n">
        <f aca="false">IF(OR(G10="",F10=""),0,IF(AND(F10&lt;Setup!$C$5,OR(J10="",J10&gt;=Setup!$C$5)),G10,0))</f>
        <v>1200000</v>
      </c>
      <c r="P10" s="52" t="n">
        <f aca="false">IF(OR(G10="",F10=""),0,IF(AND(F10&gt;=Setup!$C$5,F10&lt;=Setup!$C$6),G10,0))</f>
        <v>0</v>
      </c>
      <c r="Q10" s="52" t="n">
        <f aca="false">IF(O10=0,0,IF(I10&lt;&gt;"",I10,IF(N(L10)=0,0,ROUND(IF(AE10="SLM",MIN(G10-N10,(G10-N10)/L10*(AA10+AB10)),G10-MAX(N10,G10*(1-M10*AA10)*(1-M10)^AB10)),0))))</f>
        <v>597422</v>
      </c>
      <c r="R10" s="51" t="n">
        <f aca="false">IF(OR(F10="",G10=""),0,IF(OR(F10&gt;Setup!$C$6,AND(J10&lt;&gt;"",J10&lt;Setup!$C$5)),0,MAX(0,MIN(Setup!$C$6,IF(J10="",Setup!$C$6,J10))-MAX(Setup!$C$5,F10)+1)))</f>
        <v>365</v>
      </c>
      <c r="S10" s="53" t="n">
        <f aca="false">IF(OR(N(L10)=0,R10=0),0,MAX(0,ROUND(MIN(IF(AE10="SLM",(G10-N10)/L10,(O10+P10-Q10)*M10)*R10/(Setup!$C$6-Setup!$C$5+1),O10+P10-Q10-N10),0)))</f>
        <v>109088</v>
      </c>
      <c r="T10" s="52" t="n">
        <f aca="false">IF(AND(J10&lt;&gt;"",G10&lt;&gt;""),IF(AND(J10&gt;=Setup!$C$5,J10&lt;=Setup!$C$6),O10+P10,0),0)</f>
        <v>0</v>
      </c>
      <c r="U10" s="52" t="n">
        <f aca="false">IF(T10&gt;0,Q10+S10,0)</f>
        <v>0</v>
      </c>
      <c r="V10" s="52" t="n">
        <f aca="false">Q10+S10-U10</f>
        <v>706510</v>
      </c>
      <c r="W10" s="54" t="n">
        <f aca="false">O10+P10-T10-V10</f>
        <v>493490</v>
      </c>
      <c r="X10" s="52" t="str">
        <f aca="false">IF(T10&gt;0,N(K10)-(O10+P10-Q10-S10),"")</f>
        <v/>
      </c>
      <c r="Y10" s="55" t="str">
        <f aca="false">IF(AND(B10="",C10="",G10=""),"",IF(D10="","⚠ Pick category",IF(F10="","⚠ Enter put-to-use date",IF(G10="","⚠ Enter cost",IF(F10&gt;Setup!$C$6,"Not yet in use",IF(AND(J10&lt;&gt;"",J10&lt;F10),"⚠ Sale before put-to-use",IF(AND(J10&lt;&gt;"",J10&lt;Setup!$C$5),"Sold in an earlier year",IF(N(I10)&gt;G10,"⚠ Opening dep. more than cost",IF(T10&gt;0,"Sold this year",IF(AND(N(L10)&gt;0,W10&lt;=N10+1),"Fully depreciated","✔ OK"))))))))))</f>
        <v>✔ OK</v>
      </c>
      <c r="Z10" s="56" t="n">
        <f aca="false">IF(F10="","",DATE(YEAR(F10)+IF(MONTH(F10)&gt;=MONTH(Setup!$C$5),1,0),MONTH(Setup!$C$5),1)-1)</f>
        <v>45016</v>
      </c>
      <c r="AA10" s="57" t="n">
        <f aca="false">IF(F10="","",(Z10-F10+1)/(Z10-DATE(YEAR(Z10+1)-1,MONTH(Setup!$C$5),1)+1))</f>
        <v>0.473972602739726</v>
      </c>
      <c r="AB10" s="9" t="n">
        <f aca="false">IF(F10="","",MAX(0,YEAR(Setup!$C$5)-YEAR(Z10+1)))</f>
        <v>3</v>
      </c>
      <c r="AC10" s="9" t="str">
        <f aca="false">IF(D10="","",IFERROR(VLOOKUP(D10,'Rate Chart'!$A$6:$F$23,5,FALSE()),""))</f>
        <v>Plant &amp; Machinery (15%)</v>
      </c>
      <c r="AD10" s="9" t="str">
        <f aca="false">IF(P10&gt;0,Setup!$C$6-F10+1,"")</f>
        <v/>
      </c>
      <c r="AE10" s="9" t="str">
        <f aca="false">IF(D10="","",IF(H10="",Setup!$C$8,H10))</f>
        <v>WDV</v>
      </c>
    </row>
    <row r="11" customFormat="false" ht="15" hidden="false" customHeight="false" outlineLevel="0" collapsed="false">
      <c r="A11" s="47" t="n">
        <f aca="false">IF(AND(B11="",C11=""),"",ROW()-6)</f>
        <v>5</v>
      </c>
      <c r="B11" s="89" t="s">
        <v>134</v>
      </c>
      <c r="C11" s="86" t="s">
        <v>135</v>
      </c>
      <c r="D11" s="86" t="s">
        <v>77</v>
      </c>
      <c r="E11" s="86" t="s">
        <v>125</v>
      </c>
      <c r="F11" s="90" t="n">
        <v>46193</v>
      </c>
      <c r="G11" s="91" t="n">
        <v>450000</v>
      </c>
      <c r="H11" s="89" t="s">
        <v>52</v>
      </c>
      <c r="I11" s="91"/>
      <c r="J11" s="90"/>
      <c r="K11" s="91"/>
      <c r="L11" s="51" t="n">
        <f aca="false">IF(D11="","",IFERROR(VLOOKUP(D11,'Rate Chart'!$A$6:$F$23,2,FALSE()),0))</f>
        <v>15</v>
      </c>
      <c r="M11" s="38" t="n">
        <f aca="false">IF(OR(L11="",N(L11)=0),0,IF(AE11="SLM",(1-Setup!$C$7)/L11,1-Setup!$C$7^(1/L11)))</f>
        <v>0.181036272522085</v>
      </c>
      <c r="N11" s="52" t="n">
        <f aca="false">IF(G11="",0,ROUND(G11*Setup!$C$7,0))</f>
        <v>22500</v>
      </c>
      <c r="O11" s="52" t="n">
        <f aca="false">IF(OR(G11="",F11=""),0,IF(AND(F11&lt;Setup!$C$5,OR(J11="",J11&gt;=Setup!$C$5)),G11,0))</f>
        <v>0</v>
      </c>
      <c r="P11" s="52" t="n">
        <f aca="false">IF(OR(G11="",F11=""),0,IF(AND(F11&gt;=Setup!$C$5,F11&lt;=Setup!$C$6),G11,0))</f>
        <v>450000</v>
      </c>
      <c r="Q11" s="52" t="n">
        <f aca="false">IF(O11=0,0,IF(I11&lt;&gt;"",I11,IF(N(L11)=0,0,ROUND(IF(AE11="SLM",MIN(G11-N11,(G11-N11)/L11*(AA11+AB11)),G11-MAX(N11,G11*(1-M11*AA11)*(1-M11)^AB11)),0))))</f>
        <v>0</v>
      </c>
      <c r="R11" s="51" t="n">
        <f aca="false">IF(OR(F11="",G11=""),0,IF(OR(F11&gt;Setup!$C$6,AND(J11&lt;&gt;"",J11&lt;Setup!$C$5)),0,MAX(0,MIN(Setup!$C$6,IF(J11="",Setup!$C$6,J11))-MAX(Setup!$C$5,F11)+1)))</f>
        <v>285</v>
      </c>
      <c r="S11" s="53" t="n">
        <f aca="false">IF(OR(N(L11)=0,R11=0),0,MAX(0,ROUND(MIN(IF(AE11="SLM",(G11-N11)/L11,(O11+P11-Q11)*M11)*R11/(Setup!$C$6-Setup!$C$5+1),O11+P11-Q11-N11),0)))</f>
        <v>63611</v>
      </c>
      <c r="T11" s="52" t="n">
        <f aca="false">IF(AND(J11&lt;&gt;"",G11&lt;&gt;""),IF(AND(J11&gt;=Setup!$C$5,J11&lt;=Setup!$C$6),O11+P11,0),0)</f>
        <v>0</v>
      </c>
      <c r="U11" s="52" t="n">
        <f aca="false">IF(T11&gt;0,Q11+S11,0)</f>
        <v>0</v>
      </c>
      <c r="V11" s="52" t="n">
        <f aca="false">Q11+S11-U11</f>
        <v>63611</v>
      </c>
      <c r="W11" s="54" t="n">
        <f aca="false">O11+P11-T11-V11</f>
        <v>386389</v>
      </c>
      <c r="X11" s="52" t="str">
        <f aca="false">IF(T11&gt;0,N(K11)-(O11+P11-Q11-S11),"")</f>
        <v/>
      </c>
      <c r="Y11" s="55" t="str">
        <f aca="false">IF(AND(B11="",C11="",G11=""),"",IF(D11="","⚠ Pick category",IF(F11="","⚠ Enter put-to-use date",IF(G11="","⚠ Enter cost",IF(F11&gt;Setup!$C$6,"Not yet in use",IF(AND(J11&lt;&gt;"",J11&lt;F11),"⚠ Sale before put-to-use",IF(AND(J11&lt;&gt;"",J11&lt;Setup!$C$5),"Sold in an earlier year",IF(N(I11)&gt;G11,"⚠ Opening dep. more than cost",IF(T11&gt;0,"Sold this year",IF(AND(N(L11)&gt;0,W11&lt;=N11+1),"Fully depreciated","✔ OK"))))))))))</f>
        <v>✔ OK</v>
      </c>
      <c r="Z11" s="56" t="n">
        <f aca="false">IF(F11="","",DATE(YEAR(F11)+IF(MONTH(F11)&gt;=MONTH(Setup!$C$5),1,0),MONTH(Setup!$C$5),1)-1)</f>
        <v>46477</v>
      </c>
      <c r="AA11" s="57" t="n">
        <f aca="false">IF(F11="","",(Z11-F11+1)/(Z11-DATE(YEAR(Z11+1)-1,MONTH(Setup!$C$5),1)+1))</f>
        <v>0.780821917808219</v>
      </c>
      <c r="AB11" s="9" t="n">
        <f aca="false">IF(F11="","",MAX(0,YEAR(Setup!$C$5)-YEAR(Z11+1)))</f>
        <v>0</v>
      </c>
      <c r="AC11" s="9" t="str">
        <f aca="false">IF(D11="","",IFERROR(VLOOKUP(D11,'Rate Chart'!$A$6:$F$23,5,FALSE()),""))</f>
        <v>Plant &amp; Machinery (15%)</v>
      </c>
      <c r="AD11" s="9" t="n">
        <f aca="false">IF(P11&gt;0,Setup!$C$6-F11+1,"")</f>
        <v>285</v>
      </c>
      <c r="AE11" s="9" t="str">
        <f aca="false">IF(D11="","",IF(H11="",Setup!$C$8,H11))</f>
        <v>WDV</v>
      </c>
    </row>
    <row r="12" customFormat="false" ht="15" hidden="false" customHeight="false" outlineLevel="0" collapsed="false">
      <c r="A12" s="47" t="n">
        <f aca="false">IF(AND(B12="",C12=""),"",ROW()-6)</f>
        <v>6</v>
      </c>
      <c r="B12" s="89" t="s">
        <v>136</v>
      </c>
      <c r="C12" s="86" t="s">
        <v>137</v>
      </c>
      <c r="D12" s="86" t="s">
        <v>79</v>
      </c>
      <c r="E12" s="86" t="s">
        <v>129</v>
      </c>
      <c r="F12" s="90" t="n">
        <v>45139</v>
      </c>
      <c r="G12" s="91" t="n">
        <v>300000</v>
      </c>
      <c r="H12" s="89" t="s">
        <v>52</v>
      </c>
      <c r="I12" s="91"/>
      <c r="J12" s="90"/>
      <c r="K12" s="91"/>
      <c r="L12" s="51" t="n">
        <f aca="false">IF(D12="","",IFERROR(VLOOKUP(D12,'Rate Chart'!$A$6:$F$23,2,FALSE()),0))</f>
        <v>10</v>
      </c>
      <c r="M12" s="38" t="n">
        <f aca="false">IF(OR(L12="",N(L12)=0),0,IF(AE12="SLM",(1-Setup!$C$7)/L12,1-Setup!$C$7^(1/L12)))</f>
        <v>0.258865550893052</v>
      </c>
      <c r="N12" s="52" t="n">
        <f aca="false">IF(G12="",0,ROUND(G12*Setup!$C$7,0))</f>
        <v>15000</v>
      </c>
      <c r="O12" s="52" t="n">
        <f aca="false">IF(OR(G12="",F12=""),0,IF(AND(F12&lt;Setup!$C$5,OR(J12="",J12&gt;=Setup!$C$5)),G12,0))</f>
        <v>300000</v>
      </c>
      <c r="P12" s="52" t="n">
        <f aca="false">IF(OR(G12="",F12=""),0,IF(AND(F12&gt;=Setup!$C$5,F12&lt;=Setup!$C$6),G12,0))</f>
        <v>0</v>
      </c>
      <c r="Q12" s="52" t="n">
        <f aca="false">IF(O12=0,0,IF(I12&lt;&gt;"",I12,IF(N(L12)=0,0,ROUND(IF(AE12="SLM",MIN(G12-N12,(G12-N12)/L12*(AA12+AB12)),G12-MAX(N12,G12*(1-M12*AA12)*(1-M12)^AB12)),0))))</f>
        <v>163654</v>
      </c>
      <c r="R12" s="51" t="n">
        <f aca="false">IF(OR(F12="",G12=""),0,IF(OR(F12&gt;Setup!$C$6,AND(J12&lt;&gt;"",J12&lt;Setup!$C$5)),0,MAX(0,MIN(Setup!$C$6,IF(J12="",Setup!$C$6,J12))-MAX(Setup!$C$5,F12)+1)))</f>
        <v>365</v>
      </c>
      <c r="S12" s="53" t="n">
        <f aca="false">IF(OR(N(L12)=0,R12=0),0,MAX(0,ROUND(MIN(IF(AE12="SLM",(G12-N12)/L12,(O12+P12-Q12)*M12)*R12/(Setup!$C$6-Setup!$C$5+1),O12+P12-Q12-N12),0)))</f>
        <v>35295</v>
      </c>
      <c r="T12" s="52" t="n">
        <f aca="false">IF(AND(J12&lt;&gt;"",G12&lt;&gt;""),IF(AND(J12&gt;=Setup!$C$5,J12&lt;=Setup!$C$6),O12+P12,0),0)</f>
        <v>0</v>
      </c>
      <c r="U12" s="52" t="n">
        <f aca="false">IF(T12&gt;0,Q12+S12,0)</f>
        <v>0</v>
      </c>
      <c r="V12" s="52" t="n">
        <f aca="false">Q12+S12-U12</f>
        <v>198949</v>
      </c>
      <c r="W12" s="54" t="n">
        <f aca="false">O12+P12-T12-V12</f>
        <v>101051</v>
      </c>
      <c r="X12" s="52" t="str">
        <f aca="false">IF(T12&gt;0,N(K12)-(O12+P12-Q12-S12),"")</f>
        <v/>
      </c>
      <c r="Y12" s="55" t="str">
        <f aca="false">IF(AND(B12="",C12="",G12=""),"",IF(D12="","⚠ Pick category",IF(F12="","⚠ Enter put-to-use date",IF(G12="","⚠ Enter cost",IF(F12&gt;Setup!$C$6,"Not yet in use",IF(AND(J12&lt;&gt;"",J12&lt;F12),"⚠ Sale before put-to-use",IF(AND(J12&lt;&gt;"",J12&lt;Setup!$C$5),"Sold in an earlier year",IF(N(I12)&gt;G12,"⚠ Opening dep. more than cost",IF(T12&gt;0,"Sold this year",IF(AND(N(L12)&gt;0,W12&lt;=N12+1),"Fully depreciated","✔ OK"))))))))))</f>
        <v>✔ OK</v>
      </c>
      <c r="Z12" s="56" t="n">
        <f aca="false">IF(F12="","",DATE(YEAR(F12)+IF(MONTH(F12)&gt;=MONTH(Setup!$C$5),1,0),MONTH(Setup!$C$5),1)-1)</f>
        <v>45382</v>
      </c>
      <c r="AA12" s="57" t="n">
        <f aca="false">IF(F12="","",(Z12-F12+1)/(Z12-DATE(YEAR(Z12+1)-1,MONTH(Setup!$C$5),1)+1))</f>
        <v>0.666666666666667</v>
      </c>
      <c r="AB12" s="9" t="n">
        <f aca="false">IF(F12="","",MAX(0,YEAR(Setup!$C$5)-YEAR(Z12+1)))</f>
        <v>2</v>
      </c>
      <c r="AC12" s="9" t="str">
        <f aca="false">IF(D12="","",IFERROR(VLOOKUP(D12,'Rate Chart'!$A$6:$F$23,5,FALSE()),""))</f>
        <v>Furniture &amp; Fittings (10%)</v>
      </c>
      <c r="AD12" s="9" t="str">
        <f aca="false">IF(P12&gt;0,Setup!$C$6-F12+1,"")</f>
        <v/>
      </c>
      <c r="AE12" s="9" t="str">
        <f aca="false">IF(D12="","",IF(H12="",Setup!$C$8,H12))</f>
        <v>WDV</v>
      </c>
    </row>
    <row r="13" customFormat="false" ht="15" hidden="false" customHeight="false" outlineLevel="0" collapsed="false">
      <c r="A13" s="47" t="n">
        <f aca="false">IF(AND(B13="",C13=""),"",ROW()-6)</f>
        <v>7</v>
      </c>
      <c r="B13" s="89" t="s">
        <v>138</v>
      </c>
      <c r="C13" s="86" t="s">
        <v>139</v>
      </c>
      <c r="D13" s="86" t="s">
        <v>81</v>
      </c>
      <c r="E13" s="86" t="s">
        <v>125</v>
      </c>
      <c r="F13" s="90" t="n">
        <v>45017</v>
      </c>
      <c r="G13" s="91" t="n">
        <v>180000</v>
      </c>
      <c r="H13" s="89" t="s">
        <v>126</v>
      </c>
      <c r="I13" s="91"/>
      <c r="J13" s="90"/>
      <c r="K13" s="91"/>
      <c r="L13" s="51" t="n">
        <f aca="false">IF(D13="","",IFERROR(VLOOKUP(D13,'Rate Chart'!$A$6:$F$23,2,FALSE()),0))</f>
        <v>10</v>
      </c>
      <c r="M13" s="38" t="n">
        <f aca="false">IF(OR(L13="",N(L13)=0),0,IF(AE13="SLM",(1-Setup!$C$7)/L13,1-Setup!$C$7^(1/L13)))</f>
        <v>0.095</v>
      </c>
      <c r="N13" s="52" t="n">
        <f aca="false">IF(G13="",0,ROUND(G13*Setup!$C$7,0))</f>
        <v>9000</v>
      </c>
      <c r="O13" s="52" t="n">
        <f aca="false">IF(OR(G13="",F13=""),0,IF(AND(F13&lt;Setup!$C$5,OR(J13="",J13&gt;=Setup!$C$5)),G13,0))</f>
        <v>180000</v>
      </c>
      <c r="P13" s="52" t="n">
        <f aca="false">IF(OR(G13="",F13=""),0,IF(AND(F13&gt;=Setup!$C$5,F13&lt;=Setup!$C$6),G13,0))</f>
        <v>0</v>
      </c>
      <c r="Q13" s="52" t="n">
        <f aca="false">IF(O13=0,0,IF(I13&lt;&gt;"",I13,IF(N(L13)=0,0,ROUND(IF(AE13="SLM",MIN(G13-N13,(G13-N13)/L13*(AA13+AB13)),G13-MAX(N13,G13*(1-M13*AA13)*(1-M13)^AB13)),0))))</f>
        <v>51300</v>
      </c>
      <c r="R13" s="51" t="n">
        <f aca="false">IF(OR(F13="",G13=""),0,IF(OR(F13&gt;Setup!$C$6,AND(J13&lt;&gt;"",J13&lt;Setup!$C$5)),0,MAX(0,MIN(Setup!$C$6,IF(J13="",Setup!$C$6,J13))-MAX(Setup!$C$5,F13)+1)))</f>
        <v>365</v>
      </c>
      <c r="S13" s="53" t="n">
        <f aca="false">IF(OR(N(L13)=0,R13=0),0,MAX(0,ROUND(MIN(IF(AE13="SLM",(G13-N13)/L13,(O13+P13-Q13)*M13)*R13/(Setup!$C$6-Setup!$C$5+1),O13+P13-Q13-N13),0)))</f>
        <v>17100</v>
      </c>
      <c r="T13" s="52" t="n">
        <f aca="false">IF(AND(J13&lt;&gt;"",G13&lt;&gt;""),IF(AND(J13&gt;=Setup!$C$5,J13&lt;=Setup!$C$6),O13+P13,0),0)</f>
        <v>0</v>
      </c>
      <c r="U13" s="52" t="n">
        <f aca="false">IF(T13&gt;0,Q13+S13,0)</f>
        <v>0</v>
      </c>
      <c r="V13" s="52" t="n">
        <f aca="false">Q13+S13-U13</f>
        <v>68400</v>
      </c>
      <c r="W13" s="54" t="n">
        <f aca="false">O13+P13-T13-V13</f>
        <v>111600</v>
      </c>
      <c r="X13" s="52" t="str">
        <f aca="false">IF(T13&gt;0,N(K13)-(O13+P13-Q13-S13),"")</f>
        <v/>
      </c>
      <c r="Y13" s="55" t="str">
        <f aca="false">IF(AND(B13="",C13="",G13=""),"",IF(D13="","⚠ Pick category",IF(F13="","⚠ Enter put-to-use date",IF(G13="","⚠ Enter cost",IF(F13&gt;Setup!$C$6,"Not yet in use",IF(AND(J13&lt;&gt;"",J13&lt;F13),"⚠ Sale before put-to-use",IF(AND(J13&lt;&gt;"",J13&lt;Setup!$C$5),"Sold in an earlier year",IF(N(I13)&gt;G13,"⚠ Opening dep. more than cost",IF(T13&gt;0,"Sold this year",IF(AND(N(L13)&gt;0,W13&lt;=N13+1),"Fully depreciated","✔ OK"))))))))))</f>
        <v>✔ OK</v>
      </c>
      <c r="Z13" s="56" t="n">
        <f aca="false">IF(F13="","",DATE(YEAR(F13)+IF(MONTH(F13)&gt;=MONTH(Setup!$C$5),1,0),MONTH(Setup!$C$5),1)-1)</f>
        <v>45382</v>
      </c>
      <c r="AA13" s="57" t="n">
        <f aca="false">IF(F13="","",(Z13-F13+1)/(Z13-DATE(YEAR(Z13+1)-1,MONTH(Setup!$C$5),1)+1))</f>
        <v>1</v>
      </c>
      <c r="AB13" s="9" t="n">
        <f aca="false">IF(F13="","",MAX(0,YEAR(Setup!$C$5)-YEAR(Z13+1)))</f>
        <v>2</v>
      </c>
      <c r="AC13" s="9" t="str">
        <f aca="false">IF(D13="","",IFERROR(VLOOKUP(D13,'Rate Chart'!$A$6:$F$23,5,FALSE()),""))</f>
        <v>Furniture &amp; Fittings (10%)</v>
      </c>
      <c r="AD13" s="9" t="str">
        <f aca="false">IF(P13&gt;0,Setup!$C$6-F13+1,"")</f>
        <v/>
      </c>
      <c r="AE13" s="9" t="str">
        <f aca="false">IF(D13="","",IF(H13="",Setup!$C$8,H13))</f>
        <v>SLM</v>
      </c>
    </row>
    <row r="14" customFormat="false" ht="15" hidden="false" customHeight="false" outlineLevel="0" collapsed="false">
      <c r="A14" s="47" t="n">
        <f aca="false">IF(AND(B14="",C14=""),"",ROW()-6)</f>
        <v>8</v>
      </c>
      <c r="B14" s="89" t="s">
        <v>140</v>
      </c>
      <c r="C14" s="86" t="s">
        <v>141</v>
      </c>
      <c r="D14" s="86" t="s">
        <v>83</v>
      </c>
      <c r="E14" s="86" t="s">
        <v>129</v>
      </c>
      <c r="F14" s="90" t="n">
        <v>46392</v>
      </c>
      <c r="G14" s="91" t="n">
        <v>325000</v>
      </c>
      <c r="H14" s="89" t="s">
        <v>52</v>
      </c>
      <c r="I14" s="91"/>
      <c r="J14" s="90"/>
      <c r="K14" s="91"/>
      <c r="L14" s="51" t="n">
        <f aca="false">IF(D14="","",IFERROR(VLOOKUP(D14,'Rate Chart'!$A$6:$F$23,2,FALSE()),0))</f>
        <v>3</v>
      </c>
      <c r="M14" s="38" t="n">
        <f aca="false">IF(OR(L14="",N(L14)=0),0,IF(AE14="SLM",(1-Setup!$C$7)/L14,1-Setup!$C$7^(1/L14)))</f>
        <v>0.631596850135961</v>
      </c>
      <c r="N14" s="52" t="n">
        <f aca="false">IF(G14="",0,ROUND(G14*Setup!$C$7,0))</f>
        <v>16250</v>
      </c>
      <c r="O14" s="52" t="n">
        <f aca="false">IF(OR(G14="",F14=""),0,IF(AND(F14&lt;Setup!$C$5,OR(J14="",J14&gt;=Setup!$C$5)),G14,0))</f>
        <v>0</v>
      </c>
      <c r="P14" s="52" t="n">
        <f aca="false">IF(OR(G14="",F14=""),0,IF(AND(F14&gt;=Setup!$C$5,F14&lt;=Setup!$C$6),G14,0))</f>
        <v>325000</v>
      </c>
      <c r="Q14" s="52" t="n">
        <f aca="false">IF(O14=0,0,IF(I14&lt;&gt;"",I14,IF(N(L14)=0,0,ROUND(IF(AE14="SLM",MIN(G14-N14,(G14-N14)/L14*(AA14+AB14)),G14-MAX(N14,G14*(1-M14*AA14)*(1-M14)^AB14)),0))))</f>
        <v>0</v>
      </c>
      <c r="R14" s="51" t="n">
        <f aca="false">IF(OR(F14="",G14=""),0,IF(OR(F14&gt;Setup!$C$6,AND(J14&lt;&gt;"",J14&lt;Setup!$C$5)),0,MAX(0,MIN(Setup!$C$6,IF(J14="",Setup!$C$6,J14))-MAX(Setup!$C$5,F14)+1)))</f>
        <v>86</v>
      </c>
      <c r="S14" s="53" t="n">
        <f aca="false">IF(OR(N(L14)=0,R14=0),0,MAX(0,ROUND(MIN(IF(AE14="SLM",(G14-N14)/L14,(O14+P14-Q14)*M14)*R14/(Setup!$C$6-Setup!$C$5+1),O14+P14-Q14-N14),0)))</f>
        <v>48365</v>
      </c>
      <c r="T14" s="52" t="n">
        <f aca="false">IF(AND(J14&lt;&gt;"",G14&lt;&gt;""),IF(AND(J14&gt;=Setup!$C$5,J14&lt;=Setup!$C$6),O14+P14,0),0)</f>
        <v>0</v>
      </c>
      <c r="U14" s="52" t="n">
        <f aca="false">IF(T14&gt;0,Q14+S14,0)</f>
        <v>0</v>
      </c>
      <c r="V14" s="52" t="n">
        <f aca="false">Q14+S14-U14</f>
        <v>48365</v>
      </c>
      <c r="W14" s="54" t="n">
        <f aca="false">O14+P14-T14-V14</f>
        <v>276635</v>
      </c>
      <c r="X14" s="52" t="str">
        <f aca="false">IF(T14&gt;0,N(K14)-(O14+P14-Q14-S14),"")</f>
        <v/>
      </c>
      <c r="Y14" s="55" t="str">
        <f aca="false">IF(AND(B14="",C14="",G14=""),"",IF(D14="","⚠ Pick category",IF(F14="","⚠ Enter put-to-use date",IF(G14="","⚠ Enter cost",IF(F14&gt;Setup!$C$6,"Not yet in use",IF(AND(J14&lt;&gt;"",J14&lt;F14),"⚠ Sale before put-to-use",IF(AND(J14&lt;&gt;"",J14&lt;Setup!$C$5),"Sold in an earlier year",IF(N(I14)&gt;G14,"⚠ Opening dep. more than cost",IF(T14&gt;0,"Sold this year",IF(AND(N(L14)&gt;0,W14&lt;=N14+1),"Fully depreciated","✔ OK"))))))))))</f>
        <v>✔ OK</v>
      </c>
      <c r="Z14" s="56" t="n">
        <f aca="false">IF(F14="","",DATE(YEAR(F14)+IF(MONTH(F14)&gt;=MONTH(Setup!$C$5),1,0),MONTH(Setup!$C$5),1)-1)</f>
        <v>46477</v>
      </c>
      <c r="AA14" s="57" t="n">
        <f aca="false">IF(F14="","",(Z14-F14+1)/(Z14-DATE(YEAR(Z14+1)-1,MONTH(Setup!$C$5),1)+1))</f>
        <v>0.235616438356164</v>
      </c>
      <c r="AB14" s="9" t="n">
        <f aca="false">IF(F14="","",MAX(0,YEAR(Setup!$C$5)-YEAR(Z14+1)))</f>
        <v>0</v>
      </c>
      <c r="AC14" s="9" t="str">
        <f aca="false">IF(D14="","",IFERROR(VLOOKUP(D14,'Rate Chart'!$A$6:$F$23,5,FALSE()),""))</f>
        <v>Computers &amp; Software (40%)</v>
      </c>
      <c r="AD14" s="9" t="n">
        <f aca="false">IF(P14&gt;0,Setup!$C$6-F14+1,"")</f>
        <v>86</v>
      </c>
      <c r="AE14" s="9" t="str">
        <f aca="false">IF(D14="","",IF(H14="",Setup!$C$8,H14))</f>
        <v>WDV</v>
      </c>
    </row>
    <row r="15" customFormat="false" ht="15" hidden="false" customHeight="false" outlineLevel="0" collapsed="false">
      <c r="A15" s="47" t="n">
        <f aca="false">IF(AND(B15="",C15=""),"",ROW()-6)</f>
        <v>9</v>
      </c>
      <c r="B15" s="89" t="s">
        <v>142</v>
      </c>
      <c r="C15" s="86" t="s">
        <v>143</v>
      </c>
      <c r="D15" s="86" t="s">
        <v>83</v>
      </c>
      <c r="E15" s="86" t="s">
        <v>129</v>
      </c>
      <c r="F15" s="90" t="n">
        <v>44682</v>
      </c>
      <c r="G15" s="91" t="n">
        <v>200000</v>
      </c>
      <c r="H15" s="89" t="s">
        <v>52</v>
      </c>
      <c r="I15" s="91"/>
      <c r="J15" s="90" t="n">
        <v>46295</v>
      </c>
      <c r="K15" s="91" t="n">
        <v>15000</v>
      </c>
      <c r="L15" s="51" t="n">
        <f aca="false">IF(D15="","",IFERROR(VLOOKUP(D15,'Rate Chart'!$A$6:$F$23,2,FALSE()),0))</f>
        <v>3</v>
      </c>
      <c r="M15" s="38" t="n">
        <f aca="false">IF(OR(L15="",N(L15)=0),0,IF(AE15="SLM",(1-Setup!$C$7)/L15,1-Setup!$C$7^(1/L15)))</f>
        <v>0.631596850135961</v>
      </c>
      <c r="N15" s="52" t="n">
        <f aca="false">IF(G15="",0,ROUND(G15*Setup!$C$7,0))</f>
        <v>10000</v>
      </c>
      <c r="O15" s="52" t="n">
        <f aca="false">IF(OR(G15="",F15=""),0,IF(AND(F15&lt;Setup!$C$5,OR(J15="",J15&gt;=Setup!$C$5)),G15,0))</f>
        <v>200000</v>
      </c>
      <c r="P15" s="52" t="n">
        <f aca="false">IF(OR(G15="",F15=""),0,IF(AND(F15&gt;=Setup!$C$5,F15&lt;=Setup!$C$6),G15,0))</f>
        <v>0</v>
      </c>
      <c r="Q15" s="52" t="n">
        <f aca="false">IF(O15=0,0,IF(I15&lt;&gt;"",I15,IF(N(L15)=0,0,ROUND(IF(AE15="SLM",MIN(G15-N15,(G15-N15)/L15*(AA15+AB15)),G15-MAX(N15,G15*(1-M15*AA15)*(1-M15)^AB15)),0))))</f>
        <v>190000</v>
      </c>
      <c r="R15" s="51" t="n">
        <f aca="false">IF(OR(F15="",G15=""),0,IF(OR(F15&gt;Setup!$C$6,AND(J15&lt;&gt;"",J15&lt;Setup!$C$5)),0,MAX(0,MIN(Setup!$C$6,IF(J15="",Setup!$C$6,J15))-MAX(Setup!$C$5,F15)+1)))</f>
        <v>183</v>
      </c>
      <c r="S15" s="53" t="n">
        <f aca="false">IF(OR(N(L15)=0,R15=0),0,MAX(0,ROUND(MIN(IF(AE15="SLM",(G15-N15)/L15,(O15+P15-Q15)*M15)*R15/(Setup!$C$6-Setup!$C$5+1),O15+P15-Q15-N15),0)))</f>
        <v>0</v>
      </c>
      <c r="T15" s="52" t="n">
        <f aca="false">IF(AND(J15&lt;&gt;"",G15&lt;&gt;""),IF(AND(J15&gt;=Setup!$C$5,J15&lt;=Setup!$C$6),O15+P15,0),0)</f>
        <v>200000</v>
      </c>
      <c r="U15" s="52" t="n">
        <f aca="false">IF(T15&gt;0,Q15+S15,0)</f>
        <v>190000</v>
      </c>
      <c r="V15" s="52" t="n">
        <f aca="false">Q15+S15-U15</f>
        <v>0</v>
      </c>
      <c r="W15" s="54" t="n">
        <f aca="false">O15+P15-T15-V15</f>
        <v>0</v>
      </c>
      <c r="X15" s="52" t="n">
        <f aca="false">IF(T15&gt;0,N(K15)-(O15+P15-Q15-S15),"")</f>
        <v>5000</v>
      </c>
      <c r="Y15" s="55" t="str">
        <f aca="false">IF(AND(B15="",C15="",G15=""),"",IF(D15="","⚠ Pick category",IF(F15="","⚠ Enter put-to-use date",IF(G15="","⚠ Enter cost",IF(F15&gt;Setup!$C$6,"Not yet in use",IF(AND(J15&lt;&gt;"",J15&lt;F15),"⚠ Sale before put-to-use",IF(AND(J15&lt;&gt;"",J15&lt;Setup!$C$5),"Sold in an earlier year",IF(N(I15)&gt;G15,"⚠ Opening dep. more than cost",IF(T15&gt;0,"Sold this year",IF(AND(N(L15)&gt;0,W15&lt;=N15+1),"Fully depreciated","✔ OK"))))))))))</f>
        <v>Sold this year</v>
      </c>
      <c r="Z15" s="56" t="n">
        <f aca="false">IF(F15="","",DATE(YEAR(F15)+IF(MONTH(F15)&gt;=MONTH(Setup!$C$5),1,0),MONTH(Setup!$C$5),1)-1)</f>
        <v>45016</v>
      </c>
      <c r="AA15" s="57" t="n">
        <f aca="false">IF(F15="","",(Z15-F15+1)/(Z15-DATE(YEAR(Z15+1)-1,MONTH(Setup!$C$5),1)+1))</f>
        <v>0.917808219178082</v>
      </c>
      <c r="AB15" s="9" t="n">
        <f aca="false">IF(F15="","",MAX(0,YEAR(Setup!$C$5)-YEAR(Z15+1)))</f>
        <v>3</v>
      </c>
      <c r="AC15" s="9" t="str">
        <f aca="false">IF(D15="","",IFERROR(VLOOKUP(D15,'Rate Chart'!$A$6:$F$23,5,FALSE()),""))</f>
        <v>Computers &amp; Software (40%)</v>
      </c>
      <c r="AD15" s="9" t="str">
        <f aca="false">IF(P15&gt;0,Setup!$C$6-F15+1,"")</f>
        <v/>
      </c>
      <c r="AE15" s="9" t="str">
        <f aca="false">IF(D15="","",IF(H15="",Setup!$C$8,H15))</f>
        <v>WDV</v>
      </c>
    </row>
    <row r="16" customFormat="false" ht="15" hidden="false" customHeight="false" outlineLevel="0" collapsed="false">
      <c r="A16" s="47" t="n">
        <f aca="false">IF(AND(B16="",C16=""),"",ROW()-6)</f>
        <v>10</v>
      </c>
      <c r="B16" s="89" t="s">
        <v>144</v>
      </c>
      <c r="C16" s="86" t="s">
        <v>145</v>
      </c>
      <c r="D16" s="86" t="s">
        <v>82</v>
      </c>
      <c r="E16" s="86" t="s">
        <v>129</v>
      </c>
      <c r="F16" s="90" t="n">
        <v>45394</v>
      </c>
      <c r="G16" s="91" t="n">
        <v>240000</v>
      </c>
      <c r="H16" s="89" t="s">
        <v>52</v>
      </c>
      <c r="I16" s="91"/>
      <c r="J16" s="90"/>
      <c r="K16" s="91"/>
      <c r="L16" s="51" t="n">
        <f aca="false">IF(D16="","",IFERROR(VLOOKUP(D16,'Rate Chart'!$A$6:$F$23,2,FALSE()),0))</f>
        <v>5</v>
      </c>
      <c r="M16" s="38" t="n">
        <f aca="false">IF(OR(L16="",N(L16)=0),0,IF(AE16="SLM",(1-Setup!$C$7)/L16,1-Setup!$C$7^(1/L16)))</f>
        <v>0.450719728346941</v>
      </c>
      <c r="N16" s="52" t="n">
        <f aca="false">IF(G16="",0,ROUND(G16*Setup!$C$7,0))</f>
        <v>12000</v>
      </c>
      <c r="O16" s="52" t="n">
        <f aca="false">IF(OR(G16="",F16=""),0,IF(AND(F16&lt;Setup!$C$5,OR(J16="",J16&gt;=Setup!$C$5)),G16,0))</f>
        <v>240000</v>
      </c>
      <c r="P16" s="52" t="n">
        <f aca="false">IF(OR(G16="",F16=""),0,IF(AND(F16&gt;=Setup!$C$5,F16&lt;=Setup!$C$6),G16,0))</f>
        <v>0</v>
      </c>
      <c r="Q16" s="52" t="n">
        <f aca="false">IF(O16=0,0,IF(I16&lt;&gt;"",I16,IF(N(L16)=0,0,ROUND(IF(AE16="SLM",MIN(G16-N16,(G16-N16)/L16*(AA16+AB16)),G16-MAX(N16,G16*(1-M16*AA16)*(1-M16)^AB16)),0))))</f>
        <v>165799</v>
      </c>
      <c r="R16" s="51" t="n">
        <f aca="false">IF(OR(F16="",G16=""),0,IF(OR(F16&gt;Setup!$C$6,AND(J16&lt;&gt;"",J16&lt;Setup!$C$5)),0,MAX(0,MIN(Setup!$C$6,IF(J16="",Setup!$C$6,J16))-MAX(Setup!$C$5,F16)+1)))</f>
        <v>365</v>
      </c>
      <c r="S16" s="53" t="n">
        <f aca="false">IF(OR(N(L16)=0,R16=0),0,MAX(0,ROUND(MIN(IF(AE16="SLM",(G16-N16)/L16,(O16+P16-Q16)*M16)*R16/(Setup!$C$6-Setup!$C$5+1),O16+P16-Q16-N16),0)))</f>
        <v>33444</v>
      </c>
      <c r="T16" s="52" t="n">
        <f aca="false">IF(AND(J16&lt;&gt;"",G16&lt;&gt;""),IF(AND(J16&gt;=Setup!$C$5,J16&lt;=Setup!$C$6),O16+P16,0),0)</f>
        <v>0</v>
      </c>
      <c r="U16" s="52" t="n">
        <f aca="false">IF(T16&gt;0,Q16+S16,0)</f>
        <v>0</v>
      </c>
      <c r="V16" s="52" t="n">
        <f aca="false">Q16+S16-U16</f>
        <v>199243</v>
      </c>
      <c r="W16" s="54" t="n">
        <f aca="false">O16+P16-T16-V16</f>
        <v>40757</v>
      </c>
      <c r="X16" s="52" t="str">
        <f aca="false">IF(T16&gt;0,N(K16)-(O16+P16-Q16-S16),"")</f>
        <v/>
      </c>
      <c r="Y16" s="55" t="str">
        <f aca="false">IF(AND(B16="",C16="",G16=""),"",IF(D16="","⚠ Pick category",IF(F16="","⚠ Enter put-to-use date",IF(G16="","⚠ Enter cost",IF(F16&gt;Setup!$C$6,"Not yet in use",IF(AND(J16&lt;&gt;"",J16&lt;F16),"⚠ Sale before put-to-use",IF(AND(J16&lt;&gt;"",J16&lt;Setup!$C$5),"Sold in an earlier year",IF(N(I16)&gt;G16,"⚠ Opening dep. more than cost",IF(T16&gt;0,"Sold this year",IF(AND(N(L16)&gt;0,W16&lt;=N16+1),"Fully depreciated","✔ OK"))))))))))</f>
        <v>✔ OK</v>
      </c>
      <c r="Z16" s="56" t="n">
        <f aca="false">IF(F16="","",DATE(YEAR(F16)+IF(MONTH(F16)&gt;=MONTH(Setup!$C$5),1,0),MONTH(Setup!$C$5),1)-1)</f>
        <v>45747</v>
      </c>
      <c r="AA16" s="57" t="n">
        <f aca="false">IF(F16="","",(Z16-F16+1)/(Z16-DATE(YEAR(Z16+1)-1,MONTH(Setup!$C$5),1)+1))</f>
        <v>0.96986301369863</v>
      </c>
      <c r="AB16" s="9" t="n">
        <f aca="false">IF(F16="","",MAX(0,YEAR(Setup!$C$5)-YEAR(Z16+1)))</f>
        <v>1</v>
      </c>
      <c r="AC16" s="9" t="str">
        <f aca="false">IF(D16="","",IFERROR(VLOOKUP(D16,'Rate Chart'!$A$6:$F$23,5,FALSE()),""))</f>
        <v>Plant &amp; Machinery (15%)</v>
      </c>
      <c r="AD16" s="9" t="str">
        <f aca="false">IF(P16&gt;0,Setup!$C$6-F16+1,"")</f>
        <v/>
      </c>
      <c r="AE16" s="9" t="str">
        <f aca="false">IF(D16="","",IF(H16="",Setup!$C$8,H16))</f>
        <v>WDV</v>
      </c>
    </row>
    <row r="17" customFormat="false" ht="15" hidden="false" customHeight="false" outlineLevel="0" collapsed="false">
      <c r="A17" s="47" t="n">
        <f aca="false">IF(AND(B17="",C17=""),"",ROW()-6)</f>
        <v>11</v>
      </c>
      <c r="B17" s="89" t="s">
        <v>146</v>
      </c>
      <c r="C17" s="86" t="s">
        <v>147</v>
      </c>
      <c r="D17" s="86" t="s">
        <v>85</v>
      </c>
      <c r="E17" s="86" t="s">
        <v>129</v>
      </c>
      <c r="F17" s="90" t="n">
        <v>45621</v>
      </c>
      <c r="G17" s="91" t="n">
        <v>950000</v>
      </c>
      <c r="H17" s="89" t="s">
        <v>52</v>
      </c>
      <c r="I17" s="91"/>
      <c r="J17" s="90"/>
      <c r="K17" s="91"/>
      <c r="L17" s="51" t="n">
        <f aca="false">IF(D17="","",IFERROR(VLOOKUP(D17,'Rate Chart'!$A$6:$F$23,2,FALSE()),0))</f>
        <v>8</v>
      </c>
      <c r="M17" s="38" t="n">
        <f aca="false">IF(OR(L17="",N(L17)=0),0,IF(AE17="SLM",(1-Setup!$C$7)/L17,1-Setup!$C$7^(1/L17)))</f>
        <v>0.312343978066368</v>
      </c>
      <c r="N17" s="52" t="n">
        <f aca="false">IF(G17="",0,ROUND(G17*Setup!$C$7,0))</f>
        <v>47500</v>
      </c>
      <c r="O17" s="52" t="n">
        <f aca="false">IF(OR(G17="",F17=""),0,IF(AND(F17&lt;Setup!$C$5,OR(J17="",J17&gt;=Setup!$C$5)),G17,0))</f>
        <v>950000</v>
      </c>
      <c r="P17" s="52" t="n">
        <f aca="false">IF(OR(G17="",F17=""),0,IF(AND(F17&gt;=Setup!$C$5,F17&lt;=Setup!$C$6),G17,0))</f>
        <v>0</v>
      </c>
      <c r="Q17" s="52" t="n">
        <f aca="false">IF(O17=0,0,IF(I17&lt;&gt;"",I17,IF(N(L17)=0,0,ROUND(IF(AE17="SLM",MIN(G17-N17,(G17-N17)/L17*(AA17+AB17)),G17-MAX(N17,G17*(1-M17*AA17)*(1-M17)^AB17)),0))))</f>
        <v>367724</v>
      </c>
      <c r="R17" s="51" t="n">
        <f aca="false">IF(OR(F17="",G17=""),0,IF(OR(F17&gt;Setup!$C$6,AND(J17&lt;&gt;"",J17&lt;Setup!$C$5)),0,MAX(0,MIN(Setup!$C$6,IF(J17="",Setup!$C$6,J17))-MAX(Setup!$C$5,F17)+1)))</f>
        <v>365</v>
      </c>
      <c r="S17" s="53" t="n">
        <f aca="false">IF(OR(N(L17)=0,R17=0),0,MAX(0,ROUND(MIN(IF(AE17="SLM",(G17-N17)/L17,(O17+P17-Q17)*M17)*R17/(Setup!$C$6-Setup!$C$5+1),O17+P17-Q17-N17),0)))</f>
        <v>181870</v>
      </c>
      <c r="T17" s="52" t="n">
        <f aca="false">IF(AND(J17&lt;&gt;"",G17&lt;&gt;""),IF(AND(J17&gt;=Setup!$C$5,J17&lt;=Setup!$C$6),O17+P17,0),0)</f>
        <v>0</v>
      </c>
      <c r="U17" s="52" t="n">
        <f aca="false">IF(T17&gt;0,Q17+S17,0)</f>
        <v>0</v>
      </c>
      <c r="V17" s="52" t="n">
        <f aca="false">Q17+S17-U17</f>
        <v>549594</v>
      </c>
      <c r="W17" s="54" t="n">
        <f aca="false">O17+P17-T17-V17</f>
        <v>400406</v>
      </c>
      <c r="X17" s="52" t="str">
        <f aca="false">IF(T17&gt;0,N(K17)-(O17+P17-Q17-S17),"")</f>
        <v/>
      </c>
      <c r="Y17" s="55" t="str">
        <f aca="false">IF(AND(B17="",C17="",G17=""),"",IF(D17="","⚠ Pick category",IF(F17="","⚠ Enter put-to-use date",IF(G17="","⚠ Enter cost",IF(F17&gt;Setup!$C$6,"Not yet in use",IF(AND(J17&lt;&gt;"",J17&lt;F17),"⚠ Sale before put-to-use",IF(AND(J17&lt;&gt;"",J17&lt;Setup!$C$5),"Sold in an earlier year",IF(N(I17)&gt;G17,"⚠ Opening dep. more than cost",IF(T17&gt;0,"Sold this year",IF(AND(N(L17)&gt;0,W17&lt;=N17+1),"Fully depreciated","✔ OK"))))))))))</f>
        <v>✔ OK</v>
      </c>
      <c r="Z17" s="56" t="n">
        <f aca="false">IF(F17="","",DATE(YEAR(F17)+IF(MONTH(F17)&gt;=MONTH(Setup!$C$5),1,0),MONTH(Setup!$C$5),1)-1)</f>
        <v>45747</v>
      </c>
      <c r="AA17" s="57" t="n">
        <f aca="false">IF(F17="","",(Z17-F17+1)/(Z17-DATE(YEAR(Z17+1)-1,MONTH(Setup!$C$5),1)+1))</f>
        <v>0.347945205479452</v>
      </c>
      <c r="AB17" s="9" t="n">
        <f aca="false">IF(F17="","",MAX(0,YEAR(Setup!$C$5)-YEAR(Z17+1)))</f>
        <v>1</v>
      </c>
      <c r="AC17" s="9" t="str">
        <f aca="false">IF(D17="","",IFERROR(VLOOKUP(D17,'Rate Chart'!$A$6:$F$23,5,FALSE()),""))</f>
        <v>Plant &amp; Machinery (15%)</v>
      </c>
      <c r="AD17" s="9" t="str">
        <f aca="false">IF(P17&gt;0,Setup!$C$6-F17+1,"")</f>
        <v/>
      </c>
      <c r="AE17" s="9" t="str">
        <f aca="false">IF(D17="","",IF(H17="",Setup!$C$8,H17))</f>
        <v>WDV</v>
      </c>
    </row>
    <row r="18" customFormat="false" ht="15" hidden="false" customHeight="false" outlineLevel="0" collapsed="false">
      <c r="A18" s="47" t="n">
        <f aca="false">IF(AND(B18="",C18=""),"",ROW()-6)</f>
        <v>12</v>
      </c>
      <c r="B18" s="89" t="s">
        <v>148</v>
      </c>
      <c r="C18" s="86" t="s">
        <v>149</v>
      </c>
      <c r="D18" s="86" t="s">
        <v>87</v>
      </c>
      <c r="E18" s="86" t="s">
        <v>150</v>
      </c>
      <c r="F18" s="90" t="n">
        <v>46296</v>
      </c>
      <c r="G18" s="91" t="n">
        <v>2200000</v>
      </c>
      <c r="H18" s="89" t="s">
        <v>52</v>
      </c>
      <c r="I18" s="91"/>
      <c r="J18" s="90"/>
      <c r="K18" s="91"/>
      <c r="L18" s="51" t="n">
        <f aca="false">IF(D18="","",IFERROR(VLOOKUP(D18,'Rate Chart'!$A$6:$F$23,2,FALSE()),0))</f>
        <v>6</v>
      </c>
      <c r="M18" s="38" t="n">
        <f aca="false">IF(OR(L18="",N(L18)=0),0,IF(AE18="SLM",(1-Setup!$C$7)/L18,1-Setup!$C$7^(1/L18)))</f>
        <v>0.393037768997083</v>
      </c>
      <c r="N18" s="52" t="n">
        <f aca="false">IF(G18="",0,ROUND(G18*Setup!$C$7,0))</f>
        <v>110000</v>
      </c>
      <c r="O18" s="52" t="n">
        <f aca="false">IF(OR(G18="",F18=""),0,IF(AND(F18&lt;Setup!$C$5,OR(J18="",J18&gt;=Setup!$C$5)),G18,0))</f>
        <v>0</v>
      </c>
      <c r="P18" s="52" t="n">
        <f aca="false">IF(OR(G18="",F18=""),0,IF(AND(F18&gt;=Setup!$C$5,F18&lt;=Setup!$C$6),G18,0))</f>
        <v>2200000</v>
      </c>
      <c r="Q18" s="52" t="n">
        <f aca="false">IF(O18=0,0,IF(I18&lt;&gt;"",I18,IF(N(L18)=0,0,ROUND(IF(AE18="SLM",MIN(G18-N18,(G18-N18)/L18*(AA18+AB18)),G18-MAX(N18,G18*(1-M18*AA18)*(1-M18)^AB18)),0))))</f>
        <v>0</v>
      </c>
      <c r="R18" s="51" t="n">
        <f aca="false">IF(OR(F18="",G18=""),0,IF(OR(F18&gt;Setup!$C$6,AND(J18&lt;&gt;"",J18&lt;Setup!$C$5)),0,MAX(0,MIN(Setup!$C$6,IF(J18="",Setup!$C$6,J18))-MAX(Setup!$C$5,F18)+1)))</f>
        <v>182</v>
      </c>
      <c r="S18" s="53" t="n">
        <f aca="false">IF(OR(N(L18)=0,R18=0),0,MAX(0,ROUND(MIN(IF(AE18="SLM",(G18-N18)/L18,(O18+P18-Q18)*M18)*R18/(Setup!$C$6-Setup!$C$5+1),O18+P18-Q18-N18),0)))</f>
        <v>431157</v>
      </c>
      <c r="T18" s="52" t="n">
        <f aca="false">IF(AND(J18&lt;&gt;"",G18&lt;&gt;""),IF(AND(J18&gt;=Setup!$C$5,J18&lt;=Setup!$C$6),O18+P18,0),0)</f>
        <v>0</v>
      </c>
      <c r="U18" s="52" t="n">
        <f aca="false">IF(T18&gt;0,Q18+S18,0)</f>
        <v>0</v>
      </c>
      <c r="V18" s="52" t="n">
        <f aca="false">Q18+S18-U18</f>
        <v>431157</v>
      </c>
      <c r="W18" s="54" t="n">
        <f aca="false">O18+P18-T18-V18</f>
        <v>1768843</v>
      </c>
      <c r="X18" s="52" t="str">
        <f aca="false">IF(T18&gt;0,N(K18)-(O18+P18-Q18-S18),"")</f>
        <v/>
      </c>
      <c r="Y18" s="55" t="str">
        <f aca="false">IF(AND(B18="",C18="",G18=""),"",IF(D18="","⚠ Pick category",IF(F18="","⚠ Enter put-to-use date",IF(G18="","⚠ Enter cost",IF(F18&gt;Setup!$C$6,"Not yet in use",IF(AND(J18&lt;&gt;"",J18&lt;F18),"⚠ Sale before put-to-use",IF(AND(J18&lt;&gt;"",J18&lt;Setup!$C$5),"Sold in an earlier year",IF(N(I18)&gt;G18,"⚠ Opening dep. more than cost",IF(T18&gt;0,"Sold this year",IF(AND(N(L18)&gt;0,W18&lt;=N18+1),"Fully depreciated","✔ OK"))))))))))</f>
        <v>✔ OK</v>
      </c>
      <c r="Z18" s="56" t="n">
        <f aca="false">IF(F18="","",DATE(YEAR(F18)+IF(MONTH(F18)&gt;=MONTH(Setup!$C$5),1,0),MONTH(Setup!$C$5),1)-1)</f>
        <v>46477</v>
      </c>
      <c r="AA18" s="57" t="n">
        <f aca="false">IF(F18="","",(Z18-F18+1)/(Z18-DATE(YEAR(Z18+1)-1,MONTH(Setup!$C$5),1)+1))</f>
        <v>0.498630136986301</v>
      </c>
      <c r="AB18" s="9" t="n">
        <f aca="false">IF(F18="","",MAX(0,YEAR(Setup!$C$5)-YEAR(Z18+1)))</f>
        <v>0</v>
      </c>
      <c r="AC18" s="9" t="str">
        <f aca="false">IF(D18="","",IFERROR(VLOOKUP(D18,'Rate Chart'!$A$6:$F$23,5,FALSE()),""))</f>
        <v>Vehicles on Hire (30%)</v>
      </c>
      <c r="AD18" s="9" t="n">
        <f aca="false">IF(P18&gt;0,Setup!$C$6-F18+1,"")</f>
        <v>182</v>
      </c>
      <c r="AE18" s="9" t="str">
        <f aca="false">IF(D18="","",IF(H18="",Setup!$C$8,H18))</f>
        <v>WDV</v>
      </c>
    </row>
    <row r="19" customFormat="false" ht="15" hidden="false" customHeight="false" outlineLevel="0" collapsed="false">
      <c r="A19" s="47" t="str">
        <f aca="false">IF(AND(B19="",C19=""),"",ROW()-6)</f>
        <v/>
      </c>
      <c r="B19" s="89"/>
      <c r="C19" s="86"/>
      <c r="D19" s="86"/>
      <c r="E19" s="86"/>
      <c r="F19" s="90"/>
      <c r="G19" s="91"/>
      <c r="H19" s="89"/>
      <c r="I19" s="91"/>
      <c r="J19" s="90"/>
      <c r="K19" s="91"/>
      <c r="L19" s="51" t="str">
        <f aca="false">IF(D19="","",IFERROR(VLOOKUP(D19,'Rate Chart'!$A$6:$F$23,2,FALSE()),0))</f>
        <v/>
      </c>
      <c r="M19" s="38" t="n">
        <f aca="false">IF(OR(L19="",N(L19)=0),0,IF(AE19="SLM",(1-Setup!$C$7)/L19,1-Setup!$C$7^(1/L19)))</f>
        <v>0</v>
      </c>
      <c r="N19" s="52" t="n">
        <f aca="false">IF(G19="",0,ROUND(G19*Setup!$C$7,0))</f>
        <v>0</v>
      </c>
      <c r="O19" s="52" t="n">
        <f aca="false">IF(OR(G19="",F19=""),0,IF(AND(F19&lt;Setup!$C$5,OR(J19="",J19&gt;=Setup!$C$5)),G19,0))</f>
        <v>0</v>
      </c>
      <c r="P19" s="52" t="n">
        <f aca="false">IF(OR(G19="",F19=""),0,IF(AND(F19&gt;=Setup!$C$5,F19&lt;=Setup!$C$6),G19,0))</f>
        <v>0</v>
      </c>
      <c r="Q19" s="52" t="n">
        <f aca="false">IF(O19=0,0,IF(I19&lt;&gt;"",I19,IF(N(L19)=0,0,ROUND(IF(AE19="SLM",MIN(G19-N19,(G19-N19)/L19*(AA19+AB19)),G19-MAX(N19,G19*(1-M19*AA19)*(1-M19)^AB19)),0))))</f>
        <v>0</v>
      </c>
      <c r="R19" s="51" t="n">
        <f aca="false">IF(OR(F19="",G19=""),0,IF(OR(F19&gt;Setup!$C$6,AND(J19&lt;&gt;"",J19&lt;Setup!$C$5)),0,MAX(0,MIN(Setup!$C$6,IF(J19="",Setup!$C$6,J19))-MAX(Setup!$C$5,F19)+1)))</f>
        <v>0</v>
      </c>
      <c r="S19" s="53" t="n">
        <f aca="false">IF(OR(N(L19)=0,R19=0),0,MAX(0,ROUND(MIN(IF(AE19="SLM",(G19-N19)/L19,(O19+P19-Q19)*M19)*R19/(Setup!$C$6-Setup!$C$5+1),O19+P19-Q19-N19),0)))</f>
        <v>0</v>
      </c>
      <c r="T19" s="52" t="n">
        <f aca="false">IF(AND(J19&lt;&gt;"",G19&lt;&gt;""),IF(AND(J19&gt;=Setup!$C$5,J19&lt;=Setup!$C$6),O19+P19,0),0)</f>
        <v>0</v>
      </c>
      <c r="U19" s="52" t="n">
        <f aca="false">IF(T19&gt;0,Q19+S19,0)</f>
        <v>0</v>
      </c>
      <c r="V19" s="52" t="n">
        <f aca="false">Q19+S19-U19</f>
        <v>0</v>
      </c>
      <c r="W19" s="54" t="n">
        <f aca="false">O19+P19-T19-V19</f>
        <v>0</v>
      </c>
      <c r="X19" s="52" t="str">
        <f aca="false">IF(T19&gt;0,N(K19)-(O19+P19-Q19-S19),"")</f>
        <v/>
      </c>
      <c r="Y19" s="55" t="str">
        <f aca="false">IF(AND(B19="",C19="",G19=""),"",IF(D19="","⚠ Pick category",IF(F19="","⚠ Enter put-to-use date",IF(G19="","⚠ Enter cost",IF(F19&gt;Setup!$C$6,"Not yet in use",IF(AND(J19&lt;&gt;"",J19&lt;F19),"⚠ Sale before put-to-use",IF(AND(J19&lt;&gt;"",J19&lt;Setup!$C$5),"Sold in an earlier year",IF(N(I19)&gt;G19,"⚠ Opening dep. more than cost",IF(T19&gt;0,"Sold this year",IF(AND(N(L19)&gt;0,W19&lt;=N19+1),"Fully depreciated","✔ OK"))))))))))</f>
        <v/>
      </c>
      <c r="Z19" s="56" t="str">
        <f aca="false">IF(F19="","",DATE(YEAR(F19)+IF(MONTH(F19)&gt;=MONTH(Setup!$C$5),1,0),MONTH(Setup!$C$5),1)-1)</f>
        <v/>
      </c>
      <c r="AA19" s="57" t="str">
        <f aca="false">IF(F19="","",(Z19-F19+1)/(Z19-DATE(YEAR(Z19+1)-1,MONTH(Setup!$C$5),1)+1))</f>
        <v/>
      </c>
      <c r="AB19" s="9" t="str">
        <f aca="false">IF(F19="","",MAX(0,YEAR(Setup!$C$5)-YEAR(Z19+1)))</f>
        <v/>
      </c>
      <c r="AC19" s="9" t="str">
        <f aca="false">IF(D19="","",IFERROR(VLOOKUP(D19,'Rate Chart'!$A$6:$F$23,5,FALSE()),""))</f>
        <v/>
      </c>
      <c r="AD19" s="9" t="str">
        <f aca="false">IF(P19&gt;0,Setup!$C$6-F19+1,"")</f>
        <v/>
      </c>
      <c r="AE19" s="9" t="str">
        <f aca="false">IF(D19="","",IF(H19="",Setup!$C$8,H19))</f>
        <v/>
      </c>
    </row>
    <row r="20" customFormat="false" ht="15" hidden="false" customHeight="false" outlineLevel="0" collapsed="false">
      <c r="A20" s="47" t="str">
        <f aca="false">IF(AND(B20="",C20=""),"",ROW()-6)</f>
        <v/>
      </c>
      <c r="B20" s="89"/>
      <c r="C20" s="86"/>
      <c r="D20" s="86"/>
      <c r="E20" s="86"/>
      <c r="F20" s="90"/>
      <c r="G20" s="91"/>
      <c r="H20" s="89"/>
      <c r="I20" s="91"/>
      <c r="J20" s="90"/>
      <c r="K20" s="91"/>
      <c r="L20" s="51" t="str">
        <f aca="false">IF(D20="","",IFERROR(VLOOKUP(D20,'Rate Chart'!$A$6:$F$23,2,FALSE()),0))</f>
        <v/>
      </c>
      <c r="M20" s="38" t="n">
        <f aca="false">IF(OR(L20="",N(L20)=0),0,IF(AE20="SLM",(1-Setup!$C$7)/L20,1-Setup!$C$7^(1/L20)))</f>
        <v>0</v>
      </c>
      <c r="N20" s="52" t="n">
        <f aca="false">IF(G20="",0,ROUND(G20*Setup!$C$7,0))</f>
        <v>0</v>
      </c>
      <c r="O20" s="52" t="n">
        <f aca="false">IF(OR(G20="",F20=""),0,IF(AND(F20&lt;Setup!$C$5,OR(J20="",J20&gt;=Setup!$C$5)),G20,0))</f>
        <v>0</v>
      </c>
      <c r="P20" s="52" t="n">
        <f aca="false">IF(OR(G20="",F20=""),0,IF(AND(F20&gt;=Setup!$C$5,F20&lt;=Setup!$C$6),G20,0))</f>
        <v>0</v>
      </c>
      <c r="Q20" s="52" t="n">
        <f aca="false">IF(O20=0,0,IF(I20&lt;&gt;"",I20,IF(N(L20)=0,0,ROUND(IF(AE20="SLM",MIN(G20-N20,(G20-N20)/L20*(AA20+AB20)),G20-MAX(N20,G20*(1-M20*AA20)*(1-M20)^AB20)),0))))</f>
        <v>0</v>
      </c>
      <c r="R20" s="51" t="n">
        <f aca="false">IF(OR(F20="",G20=""),0,IF(OR(F20&gt;Setup!$C$6,AND(J20&lt;&gt;"",J20&lt;Setup!$C$5)),0,MAX(0,MIN(Setup!$C$6,IF(J20="",Setup!$C$6,J20))-MAX(Setup!$C$5,F20)+1)))</f>
        <v>0</v>
      </c>
      <c r="S20" s="53" t="n">
        <f aca="false">IF(OR(N(L20)=0,R20=0),0,MAX(0,ROUND(MIN(IF(AE20="SLM",(G20-N20)/L20,(O20+P20-Q20)*M20)*R20/(Setup!$C$6-Setup!$C$5+1),O20+P20-Q20-N20),0)))</f>
        <v>0</v>
      </c>
      <c r="T20" s="52" t="n">
        <f aca="false">IF(AND(J20&lt;&gt;"",G20&lt;&gt;""),IF(AND(J20&gt;=Setup!$C$5,J20&lt;=Setup!$C$6),O20+P20,0),0)</f>
        <v>0</v>
      </c>
      <c r="U20" s="52" t="n">
        <f aca="false">IF(T20&gt;0,Q20+S20,0)</f>
        <v>0</v>
      </c>
      <c r="V20" s="52" t="n">
        <f aca="false">Q20+S20-U20</f>
        <v>0</v>
      </c>
      <c r="W20" s="54" t="n">
        <f aca="false">O20+P20-T20-V20</f>
        <v>0</v>
      </c>
      <c r="X20" s="52" t="str">
        <f aca="false">IF(T20&gt;0,N(K20)-(O20+P20-Q20-S20),"")</f>
        <v/>
      </c>
      <c r="Y20" s="55" t="str">
        <f aca="false">IF(AND(B20="",C20="",G20=""),"",IF(D20="","⚠ Pick category",IF(F20="","⚠ Enter put-to-use date",IF(G20="","⚠ Enter cost",IF(F20&gt;Setup!$C$6,"Not yet in use",IF(AND(J20&lt;&gt;"",J20&lt;F20),"⚠ Sale before put-to-use",IF(AND(J20&lt;&gt;"",J20&lt;Setup!$C$5),"Sold in an earlier year",IF(N(I20)&gt;G20,"⚠ Opening dep. more than cost",IF(T20&gt;0,"Sold this year",IF(AND(N(L20)&gt;0,W20&lt;=N20+1),"Fully depreciated","✔ OK"))))))))))</f>
        <v/>
      </c>
      <c r="Z20" s="56" t="str">
        <f aca="false">IF(F20="","",DATE(YEAR(F20)+IF(MONTH(F20)&gt;=MONTH(Setup!$C$5),1,0),MONTH(Setup!$C$5),1)-1)</f>
        <v/>
      </c>
      <c r="AA20" s="57" t="str">
        <f aca="false">IF(F20="","",(Z20-F20+1)/(Z20-DATE(YEAR(Z20+1)-1,MONTH(Setup!$C$5),1)+1))</f>
        <v/>
      </c>
      <c r="AB20" s="9" t="str">
        <f aca="false">IF(F20="","",MAX(0,YEAR(Setup!$C$5)-YEAR(Z20+1)))</f>
        <v/>
      </c>
      <c r="AC20" s="9" t="str">
        <f aca="false">IF(D20="","",IFERROR(VLOOKUP(D20,'Rate Chart'!$A$6:$F$23,5,FALSE()),""))</f>
        <v/>
      </c>
      <c r="AD20" s="9" t="str">
        <f aca="false">IF(P20&gt;0,Setup!$C$6-F20+1,"")</f>
        <v/>
      </c>
      <c r="AE20" s="9" t="str">
        <f aca="false">IF(D20="","",IF(H20="",Setup!$C$8,H20))</f>
        <v/>
      </c>
    </row>
    <row r="21" customFormat="false" ht="15" hidden="false" customHeight="false" outlineLevel="0" collapsed="false">
      <c r="A21" s="47" t="str">
        <f aca="false">IF(AND(B21="",C21=""),"",ROW()-6)</f>
        <v/>
      </c>
      <c r="B21" s="89"/>
      <c r="C21" s="86"/>
      <c r="D21" s="86"/>
      <c r="E21" s="86"/>
      <c r="F21" s="90"/>
      <c r="G21" s="91"/>
      <c r="H21" s="89"/>
      <c r="I21" s="91"/>
      <c r="J21" s="90"/>
      <c r="K21" s="91"/>
      <c r="L21" s="51" t="str">
        <f aca="false">IF(D21="","",IFERROR(VLOOKUP(D21,'Rate Chart'!$A$6:$F$23,2,FALSE()),0))</f>
        <v/>
      </c>
      <c r="M21" s="38" t="n">
        <f aca="false">IF(OR(L21="",N(L21)=0),0,IF(AE21="SLM",(1-Setup!$C$7)/L21,1-Setup!$C$7^(1/L21)))</f>
        <v>0</v>
      </c>
      <c r="N21" s="52" t="n">
        <f aca="false">IF(G21="",0,ROUND(G21*Setup!$C$7,0))</f>
        <v>0</v>
      </c>
      <c r="O21" s="52" t="n">
        <f aca="false">IF(OR(G21="",F21=""),0,IF(AND(F21&lt;Setup!$C$5,OR(J21="",J21&gt;=Setup!$C$5)),G21,0))</f>
        <v>0</v>
      </c>
      <c r="P21" s="52" t="n">
        <f aca="false">IF(OR(G21="",F21=""),0,IF(AND(F21&gt;=Setup!$C$5,F21&lt;=Setup!$C$6),G21,0))</f>
        <v>0</v>
      </c>
      <c r="Q21" s="52" t="n">
        <f aca="false">IF(O21=0,0,IF(I21&lt;&gt;"",I21,IF(N(L21)=0,0,ROUND(IF(AE21="SLM",MIN(G21-N21,(G21-N21)/L21*(AA21+AB21)),G21-MAX(N21,G21*(1-M21*AA21)*(1-M21)^AB21)),0))))</f>
        <v>0</v>
      </c>
      <c r="R21" s="51" t="n">
        <f aca="false">IF(OR(F21="",G21=""),0,IF(OR(F21&gt;Setup!$C$6,AND(J21&lt;&gt;"",J21&lt;Setup!$C$5)),0,MAX(0,MIN(Setup!$C$6,IF(J21="",Setup!$C$6,J21))-MAX(Setup!$C$5,F21)+1)))</f>
        <v>0</v>
      </c>
      <c r="S21" s="53" t="n">
        <f aca="false">IF(OR(N(L21)=0,R21=0),0,MAX(0,ROUND(MIN(IF(AE21="SLM",(G21-N21)/L21,(O21+P21-Q21)*M21)*R21/(Setup!$C$6-Setup!$C$5+1),O21+P21-Q21-N21),0)))</f>
        <v>0</v>
      </c>
      <c r="T21" s="52" t="n">
        <f aca="false">IF(AND(J21&lt;&gt;"",G21&lt;&gt;""),IF(AND(J21&gt;=Setup!$C$5,J21&lt;=Setup!$C$6),O21+P21,0),0)</f>
        <v>0</v>
      </c>
      <c r="U21" s="52" t="n">
        <f aca="false">IF(T21&gt;0,Q21+S21,0)</f>
        <v>0</v>
      </c>
      <c r="V21" s="52" t="n">
        <f aca="false">Q21+S21-U21</f>
        <v>0</v>
      </c>
      <c r="W21" s="54" t="n">
        <f aca="false">O21+P21-T21-V21</f>
        <v>0</v>
      </c>
      <c r="X21" s="52" t="str">
        <f aca="false">IF(T21&gt;0,N(K21)-(O21+P21-Q21-S21),"")</f>
        <v/>
      </c>
      <c r="Y21" s="55" t="str">
        <f aca="false">IF(AND(B21="",C21="",G21=""),"",IF(D21="","⚠ Pick category",IF(F21="","⚠ Enter put-to-use date",IF(G21="","⚠ Enter cost",IF(F21&gt;Setup!$C$6,"Not yet in use",IF(AND(J21&lt;&gt;"",J21&lt;F21),"⚠ Sale before put-to-use",IF(AND(J21&lt;&gt;"",J21&lt;Setup!$C$5),"Sold in an earlier year",IF(N(I21)&gt;G21,"⚠ Opening dep. more than cost",IF(T21&gt;0,"Sold this year",IF(AND(N(L21)&gt;0,W21&lt;=N21+1),"Fully depreciated","✔ OK"))))))))))</f>
        <v/>
      </c>
      <c r="Z21" s="56" t="str">
        <f aca="false">IF(F21="","",DATE(YEAR(F21)+IF(MONTH(F21)&gt;=MONTH(Setup!$C$5),1,0),MONTH(Setup!$C$5),1)-1)</f>
        <v/>
      </c>
      <c r="AA21" s="57" t="str">
        <f aca="false">IF(F21="","",(Z21-F21+1)/(Z21-DATE(YEAR(Z21+1)-1,MONTH(Setup!$C$5),1)+1))</f>
        <v/>
      </c>
      <c r="AB21" s="9" t="str">
        <f aca="false">IF(F21="","",MAX(0,YEAR(Setup!$C$5)-YEAR(Z21+1)))</f>
        <v/>
      </c>
      <c r="AC21" s="9" t="str">
        <f aca="false">IF(D21="","",IFERROR(VLOOKUP(D21,'Rate Chart'!$A$6:$F$23,5,FALSE()),""))</f>
        <v/>
      </c>
      <c r="AD21" s="9" t="str">
        <f aca="false">IF(P21&gt;0,Setup!$C$6-F21+1,"")</f>
        <v/>
      </c>
      <c r="AE21" s="9" t="str">
        <f aca="false">IF(D21="","",IF(H21="",Setup!$C$8,H21))</f>
        <v/>
      </c>
    </row>
    <row r="22" customFormat="false" ht="15" hidden="false" customHeight="false" outlineLevel="0" collapsed="false">
      <c r="A22" s="47" t="str">
        <f aca="false">IF(AND(B22="",C22=""),"",ROW()-6)</f>
        <v/>
      </c>
      <c r="B22" s="89"/>
      <c r="C22" s="86"/>
      <c r="D22" s="86"/>
      <c r="E22" s="86"/>
      <c r="F22" s="90"/>
      <c r="G22" s="91"/>
      <c r="H22" s="89"/>
      <c r="I22" s="91"/>
      <c r="J22" s="90"/>
      <c r="K22" s="91"/>
      <c r="L22" s="51" t="str">
        <f aca="false">IF(D22="","",IFERROR(VLOOKUP(D22,'Rate Chart'!$A$6:$F$23,2,FALSE()),0))</f>
        <v/>
      </c>
      <c r="M22" s="38" t="n">
        <f aca="false">IF(OR(L22="",N(L22)=0),0,IF(AE22="SLM",(1-Setup!$C$7)/L22,1-Setup!$C$7^(1/L22)))</f>
        <v>0</v>
      </c>
      <c r="N22" s="52" t="n">
        <f aca="false">IF(G22="",0,ROUND(G22*Setup!$C$7,0))</f>
        <v>0</v>
      </c>
      <c r="O22" s="52" t="n">
        <f aca="false">IF(OR(G22="",F22=""),0,IF(AND(F22&lt;Setup!$C$5,OR(J22="",J22&gt;=Setup!$C$5)),G22,0))</f>
        <v>0</v>
      </c>
      <c r="P22" s="52" t="n">
        <f aca="false">IF(OR(G22="",F22=""),0,IF(AND(F22&gt;=Setup!$C$5,F22&lt;=Setup!$C$6),G22,0))</f>
        <v>0</v>
      </c>
      <c r="Q22" s="52" t="n">
        <f aca="false">IF(O22=0,0,IF(I22&lt;&gt;"",I22,IF(N(L22)=0,0,ROUND(IF(AE22="SLM",MIN(G22-N22,(G22-N22)/L22*(AA22+AB22)),G22-MAX(N22,G22*(1-M22*AA22)*(1-M22)^AB22)),0))))</f>
        <v>0</v>
      </c>
      <c r="R22" s="51" t="n">
        <f aca="false">IF(OR(F22="",G22=""),0,IF(OR(F22&gt;Setup!$C$6,AND(J22&lt;&gt;"",J22&lt;Setup!$C$5)),0,MAX(0,MIN(Setup!$C$6,IF(J22="",Setup!$C$6,J22))-MAX(Setup!$C$5,F22)+1)))</f>
        <v>0</v>
      </c>
      <c r="S22" s="53" t="n">
        <f aca="false">IF(OR(N(L22)=0,R22=0),0,MAX(0,ROUND(MIN(IF(AE22="SLM",(G22-N22)/L22,(O22+P22-Q22)*M22)*R22/(Setup!$C$6-Setup!$C$5+1),O22+P22-Q22-N22),0)))</f>
        <v>0</v>
      </c>
      <c r="T22" s="52" t="n">
        <f aca="false">IF(AND(J22&lt;&gt;"",G22&lt;&gt;""),IF(AND(J22&gt;=Setup!$C$5,J22&lt;=Setup!$C$6),O22+P22,0),0)</f>
        <v>0</v>
      </c>
      <c r="U22" s="52" t="n">
        <f aca="false">IF(T22&gt;0,Q22+S22,0)</f>
        <v>0</v>
      </c>
      <c r="V22" s="52" t="n">
        <f aca="false">Q22+S22-U22</f>
        <v>0</v>
      </c>
      <c r="W22" s="54" t="n">
        <f aca="false">O22+P22-T22-V22</f>
        <v>0</v>
      </c>
      <c r="X22" s="52" t="str">
        <f aca="false">IF(T22&gt;0,N(K22)-(O22+P22-Q22-S22),"")</f>
        <v/>
      </c>
      <c r="Y22" s="55" t="str">
        <f aca="false">IF(AND(B22="",C22="",G22=""),"",IF(D22="","⚠ Pick category",IF(F22="","⚠ Enter put-to-use date",IF(G22="","⚠ Enter cost",IF(F22&gt;Setup!$C$6,"Not yet in use",IF(AND(J22&lt;&gt;"",J22&lt;F22),"⚠ Sale before put-to-use",IF(AND(J22&lt;&gt;"",J22&lt;Setup!$C$5),"Sold in an earlier year",IF(N(I22)&gt;G22,"⚠ Opening dep. more than cost",IF(T22&gt;0,"Sold this year",IF(AND(N(L22)&gt;0,W22&lt;=N22+1),"Fully depreciated","✔ OK"))))))))))</f>
        <v/>
      </c>
      <c r="Z22" s="56" t="str">
        <f aca="false">IF(F22="","",DATE(YEAR(F22)+IF(MONTH(F22)&gt;=MONTH(Setup!$C$5),1,0),MONTH(Setup!$C$5),1)-1)</f>
        <v/>
      </c>
      <c r="AA22" s="57" t="str">
        <f aca="false">IF(F22="","",(Z22-F22+1)/(Z22-DATE(YEAR(Z22+1)-1,MONTH(Setup!$C$5),1)+1))</f>
        <v/>
      </c>
      <c r="AB22" s="9" t="str">
        <f aca="false">IF(F22="","",MAX(0,YEAR(Setup!$C$5)-YEAR(Z22+1)))</f>
        <v/>
      </c>
      <c r="AC22" s="9" t="str">
        <f aca="false">IF(D22="","",IFERROR(VLOOKUP(D22,'Rate Chart'!$A$6:$F$23,5,FALSE()),""))</f>
        <v/>
      </c>
      <c r="AD22" s="9" t="str">
        <f aca="false">IF(P22&gt;0,Setup!$C$6-F22+1,"")</f>
        <v/>
      </c>
      <c r="AE22" s="9" t="str">
        <f aca="false">IF(D22="","",IF(H22="",Setup!$C$8,H22))</f>
        <v/>
      </c>
    </row>
    <row r="23" customFormat="false" ht="15" hidden="false" customHeight="false" outlineLevel="0" collapsed="false">
      <c r="A23" s="47" t="str">
        <f aca="false">IF(AND(B23="",C23=""),"",ROW()-6)</f>
        <v/>
      </c>
      <c r="B23" s="89"/>
      <c r="C23" s="86"/>
      <c r="D23" s="86"/>
      <c r="E23" s="86"/>
      <c r="F23" s="90"/>
      <c r="G23" s="91"/>
      <c r="H23" s="89"/>
      <c r="I23" s="91"/>
      <c r="J23" s="90"/>
      <c r="K23" s="91"/>
      <c r="L23" s="51" t="str">
        <f aca="false">IF(D23="","",IFERROR(VLOOKUP(D23,'Rate Chart'!$A$6:$F$23,2,FALSE()),0))</f>
        <v/>
      </c>
      <c r="M23" s="38" t="n">
        <f aca="false">IF(OR(L23="",N(L23)=0),0,IF(AE23="SLM",(1-Setup!$C$7)/L23,1-Setup!$C$7^(1/L23)))</f>
        <v>0</v>
      </c>
      <c r="N23" s="52" t="n">
        <f aca="false">IF(G23="",0,ROUND(G23*Setup!$C$7,0))</f>
        <v>0</v>
      </c>
      <c r="O23" s="52" t="n">
        <f aca="false">IF(OR(G23="",F23=""),0,IF(AND(F23&lt;Setup!$C$5,OR(J23="",J23&gt;=Setup!$C$5)),G23,0))</f>
        <v>0</v>
      </c>
      <c r="P23" s="52" t="n">
        <f aca="false">IF(OR(G23="",F23=""),0,IF(AND(F23&gt;=Setup!$C$5,F23&lt;=Setup!$C$6),G23,0))</f>
        <v>0</v>
      </c>
      <c r="Q23" s="52" t="n">
        <f aca="false">IF(O23=0,0,IF(I23&lt;&gt;"",I23,IF(N(L23)=0,0,ROUND(IF(AE23="SLM",MIN(G23-N23,(G23-N23)/L23*(AA23+AB23)),G23-MAX(N23,G23*(1-M23*AA23)*(1-M23)^AB23)),0))))</f>
        <v>0</v>
      </c>
      <c r="R23" s="51" t="n">
        <f aca="false">IF(OR(F23="",G23=""),0,IF(OR(F23&gt;Setup!$C$6,AND(J23&lt;&gt;"",J23&lt;Setup!$C$5)),0,MAX(0,MIN(Setup!$C$6,IF(J23="",Setup!$C$6,J23))-MAX(Setup!$C$5,F23)+1)))</f>
        <v>0</v>
      </c>
      <c r="S23" s="53" t="n">
        <f aca="false">IF(OR(N(L23)=0,R23=0),0,MAX(0,ROUND(MIN(IF(AE23="SLM",(G23-N23)/L23,(O23+P23-Q23)*M23)*R23/(Setup!$C$6-Setup!$C$5+1),O23+P23-Q23-N23),0)))</f>
        <v>0</v>
      </c>
      <c r="T23" s="52" t="n">
        <f aca="false">IF(AND(J23&lt;&gt;"",G23&lt;&gt;""),IF(AND(J23&gt;=Setup!$C$5,J23&lt;=Setup!$C$6),O23+P23,0),0)</f>
        <v>0</v>
      </c>
      <c r="U23" s="52" t="n">
        <f aca="false">IF(T23&gt;0,Q23+S23,0)</f>
        <v>0</v>
      </c>
      <c r="V23" s="52" t="n">
        <f aca="false">Q23+S23-U23</f>
        <v>0</v>
      </c>
      <c r="W23" s="54" t="n">
        <f aca="false">O23+P23-T23-V23</f>
        <v>0</v>
      </c>
      <c r="X23" s="52" t="str">
        <f aca="false">IF(T23&gt;0,N(K23)-(O23+P23-Q23-S23),"")</f>
        <v/>
      </c>
      <c r="Y23" s="55" t="str">
        <f aca="false">IF(AND(B23="",C23="",G23=""),"",IF(D23="","⚠ Pick category",IF(F23="","⚠ Enter put-to-use date",IF(G23="","⚠ Enter cost",IF(F23&gt;Setup!$C$6,"Not yet in use",IF(AND(J23&lt;&gt;"",J23&lt;F23),"⚠ Sale before put-to-use",IF(AND(J23&lt;&gt;"",J23&lt;Setup!$C$5),"Sold in an earlier year",IF(N(I23)&gt;G23,"⚠ Opening dep. more than cost",IF(T23&gt;0,"Sold this year",IF(AND(N(L23)&gt;0,W23&lt;=N23+1),"Fully depreciated","✔ OK"))))))))))</f>
        <v/>
      </c>
      <c r="Z23" s="56" t="str">
        <f aca="false">IF(F23="","",DATE(YEAR(F23)+IF(MONTH(F23)&gt;=MONTH(Setup!$C$5),1,0),MONTH(Setup!$C$5),1)-1)</f>
        <v/>
      </c>
      <c r="AA23" s="57" t="str">
        <f aca="false">IF(F23="","",(Z23-F23+1)/(Z23-DATE(YEAR(Z23+1)-1,MONTH(Setup!$C$5),1)+1))</f>
        <v/>
      </c>
      <c r="AB23" s="9" t="str">
        <f aca="false">IF(F23="","",MAX(0,YEAR(Setup!$C$5)-YEAR(Z23+1)))</f>
        <v/>
      </c>
      <c r="AC23" s="9" t="str">
        <f aca="false">IF(D23="","",IFERROR(VLOOKUP(D23,'Rate Chart'!$A$6:$F$23,5,FALSE()),""))</f>
        <v/>
      </c>
      <c r="AD23" s="9" t="str">
        <f aca="false">IF(P23&gt;0,Setup!$C$6-F23+1,"")</f>
        <v/>
      </c>
      <c r="AE23" s="9" t="str">
        <f aca="false">IF(D23="","",IF(H23="",Setup!$C$8,H23))</f>
        <v/>
      </c>
    </row>
    <row r="24" customFormat="false" ht="15" hidden="false" customHeight="false" outlineLevel="0" collapsed="false">
      <c r="A24" s="47" t="str">
        <f aca="false">IF(AND(B24="",C24=""),"",ROW()-6)</f>
        <v/>
      </c>
      <c r="B24" s="89"/>
      <c r="C24" s="86"/>
      <c r="D24" s="86"/>
      <c r="E24" s="86"/>
      <c r="F24" s="90"/>
      <c r="G24" s="91"/>
      <c r="H24" s="89"/>
      <c r="I24" s="91"/>
      <c r="J24" s="90"/>
      <c r="K24" s="91"/>
      <c r="L24" s="51" t="str">
        <f aca="false">IF(D24="","",IFERROR(VLOOKUP(D24,'Rate Chart'!$A$6:$F$23,2,FALSE()),0))</f>
        <v/>
      </c>
      <c r="M24" s="38" t="n">
        <f aca="false">IF(OR(L24="",N(L24)=0),0,IF(AE24="SLM",(1-Setup!$C$7)/L24,1-Setup!$C$7^(1/L24)))</f>
        <v>0</v>
      </c>
      <c r="N24" s="52" t="n">
        <f aca="false">IF(G24="",0,ROUND(G24*Setup!$C$7,0))</f>
        <v>0</v>
      </c>
      <c r="O24" s="52" t="n">
        <f aca="false">IF(OR(G24="",F24=""),0,IF(AND(F24&lt;Setup!$C$5,OR(J24="",J24&gt;=Setup!$C$5)),G24,0))</f>
        <v>0</v>
      </c>
      <c r="P24" s="52" t="n">
        <f aca="false">IF(OR(G24="",F24=""),0,IF(AND(F24&gt;=Setup!$C$5,F24&lt;=Setup!$C$6),G24,0))</f>
        <v>0</v>
      </c>
      <c r="Q24" s="52" t="n">
        <f aca="false">IF(O24=0,0,IF(I24&lt;&gt;"",I24,IF(N(L24)=0,0,ROUND(IF(AE24="SLM",MIN(G24-N24,(G24-N24)/L24*(AA24+AB24)),G24-MAX(N24,G24*(1-M24*AA24)*(1-M24)^AB24)),0))))</f>
        <v>0</v>
      </c>
      <c r="R24" s="51" t="n">
        <f aca="false">IF(OR(F24="",G24=""),0,IF(OR(F24&gt;Setup!$C$6,AND(J24&lt;&gt;"",J24&lt;Setup!$C$5)),0,MAX(0,MIN(Setup!$C$6,IF(J24="",Setup!$C$6,J24))-MAX(Setup!$C$5,F24)+1)))</f>
        <v>0</v>
      </c>
      <c r="S24" s="53" t="n">
        <f aca="false">IF(OR(N(L24)=0,R24=0),0,MAX(0,ROUND(MIN(IF(AE24="SLM",(G24-N24)/L24,(O24+P24-Q24)*M24)*R24/(Setup!$C$6-Setup!$C$5+1),O24+P24-Q24-N24),0)))</f>
        <v>0</v>
      </c>
      <c r="T24" s="52" t="n">
        <f aca="false">IF(AND(J24&lt;&gt;"",G24&lt;&gt;""),IF(AND(J24&gt;=Setup!$C$5,J24&lt;=Setup!$C$6),O24+P24,0),0)</f>
        <v>0</v>
      </c>
      <c r="U24" s="52" t="n">
        <f aca="false">IF(T24&gt;0,Q24+S24,0)</f>
        <v>0</v>
      </c>
      <c r="V24" s="52" t="n">
        <f aca="false">Q24+S24-U24</f>
        <v>0</v>
      </c>
      <c r="W24" s="54" t="n">
        <f aca="false">O24+P24-T24-V24</f>
        <v>0</v>
      </c>
      <c r="X24" s="52" t="str">
        <f aca="false">IF(T24&gt;0,N(K24)-(O24+P24-Q24-S24),"")</f>
        <v/>
      </c>
      <c r="Y24" s="55" t="str">
        <f aca="false">IF(AND(B24="",C24="",G24=""),"",IF(D24="","⚠ Pick category",IF(F24="","⚠ Enter put-to-use date",IF(G24="","⚠ Enter cost",IF(F24&gt;Setup!$C$6,"Not yet in use",IF(AND(J24&lt;&gt;"",J24&lt;F24),"⚠ Sale before put-to-use",IF(AND(J24&lt;&gt;"",J24&lt;Setup!$C$5),"Sold in an earlier year",IF(N(I24)&gt;G24,"⚠ Opening dep. more than cost",IF(T24&gt;0,"Sold this year",IF(AND(N(L24)&gt;0,W24&lt;=N24+1),"Fully depreciated","✔ OK"))))))))))</f>
        <v/>
      </c>
      <c r="Z24" s="56" t="str">
        <f aca="false">IF(F24="","",DATE(YEAR(F24)+IF(MONTH(F24)&gt;=MONTH(Setup!$C$5),1,0),MONTH(Setup!$C$5),1)-1)</f>
        <v/>
      </c>
      <c r="AA24" s="57" t="str">
        <f aca="false">IF(F24="","",(Z24-F24+1)/(Z24-DATE(YEAR(Z24+1)-1,MONTH(Setup!$C$5),1)+1))</f>
        <v/>
      </c>
      <c r="AB24" s="9" t="str">
        <f aca="false">IF(F24="","",MAX(0,YEAR(Setup!$C$5)-YEAR(Z24+1)))</f>
        <v/>
      </c>
      <c r="AC24" s="9" t="str">
        <f aca="false">IF(D24="","",IFERROR(VLOOKUP(D24,'Rate Chart'!$A$6:$F$23,5,FALSE()),""))</f>
        <v/>
      </c>
      <c r="AD24" s="9" t="str">
        <f aca="false">IF(P24&gt;0,Setup!$C$6-F24+1,"")</f>
        <v/>
      </c>
      <c r="AE24" s="9" t="str">
        <f aca="false">IF(D24="","",IF(H24="",Setup!$C$8,H24))</f>
        <v/>
      </c>
    </row>
    <row r="25" customFormat="false" ht="15" hidden="false" customHeight="false" outlineLevel="0" collapsed="false">
      <c r="A25" s="47" t="str">
        <f aca="false">IF(AND(B25="",C25=""),"",ROW()-6)</f>
        <v/>
      </c>
      <c r="B25" s="89"/>
      <c r="C25" s="86"/>
      <c r="D25" s="86"/>
      <c r="E25" s="86"/>
      <c r="F25" s="90"/>
      <c r="G25" s="91"/>
      <c r="H25" s="89"/>
      <c r="I25" s="91"/>
      <c r="J25" s="90"/>
      <c r="K25" s="91"/>
      <c r="L25" s="51" t="str">
        <f aca="false">IF(D25="","",IFERROR(VLOOKUP(D25,'Rate Chart'!$A$6:$F$23,2,FALSE()),0))</f>
        <v/>
      </c>
      <c r="M25" s="38" t="n">
        <f aca="false">IF(OR(L25="",N(L25)=0),0,IF(AE25="SLM",(1-Setup!$C$7)/L25,1-Setup!$C$7^(1/L25)))</f>
        <v>0</v>
      </c>
      <c r="N25" s="52" t="n">
        <f aca="false">IF(G25="",0,ROUND(G25*Setup!$C$7,0))</f>
        <v>0</v>
      </c>
      <c r="O25" s="52" t="n">
        <f aca="false">IF(OR(G25="",F25=""),0,IF(AND(F25&lt;Setup!$C$5,OR(J25="",J25&gt;=Setup!$C$5)),G25,0))</f>
        <v>0</v>
      </c>
      <c r="P25" s="52" t="n">
        <f aca="false">IF(OR(G25="",F25=""),0,IF(AND(F25&gt;=Setup!$C$5,F25&lt;=Setup!$C$6),G25,0))</f>
        <v>0</v>
      </c>
      <c r="Q25" s="52" t="n">
        <f aca="false">IF(O25=0,0,IF(I25&lt;&gt;"",I25,IF(N(L25)=0,0,ROUND(IF(AE25="SLM",MIN(G25-N25,(G25-N25)/L25*(AA25+AB25)),G25-MAX(N25,G25*(1-M25*AA25)*(1-M25)^AB25)),0))))</f>
        <v>0</v>
      </c>
      <c r="R25" s="51" t="n">
        <f aca="false">IF(OR(F25="",G25=""),0,IF(OR(F25&gt;Setup!$C$6,AND(J25&lt;&gt;"",J25&lt;Setup!$C$5)),0,MAX(0,MIN(Setup!$C$6,IF(J25="",Setup!$C$6,J25))-MAX(Setup!$C$5,F25)+1)))</f>
        <v>0</v>
      </c>
      <c r="S25" s="53" t="n">
        <f aca="false">IF(OR(N(L25)=0,R25=0),0,MAX(0,ROUND(MIN(IF(AE25="SLM",(G25-N25)/L25,(O25+P25-Q25)*M25)*R25/(Setup!$C$6-Setup!$C$5+1),O25+P25-Q25-N25),0)))</f>
        <v>0</v>
      </c>
      <c r="T25" s="52" t="n">
        <f aca="false">IF(AND(J25&lt;&gt;"",G25&lt;&gt;""),IF(AND(J25&gt;=Setup!$C$5,J25&lt;=Setup!$C$6),O25+P25,0),0)</f>
        <v>0</v>
      </c>
      <c r="U25" s="52" t="n">
        <f aca="false">IF(T25&gt;0,Q25+S25,0)</f>
        <v>0</v>
      </c>
      <c r="V25" s="52" t="n">
        <f aca="false">Q25+S25-U25</f>
        <v>0</v>
      </c>
      <c r="W25" s="54" t="n">
        <f aca="false">O25+P25-T25-V25</f>
        <v>0</v>
      </c>
      <c r="X25" s="52" t="str">
        <f aca="false">IF(T25&gt;0,N(K25)-(O25+P25-Q25-S25),"")</f>
        <v/>
      </c>
      <c r="Y25" s="55" t="str">
        <f aca="false">IF(AND(B25="",C25="",G25=""),"",IF(D25="","⚠ Pick category",IF(F25="","⚠ Enter put-to-use date",IF(G25="","⚠ Enter cost",IF(F25&gt;Setup!$C$6,"Not yet in use",IF(AND(J25&lt;&gt;"",J25&lt;F25),"⚠ Sale before put-to-use",IF(AND(J25&lt;&gt;"",J25&lt;Setup!$C$5),"Sold in an earlier year",IF(N(I25)&gt;G25,"⚠ Opening dep. more than cost",IF(T25&gt;0,"Sold this year",IF(AND(N(L25)&gt;0,W25&lt;=N25+1),"Fully depreciated","✔ OK"))))))))))</f>
        <v/>
      </c>
      <c r="Z25" s="56" t="str">
        <f aca="false">IF(F25="","",DATE(YEAR(F25)+IF(MONTH(F25)&gt;=MONTH(Setup!$C$5),1,0),MONTH(Setup!$C$5),1)-1)</f>
        <v/>
      </c>
      <c r="AA25" s="57" t="str">
        <f aca="false">IF(F25="","",(Z25-F25+1)/(Z25-DATE(YEAR(Z25+1)-1,MONTH(Setup!$C$5),1)+1))</f>
        <v/>
      </c>
      <c r="AB25" s="9" t="str">
        <f aca="false">IF(F25="","",MAX(0,YEAR(Setup!$C$5)-YEAR(Z25+1)))</f>
        <v/>
      </c>
      <c r="AC25" s="9" t="str">
        <f aca="false">IF(D25="","",IFERROR(VLOOKUP(D25,'Rate Chart'!$A$6:$F$23,5,FALSE()),""))</f>
        <v/>
      </c>
      <c r="AD25" s="9" t="str">
        <f aca="false">IF(P25&gt;0,Setup!$C$6-F25+1,"")</f>
        <v/>
      </c>
      <c r="AE25" s="9" t="str">
        <f aca="false">IF(D25="","",IF(H25="",Setup!$C$8,H25))</f>
        <v/>
      </c>
    </row>
    <row r="26" customFormat="false" ht="15" hidden="false" customHeight="false" outlineLevel="0" collapsed="false">
      <c r="A26" s="47" t="str">
        <f aca="false">IF(AND(B26="",C26=""),"",ROW()-6)</f>
        <v/>
      </c>
      <c r="B26" s="89"/>
      <c r="C26" s="86"/>
      <c r="D26" s="86"/>
      <c r="E26" s="86"/>
      <c r="F26" s="90"/>
      <c r="G26" s="91"/>
      <c r="H26" s="89"/>
      <c r="I26" s="91"/>
      <c r="J26" s="90"/>
      <c r="K26" s="91"/>
      <c r="L26" s="51" t="str">
        <f aca="false">IF(D26="","",IFERROR(VLOOKUP(D26,'Rate Chart'!$A$6:$F$23,2,FALSE()),0))</f>
        <v/>
      </c>
      <c r="M26" s="38" t="n">
        <f aca="false">IF(OR(L26="",N(L26)=0),0,IF(AE26="SLM",(1-Setup!$C$7)/L26,1-Setup!$C$7^(1/L26)))</f>
        <v>0</v>
      </c>
      <c r="N26" s="52" t="n">
        <f aca="false">IF(G26="",0,ROUND(G26*Setup!$C$7,0))</f>
        <v>0</v>
      </c>
      <c r="O26" s="52" t="n">
        <f aca="false">IF(OR(G26="",F26=""),0,IF(AND(F26&lt;Setup!$C$5,OR(J26="",J26&gt;=Setup!$C$5)),G26,0))</f>
        <v>0</v>
      </c>
      <c r="P26" s="52" t="n">
        <f aca="false">IF(OR(G26="",F26=""),0,IF(AND(F26&gt;=Setup!$C$5,F26&lt;=Setup!$C$6),G26,0))</f>
        <v>0</v>
      </c>
      <c r="Q26" s="52" t="n">
        <f aca="false">IF(O26=0,0,IF(I26&lt;&gt;"",I26,IF(N(L26)=0,0,ROUND(IF(AE26="SLM",MIN(G26-N26,(G26-N26)/L26*(AA26+AB26)),G26-MAX(N26,G26*(1-M26*AA26)*(1-M26)^AB26)),0))))</f>
        <v>0</v>
      </c>
      <c r="R26" s="51" t="n">
        <f aca="false">IF(OR(F26="",G26=""),0,IF(OR(F26&gt;Setup!$C$6,AND(J26&lt;&gt;"",J26&lt;Setup!$C$5)),0,MAX(0,MIN(Setup!$C$6,IF(J26="",Setup!$C$6,J26))-MAX(Setup!$C$5,F26)+1)))</f>
        <v>0</v>
      </c>
      <c r="S26" s="53" t="n">
        <f aca="false">IF(OR(N(L26)=0,R26=0),0,MAX(0,ROUND(MIN(IF(AE26="SLM",(G26-N26)/L26,(O26+P26-Q26)*M26)*R26/(Setup!$C$6-Setup!$C$5+1),O26+P26-Q26-N26),0)))</f>
        <v>0</v>
      </c>
      <c r="T26" s="52" t="n">
        <f aca="false">IF(AND(J26&lt;&gt;"",G26&lt;&gt;""),IF(AND(J26&gt;=Setup!$C$5,J26&lt;=Setup!$C$6),O26+P26,0),0)</f>
        <v>0</v>
      </c>
      <c r="U26" s="52" t="n">
        <f aca="false">IF(T26&gt;0,Q26+S26,0)</f>
        <v>0</v>
      </c>
      <c r="V26" s="52" t="n">
        <f aca="false">Q26+S26-U26</f>
        <v>0</v>
      </c>
      <c r="W26" s="54" t="n">
        <f aca="false">O26+P26-T26-V26</f>
        <v>0</v>
      </c>
      <c r="X26" s="52" t="str">
        <f aca="false">IF(T26&gt;0,N(K26)-(O26+P26-Q26-S26),"")</f>
        <v/>
      </c>
      <c r="Y26" s="55" t="str">
        <f aca="false">IF(AND(B26="",C26="",G26=""),"",IF(D26="","⚠ Pick category",IF(F26="","⚠ Enter put-to-use date",IF(G26="","⚠ Enter cost",IF(F26&gt;Setup!$C$6,"Not yet in use",IF(AND(J26&lt;&gt;"",J26&lt;F26),"⚠ Sale before put-to-use",IF(AND(J26&lt;&gt;"",J26&lt;Setup!$C$5),"Sold in an earlier year",IF(N(I26)&gt;G26,"⚠ Opening dep. more than cost",IF(T26&gt;0,"Sold this year",IF(AND(N(L26)&gt;0,W26&lt;=N26+1),"Fully depreciated","✔ OK"))))))))))</f>
        <v/>
      </c>
      <c r="Z26" s="56" t="str">
        <f aca="false">IF(F26="","",DATE(YEAR(F26)+IF(MONTH(F26)&gt;=MONTH(Setup!$C$5),1,0),MONTH(Setup!$C$5),1)-1)</f>
        <v/>
      </c>
      <c r="AA26" s="57" t="str">
        <f aca="false">IF(F26="","",(Z26-F26+1)/(Z26-DATE(YEAR(Z26+1)-1,MONTH(Setup!$C$5),1)+1))</f>
        <v/>
      </c>
      <c r="AB26" s="9" t="str">
        <f aca="false">IF(F26="","",MAX(0,YEAR(Setup!$C$5)-YEAR(Z26+1)))</f>
        <v/>
      </c>
      <c r="AC26" s="9" t="str">
        <f aca="false">IF(D26="","",IFERROR(VLOOKUP(D26,'Rate Chart'!$A$6:$F$23,5,FALSE()),""))</f>
        <v/>
      </c>
      <c r="AD26" s="9" t="str">
        <f aca="false">IF(P26&gt;0,Setup!$C$6-F26+1,"")</f>
        <v/>
      </c>
      <c r="AE26" s="9" t="str">
        <f aca="false">IF(D26="","",IF(H26="",Setup!$C$8,H26))</f>
        <v/>
      </c>
    </row>
    <row r="27" customFormat="false" ht="15" hidden="false" customHeight="false" outlineLevel="0" collapsed="false">
      <c r="A27" s="47" t="str">
        <f aca="false">IF(AND(B27="",C27=""),"",ROW()-6)</f>
        <v/>
      </c>
      <c r="B27" s="89"/>
      <c r="C27" s="86"/>
      <c r="D27" s="86"/>
      <c r="E27" s="86"/>
      <c r="F27" s="90"/>
      <c r="G27" s="91"/>
      <c r="H27" s="89"/>
      <c r="I27" s="91"/>
      <c r="J27" s="90"/>
      <c r="K27" s="91"/>
      <c r="L27" s="51" t="str">
        <f aca="false">IF(D27="","",IFERROR(VLOOKUP(D27,'Rate Chart'!$A$6:$F$23,2,FALSE()),0))</f>
        <v/>
      </c>
      <c r="M27" s="38" t="n">
        <f aca="false">IF(OR(L27="",N(L27)=0),0,IF(AE27="SLM",(1-Setup!$C$7)/L27,1-Setup!$C$7^(1/L27)))</f>
        <v>0</v>
      </c>
      <c r="N27" s="52" t="n">
        <f aca="false">IF(G27="",0,ROUND(G27*Setup!$C$7,0))</f>
        <v>0</v>
      </c>
      <c r="O27" s="52" t="n">
        <f aca="false">IF(OR(G27="",F27=""),0,IF(AND(F27&lt;Setup!$C$5,OR(J27="",J27&gt;=Setup!$C$5)),G27,0))</f>
        <v>0</v>
      </c>
      <c r="P27" s="52" t="n">
        <f aca="false">IF(OR(G27="",F27=""),0,IF(AND(F27&gt;=Setup!$C$5,F27&lt;=Setup!$C$6),G27,0))</f>
        <v>0</v>
      </c>
      <c r="Q27" s="52" t="n">
        <f aca="false">IF(O27=0,0,IF(I27&lt;&gt;"",I27,IF(N(L27)=0,0,ROUND(IF(AE27="SLM",MIN(G27-N27,(G27-N27)/L27*(AA27+AB27)),G27-MAX(N27,G27*(1-M27*AA27)*(1-M27)^AB27)),0))))</f>
        <v>0</v>
      </c>
      <c r="R27" s="51" t="n">
        <f aca="false">IF(OR(F27="",G27=""),0,IF(OR(F27&gt;Setup!$C$6,AND(J27&lt;&gt;"",J27&lt;Setup!$C$5)),0,MAX(0,MIN(Setup!$C$6,IF(J27="",Setup!$C$6,J27))-MAX(Setup!$C$5,F27)+1)))</f>
        <v>0</v>
      </c>
      <c r="S27" s="53" t="n">
        <f aca="false">IF(OR(N(L27)=0,R27=0),0,MAX(0,ROUND(MIN(IF(AE27="SLM",(G27-N27)/L27,(O27+P27-Q27)*M27)*R27/(Setup!$C$6-Setup!$C$5+1),O27+P27-Q27-N27),0)))</f>
        <v>0</v>
      </c>
      <c r="T27" s="52" t="n">
        <f aca="false">IF(AND(J27&lt;&gt;"",G27&lt;&gt;""),IF(AND(J27&gt;=Setup!$C$5,J27&lt;=Setup!$C$6),O27+P27,0),0)</f>
        <v>0</v>
      </c>
      <c r="U27" s="52" t="n">
        <f aca="false">IF(T27&gt;0,Q27+S27,0)</f>
        <v>0</v>
      </c>
      <c r="V27" s="52" t="n">
        <f aca="false">Q27+S27-U27</f>
        <v>0</v>
      </c>
      <c r="W27" s="54" t="n">
        <f aca="false">O27+P27-T27-V27</f>
        <v>0</v>
      </c>
      <c r="X27" s="52" t="str">
        <f aca="false">IF(T27&gt;0,N(K27)-(O27+P27-Q27-S27),"")</f>
        <v/>
      </c>
      <c r="Y27" s="55" t="str">
        <f aca="false">IF(AND(B27="",C27="",G27=""),"",IF(D27="","⚠ Pick category",IF(F27="","⚠ Enter put-to-use date",IF(G27="","⚠ Enter cost",IF(F27&gt;Setup!$C$6,"Not yet in use",IF(AND(J27&lt;&gt;"",J27&lt;F27),"⚠ Sale before put-to-use",IF(AND(J27&lt;&gt;"",J27&lt;Setup!$C$5),"Sold in an earlier year",IF(N(I27)&gt;G27,"⚠ Opening dep. more than cost",IF(T27&gt;0,"Sold this year",IF(AND(N(L27)&gt;0,W27&lt;=N27+1),"Fully depreciated","✔ OK"))))))))))</f>
        <v/>
      </c>
      <c r="Z27" s="56" t="str">
        <f aca="false">IF(F27="","",DATE(YEAR(F27)+IF(MONTH(F27)&gt;=MONTH(Setup!$C$5),1,0),MONTH(Setup!$C$5),1)-1)</f>
        <v/>
      </c>
      <c r="AA27" s="57" t="str">
        <f aca="false">IF(F27="","",(Z27-F27+1)/(Z27-DATE(YEAR(Z27+1)-1,MONTH(Setup!$C$5),1)+1))</f>
        <v/>
      </c>
      <c r="AB27" s="9" t="str">
        <f aca="false">IF(F27="","",MAX(0,YEAR(Setup!$C$5)-YEAR(Z27+1)))</f>
        <v/>
      </c>
      <c r="AC27" s="9" t="str">
        <f aca="false">IF(D27="","",IFERROR(VLOOKUP(D27,'Rate Chart'!$A$6:$F$23,5,FALSE()),""))</f>
        <v/>
      </c>
      <c r="AD27" s="9" t="str">
        <f aca="false">IF(P27&gt;0,Setup!$C$6-F27+1,"")</f>
        <v/>
      </c>
      <c r="AE27" s="9" t="str">
        <f aca="false">IF(D27="","",IF(H27="",Setup!$C$8,H27))</f>
        <v/>
      </c>
    </row>
    <row r="28" customFormat="false" ht="15" hidden="false" customHeight="false" outlineLevel="0" collapsed="false">
      <c r="A28" s="47" t="str">
        <f aca="false">IF(AND(B28="",C28=""),"",ROW()-6)</f>
        <v/>
      </c>
      <c r="B28" s="89"/>
      <c r="C28" s="86"/>
      <c r="D28" s="86"/>
      <c r="E28" s="86"/>
      <c r="F28" s="90"/>
      <c r="G28" s="91"/>
      <c r="H28" s="89"/>
      <c r="I28" s="91"/>
      <c r="J28" s="90"/>
      <c r="K28" s="91"/>
      <c r="L28" s="51" t="str">
        <f aca="false">IF(D28="","",IFERROR(VLOOKUP(D28,'Rate Chart'!$A$6:$F$23,2,FALSE()),0))</f>
        <v/>
      </c>
      <c r="M28" s="38" t="n">
        <f aca="false">IF(OR(L28="",N(L28)=0),0,IF(AE28="SLM",(1-Setup!$C$7)/L28,1-Setup!$C$7^(1/L28)))</f>
        <v>0</v>
      </c>
      <c r="N28" s="52" t="n">
        <f aca="false">IF(G28="",0,ROUND(G28*Setup!$C$7,0))</f>
        <v>0</v>
      </c>
      <c r="O28" s="52" t="n">
        <f aca="false">IF(OR(G28="",F28=""),0,IF(AND(F28&lt;Setup!$C$5,OR(J28="",J28&gt;=Setup!$C$5)),G28,0))</f>
        <v>0</v>
      </c>
      <c r="P28" s="52" t="n">
        <f aca="false">IF(OR(G28="",F28=""),0,IF(AND(F28&gt;=Setup!$C$5,F28&lt;=Setup!$C$6),G28,0))</f>
        <v>0</v>
      </c>
      <c r="Q28" s="52" t="n">
        <f aca="false">IF(O28=0,0,IF(I28&lt;&gt;"",I28,IF(N(L28)=0,0,ROUND(IF(AE28="SLM",MIN(G28-N28,(G28-N28)/L28*(AA28+AB28)),G28-MAX(N28,G28*(1-M28*AA28)*(1-M28)^AB28)),0))))</f>
        <v>0</v>
      </c>
      <c r="R28" s="51" t="n">
        <f aca="false">IF(OR(F28="",G28=""),0,IF(OR(F28&gt;Setup!$C$6,AND(J28&lt;&gt;"",J28&lt;Setup!$C$5)),0,MAX(0,MIN(Setup!$C$6,IF(J28="",Setup!$C$6,J28))-MAX(Setup!$C$5,F28)+1)))</f>
        <v>0</v>
      </c>
      <c r="S28" s="53" t="n">
        <f aca="false">IF(OR(N(L28)=0,R28=0),0,MAX(0,ROUND(MIN(IF(AE28="SLM",(G28-N28)/L28,(O28+P28-Q28)*M28)*R28/(Setup!$C$6-Setup!$C$5+1),O28+P28-Q28-N28),0)))</f>
        <v>0</v>
      </c>
      <c r="T28" s="52" t="n">
        <f aca="false">IF(AND(J28&lt;&gt;"",G28&lt;&gt;""),IF(AND(J28&gt;=Setup!$C$5,J28&lt;=Setup!$C$6),O28+P28,0),0)</f>
        <v>0</v>
      </c>
      <c r="U28" s="52" t="n">
        <f aca="false">IF(T28&gt;0,Q28+S28,0)</f>
        <v>0</v>
      </c>
      <c r="V28" s="52" t="n">
        <f aca="false">Q28+S28-U28</f>
        <v>0</v>
      </c>
      <c r="W28" s="54" t="n">
        <f aca="false">O28+P28-T28-V28</f>
        <v>0</v>
      </c>
      <c r="X28" s="52" t="str">
        <f aca="false">IF(T28&gt;0,N(K28)-(O28+P28-Q28-S28),"")</f>
        <v/>
      </c>
      <c r="Y28" s="55" t="str">
        <f aca="false">IF(AND(B28="",C28="",G28=""),"",IF(D28="","⚠ Pick category",IF(F28="","⚠ Enter put-to-use date",IF(G28="","⚠ Enter cost",IF(F28&gt;Setup!$C$6,"Not yet in use",IF(AND(J28&lt;&gt;"",J28&lt;F28),"⚠ Sale before put-to-use",IF(AND(J28&lt;&gt;"",J28&lt;Setup!$C$5),"Sold in an earlier year",IF(N(I28)&gt;G28,"⚠ Opening dep. more than cost",IF(T28&gt;0,"Sold this year",IF(AND(N(L28)&gt;0,W28&lt;=N28+1),"Fully depreciated","✔ OK"))))))))))</f>
        <v/>
      </c>
      <c r="Z28" s="56" t="str">
        <f aca="false">IF(F28="","",DATE(YEAR(F28)+IF(MONTH(F28)&gt;=MONTH(Setup!$C$5),1,0),MONTH(Setup!$C$5),1)-1)</f>
        <v/>
      </c>
      <c r="AA28" s="57" t="str">
        <f aca="false">IF(F28="","",(Z28-F28+1)/(Z28-DATE(YEAR(Z28+1)-1,MONTH(Setup!$C$5),1)+1))</f>
        <v/>
      </c>
      <c r="AB28" s="9" t="str">
        <f aca="false">IF(F28="","",MAX(0,YEAR(Setup!$C$5)-YEAR(Z28+1)))</f>
        <v/>
      </c>
      <c r="AC28" s="9" t="str">
        <f aca="false">IF(D28="","",IFERROR(VLOOKUP(D28,'Rate Chart'!$A$6:$F$23,5,FALSE()),""))</f>
        <v/>
      </c>
      <c r="AD28" s="9" t="str">
        <f aca="false">IF(P28&gt;0,Setup!$C$6-F28+1,"")</f>
        <v/>
      </c>
      <c r="AE28" s="9" t="str">
        <f aca="false">IF(D28="","",IF(H28="",Setup!$C$8,H28))</f>
        <v/>
      </c>
    </row>
    <row r="29" customFormat="false" ht="15" hidden="false" customHeight="false" outlineLevel="0" collapsed="false">
      <c r="A29" s="47" t="str">
        <f aca="false">IF(AND(B29="",C29=""),"",ROW()-6)</f>
        <v/>
      </c>
      <c r="B29" s="89"/>
      <c r="C29" s="86"/>
      <c r="D29" s="86"/>
      <c r="E29" s="86"/>
      <c r="F29" s="90"/>
      <c r="G29" s="91"/>
      <c r="H29" s="89"/>
      <c r="I29" s="91"/>
      <c r="J29" s="90"/>
      <c r="K29" s="91"/>
      <c r="L29" s="51" t="str">
        <f aca="false">IF(D29="","",IFERROR(VLOOKUP(D29,'Rate Chart'!$A$6:$F$23,2,FALSE()),0))</f>
        <v/>
      </c>
      <c r="M29" s="38" t="n">
        <f aca="false">IF(OR(L29="",N(L29)=0),0,IF(AE29="SLM",(1-Setup!$C$7)/L29,1-Setup!$C$7^(1/L29)))</f>
        <v>0</v>
      </c>
      <c r="N29" s="52" t="n">
        <f aca="false">IF(G29="",0,ROUND(G29*Setup!$C$7,0))</f>
        <v>0</v>
      </c>
      <c r="O29" s="52" t="n">
        <f aca="false">IF(OR(G29="",F29=""),0,IF(AND(F29&lt;Setup!$C$5,OR(J29="",J29&gt;=Setup!$C$5)),G29,0))</f>
        <v>0</v>
      </c>
      <c r="P29" s="52" t="n">
        <f aca="false">IF(OR(G29="",F29=""),0,IF(AND(F29&gt;=Setup!$C$5,F29&lt;=Setup!$C$6),G29,0))</f>
        <v>0</v>
      </c>
      <c r="Q29" s="52" t="n">
        <f aca="false">IF(O29=0,0,IF(I29&lt;&gt;"",I29,IF(N(L29)=0,0,ROUND(IF(AE29="SLM",MIN(G29-N29,(G29-N29)/L29*(AA29+AB29)),G29-MAX(N29,G29*(1-M29*AA29)*(1-M29)^AB29)),0))))</f>
        <v>0</v>
      </c>
      <c r="R29" s="51" t="n">
        <f aca="false">IF(OR(F29="",G29=""),0,IF(OR(F29&gt;Setup!$C$6,AND(J29&lt;&gt;"",J29&lt;Setup!$C$5)),0,MAX(0,MIN(Setup!$C$6,IF(J29="",Setup!$C$6,J29))-MAX(Setup!$C$5,F29)+1)))</f>
        <v>0</v>
      </c>
      <c r="S29" s="53" t="n">
        <f aca="false">IF(OR(N(L29)=0,R29=0),0,MAX(0,ROUND(MIN(IF(AE29="SLM",(G29-N29)/L29,(O29+P29-Q29)*M29)*R29/(Setup!$C$6-Setup!$C$5+1),O29+P29-Q29-N29),0)))</f>
        <v>0</v>
      </c>
      <c r="T29" s="52" t="n">
        <f aca="false">IF(AND(J29&lt;&gt;"",G29&lt;&gt;""),IF(AND(J29&gt;=Setup!$C$5,J29&lt;=Setup!$C$6),O29+P29,0),0)</f>
        <v>0</v>
      </c>
      <c r="U29" s="52" t="n">
        <f aca="false">IF(T29&gt;0,Q29+S29,0)</f>
        <v>0</v>
      </c>
      <c r="V29" s="52" t="n">
        <f aca="false">Q29+S29-U29</f>
        <v>0</v>
      </c>
      <c r="W29" s="54" t="n">
        <f aca="false">O29+P29-T29-V29</f>
        <v>0</v>
      </c>
      <c r="X29" s="52" t="str">
        <f aca="false">IF(T29&gt;0,N(K29)-(O29+P29-Q29-S29),"")</f>
        <v/>
      </c>
      <c r="Y29" s="55" t="str">
        <f aca="false">IF(AND(B29="",C29="",G29=""),"",IF(D29="","⚠ Pick category",IF(F29="","⚠ Enter put-to-use date",IF(G29="","⚠ Enter cost",IF(F29&gt;Setup!$C$6,"Not yet in use",IF(AND(J29&lt;&gt;"",J29&lt;F29),"⚠ Sale before put-to-use",IF(AND(J29&lt;&gt;"",J29&lt;Setup!$C$5),"Sold in an earlier year",IF(N(I29)&gt;G29,"⚠ Opening dep. more than cost",IF(T29&gt;0,"Sold this year",IF(AND(N(L29)&gt;0,W29&lt;=N29+1),"Fully depreciated","✔ OK"))))))))))</f>
        <v/>
      </c>
      <c r="Z29" s="56" t="str">
        <f aca="false">IF(F29="","",DATE(YEAR(F29)+IF(MONTH(F29)&gt;=MONTH(Setup!$C$5),1,0),MONTH(Setup!$C$5),1)-1)</f>
        <v/>
      </c>
      <c r="AA29" s="57" t="str">
        <f aca="false">IF(F29="","",(Z29-F29+1)/(Z29-DATE(YEAR(Z29+1)-1,MONTH(Setup!$C$5),1)+1))</f>
        <v/>
      </c>
      <c r="AB29" s="9" t="str">
        <f aca="false">IF(F29="","",MAX(0,YEAR(Setup!$C$5)-YEAR(Z29+1)))</f>
        <v/>
      </c>
      <c r="AC29" s="9" t="str">
        <f aca="false">IF(D29="","",IFERROR(VLOOKUP(D29,'Rate Chart'!$A$6:$F$23,5,FALSE()),""))</f>
        <v/>
      </c>
      <c r="AD29" s="9" t="str">
        <f aca="false">IF(P29&gt;0,Setup!$C$6-F29+1,"")</f>
        <v/>
      </c>
      <c r="AE29" s="9" t="str">
        <f aca="false">IF(D29="","",IF(H29="",Setup!$C$8,H29))</f>
        <v/>
      </c>
    </row>
    <row r="30" customFormat="false" ht="15" hidden="false" customHeight="false" outlineLevel="0" collapsed="false">
      <c r="A30" s="47" t="str">
        <f aca="false">IF(AND(B30="",C30=""),"",ROW()-6)</f>
        <v/>
      </c>
      <c r="B30" s="89"/>
      <c r="C30" s="86"/>
      <c r="D30" s="86"/>
      <c r="E30" s="86"/>
      <c r="F30" s="90"/>
      <c r="G30" s="91"/>
      <c r="H30" s="89"/>
      <c r="I30" s="91"/>
      <c r="J30" s="90"/>
      <c r="K30" s="91"/>
      <c r="L30" s="51" t="str">
        <f aca="false">IF(D30="","",IFERROR(VLOOKUP(D30,'Rate Chart'!$A$6:$F$23,2,FALSE()),0))</f>
        <v/>
      </c>
      <c r="M30" s="38" t="n">
        <f aca="false">IF(OR(L30="",N(L30)=0),0,IF(AE30="SLM",(1-Setup!$C$7)/L30,1-Setup!$C$7^(1/L30)))</f>
        <v>0</v>
      </c>
      <c r="N30" s="52" t="n">
        <f aca="false">IF(G30="",0,ROUND(G30*Setup!$C$7,0))</f>
        <v>0</v>
      </c>
      <c r="O30" s="52" t="n">
        <f aca="false">IF(OR(G30="",F30=""),0,IF(AND(F30&lt;Setup!$C$5,OR(J30="",J30&gt;=Setup!$C$5)),G30,0))</f>
        <v>0</v>
      </c>
      <c r="P30" s="52" t="n">
        <f aca="false">IF(OR(G30="",F30=""),0,IF(AND(F30&gt;=Setup!$C$5,F30&lt;=Setup!$C$6),G30,0))</f>
        <v>0</v>
      </c>
      <c r="Q30" s="52" t="n">
        <f aca="false">IF(O30=0,0,IF(I30&lt;&gt;"",I30,IF(N(L30)=0,0,ROUND(IF(AE30="SLM",MIN(G30-N30,(G30-N30)/L30*(AA30+AB30)),G30-MAX(N30,G30*(1-M30*AA30)*(1-M30)^AB30)),0))))</f>
        <v>0</v>
      </c>
      <c r="R30" s="51" t="n">
        <f aca="false">IF(OR(F30="",G30=""),0,IF(OR(F30&gt;Setup!$C$6,AND(J30&lt;&gt;"",J30&lt;Setup!$C$5)),0,MAX(0,MIN(Setup!$C$6,IF(J30="",Setup!$C$6,J30))-MAX(Setup!$C$5,F30)+1)))</f>
        <v>0</v>
      </c>
      <c r="S30" s="53" t="n">
        <f aca="false">IF(OR(N(L30)=0,R30=0),0,MAX(0,ROUND(MIN(IF(AE30="SLM",(G30-N30)/L30,(O30+P30-Q30)*M30)*R30/(Setup!$C$6-Setup!$C$5+1),O30+P30-Q30-N30),0)))</f>
        <v>0</v>
      </c>
      <c r="T30" s="52" t="n">
        <f aca="false">IF(AND(J30&lt;&gt;"",G30&lt;&gt;""),IF(AND(J30&gt;=Setup!$C$5,J30&lt;=Setup!$C$6),O30+P30,0),0)</f>
        <v>0</v>
      </c>
      <c r="U30" s="52" t="n">
        <f aca="false">IF(T30&gt;0,Q30+S30,0)</f>
        <v>0</v>
      </c>
      <c r="V30" s="52" t="n">
        <f aca="false">Q30+S30-U30</f>
        <v>0</v>
      </c>
      <c r="W30" s="54" t="n">
        <f aca="false">O30+P30-T30-V30</f>
        <v>0</v>
      </c>
      <c r="X30" s="52" t="str">
        <f aca="false">IF(T30&gt;0,N(K30)-(O30+P30-Q30-S30),"")</f>
        <v/>
      </c>
      <c r="Y30" s="55" t="str">
        <f aca="false">IF(AND(B30="",C30="",G30=""),"",IF(D30="","⚠ Pick category",IF(F30="","⚠ Enter put-to-use date",IF(G30="","⚠ Enter cost",IF(F30&gt;Setup!$C$6,"Not yet in use",IF(AND(J30&lt;&gt;"",J30&lt;F30),"⚠ Sale before put-to-use",IF(AND(J30&lt;&gt;"",J30&lt;Setup!$C$5),"Sold in an earlier year",IF(N(I30)&gt;G30,"⚠ Opening dep. more than cost",IF(T30&gt;0,"Sold this year",IF(AND(N(L30)&gt;0,W30&lt;=N30+1),"Fully depreciated","✔ OK"))))))))))</f>
        <v/>
      </c>
      <c r="Z30" s="56" t="str">
        <f aca="false">IF(F30="","",DATE(YEAR(F30)+IF(MONTH(F30)&gt;=MONTH(Setup!$C$5),1,0),MONTH(Setup!$C$5),1)-1)</f>
        <v/>
      </c>
      <c r="AA30" s="57" t="str">
        <f aca="false">IF(F30="","",(Z30-F30+1)/(Z30-DATE(YEAR(Z30+1)-1,MONTH(Setup!$C$5),1)+1))</f>
        <v/>
      </c>
      <c r="AB30" s="9" t="str">
        <f aca="false">IF(F30="","",MAX(0,YEAR(Setup!$C$5)-YEAR(Z30+1)))</f>
        <v/>
      </c>
      <c r="AC30" s="9" t="str">
        <f aca="false">IF(D30="","",IFERROR(VLOOKUP(D30,'Rate Chart'!$A$6:$F$23,5,FALSE()),""))</f>
        <v/>
      </c>
      <c r="AD30" s="9" t="str">
        <f aca="false">IF(P30&gt;0,Setup!$C$6-F30+1,"")</f>
        <v/>
      </c>
      <c r="AE30" s="9" t="str">
        <f aca="false">IF(D30="","",IF(H30="",Setup!$C$8,H30))</f>
        <v/>
      </c>
    </row>
    <row r="31" customFormat="false" ht="15" hidden="false" customHeight="false" outlineLevel="0" collapsed="false">
      <c r="A31" s="47" t="str">
        <f aca="false">IF(AND(B31="",C31=""),"",ROW()-6)</f>
        <v/>
      </c>
      <c r="B31" s="89"/>
      <c r="C31" s="86"/>
      <c r="D31" s="86"/>
      <c r="E31" s="86"/>
      <c r="F31" s="90"/>
      <c r="G31" s="91"/>
      <c r="H31" s="89"/>
      <c r="I31" s="91"/>
      <c r="J31" s="90"/>
      <c r="K31" s="91"/>
      <c r="L31" s="51" t="str">
        <f aca="false">IF(D31="","",IFERROR(VLOOKUP(D31,'Rate Chart'!$A$6:$F$23,2,FALSE()),0))</f>
        <v/>
      </c>
      <c r="M31" s="38" t="n">
        <f aca="false">IF(OR(L31="",N(L31)=0),0,IF(AE31="SLM",(1-Setup!$C$7)/L31,1-Setup!$C$7^(1/L31)))</f>
        <v>0</v>
      </c>
      <c r="N31" s="52" t="n">
        <f aca="false">IF(G31="",0,ROUND(G31*Setup!$C$7,0))</f>
        <v>0</v>
      </c>
      <c r="O31" s="52" t="n">
        <f aca="false">IF(OR(G31="",F31=""),0,IF(AND(F31&lt;Setup!$C$5,OR(J31="",J31&gt;=Setup!$C$5)),G31,0))</f>
        <v>0</v>
      </c>
      <c r="P31" s="52" t="n">
        <f aca="false">IF(OR(G31="",F31=""),0,IF(AND(F31&gt;=Setup!$C$5,F31&lt;=Setup!$C$6),G31,0))</f>
        <v>0</v>
      </c>
      <c r="Q31" s="52" t="n">
        <f aca="false">IF(O31=0,0,IF(I31&lt;&gt;"",I31,IF(N(L31)=0,0,ROUND(IF(AE31="SLM",MIN(G31-N31,(G31-N31)/L31*(AA31+AB31)),G31-MAX(N31,G31*(1-M31*AA31)*(1-M31)^AB31)),0))))</f>
        <v>0</v>
      </c>
      <c r="R31" s="51" t="n">
        <f aca="false">IF(OR(F31="",G31=""),0,IF(OR(F31&gt;Setup!$C$6,AND(J31&lt;&gt;"",J31&lt;Setup!$C$5)),0,MAX(0,MIN(Setup!$C$6,IF(J31="",Setup!$C$6,J31))-MAX(Setup!$C$5,F31)+1)))</f>
        <v>0</v>
      </c>
      <c r="S31" s="53" t="n">
        <f aca="false">IF(OR(N(L31)=0,R31=0),0,MAX(0,ROUND(MIN(IF(AE31="SLM",(G31-N31)/L31,(O31+P31-Q31)*M31)*R31/(Setup!$C$6-Setup!$C$5+1),O31+P31-Q31-N31),0)))</f>
        <v>0</v>
      </c>
      <c r="T31" s="52" t="n">
        <f aca="false">IF(AND(J31&lt;&gt;"",G31&lt;&gt;""),IF(AND(J31&gt;=Setup!$C$5,J31&lt;=Setup!$C$6),O31+P31,0),0)</f>
        <v>0</v>
      </c>
      <c r="U31" s="52" t="n">
        <f aca="false">IF(T31&gt;0,Q31+S31,0)</f>
        <v>0</v>
      </c>
      <c r="V31" s="52" t="n">
        <f aca="false">Q31+S31-U31</f>
        <v>0</v>
      </c>
      <c r="W31" s="54" t="n">
        <f aca="false">O31+P31-T31-V31</f>
        <v>0</v>
      </c>
      <c r="X31" s="52" t="str">
        <f aca="false">IF(T31&gt;0,N(K31)-(O31+P31-Q31-S31),"")</f>
        <v/>
      </c>
      <c r="Y31" s="55" t="str">
        <f aca="false">IF(AND(B31="",C31="",G31=""),"",IF(D31="","⚠ Pick category",IF(F31="","⚠ Enter put-to-use date",IF(G31="","⚠ Enter cost",IF(F31&gt;Setup!$C$6,"Not yet in use",IF(AND(J31&lt;&gt;"",J31&lt;F31),"⚠ Sale before put-to-use",IF(AND(J31&lt;&gt;"",J31&lt;Setup!$C$5),"Sold in an earlier year",IF(N(I31)&gt;G31,"⚠ Opening dep. more than cost",IF(T31&gt;0,"Sold this year",IF(AND(N(L31)&gt;0,W31&lt;=N31+1),"Fully depreciated","✔ OK"))))))))))</f>
        <v/>
      </c>
      <c r="Z31" s="56" t="str">
        <f aca="false">IF(F31="","",DATE(YEAR(F31)+IF(MONTH(F31)&gt;=MONTH(Setup!$C$5),1,0),MONTH(Setup!$C$5),1)-1)</f>
        <v/>
      </c>
      <c r="AA31" s="57" t="str">
        <f aca="false">IF(F31="","",(Z31-F31+1)/(Z31-DATE(YEAR(Z31+1)-1,MONTH(Setup!$C$5),1)+1))</f>
        <v/>
      </c>
      <c r="AB31" s="9" t="str">
        <f aca="false">IF(F31="","",MAX(0,YEAR(Setup!$C$5)-YEAR(Z31+1)))</f>
        <v/>
      </c>
      <c r="AC31" s="9" t="str">
        <f aca="false">IF(D31="","",IFERROR(VLOOKUP(D31,'Rate Chart'!$A$6:$F$23,5,FALSE()),""))</f>
        <v/>
      </c>
      <c r="AD31" s="9" t="str">
        <f aca="false">IF(P31&gt;0,Setup!$C$6-F31+1,"")</f>
        <v/>
      </c>
      <c r="AE31" s="9" t="str">
        <f aca="false">IF(D31="","",IF(H31="",Setup!$C$8,H31))</f>
        <v/>
      </c>
    </row>
    <row r="32" customFormat="false" ht="15" hidden="false" customHeight="false" outlineLevel="0" collapsed="false">
      <c r="A32" s="47" t="str">
        <f aca="false">IF(AND(B32="",C32=""),"",ROW()-6)</f>
        <v/>
      </c>
      <c r="B32" s="89"/>
      <c r="C32" s="86"/>
      <c r="D32" s="86"/>
      <c r="E32" s="86"/>
      <c r="F32" s="90"/>
      <c r="G32" s="91"/>
      <c r="H32" s="89"/>
      <c r="I32" s="91"/>
      <c r="J32" s="90"/>
      <c r="K32" s="91"/>
      <c r="L32" s="51" t="str">
        <f aca="false">IF(D32="","",IFERROR(VLOOKUP(D32,'Rate Chart'!$A$6:$F$23,2,FALSE()),0))</f>
        <v/>
      </c>
      <c r="M32" s="38" t="n">
        <f aca="false">IF(OR(L32="",N(L32)=0),0,IF(AE32="SLM",(1-Setup!$C$7)/L32,1-Setup!$C$7^(1/L32)))</f>
        <v>0</v>
      </c>
      <c r="N32" s="52" t="n">
        <f aca="false">IF(G32="",0,ROUND(G32*Setup!$C$7,0))</f>
        <v>0</v>
      </c>
      <c r="O32" s="52" t="n">
        <f aca="false">IF(OR(G32="",F32=""),0,IF(AND(F32&lt;Setup!$C$5,OR(J32="",J32&gt;=Setup!$C$5)),G32,0))</f>
        <v>0</v>
      </c>
      <c r="P32" s="52" t="n">
        <f aca="false">IF(OR(G32="",F32=""),0,IF(AND(F32&gt;=Setup!$C$5,F32&lt;=Setup!$C$6),G32,0))</f>
        <v>0</v>
      </c>
      <c r="Q32" s="52" t="n">
        <f aca="false">IF(O32=0,0,IF(I32&lt;&gt;"",I32,IF(N(L32)=0,0,ROUND(IF(AE32="SLM",MIN(G32-N32,(G32-N32)/L32*(AA32+AB32)),G32-MAX(N32,G32*(1-M32*AA32)*(1-M32)^AB32)),0))))</f>
        <v>0</v>
      </c>
      <c r="R32" s="51" t="n">
        <f aca="false">IF(OR(F32="",G32=""),0,IF(OR(F32&gt;Setup!$C$6,AND(J32&lt;&gt;"",J32&lt;Setup!$C$5)),0,MAX(0,MIN(Setup!$C$6,IF(J32="",Setup!$C$6,J32))-MAX(Setup!$C$5,F32)+1)))</f>
        <v>0</v>
      </c>
      <c r="S32" s="53" t="n">
        <f aca="false">IF(OR(N(L32)=0,R32=0),0,MAX(0,ROUND(MIN(IF(AE32="SLM",(G32-N32)/L32,(O32+P32-Q32)*M32)*R32/(Setup!$C$6-Setup!$C$5+1),O32+P32-Q32-N32),0)))</f>
        <v>0</v>
      </c>
      <c r="T32" s="52" t="n">
        <f aca="false">IF(AND(J32&lt;&gt;"",G32&lt;&gt;""),IF(AND(J32&gt;=Setup!$C$5,J32&lt;=Setup!$C$6),O32+P32,0),0)</f>
        <v>0</v>
      </c>
      <c r="U32" s="52" t="n">
        <f aca="false">IF(T32&gt;0,Q32+S32,0)</f>
        <v>0</v>
      </c>
      <c r="V32" s="52" t="n">
        <f aca="false">Q32+S32-U32</f>
        <v>0</v>
      </c>
      <c r="W32" s="54" t="n">
        <f aca="false">O32+P32-T32-V32</f>
        <v>0</v>
      </c>
      <c r="X32" s="52" t="str">
        <f aca="false">IF(T32&gt;0,N(K32)-(O32+P32-Q32-S32),"")</f>
        <v/>
      </c>
      <c r="Y32" s="55" t="str">
        <f aca="false">IF(AND(B32="",C32="",G32=""),"",IF(D32="","⚠ Pick category",IF(F32="","⚠ Enter put-to-use date",IF(G32="","⚠ Enter cost",IF(F32&gt;Setup!$C$6,"Not yet in use",IF(AND(J32&lt;&gt;"",J32&lt;F32),"⚠ Sale before put-to-use",IF(AND(J32&lt;&gt;"",J32&lt;Setup!$C$5),"Sold in an earlier year",IF(N(I32)&gt;G32,"⚠ Opening dep. more than cost",IF(T32&gt;0,"Sold this year",IF(AND(N(L32)&gt;0,W32&lt;=N32+1),"Fully depreciated","✔ OK"))))))))))</f>
        <v/>
      </c>
      <c r="Z32" s="56" t="str">
        <f aca="false">IF(F32="","",DATE(YEAR(F32)+IF(MONTH(F32)&gt;=MONTH(Setup!$C$5),1,0),MONTH(Setup!$C$5),1)-1)</f>
        <v/>
      </c>
      <c r="AA32" s="57" t="str">
        <f aca="false">IF(F32="","",(Z32-F32+1)/(Z32-DATE(YEAR(Z32+1)-1,MONTH(Setup!$C$5),1)+1))</f>
        <v/>
      </c>
      <c r="AB32" s="9" t="str">
        <f aca="false">IF(F32="","",MAX(0,YEAR(Setup!$C$5)-YEAR(Z32+1)))</f>
        <v/>
      </c>
      <c r="AC32" s="9" t="str">
        <f aca="false">IF(D32="","",IFERROR(VLOOKUP(D32,'Rate Chart'!$A$6:$F$23,5,FALSE()),""))</f>
        <v/>
      </c>
      <c r="AD32" s="9" t="str">
        <f aca="false">IF(P32&gt;0,Setup!$C$6-F32+1,"")</f>
        <v/>
      </c>
      <c r="AE32" s="9" t="str">
        <f aca="false">IF(D32="","",IF(H32="",Setup!$C$8,H32))</f>
        <v/>
      </c>
    </row>
    <row r="33" customFormat="false" ht="15" hidden="false" customHeight="false" outlineLevel="0" collapsed="false">
      <c r="A33" s="47" t="str">
        <f aca="false">IF(AND(B33="",C33=""),"",ROW()-6)</f>
        <v/>
      </c>
      <c r="B33" s="89"/>
      <c r="C33" s="86"/>
      <c r="D33" s="86"/>
      <c r="E33" s="86"/>
      <c r="F33" s="90"/>
      <c r="G33" s="91"/>
      <c r="H33" s="89"/>
      <c r="I33" s="91"/>
      <c r="J33" s="90"/>
      <c r="K33" s="91"/>
      <c r="L33" s="51" t="str">
        <f aca="false">IF(D33="","",IFERROR(VLOOKUP(D33,'Rate Chart'!$A$6:$F$23,2,FALSE()),0))</f>
        <v/>
      </c>
      <c r="M33" s="38" t="n">
        <f aca="false">IF(OR(L33="",N(L33)=0),0,IF(AE33="SLM",(1-Setup!$C$7)/L33,1-Setup!$C$7^(1/L33)))</f>
        <v>0</v>
      </c>
      <c r="N33" s="52" t="n">
        <f aca="false">IF(G33="",0,ROUND(G33*Setup!$C$7,0))</f>
        <v>0</v>
      </c>
      <c r="O33" s="52" t="n">
        <f aca="false">IF(OR(G33="",F33=""),0,IF(AND(F33&lt;Setup!$C$5,OR(J33="",J33&gt;=Setup!$C$5)),G33,0))</f>
        <v>0</v>
      </c>
      <c r="P33" s="52" t="n">
        <f aca="false">IF(OR(G33="",F33=""),0,IF(AND(F33&gt;=Setup!$C$5,F33&lt;=Setup!$C$6),G33,0))</f>
        <v>0</v>
      </c>
      <c r="Q33" s="52" t="n">
        <f aca="false">IF(O33=0,0,IF(I33&lt;&gt;"",I33,IF(N(L33)=0,0,ROUND(IF(AE33="SLM",MIN(G33-N33,(G33-N33)/L33*(AA33+AB33)),G33-MAX(N33,G33*(1-M33*AA33)*(1-M33)^AB33)),0))))</f>
        <v>0</v>
      </c>
      <c r="R33" s="51" t="n">
        <f aca="false">IF(OR(F33="",G33=""),0,IF(OR(F33&gt;Setup!$C$6,AND(J33&lt;&gt;"",J33&lt;Setup!$C$5)),0,MAX(0,MIN(Setup!$C$6,IF(J33="",Setup!$C$6,J33))-MAX(Setup!$C$5,F33)+1)))</f>
        <v>0</v>
      </c>
      <c r="S33" s="53" t="n">
        <f aca="false">IF(OR(N(L33)=0,R33=0),0,MAX(0,ROUND(MIN(IF(AE33="SLM",(G33-N33)/L33,(O33+P33-Q33)*M33)*R33/(Setup!$C$6-Setup!$C$5+1),O33+P33-Q33-N33),0)))</f>
        <v>0</v>
      </c>
      <c r="T33" s="52" t="n">
        <f aca="false">IF(AND(J33&lt;&gt;"",G33&lt;&gt;""),IF(AND(J33&gt;=Setup!$C$5,J33&lt;=Setup!$C$6),O33+P33,0),0)</f>
        <v>0</v>
      </c>
      <c r="U33" s="52" t="n">
        <f aca="false">IF(T33&gt;0,Q33+S33,0)</f>
        <v>0</v>
      </c>
      <c r="V33" s="52" t="n">
        <f aca="false">Q33+S33-U33</f>
        <v>0</v>
      </c>
      <c r="W33" s="54" t="n">
        <f aca="false">O33+P33-T33-V33</f>
        <v>0</v>
      </c>
      <c r="X33" s="52" t="str">
        <f aca="false">IF(T33&gt;0,N(K33)-(O33+P33-Q33-S33),"")</f>
        <v/>
      </c>
      <c r="Y33" s="55" t="str">
        <f aca="false">IF(AND(B33="",C33="",G33=""),"",IF(D33="","⚠ Pick category",IF(F33="","⚠ Enter put-to-use date",IF(G33="","⚠ Enter cost",IF(F33&gt;Setup!$C$6,"Not yet in use",IF(AND(J33&lt;&gt;"",J33&lt;F33),"⚠ Sale before put-to-use",IF(AND(J33&lt;&gt;"",J33&lt;Setup!$C$5),"Sold in an earlier year",IF(N(I33)&gt;G33,"⚠ Opening dep. more than cost",IF(T33&gt;0,"Sold this year",IF(AND(N(L33)&gt;0,W33&lt;=N33+1),"Fully depreciated","✔ OK"))))))))))</f>
        <v/>
      </c>
      <c r="Z33" s="56" t="str">
        <f aca="false">IF(F33="","",DATE(YEAR(F33)+IF(MONTH(F33)&gt;=MONTH(Setup!$C$5),1,0),MONTH(Setup!$C$5),1)-1)</f>
        <v/>
      </c>
      <c r="AA33" s="57" t="str">
        <f aca="false">IF(F33="","",(Z33-F33+1)/(Z33-DATE(YEAR(Z33+1)-1,MONTH(Setup!$C$5),1)+1))</f>
        <v/>
      </c>
      <c r="AB33" s="9" t="str">
        <f aca="false">IF(F33="","",MAX(0,YEAR(Setup!$C$5)-YEAR(Z33+1)))</f>
        <v/>
      </c>
      <c r="AC33" s="9" t="str">
        <f aca="false">IF(D33="","",IFERROR(VLOOKUP(D33,'Rate Chart'!$A$6:$F$23,5,FALSE()),""))</f>
        <v/>
      </c>
      <c r="AD33" s="9" t="str">
        <f aca="false">IF(P33&gt;0,Setup!$C$6-F33+1,"")</f>
        <v/>
      </c>
      <c r="AE33" s="9" t="str">
        <f aca="false">IF(D33="","",IF(H33="",Setup!$C$8,H33))</f>
        <v/>
      </c>
    </row>
    <row r="34" customFormat="false" ht="15" hidden="false" customHeight="false" outlineLevel="0" collapsed="false">
      <c r="A34" s="47" t="str">
        <f aca="false">IF(AND(B34="",C34=""),"",ROW()-6)</f>
        <v/>
      </c>
      <c r="B34" s="89"/>
      <c r="C34" s="86"/>
      <c r="D34" s="86"/>
      <c r="E34" s="86"/>
      <c r="F34" s="90"/>
      <c r="G34" s="91"/>
      <c r="H34" s="89"/>
      <c r="I34" s="91"/>
      <c r="J34" s="90"/>
      <c r="K34" s="91"/>
      <c r="L34" s="51" t="str">
        <f aca="false">IF(D34="","",IFERROR(VLOOKUP(D34,'Rate Chart'!$A$6:$F$23,2,FALSE()),0))</f>
        <v/>
      </c>
      <c r="M34" s="38" t="n">
        <f aca="false">IF(OR(L34="",N(L34)=0),0,IF(AE34="SLM",(1-Setup!$C$7)/L34,1-Setup!$C$7^(1/L34)))</f>
        <v>0</v>
      </c>
      <c r="N34" s="52" t="n">
        <f aca="false">IF(G34="",0,ROUND(G34*Setup!$C$7,0))</f>
        <v>0</v>
      </c>
      <c r="O34" s="52" t="n">
        <f aca="false">IF(OR(G34="",F34=""),0,IF(AND(F34&lt;Setup!$C$5,OR(J34="",J34&gt;=Setup!$C$5)),G34,0))</f>
        <v>0</v>
      </c>
      <c r="P34" s="52" t="n">
        <f aca="false">IF(OR(G34="",F34=""),0,IF(AND(F34&gt;=Setup!$C$5,F34&lt;=Setup!$C$6),G34,0))</f>
        <v>0</v>
      </c>
      <c r="Q34" s="52" t="n">
        <f aca="false">IF(O34=0,0,IF(I34&lt;&gt;"",I34,IF(N(L34)=0,0,ROUND(IF(AE34="SLM",MIN(G34-N34,(G34-N34)/L34*(AA34+AB34)),G34-MAX(N34,G34*(1-M34*AA34)*(1-M34)^AB34)),0))))</f>
        <v>0</v>
      </c>
      <c r="R34" s="51" t="n">
        <f aca="false">IF(OR(F34="",G34=""),0,IF(OR(F34&gt;Setup!$C$6,AND(J34&lt;&gt;"",J34&lt;Setup!$C$5)),0,MAX(0,MIN(Setup!$C$6,IF(J34="",Setup!$C$6,J34))-MAX(Setup!$C$5,F34)+1)))</f>
        <v>0</v>
      </c>
      <c r="S34" s="53" t="n">
        <f aca="false">IF(OR(N(L34)=0,R34=0),0,MAX(0,ROUND(MIN(IF(AE34="SLM",(G34-N34)/L34,(O34+P34-Q34)*M34)*R34/(Setup!$C$6-Setup!$C$5+1),O34+P34-Q34-N34),0)))</f>
        <v>0</v>
      </c>
      <c r="T34" s="52" t="n">
        <f aca="false">IF(AND(J34&lt;&gt;"",G34&lt;&gt;""),IF(AND(J34&gt;=Setup!$C$5,J34&lt;=Setup!$C$6),O34+P34,0),0)</f>
        <v>0</v>
      </c>
      <c r="U34" s="52" t="n">
        <f aca="false">IF(T34&gt;0,Q34+S34,0)</f>
        <v>0</v>
      </c>
      <c r="V34" s="52" t="n">
        <f aca="false">Q34+S34-U34</f>
        <v>0</v>
      </c>
      <c r="W34" s="54" t="n">
        <f aca="false">O34+P34-T34-V34</f>
        <v>0</v>
      </c>
      <c r="X34" s="52" t="str">
        <f aca="false">IF(T34&gt;0,N(K34)-(O34+P34-Q34-S34),"")</f>
        <v/>
      </c>
      <c r="Y34" s="55" t="str">
        <f aca="false">IF(AND(B34="",C34="",G34=""),"",IF(D34="","⚠ Pick category",IF(F34="","⚠ Enter put-to-use date",IF(G34="","⚠ Enter cost",IF(F34&gt;Setup!$C$6,"Not yet in use",IF(AND(J34&lt;&gt;"",J34&lt;F34),"⚠ Sale before put-to-use",IF(AND(J34&lt;&gt;"",J34&lt;Setup!$C$5),"Sold in an earlier year",IF(N(I34)&gt;G34,"⚠ Opening dep. more than cost",IF(T34&gt;0,"Sold this year",IF(AND(N(L34)&gt;0,W34&lt;=N34+1),"Fully depreciated","✔ OK"))))))))))</f>
        <v/>
      </c>
      <c r="Z34" s="56" t="str">
        <f aca="false">IF(F34="","",DATE(YEAR(F34)+IF(MONTH(F34)&gt;=MONTH(Setup!$C$5),1,0),MONTH(Setup!$C$5),1)-1)</f>
        <v/>
      </c>
      <c r="AA34" s="57" t="str">
        <f aca="false">IF(F34="","",(Z34-F34+1)/(Z34-DATE(YEAR(Z34+1)-1,MONTH(Setup!$C$5),1)+1))</f>
        <v/>
      </c>
      <c r="AB34" s="9" t="str">
        <f aca="false">IF(F34="","",MAX(0,YEAR(Setup!$C$5)-YEAR(Z34+1)))</f>
        <v/>
      </c>
      <c r="AC34" s="9" t="str">
        <f aca="false">IF(D34="","",IFERROR(VLOOKUP(D34,'Rate Chart'!$A$6:$F$23,5,FALSE()),""))</f>
        <v/>
      </c>
      <c r="AD34" s="9" t="str">
        <f aca="false">IF(P34&gt;0,Setup!$C$6-F34+1,"")</f>
        <v/>
      </c>
      <c r="AE34" s="9" t="str">
        <f aca="false">IF(D34="","",IF(H34="",Setup!$C$8,H34))</f>
        <v/>
      </c>
    </row>
    <row r="35" customFormat="false" ht="15" hidden="false" customHeight="false" outlineLevel="0" collapsed="false">
      <c r="A35" s="47" t="str">
        <f aca="false">IF(AND(B35="",C35=""),"",ROW()-6)</f>
        <v/>
      </c>
      <c r="B35" s="89"/>
      <c r="C35" s="86"/>
      <c r="D35" s="86"/>
      <c r="E35" s="86"/>
      <c r="F35" s="90"/>
      <c r="G35" s="91"/>
      <c r="H35" s="89"/>
      <c r="I35" s="91"/>
      <c r="J35" s="90"/>
      <c r="K35" s="91"/>
      <c r="L35" s="51" t="str">
        <f aca="false">IF(D35="","",IFERROR(VLOOKUP(D35,'Rate Chart'!$A$6:$F$23,2,FALSE()),0))</f>
        <v/>
      </c>
      <c r="M35" s="38" t="n">
        <f aca="false">IF(OR(L35="",N(L35)=0),0,IF(AE35="SLM",(1-Setup!$C$7)/L35,1-Setup!$C$7^(1/L35)))</f>
        <v>0</v>
      </c>
      <c r="N35" s="52" t="n">
        <f aca="false">IF(G35="",0,ROUND(G35*Setup!$C$7,0))</f>
        <v>0</v>
      </c>
      <c r="O35" s="52" t="n">
        <f aca="false">IF(OR(G35="",F35=""),0,IF(AND(F35&lt;Setup!$C$5,OR(J35="",J35&gt;=Setup!$C$5)),G35,0))</f>
        <v>0</v>
      </c>
      <c r="P35" s="52" t="n">
        <f aca="false">IF(OR(G35="",F35=""),0,IF(AND(F35&gt;=Setup!$C$5,F35&lt;=Setup!$C$6),G35,0))</f>
        <v>0</v>
      </c>
      <c r="Q35" s="52" t="n">
        <f aca="false">IF(O35=0,0,IF(I35&lt;&gt;"",I35,IF(N(L35)=0,0,ROUND(IF(AE35="SLM",MIN(G35-N35,(G35-N35)/L35*(AA35+AB35)),G35-MAX(N35,G35*(1-M35*AA35)*(1-M35)^AB35)),0))))</f>
        <v>0</v>
      </c>
      <c r="R35" s="51" t="n">
        <f aca="false">IF(OR(F35="",G35=""),0,IF(OR(F35&gt;Setup!$C$6,AND(J35&lt;&gt;"",J35&lt;Setup!$C$5)),0,MAX(0,MIN(Setup!$C$6,IF(J35="",Setup!$C$6,J35))-MAX(Setup!$C$5,F35)+1)))</f>
        <v>0</v>
      </c>
      <c r="S35" s="53" t="n">
        <f aca="false">IF(OR(N(L35)=0,R35=0),0,MAX(0,ROUND(MIN(IF(AE35="SLM",(G35-N35)/L35,(O35+P35-Q35)*M35)*R35/(Setup!$C$6-Setup!$C$5+1),O35+P35-Q35-N35),0)))</f>
        <v>0</v>
      </c>
      <c r="T35" s="52" t="n">
        <f aca="false">IF(AND(J35&lt;&gt;"",G35&lt;&gt;""),IF(AND(J35&gt;=Setup!$C$5,J35&lt;=Setup!$C$6),O35+P35,0),0)</f>
        <v>0</v>
      </c>
      <c r="U35" s="52" t="n">
        <f aca="false">IF(T35&gt;0,Q35+S35,0)</f>
        <v>0</v>
      </c>
      <c r="V35" s="52" t="n">
        <f aca="false">Q35+S35-U35</f>
        <v>0</v>
      </c>
      <c r="W35" s="54" t="n">
        <f aca="false">O35+P35-T35-V35</f>
        <v>0</v>
      </c>
      <c r="X35" s="52" t="str">
        <f aca="false">IF(T35&gt;0,N(K35)-(O35+P35-Q35-S35),"")</f>
        <v/>
      </c>
      <c r="Y35" s="55" t="str">
        <f aca="false">IF(AND(B35="",C35="",G35=""),"",IF(D35="","⚠ Pick category",IF(F35="","⚠ Enter put-to-use date",IF(G35="","⚠ Enter cost",IF(F35&gt;Setup!$C$6,"Not yet in use",IF(AND(J35&lt;&gt;"",J35&lt;F35),"⚠ Sale before put-to-use",IF(AND(J35&lt;&gt;"",J35&lt;Setup!$C$5),"Sold in an earlier year",IF(N(I35)&gt;G35,"⚠ Opening dep. more than cost",IF(T35&gt;0,"Sold this year",IF(AND(N(L35)&gt;0,W35&lt;=N35+1),"Fully depreciated","✔ OK"))))))))))</f>
        <v/>
      </c>
      <c r="Z35" s="56" t="str">
        <f aca="false">IF(F35="","",DATE(YEAR(F35)+IF(MONTH(F35)&gt;=MONTH(Setup!$C$5),1,0),MONTH(Setup!$C$5),1)-1)</f>
        <v/>
      </c>
      <c r="AA35" s="57" t="str">
        <f aca="false">IF(F35="","",(Z35-F35+1)/(Z35-DATE(YEAR(Z35+1)-1,MONTH(Setup!$C$5),1)+1))</f>
        <v/>
      </c>
      <c r="AB35" s="9" t="str">
        <f aca="false">IF(F35="","",MAX(0,YEAR(Setup!$C$5)-YEAR(Z35+1)))</f>
        <v/>
      </c>
      <c r="AC35" s="9" t="str">
        <f aca="false">IF(D35="","",IFERROR(VLOOKUP(D35,'Rate Chart'!$A$6:$F$23,5,FALSE()),""))</f>
        <v/>
      </c>
      <c r="AD35" s="9" t="str">
        <f aca="false">IF(P35&gt;0,Setup!$C$6-F35+1,"")</f>
        <v/>
      </c>
      <c r="AE35" s="9" t="str">
        <f aca="false">IF(D35="","",IF(H35="",Setup!$C$8,H35))</f>
        <v/>
      </c>
    </row>
    <row r="36" customFormat="false" ht="15" hidden="false" customHeight="false" outlineLevel="0" collapsed="false">
      <c r="A36" s="47" t="str">
        <f aca="false">IF(AND(B36="",C36=""),"",ROW()-6)</f>
        <v/>
      </c>
      <c r="B36" s="89"/>
      <c r="C36" s="86"/>
      <c r="D36" s="86"/>
      <c r="E36" s="86"/>
      <c r="F36" s="90"/>
      <c r="G36" s="91"/>
      <c r="H36" s="89"/>
      <c r="I36" s="91"/>
      <c r="J36" s="90"/>
      <c r="K36" s="91"/>
      <c r="L36" s="51" t="str">
        <f aca="false">IF(D36="","",IFERROR(VLOOKUP(D36,'Rate Chart'!$A$6:$F$23,2,FALSE()),0))</f>
        <v/>
      </c>
      <c r="M36" s="38" t="n">
        <f aca="false">IF(OR(L36="",N(L36)=0),0,IF(AE36="SLM",(1-Setup!$C$7)/L36,1-Setup!$C$7^(1/L36)))</f>
        <v>0</v>
      </c>
      <c r="N36" s="52" t="n">
        <f aca="false">IF(G36="",0,ROUND(G36*Setup!$C$7,0))</f>
        <v>0</v>
      </c>
      <c r="O36" s="52" t="n">
        <f aca="false">IF(OR(G36="",F36=""),0,IF(AND(F36&lt;Setup!$C$5,OR(J36="",J36&gt;=Setup!$C$5)),G36,0))</f>
        <v>0</v>
      </c>
      <c r="P36" s="52" t="n">
        <f aca="false">IF(OR(G36="",F36=""),0,IF(AND(F36&gt;=Setup!$C$5,F36&lt;=Setup!$C$6),G36,0))</f>
        <v>0</v>
      </c>
      <c r="Q36" s="52" t="n">
        <f aca="false">IF(O36=0,0,IF(I36&lt;&gt;"",I36,IF(N(L36)=0,0,ROUND(IF(AE36="SLM",MIN(G36-N36,(G36-N36)/L36*(AA36+AB36)),G36-MAX(N36,G36*(1-M36*AA36)*(1-M36)^AB36)),0))))</f>
        <v>0</v>
      </c>
      <c r="R36" s="51" t="n">
        <f aca="false">IF(OR(F36="",G36=""),0,IF(OR(F36&gt;Setup!$C$6,AND(J36&lt;&gt;"",J36&lt;Setup!$C$5)),0,MAX(0,MIN(Setup!$C$6,IF(J36="",Setup!$C$6,J36))-MAX(Setup!$C$5,F36)+1)))</f>
        <v>0</v>
      </c>
      <c r="S36" s="53" t="n">
        <f aca="false">IF(OR(N(L36)=0,R36=0),0,MAX(0,ROUND(MIN(IF(AE36="SLM",(G36-N36)/L36,(O36+P36-Q36)*M36)*R36/(Setup!$C$6-Setup!$C$5+1),O36+P36-Q36-N36),0)))</f>
        <v>0</v>
      </c>
      <c r="T36" s="52" t="n">
        <f aca="false">IF(AND(J36&lt;&gt;"",G36&lt;&gt;""),IF(AND(J36&gt;=Setup!$C$5,J36&lt;=Setup!$C$6),O36+P36,0),0)</f>
        <v>0</v>
      </c>
      <c r="U36" s="52" t="n">
        <f aca="false">IF(T36&gt;0,Q36+S36,0)</f>
        <v>0</v>
      </c>
      <c r="V36" s="52" t="n">
        <f aca="false">Q36+S36-U36</f>
        <v>0</v>
      </c>
      <c r="W36" s="54" t="n">
        <f aca="false">O36+P36-T36-V36</f>
        <v>0</v>
      </c>
      <c r="X36" s="52" t="str">
        <f aca="false">IF(T36&gt;0,N(K36)-(O36+P36-Q36-S36),"")</f>
        <v/>
      </c>
      <c r="Y36" s="55" t="str">
        <f aca="false">IF(AND(B36="",C36="",G36=""),"",IF(D36="","⚠ Pick category",IF(F36="","⚠ Enter put-to-use date",IF(G36="","⚠ Enter cost",IF(F36&gt;Setup!$C$6,"Not yet in use",IF(AND(J36&lt;&gt;"",J36&lt;F36),"⚠ Sale before put-to-use",IF(AND(J36&lt;&gt;"",J36&lt;Setup!$C$5),"Sold in an earlier year",IF(N(I36)&gt;G36,"⚠ Opening dep. more than cost",IF(T36&gt;0,"Sold this year",IF(AND(N(L36)&gt;0,W36&lt;=N36+1),"Fully depreciated","✔ OK"))))))))))</f>
        <v/>
      </c>
      <c r="Z36" s="56" t="str">
        <f aca="false">IF(F36="","",DATE(YEAR(F36)+IF(MONTH(F36)&gt;=MONTH(Setup!$C$5),1,0),MONTH(Setup!$C$5),1)-1)</f>
        <v/>
      </c>
      <c r="AA36" s="57" t="str">
        <f aca="false">IF(F36="","",(Z36-F36+1)/(Z36-DATE(YEAR(Z36+1)-1,MONTH(Setup!$C$5),1)+1))</f>
        <v/>
      </c>
      <c r="AB36" s="9" t="str">
        <f aca="false">IF(F36="","",MAX(0,YEAR(Setup!$C$5)-YEAR(Z36+1)))</f>
        <v/>
      </c>
      <c r="AC36" s="9" t="str">
        <f aca="false">IF(D36="","",IFERROR(VLOOKUP(D36,'Rate Chart'!$A$6:$F$23,5,FALSE()),""))</f>
        <v/>
      </c>
      <c r="AD36" s="9" t="str">
        <f aca="false">IF(P36&gt;0,Setup!$C$6-F36+1,"")</f>
        <v/>
      </c>
      <c r="AE36" s="9" t="str">
        <f aca="false">IF(D36="","",IF(H36="",Setup!$C$8,H36))</f>
        <v/>
      </c>
    </row>
    <row r="37" customFormat="false" ht="15" hidden="false" customHeight="false" outlineLevel="0" collapsed="false">
      <c r="A37" s="47" t="str">
        <f aca="false">IF(AND(B37="",C37=""),"",ROW()-6)</f>
        <v/>
      </c>
      <c r="B37" s="89"/>
      <c r="C37" s="86"/>
      <c r="D37" s="86"/>
      <c r="E37" s="86"/>
      <c r="F37" s="90"/>
      <c r="G37" s="91"/>
      <c r="H37" s="89"/>
      <c r="I37" s="91"/>
      <c r="J37" s="90"/>
      <c r="K37" s="91"/>
      <c r="L37" s="51" t="str">
        <f aca="false">IF(D37="","",IFERROR(VLOOKUP(D37,'Rate Chart'!$A$6:$F$23,2,FALSE()),0))</f>
        <v/>
      </c>
      <c r="M37" s="38" t="n">
        <f aca="false">IF(OR(L37="",N(L37)=0),0,IF(AE37="SLM",(1-Setup!$C$7)/L37,1-Setup!$C$7^(1/L37)))</f>
        <v>0</v>
      </c>
      <c r="N37" s="52" t="n">
        <f aca="false">IF(G37="",0,ROUND(G37*Setup!$C$7,0))</f>
        <v>0</v>
      </c>
      <c r="O37" s="52" t="n">
        <f aca="false">IF(OR(G37="",F37=""),0,IF(AND(F37&lt;Setup!$C$5,OR(J37="",J37&gt;=Setup!$C$5)),G37,0))</f>
        <v>0</v>
      </c>
      <c r="P37" s="52" t="n">
        <f aca="false">IF(OR(G37="",F37=""),0,IF(AND(F37&gt;=Setup!$C$5,F37&lt;=Setup!$C$6),G37,0))</f>
        <v>0</v>
      </c>
      <c r="Q37" s="52" t="n">
        <f aca="false">IF(O37=0,0,IF(I37&lt;&gt;"",I37,IF(N(L37)=0,0,ROUND(IF(AE37="SLM",MIN(G37-N37,(G37-N37)/L37*(AA37+AB37)),G37-MAX(N37,G37*(1-M37*AA37)*(1-M37)^AB37)),0))))</f>
        <v>0</v>
      </c>
      <c r="R37" s="51" t="n">
        <f aca="false">IF(OR(F37="",G37=""),0,IF(OR(F37&gt;Setup!$C$6,AND(J37&lt;&gt;"",J37&lt;Setup!$C$5)),0,MAX(0,MIN(Setup!$C$6,IF(J37="",Setup!$C$6,J37))-MAX(Setup!$C$5,F37)+1)))</f>
        <v>0</v>
      </c>
      <c r="S37" s="53" t="n">
        <f aca="false">IF(OR(N(L37)=0,R37=0),0,MAX(0,ROUND(MIN(IF(AE37="SLM",(G37-N37)/L37,(O37+P37-Q37)*M37)*R37/(Setup!$C$6-Setup!$C$5+1),O37+P37-Q37-N37),0)))</f>
        <v>0</v>
      </c>
      <c r="T37" s="52" t="n">
        <f aca="false">IF(AND(J37&lt;&gt;"",G37&lt;&gt;""),IF(AND(J37&gt;=Setup!$C$5,J37&lt;=Setup!$C$6),O37+P37,0),0)</f>
        <v>0</v>
      </c>
      <c r="U37" s="52" t="n">
        <f aca="false">IF(T37&gt;0,Q37+S37,0)</f>
        <v>0</v>
      </c>
      <c r="V37" s="52" t="n">
        <f aca="false">Q37+S37-U37</f>
        <v>0</v>
      </c>
      <c r="W37" s="54" t="n">
        <f aca="false">O37+P37-T37-V37</f>
        <v>0</v>
      </c>
      <c r="X37" s="52" t="str">
        <f aca="false">IF(T37&gt;0,N(K37)-(O37+P37-Q37-S37),"")</f>
        <v/>
      </c>
      <c r="Y37" s="55" t="str">
        <f aca="false">IF(AND(B37="",C37="",G37=""),"",IF(D37="","⚠ Pick category",IF(F37="","⚠ Enter put-to-use date",IF(G37="","⚠ Enter cost",IF(F37&gt;Setup!$C$6,"Not yet in use",IF(AND(J37&lt;&gt;"",J37&lt;F37),"⚠ Sale before put-to-use",IF(AND(J37&lt;&gt;"",J37&lt;Setup!$C$5),"Sold in an earlier year",IF(N(I37)&gt;G37,"⚠ Opening dep. more than cost",IF(T37&gt;0,"Sold this year",IF(AND(N(L37)&gt;0,W37&lt;=N37+1),"Fully depreciated","✔ OK"))))))))))</f>
        <v/>
      </c>
      <c r="Z37" s="56" t="str">
        <f aca="false">IF(F37="","",DATE(YEAR(F37)+IF(MONTH(F37)&gt;=MONTH(Setup!$C$5),1,0),MONTH(Setup!$C$5),1)-1)</f>
        <v/>
      </c>
      <c r="AA37" s="57" t="str">
        <f aca="false">IF(F37="","",(Z37-F37+1)/(Z37-DATE(YEAR(Z37+1)-1,MONTH(Setup!$C$5),1)+1))</f>
        <v/>
      </c>
      <c r="AB37" s="9" t="str">
        <f aca="false">IF(F37="","",MAX(0,YEAR(Setup!$C$5)-YEAR(Z37+1)))</f>
        <v/>
      </c>
      <c r="AC37" s="9" t="str">
        <f aca="false">IF(D37="","",IFERROR(VLOOKUP(D37,'Rate Chart'!$A$6:$F$23,5,FALSE()),""))</f>
        <v/>
      </c>
      <c r="AD37" s="9" t="str">
        <f aca="false">IF(P37&gt;0,Setup!$C$6-F37+1,"")</f>
        <v/>
      </c>
      <c r="AE37" s="9" t="str">
        <f aca="false">IF(D37="","",IF(H37="",Setup!$C$8,H37))</f>
        <v/>
      </c>
    </row>
    <row r="38" customFormat="false" ht="15" hidden="false" customHeight="false" outlineLevel="0" collapsed="false">
      <c r="A38" s="47" t="str">
        <f aca="false">IF(AND(B38="",C38=""),"",ROW()-6)</f>
        <v/>
      </c>
      <c r="B38" s="89"/>
      <c r="C38" s="86"/>
      <c r="D38" s="86"/>
      <c r="E38" s="86"/>
      <c r="F38" s="90"/>
      <c r="G38" s="91"/>
      <c r="H38" s="89"/>
      <c r="I38" s="91"/>
      <c r="J38" s="90"/>
      <c r="K38" s="91"/>
      <c r="L38" s="51" t="str">
        <f aca="false">IF(D38="","",IFERROR(VLOOKUP(D38,'Rate Chart'!$A$6:$F$23,2,FALSE()),0))</f>
        <v/>
      </c>
      <c r="M38" s="38" t="n">
        <f aca="false">IF(OR(L38="",N(L38)=0),0,IF(AE38="SLM",(1-Setup!$C$7)/L38,1-Setup!$C$7^(1/L38)))</f>
        <v>0</v>
      </c>
      <c r="N38" s="52" t="n">
        <f aca="false">IF(G38="",0,ROUND(G38*Setup!$C$7,0))</f>
        <v>0</v>
      </c>
      <c r="O38" s="52" t="n">
        <f aca="false">IF(OR(G38="",F38=""),0,IF(AND(F38&lt;Setup!$C$5,OR(J38="",J38&gt;=Setup!$C$5)),G38,0))</f>
        <v>0</v>
      </c>
      <c r="P38" s="52" t="n">
        <f aca="false">IF(OR(G38="",F38=""),0,IF(AND(F38&gt;=Setup!$C$5,F38&lt;=Setup!$C$6),G38,0))</f>
        <v>0</v>
      </c>
      <c r="Q38" s="52" t="n">
        <f aca="false">IF(O38=0,0,IF(I38&lt;&gt;"",I38,IF(N(L38)=0,0,ROUND(IF(AE38="SLM",MIN(G38-N38,(G38-N38)/L38*(AA38+AB38)),G38-MAX(N38,G38*(1-M38*AA38)*(1-M38)^AB38)),0))))</f>
        <v>0</v>
      </c>
      <c r="R38" s="51" t="n">
        <f aca="false">IF(OR(F38="",G38=""),0,IF(OR(F38&gt;Setup!$C$6,AND(J38&lt;&gt;"",J38&lt;Setup!$C$5)),0,MAX(0,MIN(Setup!$C$6,IF(J38="",Setup!$C$6,J38))-MAX(Setup!$C$5,F38)+1)))</f>
        <v>0</v>
      </c>
      <c r="S38" s="53" t="n">
        <f aca="false">IF(OR(N(L38)=0,R38=0),0,MAX(0,ROUND(MIN(IF(AE38="SLM",(G38-N38)/L38,(O38+P38-Q38)*M38)*R38/(Setup!$C$6-Setup!$C$5+1),O38+P38-Q38-N38),0)))</f>
        <v>0</v>
      </c>
      <c r="T38" s="52" t="n">
        <f aca="false">IF(AND(J38&lt;&gt;"",G38&lt;&gt;""),IF(AND(J38&gt;=Setup!$C$5,J38&lt;=Setup!$C$6),O38+P38,0),0)</f>
        <v>0</v>
      </c>
      <c r="U38" s="52" t="n">
        <f aca="false">IF(T38&gt;0,Q38+S38,0)</f>
        <v>0</v>
      </c>
      <c r="V38" s="52" t="n">
        <f aca="false">Q38+S38-U38</f>
        <v>0</v>
      </c>
      <c r="W38" s="54" t="n">
        <f aca="false">O38+P38-T38-V38</f>
        <v>0</v>
      </c>
      <c r="X38" s="52" t="str">
        <f aca="false">IF(T38&gt;0,N(K38)-(O38+P38-Q38-S38),"")</f>
        <v/>
      </c>
      <c r="Y38" s="55" t="str">
        <f aca="false">IF(AND(B38="",C38="",G38=""),"",IF(D38="","⚠ Pick category",IF(F38="","⚠ Enter put-to-use date",IF(G38="","⚠ Enter cost",IF(F38&gt;Setup!$C$6,"Not yet in use",IF(AND(J38&lt;&gt;"",J38&lt;F38),"⚠ Sale before put-to-use",IF(AND(J38&lt;&gt;"",J38&lt;Setup!$C$5),"Sold in an earlier year",IF(N(I38)&gt;G38,"⚠ Opening dep. more than cost",IF(T38&gt;0,"Sold this year",IF(AND(N(L38)&gt;0,W38&lt;=N38+1),"Fully depreciated","✔ OK"))))))))))</f>
        <v/>
      </c>
      <c r="Z38" s="56" t="str">
        <f aca="false">IF(F38="","",DATE(YEAR(F38)+IF(MONTH(F38)&gt;=MONTH(Setup!$C$5),1,0),MONTH(Setup!$C$5),1)-1)</f>
        <v/>
      </c>
      <c r="AA38" s="57" t="str">
        <f aca="false">IF(F38="","",(Z38-F38+1)/(Z38-DATE(YEAR(Z38+1)-1,MONTH(Setup!$C$5),1)+1))</f>
        <v/>
      </c>
      <c r="AB38" s="9" t="str">
        <f aca="false">IF(F38="","",MAX(0,YEAR(Setup!$C$5)-YEAR(Z38+1)))</f>
        <v/>
      </c>
      <c r="AC38" s="9" t="str">
        <f aca="false">IF(D38="","",IFERROR(VLOOKUP(D38,'Rate Chart'!$A$6:$F$23,5,FALSE()),""))</f>
        <v/>
      </c>
      <c r="AD38" s="9" t="str">
        <f aca="false">IF(P38&gt;0,Setup!$C$6-F38+1,"")</f>
        <v/>
      </c>
      <c r="AE38" s="9" t="str">
        <f aca="false">IF(D38="","",IF(H38="",Setup!$C$8,H38))</f>
        <v/>
      </c>
    </row>
    <row r="39" customFormat="false" ht="15" hidden="false" customHeight="false" outlineLevel="0" collapsed="false">
      <c r="A39" s="47" t="str">
        <f aca="false">IF(AND(B39="",C39=""),"",ROW()-6)</f>
        <v/>
      </c>
      <c r="B39" s="89"/>
      <c r="C39" s="86"/>
      <c r="D39" s="86"/>
      <c r="E39" s="86"/>
      <c r="F39" s="90"/>
      <c r="G39" s="91"/>
      <c r="H39" s="89"/>
      <c r="I39" s="91"/>
      <c r="J39" s="90"/>
      <c r="K39" s="91"/>
      <c r="L39" s="51" t="str">
        <f aca="false">IF(D39="","",IFERROR(VLOOKUP(D39,'Rate Chart'!$A$6:$F$23,2,FALSE()),0))</f>
        <v/>
      </c>
      <c r="M39" s="38" t="n">
        <f aca="false">IF(OR(L39="",N(L39)=0),0,IF(AE39="SLM",(1-Setup!$C$7)/L39,1-Setup!$C$7^(1/L39)))</f>
        <v>0</v>
      </c>
      <c r="N39" s="52" t="n">
        <f aca="false">IF(G39="",0,ROUND(G39*Setup!$C$7,0))</f>
        <v>0</v>
      </c>
      <c r="O39" s="52" t="n">
        <f aca="false">IF(OR(G39="",F39=""),0,IF(AND(F39&lt;Setup!$C$5,OR(J39="",J39&gt;=Setup!$C$5)),G39,0))</f>
        <v>0</v>
      </c>
      <c r="P39" s="52" t="n">
        <f aca="false">IF(OR(G39="",F39=""),0,IF(AND(F39&gt;=Setup!$C$5,F39&lt;=Setup!$C$6),G39,0))</f>
        <v>0</v>
      </c>
      <c r="Q39" s="52" t="n">
        <f aca="false">IF(O39=0,0,IF(I39&lt;&gt;"",I39,IF(N(L39)=0,0,ROUND(IF(AE39="SLM",MIN(G39-N39,(G39-N39)/L39*(AA39+AB39)),G39-MAX(N39,G39*(1-M39*AA39)*(1-M39)^AB39)),0))))</f>
        <v>0</v>
      </c>
      <c r="R39" s="51" t="n">
        <f aca="false">IF(OR(F39="",G39=""),0,IF(OR(F39&gt;Setup!$C$6,AND(J39&lt;&gt;"",J39&lt;Setup!$C$5)),0,MAX(0,MIN(Setup!$C$6,IF(J39="",Setup!$C$6,J39))-MAX(Setup!$C$5,F39)+1)))</f>
        <v>0</v>
      </c>
      <c r="S39" s="53" t="n">
        <f aca="false">IF(OR(N(L39)=0,R39=0),0,MAX(0,ROUND(MIN(IF(AE39="SLM",(G39-N39)/L39,(O39+P39-Q39)*M39)*R39/(Setup!$C$6-Setup!$C$5+1),O39+P39-Q39-N39),0)))</f>
        <v>0</v>
      </c>
      <c r="T39" s="52" t="n">
        <f aca="false">IF(AND(J39&lt;&gt;"",G39&lt;&gt;""),IF(AND(J39&gt;=Setup!$C$5,J39&lt;=Setup!$C$6),O39+P39,0),0)</f>
        <v>0</v>
      </c>
      <c r="U39" s="52" t="n">
        <f aca="false">IF(T39&gt;0,Q39+S39,0)</f>
        <v>0</v>
      </c>
      <c r="V39" s="52" t="n">
        <f aca="false">Q39+S39-U39</f>
        <v>0</v>
      </c>
      <c r="W39" s="54" t="n">
        <f aca="false">O39+P39-T39-V39</f>
        <v>0</v>
      </c>
      <c r="X39" s="52" t="str">
        <f aca="false">IF(T39&gt;0,N(K39)-(O39+P39-Q39-S39),"")</f>
        <v/>
      </c>
      <c r="Y39" s="55" t="str">
        <f aca="false">IF(AND(B39="",C39="",G39=""),"",IF(D39="","⚠ Pick category",IF(F39="","⚠ Enter put-to-use date",IF(G39="","⚠ Enter cost",IF(F39&gt;Setup!$C$6,"Not yet in use",IF(AND(J39&lt;&gt;"",J39&lt;F39),"⚠ Sale before put-to-use",IF(AND(J39&lt;&gt;"",J39&lt;Setup!$C$5),"Sold in an earlier year",IF(N(I39)&gt;G39,"⚠ Opening dep. more than cost",IF(T39&gt;0,"Sold this year",IF(AND(N(L39)&gt;0,W39&lt;=N39+1),"Fully depreciated","✔ OK"))))))))))</f>
        <v/>
      </c>
      <c r="Z39" s="56" t="str">
        <f aca="false">IF(F39="","",DATE(YEAR(F39)+IF(MONTH(F39)&gt;=MONTH(Setup!$C$5),1,0),MONTH(Setup!$C$5),1)-1)</f>
        <v/>
      </c>
      <c r="AA39" s="57" t="str">
        <f aca="false">IF(F39="","",(Z39-F39+1)/(Z39-DATE(YEAR(Z39+1)-1,MONTH(Setup!$C$5),1)+1))</f>
        <v/>
      </c>
      <c r="AB39" s="9" t="str">
        <f aca="false">IF(F39="","",MAX(0,YEAR(Setup!$C$5)-YEAR(Z39+1)))</f>
        <v/>
      </c>
      <c r="AC39" s="9" t="str">
        <f aca="false">IF(D39="","",IFERROR(VLOOKUP(D39,'Rate Chart'!$A$6:$F$23,5,FALSE()),""))</f>
        <v/>
      </c>
      <c r="AD39" s="9" t="str">
        <f aca="false">IF(P39&gt;0,Setup!$C$6-F39+1,"")</f>
        <v/>
      </c>
      <c r="AE39" s="9" t="str">
        <f aca="false">IF(D39="","",IF(H39="",Setup!$C$8,H39))</f>
        <v/>
      </c>
    </row>
    <row r="40" customFormat="false" ht="15" hidden="false" customHeight="false" outlineLevel="0" collapsed="false">
      <c r="A40" s="47" t="str">
        <f aca="false">IF(AND(B40="",C40=""),"",ROW()-6)</f>
        <v/>
      </c>
      <c r="B40" s="89"/>
      <c r="C40" s="86"/>
      <c r="D40" s="86"/>
      <c r="E40" s="86"/>
      <c r="F40" s="90"/>
      <c r="G40" s="91"/>
      <c r="H40" s="89"/>
      <c r="I40" s="91"/>
      <c r="J40" s="90"/>
      <c r="K40" s="91"/>
      <c r="L40" s="51" t="str">
        <f aca="false">IF(D40="","",IFERROR(VLOOKUP(D40,'Rate Chart'!$A$6:$F$23,2,FALSE()),0))</f>
        <v/>
      </c>
      <c r="M40" s="38" t="n">
        <f aca="false">IF(OR(L40="",N(L40)=0),0,IF(AE40="SLM",(1-Setup!$C$7)/L40,1-Setup!$C$7^(1/L40)))</f>
        <v>0</v>
      </c>
      <c r="N40" s="52" t="n">
        <f aca="false">IF(G40="",0,ROUND(G40*Setup!$C$7,0))</f>
        <v>0</v>
      </c>
      <c r="O40" s="52" t="n">
        <f aca="false">IF(OR(G40="",F40=""),0,IF(AND(F40&lt;Setup!$C$5,OR(J40="",J40&gt;=Setup!$C$5)),G40,0))</f>
        <v>0</v>
      </c>
      <c r="P40" s="52" t="n">
        <f aca="false">IF(OR(G40="",F40=""),0,IF(AND(F40&gt;=Setup!$C$5,F40&lt;=Setup!$C$6),G40,0))</f>
        <v>0</v>
      </c>
      <c r="Q40" s="52" t="n">
        <f aca="false">IF(O40=0,0,IF(I40&lt;&gt;"",I40,IF(N(L40)=0,0,ROUND(IF(AE40="SLM",MIN(G40-N40,(G40-N40)/L40*(AA40+AB40)),G40-MAX(N40,G40*(1-M40*AA40)*(1-M40)^AB40)),0))))</f>
        <v>0</v>
      </c>
      <c r="R40" s="51" t="n">
        <f aca="false">IF(OR(F40="",G40=""),0,IF(OR(F40&gt;Setup!$C$6,AND(J40&lt;&gt;"",J40&lt;Setup!$C$5)),0,MAX(0,MIN(Setup!$C$6,IF(J40="",Setup!$C$6,J40))-MAX(Setup!$C$5,F40)+1)))</f>
        <v>0</v>
      </c>
      <c r="S40" s="53" t="n">
        <f aca="false">IF(OR(N(L40)=0,R40=0),0,MAX(0,ROUND(MIN(IF(AE40="SLM",(G40-N40)/L40,(O40+P40-Q40)*M40)*R40/(Setup!$C$6-Setup!$C$5+1),O40+P40-Q40-N40),0)))</f>
        <v>0</v>
      </c>
      <c r="T40" s="52" t="n">
        <f aca="false">IF(AND(J40&lt;&gt;"",G40&lt;&gt;""),IF(AND(J40&gt;=Setup!$C$5,J40&lt;=Setup!$C$6),O40+P40,0),0)</f>
        <v>0</v>
      </c>
      <c r="U40" s="52" t="n">
        <f aca="false">IF(T40&gt;0,Q40+S40,0)</f>
        <v>0</v>
      </c>
      <c r="V40" s="52" t="n">
        <f aca="false">Q40+S40-U40</f>
        <v>0</v>
      </c>
      <c r="W40" s="54" t="n">
        <f aca="false">O40+P40-T40-V40</f>
        <v>0</v>
      </c>
      <c r="X40" s="52" t="str">
        <f aca="false">IF(T40&gt;0,N(K40)-(O40+P40-Q40-S40),"")</f>
        <v/>
      </c>
      <c r="Y40" s="55" t="str">
        <f aca="false">IF(AND(B40="",C40="",G40=""),"",IF(D40="","⚠ Pick category",IF(F40="","⚠ Enter put-to-use date",IF(G40="","⚠ Enter cost",IF(F40&gt;Setup!$C$6,"Not yet in use",IF(AND(J40&lt;&gt;"",J40&lt;F40),"⚠ Sale before put-to-use",IF(AND(J40&lt;&gt;"",J40&lt;Setup!$C$5),"Sold in an earlier year",IF(N(I40)&gt;G40,"⚠ Opening dep. more than cost",IF(T40&gt;0,"Sold this year",IF(AND(N(L40)&gt;0,W40&lt;=N40+1),"Fully depreciated","✔ OK"))))))))))</f>
        <v/>
      </c>
      <c r="Z40" s="56" t="str">
        <f aca="false">IF(F40="","",DATE(YEAR(F40)+IF(MONTH(F40)&gt;=MONTH(Setup!$C$5),1,0),MONTH(Setup!$C$5),1)-1)</f>
        <v/>
      </c>
      <c r="AA40" s="57" t="str">
        <f aca="false">IF(F40="","",(Z40-F40+1)/(Z40-DATE(YEAR(Z40+1)-1,MONTH(Setup!$C$5),1)+1))</f>
        <v/>
      </c>
      <c r="AB40" s="9" t="str">
        <f aca="false">IF(F40="","",MAX(0,YEAR(Setup!$C$5)-YEAR(Z40+1)))</f>
        <v/>
      </c>
      <c r="AC40" s="9" t="str">
        <f aca="false">IF(D40="","",IFERROR(VLOOKUP(D40,'Rate Chart'!$A$6:$F$23,5,FALSE()),""))</f>
        <v/>
      </c>
      <c r="AD40" s="9" t="str">
        <f aca="false">IF(P40&gt;0,Setup!$C$6-F40+1,"")</f>
        <v/>
      </c>
      <c r="AE40" s="9" t="str">
        <f aca="false">IF(D40="","",IF(H40="",Setup!$C$8,H40))</f>
        <v/>
      </c>
    </row>
    <row r="41" customFormat="false" ht="15" hidden="false" customHeight="false" outlineLevel="0" collapsed="false">
      <c r="A41" s="47" t="str">
        <f aca="false">IF(AND(B41="",C41=""),"",ROW()-6)</f>
        <v/>
      </c>
      <c r="B41" s="89"/>
      <c r="C41" s="86"/>
      <c r="D41" s="86"/>
      <c r="E41" s="86"/>
      <c r="F41" s="90"/>
      <c r="G41" s="91"/>
      <c r="H41" s="89"/>
      <c r="I41" s="91"/>
      <c r="J41" s="90"/>
      <c r="K41" s="91"/>
      <c r="L41" s="51" t="str">
        <f aca="false">IF(D41="","",IFERROR(VLOOKUP(D41,'Rate Chart'!$A$6:$F$23,2,FALSE()),0))</f>
        <v/>
      </c>
      <c r="M41" s="38" t="n">
        <f aca="false">IF(OR(L41="",N(L41)=0),0,IF(AE41="SLM",(1-Setup!$C$7)/L41,1-Setup!$C$7^(1/L41)))</f>
        <v>0</v>
      </c>
      <c r="N41" s="52" t="n">
        <f aca="false">IF(G41="",0,ROUND(G41*Setup!$C$7,0))</f>
        <v>0</v>
      </c>
      <c r="O41" s="52" t="n">
        <f aca="false">IF(OR(G41="",F41=""),0,IF(AND(F41&lt;Setup!$C$5,OR(J41="",J41&gt;=Setup!$C$5)),G41,0))</f>
        <v>0</v>
      </c>
      <c r="P41" s="52" t="n">
        <f aca="false">IF(OR(G41="",F41=""),0,IF(AND(F41&gt;=Setup!$C$5,F41&lt;=Setup!$C$6),G41,0))</f>
        <v>0</v>
      </c>
      <c r="Q41" s="52" t="n">
        <f aca="false">IF(O41=0,0,IF(I41&lt;&gt;"",I41,IF(N(L41)=0,0,ROUND(IF(AE41="SLM",MIN(G41-N41,(G41-N41)/L41*(AA41+AB41)),G41-MAX(N41,G41*(1-M41*AA41)*(1-M41)^AB41)),0))))</f>
        <v>0</v>
      </c>
      <c r="R41" s="51" t="n">
        <f aca="false">IF(OR(F41="",G41=""),0,IF(OR(F41&gt;Setup!$C$6,AND(J41&lt;&gt;"",J41&lt;Setup!$C$5)),0,MAX(0,MIN(Setup!$C$6,IF(J41="",Setup!$C$6,J41))-MAX(Setup!$C$5,F41)+1)))</f>
        <v>0</v>
      </c>
      <c r="S41" s="53" t="n">
        <f aca="false">IF(OR(N(L41)=0,R41=0),0,MAX(0,ROUND(MIN(IF(AE41="SLM",(G41-N41)/L41,(O41+P41-Q41)*M41)*R41/(Setup!$C$6-Setup!$C$5+1),O41+P41-Q41-N41),0)))</f>
        <v>0</v>
      </c>
      <c r="T41" s="52" t="n">
        <f aca="false">IF(AND(J41&lt;&gt;"",G41&lt;&gt;""),IF(AND(J41&gt;=Setup!$C$5,J41&lt;=Setup!$C$6),O41+P41,0),0)</f>
        <v>0</v>
      </c>
      <c r="U41" s="52" t="n">
        <f aca="false">IF(T41&gt;0,Q41+S41,0)</f>
        <v>0</v>
      </c>
      <c r="V41" s="52" t="n">
        <f aca="false">Q41+S41-U41</f>
        <v>0</v>
      </c>
      <c r="W41" s="54" t="n">
        <f aca="false">O41+P41-T41-V41</f>
        <v>0</v>
      </c>
      <c r="X41" s="52" t="str">
        <f aca="false">IF(T41&gt;0,N(K41)-(O41+P41-Q41-S41),"")</f>
        <v/>
      </c>
      <c r="Y41" s="55" t="str">
        <f aca="false">IF(AND(B41="",C41="",G41=""),"",IF(D41="","⚠ Pick category",IF(F41="","⚠ Enter put-to-use date",IF(G41="","⚠ Enter cost",IF(F41&gt;Setup!$C$6,"Not yet in use",IF(AND(J41&lt;&gt;"",J41&lt;F41),"⚠ Sale before put-to-use",IF(AND(J41&lt;&gt;"",J41&lt;Setup!$C$5),"Sold in an earlier year",IF(N(I41)&gt;G41,"⚠ Opening dep. more than cost",IF(T41&gt;0,"Sold this year",IF(AND(N(L41)&gt;0,W41&lt;=N41+1),"Fully depreciated","✔ OK"))))))))))</f>
        <v/>
      </c>
      <c r="Z41" s="56" t="str">
        <f aca="false">IF(F41="","",DATE(YEAR(F41)+IF(MONTH(F41)&gt;=MONTH(Setup!$C$5),1,0),MONTH(Setup!$C$5),1)-1)</f>
        <v/>
      </c>
      <c r="AA41" s="57" t="str">
        <f aca="false">IF(F41="","",(Z41-F41+1)/(Z41-DATE(YEAR(Z41+1)-1,MONTH(Setup!$C$5),1)+1))</f>
        <v/>
      </c>
      <c r="AB41" s="9" t="str">
        <f aca="false">IF(F41="","",MAX(0,YEAR(Setup!$C$5)-YEAR(Z41+1)))</f>
        <v/>
      </c>
      <c r="AC41" s="9" t="str">
        <f aca="false">IF(D41="","",IFERROR(VLOOKUP(D41,'Rate Chart'!$A$6:$F$23,5,FALSE()),""))</f>
        <v/>
      </c>
      <c r="AD41" s="9" t="str">
        <f aca="false">IF(P41&gt;0,Setup!$C$6-F41+1,"")</f>
        <v/>
      </c>
      <c r="AE41" s="9" t="str">
        <f aca="false">IF(D41="","",IF(H41="",Setup!$C$8,H41))</f>
        <v/>
      </c>
    </row>
    <row r="42" customFormat="false" ht="15" hidden="false" customHeight="false" outlineLevel="0" collapsed="false">
      <c r="A42" s="47" t="str">
        <f aca="false">IF(AND(B42="",C42=""),"",ROW()-6)</f>
        <v/>
      </c>
      <c r="B42" s="89"/>
      <c r="C42" s="86"/>
      <c r="D42" s="86"/>
      <c r="E42" s="86"/>
      <c r="F42" s="90"/>
      <c r="G42" s="91"/>
      <c r="H42" s="89"/>
      <c r="I42" s="91"/>
      <c r="J42" s="90"/>
      <c r="K42" s="91"/>
      <c r="L42" s="51" t="str">
        <f aca="false">IF(D42="","",IFERROR(VLOOKUP(D42,'Rate Chart'!$A$6:$F$23,2,FALSE()),0))</f>
        <v/>
      </c>
      <c r="M42" s="38" t="n">
        <f aca="false">IF(OR(L42="",N(L42)=0),0,IF(AE42="SLM",(1-Setup!$C$7)/L42,1-Setup!$C$7^(1/L42)))</f>
        <v>0</v>
      </c>
      <c r="N42" s="52" t="n">
        <f aca="false">IF(G42="",0,ROUND(G42*Setup!$C$7,0))</f>
        <v>0</v>
      </c>
      <c r="O42" s="52" t="n">
        <f aca="false">IF(OR(G42="",F42=""),0,IF(AND(F42&lt;Setup!$C$5,OR(J42="",J42&gt;=Setup!$C$5)),G42,0))</f>
        <v>0</v>
      </c>
      <c r="P42" s="52" t="n">
        <f aca="false">IF(OR(G42="",F42=""),0,IF(AND(F42&gt;=Setup!$C$5,F42&lt;=Setup!$C$6),G42,0))</f>
        <v>0</v>
      </c>
      <c r="Q42" s="52" t="n">
        <f aca="false">IF(O42=0,0,IF(I42&lt;&gt;"",I42,IF(N(L42)=0,0,ROUND(IF(AE42="SLM",MIN(G42-N42,(G42-N42)/L42*(AA42+AB42)),G42-MAX(N42,G42*(1-M42*AA42)*(1-M42)^AB42)),0))))</f>
        <v>0</v>
      </c>
      <c r="R42" s="51" t="n">
        <f aca="false">IF(OR(F42="",G42=""),0,IF(OR(F42&gt;Setup!$C$6,AND(J42&lt;&gt;"",J42&lt;Setup!$C$5)),0,MAX(0,MIN(Setup!$C$6,IF(J42="",Setup!$C$6,J42))-MAX(Setup!$C$5,F42)+1)))</f>
        <v>0</v>
      </c>
      <c r="S42" s="53" t="n">
        <f aca="false">IF(OR(N(L42)=0,R42=0),0,MAX(0,ROUND(MIN(IF(AE42="SLM",(G42-N42)/L42,(O42+P42-Q42)*M42)*R42/(Setup!$C$6-Setup!$C$5+1),O42+P42-Q42-N42),0)))</f>
        <v>0</v>
      </c>
      <c r="T42" s="52" t="n">
        <f aca="false">IF(AND(J42&lt;&gt;"",G42&lt;&gt;""),IF(AND(J42&gt;=Setup!$C$5,J42&lt;=Setup!$C$6),O42+P42,0),0)</f>
        <v>0</v>
      </c>
      <c r="U42" s="52" t="n">
        <f aca="false">IF(T42&gt;0,Q42+S42,0)</f>
        <v>0</v>
      </c>
      <c r="V42" s="52" t="n">
        <f aca="false">Q42+S42-U42</f>
        <v>0</v>
      </c>
      <c r="W42" s="54" t="n">
        <f aca="false">O42+P42-T42-V42</f>
        <v>0</v>
      </c>
      <c r="X42" s="52" t="str">
        <f aca="false">IF(T42&gt;0,N(K42)-(O42+P42-Q42-S42),"")</f>
        <v/>
      </c>
      <c r="Y42" s="55" t="str">
        <f aca="false">IF(AND(B42="",C42="",G42=""),"",IF(D42="","⚠ Pick category",IF(F42="","⚠ Enter put-to-use date",IF(G42="","⚠ Enter cost",IF(F42&gt;Setup!$C$6,"Not yet in use",IF(AND(J42&lt;&gt;"",J42&lt;F42),"⚠ Sale before put-to-use",IF(AND(J42&lt;&gt;"",J42&lt;Setup!$C$5),"Sold in an earlier year",IF(N(I42)&gt;G42,"⚠ Opening dep. more than cost",IF(T42&gt;0,"Sold this year",IF(AND(N(L42)&gt;0,W42&lt;=N42+1),"Fully depreciated","✔ OK"))))))))))</f>
        <v/>
      </c>
      <c r="Z42" s="56" t="str">
        <f aca="false">IF(F42="","",DATE(YEAR(F42)+IF(MONTH(F42)&gt;=MONTH(Setup!$C$5),1,0),MONTH(Setup!$C$5),1)-1)</f>
        <v/>
      </c>
      <c r="AA42" s="57" t="str">
        <f aca="false">IF(F42="","",(Z42-F42+1)/(Z42-DATE(YEAR(Z42+1)-1,MONTH(Setup!$C$5),1)+1))</f>
        <v/>
      </c>
      <c r="AB42" s="9" t="str">
        <f aca="false">IF(F42="","",MAX(0,YEAR(Setup!$C$5)-YEAR(Z42+1)))</f>
        <v/>
      </c>
      <c r="AC42" s="9" t="str">
        <f aca="false">IF(D42="","",IFERROR(VLOOKUP(D42,'Rate Chart'!$A$6:$F$23,5,FALSE()),""))</f>
        <v/>
      </c>
      <c r="AD42" s="9" t="str">
        <f aca="false">IF(P42&gt;0,Setup!$C$6-F42+1,"")</f>
        <v/>
      </c>
      <c r="AE42" s="9" t="str">
        <f aca="false">IF(D42="","",IF(H42="",Setup!$C$8,H42))</f>
        <v/>
      </c>
    </row>
    <row r="43" customFormat="false" ht="15" hidden="false" customHeight="false" outlineLevel="0" collapsed="false">
      <c r="A43" s="47" t="str">
        <f aca="false">IF(AND(B43="",C43=""),"",ROW()-6)</f>
        <v/>
      </c>
      <c r="B43" s="89"/>
      <c r="C43" s="86"/>
      <c r="D43" s="86"/>
      <c r="E43" s="86"/>
      <c r="F43" s="90"/>
      <c r="G43" s="91"/>
      <c r="H43" s="89"/>
      <c r="I43" s="91"/>
      <c r="J43" s="90"/>
      <c r="K43" s="91"/>
      <c r="L43" s="51" t="str">
        <f aca="false">IF(D43="","",IFERROR(VLOOKUP(D43,'Rate Chart'!$A$6:$F$23,2,FALSE()),0))</f>
        <v/>
      </c>
      <c r="M43" s="38" t="n">
        <f aca="false">IF(OR(L43="",N(L43)=0),0,IF(AE43="SLM",(1-Setup!$C$7)/L43,1-Setup!$C$7^(1/L43)))</f>
        <v>0</v>
      </c>
      <c r="N43" s="52" t="n">
        <f aca="false">IF(G43="",0,ROUND(G43*Setup!$C$7,0))</f>
        <v>0</v>
      </c>
      <c r="O43" s="52" t="n">
        <f aca="false">IF(OR(G43="",F43=""),0,IF(AND(F43&lt;Setup!$C$5,OR(J43="",J43&gt;=Setup!$C$5)),G43,0))</f>
        <v>0</v>
      </c>
      <c r="P43" s="52" t="n">
        <f aca="false">IF(OR(G43="",F43=""),0,IF(AND(F43&gt;=Setup!$C$5,F43&lt;=Setup!$C$6),G43,0))</f>
        <v>0</v>
      </c>
      <c r="Q43" s="52" t="n">
        <f aca="false">IF(O43=0,0,IF(I43&lt;&gt;"",I43,IF(N(L43)=0,0,ROUND(IF(AE43="SLM",MIN(G43-N43,(G43-N43)/L43*(AA43+AB43)),G43-MAX(N43,G43*(1-M43*AA43)*(1-M43)^AB43)),0))))</f>
        <v>0</v>
      </c>
      <c r="R43" s="51" t="n">
        <f aca="false">IF(OR(F43="",G43=""),0,IF(OR(F43&gt;Setup!$C$6,AND(J43&lt;&gt;"",J43&lt;Setup!$C$5)),0,MAX(0,MIN(Setup!$C$6,IF(J43="",Setup!$C$6,J43))-MAX(Setup!$C$5,F43)+1)))</f>
        <v>0</v>
      </c>
      <c r="S43" s="53" t="n">
        <f aca="false">IF(OR(N(L43)=0,R43=0),0,MAX(0,ROUND(MIN(IF(AE43="SLM",(G43-N43)/L43,(O43+P43-Q43)*M43)*R43/(Setup!$C$6-Setup!$C$5+1),O43+P43-Q43-N43),0)))</f>
        <v>0</v>
      </c>
      <c r="T43" s="52" t="n">
        <f aca="false">IF(AND(J43&lt;&gt;"",G43&lt;&gt;""),IF(AND(J43&gt;=Setup!$C$5,J43&lt;=Setup!$C$6),O43+P43,0),0)</f>
        <v>0</v>
      </c>
      <c r="U43" s="52" t="n">
        <f aca="false">IF(T43&gt;0,Q43+S43,0)</f>
        <v>0</v>
      </c>
      <c r="V43" s="52" t="n">
        <f aca="false">Q43+S43-U43</f>
        <v>0</v>
      </c>
      <c r="W43" s="54" t="n">
        <f aca="false">O43+P43-T43-V43</f>
        <v>0</v>
      </c>
      <c r="X43" s="52" t="str">
        <f aca="false">IF(T43&gt;0,N(K43)-(O43+P43-Q43-S43),"")</f>
        <v/>
      </c>
      <c r="Y43" s="55" t="str">
        <f aca="false">IF(AND(B43="",C43="",G43=""),"",IF(D43="","⚠ Pick category",IF(F43="","⚠ Enter put-to-use date",IF(G43="","⚠ Enter cost",IF(F43&gt;Setup!$C$6,"Not yet in use",IF(AND(J43&lt;&gt;"",J43&lt;F43),"⚠ Sale before put-to-use",IF(AND(J43&lt;&gt;"",J43&lt;Setup!$C$5),"Sold in an earlier year",IF(N(I43)&gt;G43,"⚠ Opening dep. more than cost",IF(T43&gt;0,"Sold this year",IF(AND(N(L43)&gt;0,W43&lt;=N43+1),"Fully depreciated","✔ OK"))))))))))</f>
        <v/>
      </c>
      <c r="Z43" s="56" t="str">
        <f aca="false">IF(F43="","",DATE(YEAR(F43)+IF(MONTH(F43)&gt;=MONTH(Setup!$C$5),1,0),MONTH(Setup!$C$5),1)-1)</f>
        <v/>
      </c>
      <c r="AA43" s="57" t="str">
        <f aca="false">IF(F43="","",(Z43-F43+1)/(Z43-DATE(YEAR(Z43+1)-1,MONTH(Setup!$C$5),1)+1))</f>
        <v/>
      </c>
      <c r="AB43" s="9" t="str">
        <f aca="false">IF(F43="","",MAX(0,YEAR(Setup!$C$5)-YEAR(Z43+1)))</f>
        <v/>
      </c>
      <c r="AC43" s="9" t="str">
        <f aca="false">IF(D43="","",IFERROR(VLOOKUP(D43,'Rate Chart'!$A$6:$F$23,5,FALSE()),""))</f>
        <v/>
      </c>
      <c r="AD43" s="9" t="str">
        <f aca="false">IF(P43&gt;0,Setup!$C$6-F43+1,"")</f>
        <v/>
      </c>
      <c r="AE43" s="9" t="str">
        <f aca="false">IF(D43="","",IF(H43="",Setup!$C$8,H43))</f>
        <v/>
      </c>
    </row>
    <row r="44" customFormat="false" ht="15" hidden="false" customHeight="false" outlineLevel="0" collapsed="false">
      <c r="A44" s="47" t="str">
        <f aca="false">IF(AND(B44="",C44=""),"",ROW()-6)</f>
        <v/>
      </c>
      <c r="B44" s="89"/>
      <c r="C44" s="86"/>
      <c r="D44" s="86"/>
      <c r="E44" s="86"/>
      <c r="F44" s="90"/>
      <c r="G44" s="91"/>
      <c r="H44" s="89"/>
      <c r="I44" s="91"/>
      <c r="J44" s="90"/>
      <c r="K44" s="91"/>
      <c r="L44" s="51" t="str">
        <f aca="false">IF(D44="","",IFERROR(VLOOKUP(D44,'Rate Chart'!$A$6:$F$23,2,FALSE()),0))</f>
        <v/>
      </c>
      <c r="M44" s="38" t="n">
        <f aca="false">IF(OR(L44="",N(L44)=0),0,IF(AE44="SLM",(1-Setup!$C$7)/L44,1-Setup!$C$7^(1/L44)))</f>
        <v>0</v>
      </c>
      <c r="N44" s="52" t="n">
        <f aca="false">IF(G44="",0,ROUND(G44*Setup!$C$7,0))</f>
        <v>0</v>
      </c>
      <c r="O44" s="52" t="n">
        <f aca="false">IF(OR(G44="",F44=""),0,IF(AND(F44&lt;Setup!$C$5,OR(J44="",J44&gt;=Setup!$C$5)),G44,0))</f>
        <v>0</v>
      </c>
      <c r="P44" s="52" t="n">
        <f aca="false">IF(OR(G44="",F44=""),0,IF(AND(F44&gt;=Setup!$C$5,F44&lt;=Setup!$C$6),G44,0))</f>
        <v>0</v>
      </c>
      <c r="Q44" s="52" t="n">
        <f aca="false">IF(O44=0,0,IF(I44&lt;&gt;"",I44,IF(N(L44)=0,0,ROUND(IF(AE44="SLM",MIN(G44-N44,(G44-N44)/L44*(AA44+AB44)),G44-MAX(N44,G44*(1-M44*AA44)*(1-M44)^AB44)),0))))</f>
        <v>0</v>
      </c>
      <c r="R44" s="51" t="n">
        <f aca="false">IF(OR(F44="",G44=""),0,IF(OR(F44&gt;Setup!$C$6,AND(J44&lt;&gt;"",J44&lt;Setup!$C$5)),0,MAX(0,MIN(Setup!$C$6,IF(J44="",Setup!$C$6,J44))-MAX(Setup!$C$5,F44)+1)))</f>
        <v>0</v>
      </c>
      <c r="S44" s="53" t="n">
        <f aca="false">IF(OR(N(L44)=0,R44=0),0,MAX(0,ROUND(MIN(IF(AE44="SLM",(G44-N44)/L44,(O44+P44-Q44)*M44)*R44/(Setup!$C$6-Setup!$C$5+1),O44+P44-Q44-N44),0)))</f>
        <v>0</v>
      </c>
      <c r="T44" s="52" t="n">
        <f aca="false">IF(AND(J44&lt;&gt;"",G44&lt;&gt;""),IF(AND(J44&gt;=Setup!$C$5,J44&lt;=Setup!$C$6),O44+P44,0),0)</f>
        <v>0</v>
      </c>
      <c r="U44" s="52" t="n">
        <f aca="false">IF(T44&gt;0,Q44+S44,0)</f>
        <v>0</v>
      </c>
      <c r="V44" s="52" t="n">
        <f aca="false">Q44+S44-U44</f>
        <v>0</v>
      </c>
      <c r="W44" s="54" t="n">
        <f aca="false">O44+P44-T44-V44</f>
        <v>0</v>
      </c>
      <c r="X44" s="52" t="str">
        <f aca="false">IF(T44&gt;0,N(K44)-(O44+P44-Q44-S44),"")</f>
        <v/>
      </c>
      <c r="Y44" s="55" t="str">
        <f aca="false">IF(AND(B44="",C44="",G44=""),"",IF(D44="","⚠ Pick category",IF(F44="","⚠ Enter put-to-use date",IF(G44="","⚠ Enter cost",IF(F44&gt;Setup!$C$6,"Not yet in use",IF(AND(J44&lt;&gt;"",J44&lt;F44),"⚠ Sale before put-to-use",IF(AND(J44&lt;&gt;"",J44&lt;Setup!$C$5),"Sold in an earlier year",IF(N(I44)&gt;G44,"⚠ Opening dep. more than cost",IF(T44&gt;0,"Sold this year",IF(AND(N(L44)&gt;0,W44&lt;=N44+1),"Fully depreciated","✔ OK"))))))))))</f>
        <v/>
      </c>
      <c r="Z44" s="56" t="str">
        <f aca="false">IF(F44="","",DATE(YEAR(F44)+IF(MONTH(F44)&gt;=MONTH(Setup!$C$5),1,0),MONTH(Setup!$C$5),1)-1)</f>
        <v/>
      </c>
      <c r="AA44" s="57" t="str">
        <f aca="false">IF(F44="","",(Z44-F44+1)/(Z44-DATE(YEAR(Z44+1)-1,MONTH(Setup!$C$5),1)+1))</f>
        <v/>
      </c>
      <c r="AB44" s="9" t="str">
        <f aca="false">IF(F44="","",MAX(0,YEAR(Setup!$C$5)-YEAR(Z44+1)))</f>
        <v/>
      </c>
      <c r="AC44" s="9" t="str">
        <f aca="false">IF(D44="","",IFERROR(VLOOKUP(D44,'Rate Chart'!$A$6:$F$23,5,FALSE()),""))</f>
        <v/>
      </c>
      <c r="AD44" s="9" t="str">
        <f aca="false">IF(P44&gt;0,Setup!$C$6-F44+1,"")</f>
        <v/>
      </c>
      <c r="AE44" s="9" t="str">
        <f aca="false">IF(D44="","",IF(H44="",Setup!$C$8,H44))</f>
        <v/>
      </c>
    </row>
    <row r="45" customFormat="false" ht="15" hidden="false" customHeight="false" outlineLevel="0" collapsed="false">
      <c r="A45" s="47" t="str">
        <f aca="false">IF(AND(B45="",C45=""),"",ROW()-6)</f>
        <v/>
      </c>
      <c r="B45" s="89"/>
      <c r="C45" s="86"/>
      <c r="D45" s="86"/>
      <c r="E45" s="86"/>
      <c r="F45" s="90"/>
      <c r="G45" s="91"/>
      <c r="H45" s="89"/>
      <c r="I45" s="91"/>
      <c r="J45" s="90"/>
      <c r="K45" s="91"/>
      <c r="L45" s="51" t="str">
        <f aca="false">IF(D45="","",IFERROR(VLOOKUP(D45,'Rate Chart'!$A$6:$F$23,2,FALSE()),0))</f>
        <v/>
      </c>
      <c r="M45" s="38" t="n">
        <f aca="false">IF(OR(L45="",N(L45)=0),0,IF(AE45="SLM",(1-Setup!$C$7)/L45,1-Setup!$C$7^(1/L45)))</f>
        <v>0</v>
      </c>
      <c r="N45" s="52" t="n">
        <f aca="false">IF(G45="",0,ROUND(G45*Setup!$C$7,0))</f>
        <v>0</v>
      </c>
      <c r="O45" s="52" t="n">
        <f aca="false">IF(OR(G45="",F45=""),0,IF(AND(F45&lt;Setup!$C$5,OR(J45="",J45&gt;=Setup!$C$5)),G45,0))</f>
        <v>0</v>
      </c>
      <c r="P45" s="52" t="n">
        <f aca="false">IF(OR(G45="",F45=""),0,IF(AND(F45&gt;=Setup!$C$5,F45&lt;=Setup!$C$6),G45,0))</f>
        <v>0</v>
      </c>
      <c r="Q45" s="52" t="n">
        <f aca="false">IF(O45=0,0,IF(I45&lt;&gt;"",I45,IF(N(L45)=0,0,ROUND(IF(AE45="SLM",MIN(G45-N45,(G45-N45)/L45*(AA45+AB45)),G45-MAX(N45,G45*(1-M45*AA45)*(1-M45)^AB45)),0))))</f>
        <v>0</v>
      </c>
      <c r="R45" s="51" t="n">
        <f aca="false">IF(OR(F45="",G45=""),0,IF(OR(F45&gt;Setup!$C$6,AND(J45&lt;&gt;"",J45&lt;Setup!$C$5)),0,MAX(0,MIN(Setup!$C$6,IF(J45="",Setup!$C$6,J45))-MAX(Setup!$C$5,F45)+1)))</f>
        <v>0</v>
      </c>
      <c r="S45" s="53" t="n">
        <f aca="false">IF(OR(N(L45)=0,R45=0),0,MAX(0,ROUND(MIN(IF(AE45="SLM",(G45-N45)/L45,(O45+P45-Q45)*M45)*R45/(Setup!$C$6-Setup!$C$5+1),O45+P45-Q45-N45),0)))</f>
        <v>0</v>
      </c>
      <c r="T45" s="52" t="n">
        <f aca="false">IF(AND(J45&lt;&gt;"",G45&lt;&gt;""),IF(AND(J45&gt;=Setup!$C$5,J45&lt;=Setup!$C$6),O45+P45,0),0)</f>
        <v>0</v>
      </c>
      <c r="U45" s="52" t="n">
        <f aca="false">IF(T45&gt;0,Q45+S45,0)</f>
        <v>0</v>
      </c>
      <c r="V45" s="52" t="n">
        <f aca="false">Q45+S45-U45</f>
        <v>0</v>
      </c>
      <c r="W45" s="54" t="n">
        <f aca="false">O45+P45-T45-V45</f>
        <v>0</v>
      </c>
      <c r="X45" s="52" t="str">
        <f aca="false">IF(T45&gt;0,N(K45)-(O45+P45-Q45-S45),"")</f>
        <v/>
      </c>
      <c r="Y45" s="55" t="str">
        <f aca="false">IF(AND(B45="",C45="",G45=""),"",IF(D45="","⚠ Pick category",IF(F45="","⚠ Enter put-to-use date",IF(G45="","⚠ Enter cost",IF(F45&gt;Setup!$C$6,"Not yet in use",IF(AND(J45&lt;&gt;"",J45&lt;F45),"⚠ Sale before put-to-use",IF(AND(J45&lt;&gt;"",J45&lt;Setup!$C$5),"Sold in an earlier year",IF(N(I45)&gt;G45,"⚠ Opening dep. more than cost",IF(T45&gt;0,"Sold this year",IF(AND(N(L45)&gt;0,W45&lt;=N45+1),"Fully depreciated","✔ OK"))))))))))</f>
        <v/>
      </c>
      <c r="Z45" s="56" t="str">
        <f aca="false">IF(F45="","",DATE(YEAR(F45)+IF(MONTH(F45)&gt;=MONTH(Setup!$C$5),1,0),MONTH(Setup!$C$5),1)-1)</f>
        <v/>
      </c>
      <c r="AA45" s="57" t="str">
        <f aca="false">IF(F45="","",(Z45-F45+1)/(Z45-DATE(YEAR(Z45+1)-1,MONTH(Setup!$C$5),1)+1))</f>
        <v/>
      </c>
      <c r="AB45" s="9" t="str">
        <f aca="false">IF(F45="","",MAX(0,YEAR(Setup!$C$5)-YEAR(Z45+1)))</f>
        <v/>
      </c>
      <c r="AC45" s="9" t="str">
        <f aca="false">IF(D45="","",IFERROR(VLOOKUP(D45,'Rate Chart'!$A$6:$F$23,5,FALSE()),""))</f>
        <v/>
      </c>
      <c r="AD45" s="9" t="str">
        <f aca="false">IF(P45&gt;0,Setup!$C$6-F45+1,"")</f>
        <v/>
      </c>
      <c r="AE45" s="9" t="str">
        <f aca="false">IF(D45="","",IF(H45="",Setup!$C$8,H45))</f>
        <v/>
      </c>
    </row>
    <row r="46" customFormat="false" ht="15" hidden="false" customHeight="false" outlineLevel="0" collapsed="false">
      <c r="A46" s="47" t="str">
        <f aca="false">IF(AND(B46="",C46=""),"",ROW()-6)</f>
        <v/>
      </c>
      <c r="B46" s="89"/>
      <c r="C46" s="86"/>
      <c r="D46" s="86"/>
      <c r="E46" s="86"/>
      <c r="F46" s="90"/>
      <c r="G46" s="91"/>
      <c r="H46" s="89"/>
      <c r="I46" s="91"/>
      <c r="J46" s="90"/>
      <c r="K46" s="91"/>
      <c r="L46" s="51" t="str">
        <f aca="false">IF(D46="","",IFERROR(VLOOKUP(D46,'Rate Chart'!$A$6:$F$23,2,FALSE()),0))</f>
        <v/>
      </c>
      <c r="M46" s="38" t="n">
        <f aca="false">IF(OR(L46="",N(L46)=0),0,IF(AE46="SLM",(1-Setup!$C$7)/L46,1-Setup!$C$7^(1/L46)))</f>
        <v>0</v>
      </c>
      <c r="N46" s="52" t="n">
        <f aca="false">IF(G46="",0,ROUND(G46*Setup!$C$7,0))</f>
        <v>0</v>
      </c>
      <c r="O46" s="52" t="n">
        <f aca="false">IF(OR(G46="",F46=""),0,IF(AND(F46&lt;Setup!$C$5,OR(J46="",J46&gt;=Setup!$C$5)),G46,0))</f>
        <v>0</v>
      </c>
      <c r="P46" s="52" t="n">
        <f aca="false">IF(OR(G46="",F46=""),0,IF(AND(F46&gt;=Setup!$C$5,F46&lt;=Setup!$C$6),G46,0))</f>
        <v>0</v>
      </c>
      <c r="Q46" s="52" t="n">
        <f aca="false">IF(O46=0,0,IF(I46&lt;&gt;"",I46,IF(N(L46)=0,0,ROUND(IF(AE46="SLM",MIN(G46-N46,(G46-N46)/L46*(AA46+AB46)),G46-MAX(N46,G46*(1-M46*AA46)*(1-M46)^AB46)),0))))</f>
        <v>0</v>
      </c>
      <c r="R46" s="51" t="n">
        <f aca="false">IF(OR(F46="",G46=""),0,IF(OR(F46&gt;Setup!$C$6,AND(J46&lt;&gt;"",J46&lt;Setup!$C$5)),0,MAX(0,MIN(Setup!$C$6,IF(J46="",Setup!$C$6,J46))-MAX(Setup!$C$5,F46)+1)))</f>
        <v>0</v>
      </c>
      <c r="S46" s="53" t="n">
        <f aca="false">IF(OR(N(L46)=0,R46=0),0,MAX(0,ROUND(MIN(IF(AE46="SLM",(G46-N46)/L46,(O46+P46-Q46)*M46)*R46/(Setup!$C$6-Setup!$C$5+1),O46+P46-Q46-N46),0)))</f>
        <v>0</v>
      </c>
      <c r="T46" s="52" t="n">
        <f aca="false">IF(AND(J46&lt;&gt;"",G46&lt;&gt;""),IF(AND(J46&gt;=Setup!$C$5,J46&lt;=Setup!$C$6),O46+P46,0),0)</f>
        <v>0</v>
      </c>
      <c r="U46" s="52" t="n">
        <f aca="false">IF(T46&gt;0,Q46+S46,0)</f>
        <v>0</v>
      </c>
      <c r="V46" s="52" t="n">
        <f aca="false">Q46+S46-U46</f>
        <v>0</v>
      </c>
      <c r="W46" s="54" t="n">
        <f aca="false">O46+P46-T46-V46</f>
        <v>0</v>
      </c>
      <c r="X46" s="52" t="str">
        <f aca="false">IF(T46&gt;0,N(K46)-(O46+P46-Q46-S46),"")</f>
        <v/>
      </c>
      <c r="Y46" s="55" t="str">
        <f aca="false">IF(AND(B46="",C46="",G46=""),"",IF(D46="","⚠ Pick category",IF(F46="","⚠ Enter put-to-use date",IF(G46="","⚠ Enter cost",IF(F46&gt;Setup!$C$6,"Not yet in use",IF(AND(J46&lt;&gt;"",J46&lt;F46),"⚠ Sale before put-to-use",IF(AND(J46&lt;&gt;"",J46&lt;Setup!$C$5),"Sold in an earlier year",IF(N(I46)&gt;G46,"⚠ Opening dep. more than cost",IF(T46&gt;0,"Sold this year",IF(AND(N(L46)&gt;0,W46&lt;=N46+1),"Fully depreciated","✔ OK"))))))))))</f>
        <v/>
      </c>
      <c r="Z46" s="56" t="str">
        <f aca="false">IF(F46="","",DATE(YEAR(F46)+IF(MONTH(F46)&gt;=MONTH(Setup!$C$5),1,0),MONTH(Setup!$C$5),1)-1)</f>
        <v/>
      </c>
      <c r="AA46" s="57" t="str">
        <f aca="false">IF(F46="","",(Z46-F46+1)/(Z46-DATE(YEAR(Z46+1)-1,MONTH(Setup!$C$5),1)+1))</f>
        <v/>
      </c>
      <c r="AB46" s="9" t="str">
        <f aca="false">IF(F46="","",MAX(0,YEAR(Setup!$C$5)-YEAR(Z46+1)))</f>
        <v/>
      </c>
      <c r="AC46" s="9" t="str">
        <f aca="false">IF(D46="","",IFERROR(VLOOKUP(D46,'Rate Chart'!$A$6:$F$23,5,FALSE()),""))</f>
        <v/>
      </c>
      <c r="AD46" s="9" t="str">
        <f aca="false">IF(P46&gt;0,Setup!$C$6-F46+1,"")</f>
        <v/>
      </c>
      <c r="AE46" s="9" t="str">
        <f aca="false">IF(D46="","",IF(H46="",Setup!$C$8,H46))</f>
        <v/>
      </c>
    </row>
    <row r="47" customFormat="false" ht="15" hidden="false" customHeight="false" outlineLevel="0" collapsed="false">
      <c r="A47" s="47" t="str">
        <f aca="false">IF(AND(B47="",C47=""),"",ROW()-6)</f>
        <v/>
      </c>
      <c r="B47" s="89"/>
      <c r="C47" s="86"/>
      <c r="D47" s="86"/>
      <c r="E47" s="86"/>
      <c r="F47" s="90"/>
      <c r="G47" s="91"/>
      <c r="H47" s="89"/>
      <c r="I47" s="91"/>
      <c r="J47" s="90"/>
      <c r="K47" s="91"/>
      <c r="L47" s="51" t="str">
        <f aca="false">IF(D47="","",IFERROR(VLOOKUP(D47,'Rate Chart'!$A$6:$F$23,2,FALSE()),0))</f>
        <v/>
      </c>
      <c r="M47" s="38" t="n">
        <f aca="false">IF(OR(L47="",N(L47)=0),0,IF(AE47="SLM",(1-Setup!$C$7)/L47,1-Setup!$C$7^(1/L47)))</f>
        <v>0</v>
      </c>
      <c r="N47" s="52" t="n">
        <f aca="false">IF(G47="",0,ROUND(G47*Setup!$C$7,0))</f>
        <v>0</v>
      </c>
      <c r="O47" s="52" t="n">
        <f aca="false">IF(OR(G47="",F47=""),0,IF(AND(F47&lt;Setup!$C$5,OR(J47="",J47&gt;=Setup!$C$5)),G47,0))</f>
        <v>0</v>
      </c>
      <c r="P47" s="52" t="n">
        <f aca="false">IF(OR(G47="",F47=""),0,IF(AND(F47&gt;=Setup!$C$5,F47&lt;=Setup!$C$6),G47,0))</f>
        <v>0</v>
      </c>
      <c r="Q47" s="52" t="n">
        <f aca="false">IF(O47=0,0,IF(I47&lt;&gt;"",I47,IF(N(L47)=0,0,ROUND(IF(AE47="SLM",MIN(G47-N47,(G47-N47)/L47*(AA47+AB47)),G47-MAX(N47,G47*(1-M47*AA47)*(1-M47)^AB47)),0))))</f>
        <v>0</v>
      </c>
      <c r="R47" s="51" t="n">
        <f aca="false">IF(OR(F47="",G47=""),0,IF(OR(F47&gt;Setup!$C$6,AND(J47&lt;&gt;"",J47&lt;Setup!$C$5)),0,MAX(0,MIN(Setup!$C$6,IF(J47="",Setup!$C$6,J47))-MAX(Setup!$C$5,F47)+1)))</f>
        <v>0</v>
      </c>
      <c r="S47" s="53" t="n">
        <f aca="false">IF(OR(N(L47)=0,R47=0),0,MAX(0,ROUND(MIN(IF(AE47="SLM",(G47-N47)/L47,(O47+P47-Q47)*M47)*R47/(Setup!$C$6-Setup!$C$5+1),O47+P47-Q47-N47),0)))</f>
        <v>0</v>
      </c>
      <c r="T47" s="52" t="n">
        <f aca="false">IF(AND(J47&lt;&gt;"",G47&lt;&gt;""),IF(AND(J47&gt;=Setup!$C$5,J47&lt;=Setup!$C$6),O47+P47,0),0)</f>
        <v>0</v>
      </c>
      <c r="U47" s="52" t="n">
        <f aca="false">IF(T47&gt;0,Q47+S47,0)</f>
        <v>0</v>
      </c>
      <c r="V47" s="52" t="n">
        <f aca="false">Q47+S47-U47</f>
        <v>0</v>
      </c>
      <c r="W47" s="54" t="n">
        <f aca="false">O47+P47-T47-V47</f>
        <v>0</v>
      </c>
      <c r="X47" s="52" t="str">
        <f aca="false">IF(T47&gt;0,N(K47)-(O47+P47-Q47-S47),"")</f>
        <v/>
      </c>
      <c r="Y47" s="55" t="str">
        <f aca="false">IF(AND(B47="",C47="",G47=""),"",IF(D47="","⚠ Pick category",IF(F47="","⚠ Enter put-to-use date",IF(G47="","⚠ Enter cost",IF(F47&gt;Setup!$C$6,"Not yet in use",IF(AND(J47&lt;&gt;"",J47&lt;F47),"⚠ Sale before put-to-use",IF(AND(J47&lt;&gt;"",J47&lt;Setup!$C$5),"Sold in an earlier year",IF(N(I47)&gt;G47,"⚠ Opening dep. more than cost",IF(T47&gt;0,"Sold this year",IF(AND(N(L47)&gt;0,W47&lt;=N47+1),"Fully depreciated","✔ OK"))))))))))</f>
        <v/>
      </c>
      <c r="Z47" s="56" t="str">
        <f aca="false">IF(F47="","",DATE(YEAR(F47)+IF(MONTH(F47)&gt;=MONTH(Setup!$C$5),1,0),MONTH(Setup!$C$5),1)-1)</f>
        <v/>
      </c>
      <c r="AA47" s="57" t="str">
        <f aca="false">IF(F47="","",(Z47-F47+1)/(Z47-DATE(YEAR(Z47+1)-1,MONTH(Setup!$C$5),1)+1))</f>
        <v/>
      </c>
      <c r="AB47" s="9" t="str">
        <f aca="false">IF(F47="","",MAX(0,YEAR(Setup!$C$5)-YEAR(Z47+1)))</f>
        <v/>
      </c>
      <c r="AC47" s="9" t="str">
        <f aca="false">IF(D47="","",IFERROR(VLOOKUP(D47,'Rate Chart'!$A$6:$F$23,5,FALSE()),""))</f>
        <v/>
      </c>
      <c r="AD47" s="9" t="str">
        <f aca="false">IF(P47&gt;0,Setup!$C$6-F47+1,"")</f>
        <v/>
      </c>
      <c r="AE47" s="9" t="str">
        <f aca="false">IF(D47="","",IF(H47="",Setup!$C$8,H47))</f>
        <v/>
      </c>
    </row>
    <row r="48" customFormat="false" ht="15" hidden="false" customHeight="false" outlineLevel="0" collapsed="false">
      <c r="A48" s="47" t="str">
        <f aca="false">IF(AND(B48="",C48=""),"",ROW()-6)</f>
        <v/>
      </c>
      <c r="B48" s="89"/>
      <c r="C48" s="86"/>
      <c r="D48" s="86"/>
      <c r="E48" s="86"/>
      <c r="F48" s="90"/>
      <c r="G48" s="91"/>
      <c r="H48" s="89"/>
      <c r="I48" s="91"/>
      <c r="J48" s="90"/>
      <c r="K48" s="91"/>
      <c r="L48" s="51" t="str">
        <f aca="false">IF(D48="","",IFERROR(VLOOKUP(D48,'Rate Chart'!$A$6:$F$23,2,FALSE()),0))</f>
        <v/>
      </c>
      <c r="M48" s="38" t="n">
        <f aca="false">IF(OR(L48="",N(L48)=0),0,IF(AE48="SLM",(1-Setup!$C$7)/L48,1-Setup!$C$7^(1/L48)))</f>
        <v>0</v>
      </c>
      <c r="N48" s="52" t="n">
        <f aca="false">IF(G48="",0,ROUND(G48*Setup!$C$7,0))</f>
        <v>0</v>
      </c>
      <c r="O48" s="52" t="n">
        <f aca="false">IF(OR(G48="",F48=""),0,IF(AND(F48&lt;Setup!$C$5,OR(J48="",J48&gt;=Setup!$C$5)),G48,0))</f>
        <v>0</v>
      </c>
      <c r="P48" s="52" t="n">
        <f aca="false">IF(OR(G48="",F48=""),0,IF(AND(F48&gt;=Setup!$C$5,F48&lt;=Setup!$C$6),G48,0))</f>
        <v>0</v>
      </c>
      <c r="Q48" s="52" t="n">
        <f aca="false">IF(O48=0,0,IF(I48&lt;&gt;"",I48,IF(N(L48)=0,0,ROUND(IF(AE48="SLM",MIN(G48-N48,(G48-N48)/L48*(AA48+AB48)),G48-MAX(N48,G48*(1-M48*AA48)*(1-M48)^AB48)),0))))</f>
        <v>0</v>
      </c>
      <c r="R48" s="51" t="n">
        <f aca="false">IF(OR(F48="",G48=""),0,IF(OR(F48&gt;Setup!$C$6,AND(J48&lt;&gt;"",J48&lt;Setup!$C$5)),0,MAX(0,MIN(Setup!$C$6,IF(J48="",Setup!$C$6,J48))-MAX(Setup!$C$5,F48)+1)))</f>
        <v>0</v>
      </c>
      <c r="S48" s="53" t="n">
        <f aca="false">IF(OR(N(L48)=0,R48=0),0,MAX(0,ROUND(MIN(IF(AE48="SLM",(G48-N48)/L48,(O48+P48-Q48)*M48)*R48/(Setup!$C$6-Setup!$C$5+1),O48+P48-Q48-N48),0)))</f>
        <v>0</v>
      </c>
      <c r="T48" s="52" t="n">
        <f aca="false">IF(AND(J48&lt;&gt;"",G48&lt;&gt;""),IF(AND(J48&gt;=Setup!$C$5,J48&lt;=Setup!$C$6),O48+P48,0),0)</f>
        <v>0</v>
      </c>
      <c r="U48" s="52" t="n">
        <f aca="false">IF(T48&gt;0,Q48+S48,0)</f>
        <v>0</v>
      </c>
      <c r="V48" s="52" t="n">
        <f aca="false">Q48+S48-U48</f>
        <v>0</v>
      </c>
      <c r="W48" s="54" t="n">
        <f aca="false">O48+P48-T48-V48</f>
        <v>0</v>
      </c>
      <c r="X48" s="52" t="str">
        <f aca="false">IF(T48&gt;0,N(K48)-(O48+P48-Q48-S48),"")</f>
        <v/>
      </c>
      <c r="Y48" s="55" t="str">
        <f aca="false">IF(AND(B48="",C48="",G48=""),"",IF(D48="","⚠ Pick category",IF(F48="","⚠ Enter put-to-use date",IF(G48="","⚠ Enter cost",IF(F48&gt;Setup!$C$6,"Not yet in use",IF(AND(J48&lt;&gt;"",J48&lt;F48),"⚠ Sale before put-to-use",IF(AND(J48&lt;&gt;"",J48&lt;Setup!$C$5),"Sold in an earlier year",IF(N(I48)&gt;G48,"⚠ Opening dep. more than cost",IF(T48&gt;0,"Sold this year",IF(AND(N(L48)&gt;0,W48&lt;=N48+1),"Fully depreciated","✔ OK"))))))))))</f>
        <v/>
      </c>
      <c r="Z48" s="56" t="str">
        <f aca="false">IF(F48="","",DATE(YEAR(F48)+IF(MONTH(F48)&gt;=MONTH(Setup!$C$5),1,0),MONTH(Setup!$C$5),1)-1)</f>
        <v/>
      </c>
      <c r="AA48" s="57" t="str">
        <f aca="false">IF(F48="","",(Z48-F48+1)/(Z48-DATE(YEAR(Z48+1)-1,MONTH(Setup!$C$5),1)+1))</f>
        <v/>
      </c>
      <c r="AB48" s="9" t="str">
        <f aca="false">IF(F48="","",MAX(0,YEAR(Setup!$C$5)-YEAR(Z48+1)))</f>
        <v/>
      </c>
      <c r="AC48" s="9" t="str">
        <f aca="false">IF(D48="","",IFERROR(VLOOKUP(D48,'Rate Chart'!$A$6:$F$23,5,FALSE()),""))</f>
        <v/>
      </c>
      <c r="AD48" s="9" t="str">
        <f aca="false">IF(P48&gt;0,Setup!$C$6-F48+1,"")</f>
        <v/>
      </c>
      <c r="AE48" s="9" t="str">
        <f aca="false">IF(D48="","",IF(H48="",Setup!$C$8,H48))</f>
        <v/>
      </c>
    </row>
    <row r="49" customFormat="false" ht="15" hidden="false" customHeight="false" outlineLevel="0" collapsed="false">
      <c r="A49" s="47" t="str">
        <f aca="false">IF(AND(B49="",C49=""),"",ROW()-6)</f>
        <v/>
      </c>
      <c r="B49" s="89"/>
      <c r="C49" s="86"/>
      <c r="D49" s="86"/>
      <c r="E49" s="86"/>
      <c r="F49" s="90"/>
      <c r="G49" s="91"/>
      <c r="H49" s="89"/>
      <c r="I49" s="91"/>
      <c r="J49" s="90"/>
      <c r="K49" s="91"/>
      <c r="L49" s="51" t="str">
        <f aca="false">IF(D49="","",IFERROR(VLOOKUP(D49,'Rate Chart'!$A$6:$F$23,2,FALSE()),0))</f>
        <v/>
      </c>
      <c r="M49" s="38" t="n">
        <f aca="false">IF(OR(L49="",N(L49)=0),0,IF(AE49="SLM",(1-Setup!$C$7)/L49,1-Setup!$C$7^(1/L49)))</f>
        <v>0</v>
      </c>
      <c r="N49" s="52" t="n">
        <f aca="false">IF(G49="",0,ROUND(G49*Setup!$C$7,0))</f>
        <v>0</v>
      </c>
      <c r="O49" s="52" t="n">
        <f aca="false">IF(OR(G49="",F49=""),0,IF(AND(F49&lt;Setup!$C$5,OR(J49="",J49&gt;=Setup!$C$5)),G49,0))</f>
        <v>0</v>
      </c>
      <c r="P49" s="52" t="n">
        <f aca="false">IF(OR(G49="",F49=""),0,IF(AND(F49&gt;=Setup!$C$5,F49&lt;=Setup!$C$6),G49,0))</f>
        <v>0</v>
      </c>
      <c r="Q49" s="52" t="n">
        <f aca="false">IF(O49=0,0,IF(I49&lt;&gt;"",I49,IF(N(L49)=0,0,ROUND(IF(AE49="SLM",MIN(G49-N49,(G49-N49)/L49*(AA49+AB49)),G49-MAX(N49,G49*(1-M49*AA49)*(1-M49)^AB49)),0))))</f>
        <v>0</v>
      </c>
      <c r="R49" s="51" t="n">
        <f aca="false">IF(OR(F49="",G49=""),0,IF(OR(F49&gt;Setup!$C$6,AND(J49&lt;&gt;"",J49&lt;Setup!$C$5)),0,MAX(0,MIN(Setup!$C$6,IF(J49="",Setup!$C$6,J49))-MAX(Setup!$C$5,F49)+1)))</f>
        <v>0</v>
      </c>
      <c r="S49" s="53" t="n">
        <f aca="false">IF(OR(N(L49)=0,R49=0),0,MAX(0,ROUND(MIN(IF(AE49="SLM",(G49-N49)/L49,(O49+P49-Q49)*M49)*R49/(Setup!$C$6-Setup!$C$5+1),O49+P49-Q49-N49),0)))</f>
        <v>0</v>
      </c>
      <c r="T49" s="52" t="n">
        <f aca="false">IF(AND(J49&lt;&gt;"",G49&lt;&gt;""),IF(AND(J49&gt;=Setup!$C$5,J49&lt;=Setup!$C$6),O49+P49,0),0)</f>
        <v>0</v>
      </c>
      <c r="U49" s="52" t="n">
        <f aca="false">IF(T49&gt;0,Q49+S49,0)</f>
        <v>0</v>
      </c>
      <c r="V49" s="52" t="n">
        <f aca="false">Q49+S49-U49</f>
        <v>0</v>
      </c>
      <c r="W49" s="54" t="n">
        <f aca="false">O49+P49-T49-V49</f>
        <v>0</v>
      </c>
      <c r="X49" s="52" t="str">
        <f aca="false">IF(T49&gt;0,N(K49)-(O49+P49-Q49-S49),"")</f>
        <v/>
      </c>
      <c r="Y49" s="55" t="str">
        <f aca="false">IF(AND(B49="",C49="",G49=""),"",IF(D49="","⚠ Pick category",IF(F49="","⚠ Enter put-to-use date",IF(G49="","⚠ Enter cost",IF(F49&gt;Setup!$C$6,"Not yet in use",IF(AND(J49&lt;&gt;"",J49&lt;F49),"⚠ Sale before put-to-use",IF(AND(J49&lt;&gt;"",J49&lt;Setup!$C$5),"Sold in an earlier year",IF(N(I49)&gt;G49,"⚠ Opening dep. more than cost",IF(T49&gt;0,"Sold this year",IF(AND(N(L49)&gt;0,W49&lt;=N49+1),"Fully depreciated","✔ OK"))))))))))</f>
        <v/>
      </c>
      <c r="Z49" s="56" t="str">
        <f aca="false">IF(F49="","",DATE(YEAR(F49)+IF(MONTH(F49)&gt;=MONTH(Setup!$C$5),1,0),MONTH(Setup!$C$5),1)-1)</f>
        <v/>
      </c>
      <c r="AA49" s="57" t="str">
        <f aca="false">IF(F49="","",(Z49-F49+1)/(Z49-DATE(YEAR(Z49+1)-1,MONTH(Setup!$C$5),1)+1))</f>
        <v/>
      </c>
      <c r="AB49" s="9" t="str">
        <f aca="false">IF(F49="","",MAX(0,YEAR(Setup!$C$5)-YEAR(Z49+1)))</f>
        <v/>
      </c>
      <c r="AC49" s="9" t="str">
        <f aca="false">IF(D49="","",IFERROR(VLOOKUP(D49,'Rate Chart'!$A$6:$F$23,5,FALSE()),""))</f>
        <v/>
      </c>
      <c r="AD49" s="9" t="str">
        <f aca="false">IF(P49&gt;0,Setup!$C$6-F49+1,"")</f>
        <v/>
      </c>
      <c r="AE49" s="9" t="str">
        <f aca="false">IF(D49="","",IF(H49="",Setup!$C$8,H49))</f>
        <v/>
      </c>
    </row>
    <row r="50" customFormat="false" ht="15" hidden="false" customHeight="false" outlineLevel="0" collapsed="false">
      <c r="A50" s="47" t="str">
        <f aca="false">IF(AND(B50="",C50=""),"",ROW()-6)</f>
        <v/>
      </c>
      <c r="B50" s="89"/>
      <c r="C50" s="86"/>
      <c r="D50" s="86"/>
      <c r="E50" s="86"/>
      <c r="F50" s="90"/>
      <c r="G50" s="91"/>
      <c r="H50" s="89"/>
      <c r="I50" s="91"/>
      <c r="J50" s="90"/>
      <c r="K50" s="91"/>
      <c r="L50" s="51" t="str">
        <f aca="false">IF(D50="","",IFERROR(VLOOKUP(D50,'Rate Chart'!$A$6:$F$23,2,FALSE()),0))</f>
        <v/>
      </c>
      <c r="M50" s="38" t="n">
        <f aca="false">IF(OR(L50="",N(L50)=0),0,IF(AE50="SLM",(1-Setup!$C$7)/L50,1-Setup!$C$7^(1/L50)))</f>
        <v>0</v>
      </c>
      <c r="N50" s="52" t="n">
        <f aca="false">IF(G50="",0,ROUND(G50*Setup!$C$7,0))</f>
        <v>0</v>
      </c>
      <c r="O50" s="52" t="n">
        <f aca="false">IF(OR(G50="",F50=""),0,IF(AND(F50&lt;Setup!$C$5,OR(J50="",J50&gt;=Setup!$C$5)),G50,0))</f>
        <v>0</v>
      </c>
      <c r="P50" s="52" t="n">
        <f aca="false">IF(OR(G50="",F50=""),0,IF(AND(F50&gt;=Setup!$C$5,F50&lt;=Setup!$C$6),G50,0))</f>
        <v>0</v>
      </c>
      <c r="Q50" s="52" t="n">
        <f aca="false">IF(O50=0,0,IF(I50&lt;&gt;"",I50,IF(N(L50)=0,0,ROUND(IF(AE50="SLM",MIN(G50-N50,(G50-N50)/L50*(AA50+AB50)),G50-MAX(N50,G50*(1-M50*AA50)*(1-M50)^AB50)),0))))</f>
        <v>0</v>
      </c>
      <c r="R50" s="51" t="n">
        <f aca="false">IF(OR(F50="",G50=""),0,IF(OR(F50&gt;Setup!$C$6,AND(J50&lt;&gt;"",J50&lt;Setup!$C$5)),0,MAX(0,MIN(Setup!$C$6,IF(J50="",Setup!$C$6,J50))-MAX(Setup!$C$5,F50)+1)))</f>
        <v>0</v>
      </c>
      <c r="S50" s="53" t="n">
        <f aca="false">IF(OR(N(L50)=0,R50=0),0,MAX(0,ROUND(MIN(IF(AE50="SLM",(G50-N50)/L50,(O50+P50-Q50)*M50)*R50/(Setup!$C$6-Setup!$C$5+1),O50+P50-Q50-N50),0)))</f>
        <v>0</v>
      </c>
      <c r="T50" s="52" t="n">
        <f aca="false">IF(AND(J50&lt;&gt;"",G50&lt;&gt;""),IF(AND(J50&gt;=Setup!$C$5,J50&lt;=Setup!$C$6),O50+P50,0),0)</f>
        <v>0</v>
      </c>
      <c r="U50" s="52" t="n">
        <f aca="false">IF(T50&gt;0,Q50+S50,0)</f>
        <v>0</v>
      </c>
      <c r="V50" s="52" t="n">
        <f aca="false">Q50+S50-U50</f>
        <v>0</v>
      </c>
      <c r="W50" s="54" t="n">
        <f aca="false">O50+P50-T50-V50</f>
        <v>0</v>
      </c>
      <c r="X50" s="52" t="str">
        <f aca="false">IF(T50&gt;0,N(K50)-(O50+P50-Q50-S50),"")</f>
        <v/>
      </c>
      <c r="Y50" s="55" t="str">
        <f aca="false">IF(AND(B50="",C50="",G50=""),"",IF(D50="","⚠ Pick category",IF(F50="","⚠ Enter put-to-use date",IF(G50="","⚠ Enter cost",IF(F50&gt;Setup!$C$6,"Not yet in use",IF(AND(J50&lt;&gt;"",J50&lt;F50),"⚠ Sale before put-to-use",IF(AND(J50&lt;&gt;"",J50&lt;Setup!$C$5),"Sold in an earlier year",IF(N(I50)&gt;G50,"⚠ Opening dep. more than cost",IF(T50&gt;0,"Sold this year",IF(AND(N(L50)&gt;0,W50&lt;=N50+1),"Fully depreciated","✔ OK"))))))))))</f>
        <v/>
      </c>
      <c r="Z50" s="56" t="str">
        <f aca="false">IF(F50="","",DATE(YEAR(F50)+IF(MONTH(F50)&gt;=MONTH(Setup!$C$5),1,0),MONTH(Setup!$C$5),1)-1)</f>
        <v/>
      </c>
      <c r="AA50" s="57" t="str">
        <f aca="false">IF(F50="","",(Z50-F50+1)/(Z50-DATE(YEAR(Z50+1)-1,MONTH(Setup!$C$5),1)+1))</f>
        <v/>
      </c>
      <c r="AB50" s="9" t="str">
        <f aca="false">IF(F50="","",MAX(0,YEAR(Setup!$C$5)-YEAR(Z50+1)))</f>
        <v/>
      </c>
      <c r="AC50" s="9" t="str">
        <f aca="false">IF(D50="","",IFERROR(VLOOKUP(D50,'Rate Chart'!$A$6:$F$23,5,FALSE()),""))</f>
        <v/>
      </c>
      <c r="AD50" s="9" t="str">
        <f aca="false">IF(P50&gt;0,Setup!$C$6-F50+1,"")</f>
        <v/>
      </c>
      <c r="AE50" s="9" t="str">
        <f aca="false">IF(D50="","",IF(H50="",Setup!$C$8,H50))</f>
        <v/>
      </c>
    </row>
    <row r="51" customFormat="false" ht="15" hidden="false" customHeight="false" outlineLevel="0" collapsed="false">
      <c r="A51" s="47" t="str">
        <f aca="false">IF(AND(B51="",C51=""),"",ROW()-6)</f>
        <v/>
      </c>
      <c r="B51" s="89"/>
      <c r="C51" s="86"/>
      <c r="D51" s="86"/>
      <c r="E51" s="86"/>
      <c r="F51" s="90"/>
      <c r="G51" s="91"/>
      <c r="H51" s="89"/>
      <c r="I51" s="91"/>
      <c r="J51" s="90"/>
      <c r="K51" s="91"/>
      <c r="L51" s="51" t="str">
        <f aca="false">IF(D51="","",IFERROR(VLOOKUP(D51,'Rate Chart'!$A$6:$F$23,2,FALSE()),0))</f>
        <v/>
      </c>
      <c r="M51" s="38" t="n">
        <f aca="false">IF(OR(L51="",N(L51)=0),0,IF(AE51="SLM",(1-Setup!$C$7)/L51,1-Setup!$C$7^(1/L51)))</f>
        <v>0</v>
      </c>
      <c r="N51" s="52" t="n">
        <f aca="false">IF(G51="",0,ROUND(G51*Setup!$C$7,0))</f>
        <v>0</v>
      </c>
      <c r="O51" s="52" t="n">
        <f aca="false">IF(OR(G51="",F51=""),0,IF(AND(F51&lt;Setup!$C$5,OR(J51="",J51&gt;=Setup!$C$5)),G51,0))</f>
        <v>0</v>
      </c>
      <c r="P51" s="52" t="n">
        <f aca="false">IF(OR(G51="",F51=""),0,IF(AND(F51&gt;=Setup!$C$5,F51&lt;=Setup!$C$6),G51,0))</f>
        <v>0</v>
      </c>
      <c r="Q51" s="52" t="n">
        <f aca="false">IF(O51=0,0,IF(I51&lt;&gt;"",I51,IF(N(L51)=0,0,ROUND(IF(AE51="SLM",MIN(G51-N51,(G51-N51)/L51*(AA51+AB51)),G51-MAX(N51,G51*(1-M51*AA51)*(1-M51)^AB51)),0))))</f>
        <v>0</v>
      </c>
      <c r="R51" s="51" t="n">
        <f aca="false">IF(OR(F51="",G51=""),0,IF(OR(F51&gt;Setup!$C$6,AND(J51&lt;&gt;"",J51&lt;Setup!$C$5)),0,MAX(0,MIN(Setup!$C$6,IF(J51="",Setup!$C$6,J51))-MAX(Setup!$C$5,F51)+1)))</f>
        <v>0</v>
      </c>
      <c r="S51" s="53" t="n">
        <f aca="false">IF(OR(N(L51)=0,R51=0),0,MAX(0,ROUND(MIN(IF(AE51="SLM",(G51-N51)/L51,(O51+P51-Q51)*M51)*R51/(Setup!$C$6-Setup!$C$5+1),O51+P51-Q51-N51),0)))</f>
        <v>0</v>
      </c>
      <c r="T51" s="52" t="n">
        <f aca="false">IF(AND(J51&lt;&gt;"",G51&lt;&gt;""),IF(AND(J51&gt;=Setup!$C$5,J51&lt;=Setup!$C$6),O51+P51,0),0)</f>
        <v>0</v>
      </c>
      <c r="U51" s="52" t="n">
        <f aca="false">IF(T51&gt;0,Q51+S51,0)</f>
        <v>0</v>
      </c>
      <c r="V51" s="52" t="n">
        <f aca="false">Q51+S51-U51</f>
        <v>0</v>
      </c>
      <c r="W51" s="54" t="n">
        <f aca="false">O51+P51-T51-V51</f>
        <v>0</v>
      </c>
      <c r="X51" s="52" t="str">
        <f aca="false">IF(T51&gt;0,N(K51)-(O51+P51-Q51-S51),"")</f>
        <v/>
      </c>
      <c r="Y51" s="55" t="str">
        <f aca="false">IF(AND(B51="",C51="",G51=""),"",IF(D51="","⚠ Pick category",IF(F51="","⚠ Enter put-to-use date",IF(G51="","⚠ Enter cost",IF(F51&gt;Setup!$C$6,"Not yet in use",IF(AND(J51&lt;&gt;"",J51&lt;F51),"⚠ Sale before put-to-use",IF(AND(J51&lt;&gt;"",J51&lt;Setup!$C$5),"Sold in an earlier year",IF(N(I51)&gt;G51,"⚠ Opening dep. more than cost",IF(T51&gt;0,"Sold this year",IF(AND(N(L51)&gt;0,W51&lt;=N51+1),"Fully depreciated","✔ OK"))))))))))</f>
        <v/>
      </c>
      <c r="Z51" s="56" t="str">
        <f aca="false">IF(F51="","",DATE(YEAR(F51)+IF(MONTH(F51)&gt;=MONTH(Setup!$C$5),1,0),MONTH(Setup!$C$5),1)-1)</f>
        <v/>
      </c>
      <c r="AA51" s="57" t="str">
        <f aca="false">IF(F51="","",(Z51-F51+1)/(Z51-DATE(YEAR(Z51+1)-1,MONTH(Setup!$C$5),1)+1))</f>
        <v/>
      </c>
      <c r="AB51" s="9" t="str">
        <f aca="false">IF(F51="","",MAX(0,YEAR(Setup!$C$5)-YEAR(Z51+1)))</f>
        <v/>
      </c>
      <c r="AC51" s="9" t="str">
        <f aca="false">IF(D51="","",IFERROR(VLOOKUP(D51,'Rate Chart'!$A$6:$F$23,5,FALSE()),""))</f>
        <v/>
      </c>
      <c r="AD51" s="9" t="str">
        <f aca="false">IF(P51&gt;0,Setup!$C$6-F51+1,"")</f>
        <v/>
      </c>
      <c r="AE51" s="9" t="str">
        <f aca="false">IF(D51="","",IF(H51="",Setup!$C$8,H51))</f>
        <v/>
      </c>
    </row>
    <row r="52" customFormat="false" ht="15" hidden="false" customHeight="false" outlineLevel="0" collapsed="false">
      <c r="A52" s="47" t="str">
        <f aca="false">IF(AND(B52="",C52=""),"",ROW()-6)</f>
        <v/>
      </c>
      <c r="B52" s="89"/>
      <c r="C52" s="86"/>
      <c r="D52" s="86"/>
      <c r="E52" s="86"/>
      <c r="F52" s="90"/>
      <c r="G52" s="91"/>
      <c r="H52" s="89"/>
      <c r="I52" s="91"/>
      <c r="J52" s="90"/>
      <c r="K52" s="91"/>
      <c r="L52" s="51" t="str">
        <f aca="false">IF(D52="","",IFERROR(VLOOKUP(D52,'Rate Chart'!$A$6:$F$23,2,FALSE()),0))</f>
        <v/>
      </c>
      <c r="M52" s="38" t="n">
        <f aca="false">IF(OR(L52="",N(L52)=0),0,IF(AE52="SLM",(1-Setup!$C$7)/L52,1-Setup!$C$7^(1/L52)))</f>
        <v>0</v>
      </c>
      <c r="N52" s="52" t="n">
        <f aca="false">IF(G52="",0,ROUND(G52*Setup!$C$7,0))</f>
        <v>0</v>
      </c>
      <c r="O52" s="52" t="n">
        <f aca="false">IF(OR(G52="",F52=""),0,IF(AND(F52&lt;Setup!$C$5,OR(J52="",J52&gt;=Setup!$C$5)),G52,0))</f>
        <v>0</v>
      </c>
      <c r="P52" s="52" t="n">
        <f aca="false">IF(OR(G52="",F52=""),0,IF(AND(F52&gt;=Setup!$C$5,F52&lt;=Setup!$C$6),G52,0))</f>
        <v>0</v>
      </c>
      <c r="Q52" s="52" t="n">
        <f aca="false">IF(O52=0,0,IF(I52&lt;&gt;"",I52,IF(N(L52)=0,0,ROUND(IF(AE52="SLM",MIN(G52-N52,(G52-N52)/L52*(AA52+AB52)),G52-MAX(N52,G52*(1-M52*AA52)*(1-M52)^AB52)),0))))</f>
        <v>0</v>
      </c>
      <c r="R52" s="51" t="n">
        <f aca="false">IF(OR(F52="",G52=""),0,IF(OR(F52&gt;Setup!$C$6,AND(J52&lt;&gt;"",J52&lt;Setup!$C$5)),0,MAX(0,MIN(Setup!$C$6,IF(J52="",Setup!$C$6,J52))-MAX(Setup!$C$5,F52)+1)))</f>
        <v>0</v>
      </c>
      <c r="S52" s="53" t="n">
        <f aca="false">IF(OR(N(L52)=0,R52=0),0,MAX(0,ROUND(MIN(IF(AE52="SLM",(G52-N52)/L52,(O52+P52-Q52)*M52)*R52/(Setup!$C$6-Setup!$C$5+1),O52+P52-Q52-N52),0)))</f>
        <v>0</v>
      </c>
      <c r="T52" s="52" t="n">
        <f aca="false">IF(AND(J52&lt;&gt;"",G52&lt;&gt;""),IF(AND(J52&gt;=Setup!$C$5,J52&lt;=Setup!$C$6),O52+P52,0),0)</f>
        <v>0</v>
      </c>
      <c r="U52" s="52" t="n">
        <f aca="false">IF(T52&gt;0,Q52+S52,0)</f>
        <v>0</v>
      </c>
      <c r="V52" s="52" t="n">
        <f aca="false">Q52+S52-U52</f>
        <v>0</v>
      </c>
      <c r="W52" s="54" t="n">
        <f aca="false">O52+P52-T52-V52</f>
        <v>0</v>
      </c>
      <c r="X52" s="52" t="str">
        <f aca="false">IF(T52&gt;0,N(K52)-(O52+P52-Q52-S52),"")</f>
        <v/>
      </c>
      <c r="Y52" s="55" t="str">
        <f aca="false">IF(AND(B52="",C52="",G52=""),"",IF(D52="","⚠ Pick category",IF(F52="","⚠ Enter put-to-use date",IF(G52="","⚠ Enter cost",IF(F52&gt;Setup!$C$6,"Not yet in use",IF(AND(J52&lt;&gt;"",J52&lt;F52),"⚠ Sale before put-to-use",IF(AND(J52&lt;&gt;"",J52&lt;Setup!$C$5),"Sold in an earlier year",IF(N(I52)&gt;G52,"⚠ Opening dep. more than cost",IF(T52&gt;0,"Sold this year",IF(AND(N(L52)&gt;0,W52&lt;=N52+1),"Fully depreciated","✔ OK"))))))))))</f>
        <v/>
      </c>
      <c r="Z52" s="56" t="str">
        <f aca="false">IF(F52="","",DATE(YEAR(F52)+IF(MONTH(F52)&gt;=MONTH(Setup!$C$5),1,0),MONTH(Setup!$C$5),1)-1)</f>
        <v/>
      </c>
      <c r="AA52" s="57" t="str">
        <f aca="false">IF(F52="","",(Z52-F52+1)/(Z52-DATE(YEAR(Z52+1)-1,MONTH(Setup!$C$5),1)+1))</f>
        <v/>
      </c>
      <c r="AB52" s="9" t="str">
        <f aca="false">IF(F52="","",MAX(0,YEAR(Setup!$C$5)-YEAR(Z52+1)))</f>
        <v/>
      </c>
      <c r="AC52" s="9" t="str">
        <f aca="false">IF(D52="","",IFERROR(VLOOKUP(D52,'Rate Chart'!$A$6:$F$23,5,FALSE()),""))</f>
        <v/>
      </c>
      <c r="AD52" s="9" t="str">
        <f aca="false">IF(P52&gt;0,Setup!$C$6-F52+1,"")</f>
        <v/>
      </c>
      <c r="AE52" s="9" t="str">
        <f aca="false">IF(D52="","",IF(H52="",Setup!$C$8,H52))</f>
        <v/>
      </c>
    </row>
    <row r="53" customFormat="false" ht="15" hidden="false" customHeight="false" outlineLevel="0" collapsed="false">
      <c r="A53" s="47" t="str">
        <f aca="false">IF(AND(B53="",C53=""),"",ROW()-6)</f>
        <v/>
      </c>
      <c r="B53" s="89"/>
      <c r="C53" s="86"/>
      <c r="D53" s="86"/>
      <c r="E53" s="86"/>
      <c r="F53" s="90"/>
      <c r="G53" s="91"/>
      <c r="H53" s="89"/>
      <c r="I53" s="91"/>
      <c r="J53" s="90"/>
      <c r="K53" s="91"/>
      <c r="L53" s="51" t="str">
        <f aca="false">IF(D53="","",IFERROR(VLOOKUP(D53,'Rate Chart'!$A$6:$F$23,2,FALSE()),0))</f>
        <v/>
      </c>
      <c r="M53" s="38" t="n">
        <f aca="false">IF(OR(L53="",N(L53)=0),0,IF(AE53="SLM",(1-Setup!$C$7)/L53,1-Setup!$C$7^(1/L53)))</f>
        <v>0</v>
      </c>
      <c r="N53" s="52" t="n">
        <f aca="false">IF(G53="",0,ROUND(G53*Setup!$C$7,0))</f>
        <v>0</v>
      </c>
      <c r="O53" s="52" t="n">
        <f aca="false">IF(OR(G53="",F53=""),0,IF(AND(F53&lt;Setup!$C$5,OR(J53="",J53&gt;=Setup!$C$5)),G53,0))</f>
        <v>0</v>
      </c>
      <c r="P53" s="52" t="n">
        <f aca="false">IF(OR(G53="",F53=""),0,IF(AND(F53&gt;=Setup!$C$5,F53&lt;=Setup!$C$6),G53,0))</f>
        <v>0</v>
      </c>
      <c r="Q53" s="52" t="n">
        <f aca="false">IF(O53=0,0,IF(I53&lt;&gt;"",I53,IF(N(L53)=0,0,ROUND(IF(AE53="SLM",MIN(G53-N53,(G53-N53)/L53*(AA53+AB53)),G53-MAX(N53,G53*(1-M53*AA53)*(1-M53)^AB53)),0))))</f>
        <v>0</v>
      </c>
      <c r="R53" s="51" t="n">
        <f aca="false">IF(OR(F53="",G53=""),0,IF(OR(F53&gt;Setup!$C$6,AND(J53&lt;&gt;"",J53&lt;Setup!$C$5)),0,MAX(0,MIN(Setup!$C$6,IF(J53="",Setup!$C$6,J53))-MAX(Setup!$C$5,F53)+1)))</f>
        <v>0</v>
      </c>
      <c r="S53" s="53" t="n">
        <f aca="false">IF(OR(N(L53)=0,R53=0),0,MAX(0,ROUND(MIN(IF(AE53="SLM",(G53-N53)/L53,(O53+P53-Q53)*M53)*R53/(Setup!$C$6-Setup!$C$5+1),O53+P53-Q53-N53),0)))</f>
        <v>0</v>
      </c>
      <c r="T53" s="52" t="n">
        <f aca="false">IF(AND(J53&lt;&gt;"",G53&lt;&gt;""),IF(AND(J53&gt;=Setup!$C$5,J53&lt;=Setup!$C$6),O53+P53,0),0)</f>
        <v>0</v>
      </c>
      <c r="U53" s="52" t="n">
        <f aca="false">IF(T53&gt;0,Q53+S53,0)</f>
        <v>0</v>
      </c>
      <c r="V53" s="52" t="n">
        <f aca="false">Q53+S53-U53</f>
        <v>0</v>
      </c>
      <c r="W53" s="54" t="n">
        <f aca="false">O53+P53-T53-V53</f>
        <v>0</v>
      </c>
      <c r="X53" s="52" t="str">
        <f aca="false">IF(T53&gt;0,N(K53)-(O53+P53-Q53-S53),"")</f>
        <v/>
      </c>
      <c r="Y53" s="55" t="str">
        <f aca="false">IF(AND(B53="",C53="",G53=""),"",IF(D53="","⚠ Pick category",IF(F53="","⚠ Enter put-to-use date",IF(G53="","⚠ Enter cost",IF(F53&gt;Setup!$C$6,"Not yet in use",IF(AND(J53&lt;&gt;"",J53&lt;F53),"⚠ Sale before put-to-use",IF(AND(J53&lt;&gt;"",J53&lt;Setup!$C$5),"Sold in an earlier year",IF(N(I53)&gt;G53,"⚠ Opening dep. more than cost",IF(T53&gt;0,"Sold this year",IF(AND(N(L53)&gt;0,W53&lt;=N53+1),"Fully depreciated","✔ OK"))))))))))</f>
        <v/>
      </c>
      <c r="Z53" s="56" t="str">
        <f aca="false">IF(F53="","",DATE(YEAR(F53)+IF(MONTH(F53)&gt;=MONTH(Setup!$C$5),1,0),MONTH(Setup!$C$5),1)-1)</f>
        <v/>
      </c>
      <c r="AA53" s="57" t="str">
        <f aca="false">IF(F53="","",(Z53-F53+1)/(Z53-DATE(YEAR(Z53+1)-1,MONTH(Setup!$C$5),1)+1))</f>
        <v/>
      </c>
      <c r="AB53" s="9" t="str">
        <f aca="false">IF(F53="","",MAX(0,YEAR(Setup!$C$5)-YEAR(Z53+1)))</f>
        <v/>
      </c>
      <c r="AC53" s="9" t="str">
        <f aca="false">IF(D53="","",IFERROR(VLOOKUP(D53,'Rate Chart'!$A$6:$F$23,5,FALSE()),""))</f>
        <v/>
      </c>
      <c r="AD53" s="9" t="str">
        <f aca="false">IF(P53&gt;0,Setup!$C$6-F53+1,"")</f>
        <v/>
      </c>
      <c r="AE53" s="9" t="str">
        <f aca="false">IF(D53="","",IF(H53="",Setup!$C$8,H53))</f>
        <v/>
      </c>
    </row>
    <row r="54" customFormat="false" ht="15" hidden="false" customHeight="false" outlineLevel="0" collapsed="false">
      <c r="A54" s="47" t="str">
        <f aca="false">IF(AND(B54="",C54=""),"",ROW()-6)</f>
        <v/>
      </c>
      <c r="B54" s="89"/>
      <c r="C54" s="86"/>
      <c r="D54" s="86"/>
      <c r="E54" s="86"/>
      <c r="F54" s="90"/>
      <c r="G54" s="91"/>
      <c r="H54" s="89"/>
      <c r="I54" s="91"/>
      <c r="J54" s="90"/>
      <c r="K54" s="91"/>
      <c r="L54" s="51" t="str">
        <f aca="false">IF(D54="","",IFERROR(VLOOKUP(D54,'Rate Chart'!$A$6:$F$23,2,FALSE()),0))</f>
        <v/>
      </c>
      <c r="M54" s="38" t="n">
        <f aca="false">IF(OR(L54="",N(L54)=0),0,IF(AE54="SLM",(1-Setup!$C$7)/L54,1-Setup!$C$7^(1/L54)))</f>
        <v>0</v>
      </c>
      <c r="N54" s="52" t="n">
        <f aca="false">IF(G54="",0,ROUND(G54*Setup!$C$7,0))</f>
        <v>0</v>
      </c>
      <c r="O54" s="52" t="n">
        <f aca="false">IF(OR(G54="",F54=""),0,IF(AND(F54&lt;Setup!$C$5,OR(J54="",J54&gt;=Setup!$C$5)),G54,0))</f>
        <v>0</v>
      </c>
      <c r="P54" s="52" t="n">
        <f aca="false">IF(OR(G54="",F54=""),0,IF(AND(F54&gt;=Setup!$C$5,F54&lt;=Setup!$C$6),G54,0))</f>
        <v>0</v>
      </c>
      <c r="Q54" s="52" t="n">
        <f aca="false">IF(O54=0,0,IF(I54&lt;&gt;"",I54,IF(N(L54)=0,0,ROUND(IF(AE54="SLM",MIN(G54-N54,(G54-N54)/L54*(AA54+AB54)),G54-MAX(N54,G54*(1-M54*AA54)*(1-M54)^AB54)),0))))</f>
        <v>0</v>
      </c>
      <c r="R54" s="51" t="n">
        <f aca="false">IF(OR(F54="",G54=""),0,IF(OR(F54&gt;Setup!$C$6,AND(J54&lt;&gt;"",J54&lt;Setup!$C$5)),0,MAX(0,MIN(Setup!$C$6,IF(J54="",Setup!$C$6,J54))-MAX(Setup!$C$5,F54)+1)))</f>
        <v>0</v>
      </c>
      <c r="S54" s="53" t="n">
        <f aca="false">IF(OR(N(L54)=0,R54=0),0,MAX(0,ROUND(MIN(IF(AE54="SLM",(G54-N54)/L54,(O54+P54-Q54)*M54)*R54/(Setup!$C$6-Setup!$C$5+1),O54+P54-Q54-N54),0)))</f>
        <v>0</v>
      </c>
      <c r="T54" s="52" t="n">
        <f aca="false">IF(AND(J54&lt;&gt;"",G54&lt;&gt;""),IF(AND(J54&gt;=Setup!$C$5,J54&lt;=Setup!$C$6),O54+P54,0),0)</f>
        <v>0</v>
      </c>
      <c r="U54" s="52" t="n">
        <f aca="false">IF(T54&gt;0,Q54+S54,0)</f>
        <v>0</v>
      </c>
      <c r="V54" s="52" t="n">
        <f aca="false">Q54+S54-U54</f>
        <v>0</v>
      </c>
      <c r="W54" s="54" t="n">
        <f aca="false">O54+P54-T54-V54</f>
        <v>0</v>
      </c>
      <c r="X54" s="52" t="str">
        <f aca="false">IF(T54&gt;0,N(K54)-(O54+P54-Q54-S54),"")</f>
        <v/>
      </c>
      <c r="Y54" s="55" t="str">
        <f aca="false">IF(AND(B54="",C54="",G54=""),"",IF(D54="","⚠ Pick category",IF(F54="","⚠ Enter put-to-use date",IF(G54="","⚠ Enter cost",IF(F54&gt;Setup!$C$6,"Not yet in use",IF(AND(J54&lt;&gt;"",J54&lt;F54),"⚠ Sale before put-to-use",IF(AND(J54&lt;&gt;"",J54&lt;Setup!$C$5),"Sold in an earlier year",IF(N(I54)&gt;G54,"⚠ Opening dep. more than cost",IF(T54&gt;0,"Sold this year",IF(AND(N(L54)&gt;0,W54&lt;=N54+1),"Fully depreciated","✔ OK"))))))))))</f>
        <v/>
      </c>
      <c r="Z54" s="56" t="str">
        <f aca="false">IF(F54="","",DATE(YEAR(F54)+IF(MONTH(F54)&gt;=MONTH(Setup!$C$5),1,0),MONTH(Setup!$C$5),1)-1)</f>
        <v/>
      </c>
      <c r="AA54" s="57" t="str">
        <f aca="false">IF(F54="","",(Z54-F54+1)/(Z54-DATE(YEAR(Z54+1)-1,MONTH(Setup!$C$5),1)+1))</f>
        <v/>
      </c>
      <c r="AB54" s="9" t="str">
        <f aca="false">IF(F54="","",MAX(0,YEAR(Setup!$C$5)-YEAR(Z54+1)))</f>
        <v/>
      </c>
      <c r="AC54" s="9" t="str">
        <f aca="false">IF(D54="","",IFERROR(VLOOKUP(D54,'Rate Chart'!$A$6:$F$23,5,FALSE()),""))</f>
        <v/>
      </c>
      <c r="AD54" s="9" t="str">
        <f aca="false">IF(P54&gt;0,Setup!$C$6-F54+1,"")</f>
        <v/>
      </c>
      <c r="AE54" s="9" t="str">
        <f aca="false">IF(D54="","",IF(H54="",Setup!$C$8,H54))</f>
        <v/>
      </c>
    </row>
    <row r="55" customFormat="false" ht="15" hidden="false" customHeight="false" outlineLevel="0" collapsed="false">
      <c r="A55" s="47" t="str">
        <f aca="false">IF(AND(B55="",C55=""),"",ROW()-6)</f>
        <v/>
      </c>
      <c r="B55" s="89"/>
      <c r="C55" s="86"/>
      <c r="D55" s="86"/>
      <c r="E55" s="86"/>
      <c r="F55" s="90"/>
      <c r="G55" s="91"/>
      <c r="H55" s="89"/>
      <c r="I55" s="91"/>
      <c r="J55" s="90"/>
      <c r="K55" s="91"/>
      <c r="L55" s="51" t="str">
        <f aca="false">IF(D55="","",IFERROR(VLOOKUP(D55,'Rate Chart'!$A$6:$F$23,2,FALSE()),0))</f>
        <v/>
      </c>
      <c r="M55" s="38" t="n">
        <f aca="false">IF(OR(L55="",N(L55)=0),0,IF(AE55="SLM",(1-Setup!$C$7)/L55,1-Setup!$C$7^(1/L55)))</f>
        <v>0</v>
      </c>
      <c r="N55" s="52" t="n">
        <f aca="false">IF(G55="",0,ROUND(G55*Setup!$C$7,0))</f>
        <v>0</v>
      </c>
      <c r="O55" s="52" t="n">
        <f aca="false">IF(OR(G55="",F55=""),0,IF(AND(F55&lt;Setup!$C$5,OR(J55="",J55&gt;=Setup!$C$5)),G55,0))</f>
        <v>0</v>
      </c>
      <c r="P55" s="52" t="n">
        <f aca="false">IF(OR(G55="",F55=""),0,IF(AND(F55&gt;=Setup!$C$5,F55&lt;=Setup!$C$6),G55,0))</f>
        <v>0</v>
      </c>
      <c r="Q55" s="52" t="n">
        <f aca="false">IF(O55=0,0,IF(I55&lt;&gt;"",I55,IF(N(L55)=0,0,ROUND(IF(AE55="SLM",MIN(G55-N55,(G55-N55)/L55*(AA55+AB55)),G55-MAX(N55,G55*(1-M55*AA55)*(1-M55)^AB55)),0))))</f>
        <v>0</v>
      </c>
      <c r="R55" s="51" t="n">
        <f aca="false">IF(OR(F55="",G55=""),0,IF(OR(F55&gt;Setup!$C$6,AND(J55&lt;&gt;"",J55&lt;Setup!$C$5)),0,MAX(0,MIN(Setup!$C$6,IF(J55="",Setup!$C$6,J55))-MAX(Setup!$C$5,F55)+1)))</f>
        <v>0</v>
      </c>
      <c r="S55" s="53" t="n">
        <f aca="false">IF(OR(N(L55)=0,R55=0),0,MAX(0,ROUND(MIN(IF(AE55="SLM",(G55-N55)/L55,(O55+P55-Q55)*M55)*R55/(Setup!$C$6-Setup!$C$5+1),O55+P55-Q55-N55),0)))</f>
        <v>0</v>
      </c>
      <c r="T55" s="52" t="n">
        <f aca="false">IF(AND(J55&lt;&gt;"",G55&lt;&gt;""),IF(AND(J55&gt;=Setup!$C$5,J55&lt;=Setup!$C$6),O55+P55,0),0)</f>
        <v>0</v>
      </c>
      <c r="U55" s="52" t="n">
        <f aca="false">IF(T55&gt;0,Q55+S55,0)</f>
        <v>0</v>
      </c>
      <c r="V55" s="52" t="n">
        <f aca="false">Q55+S55-U55</f>
        <v>0</v>
      </c>
      <c r="W55" s="54" t="n">
        <f aca="false">O55+P55-T55-V55</f>
        <v>0</v>
      </c>
      <c r="X55" s="52" t="str">
        <f aca="false">IF(T55&gt;0,N(K55)-(O55+P55-Q55-S55),"")</f>
        <v/>
      </c>
      <c r="Y55" s="55" t="str">
        <f aca="false">IF(AND(B55="",C55="",G55=""),"",IF(D55="","⚠ Pick category",IF(F55="","⚠ Enter put-to-use date",IF(G55="","⚠ Enter cost",IF(F55&gt;Setup!$C$6,"Not yet in use",IF(AND(J55&lt;&gt;"",J55&lt;F55),"⚠ Sale before put-to-use",IF(AND(J55&lt;&gt;"",J55&lt;Setup!$C$5),"Sold in an earlier year",IF(N(I55)&gt;G55,"⚠ Opening dep. more than cost",IF(T55&gt;0,"Sold this year",IF(AND(N(L55)&gt;0,W55&lt;=N55+1),"Fully depreciated","✔ OK"))))))))))</f>
        <v/>
      </c>
      <c r="Z55" s="56" t="str">
        <f aca="false">IF(F55="","",DATE(YEAR(F55)+IF(MONTH(F55)&gt;=MONTH(Setup!$C$5),1,0),MONTH(Setup!$C$5),1)-1)</f>
        <v/>
      </c>
      <c r="AA55" s="57" t="str">
        <f aca="false">IF(F55="","",(Z55-F55+1)/(Z55-DATE(YEAR(Z55+1)-1,MONTH(Setup!$C$5),1)+1))</f>
        <v/>
      </c>
      <c r="AB55" s="9" t="str">
        <f aca="false">IF(F55="","",MAX(0,YEAR(Setup!$C$5)-YEAR(Z55+1)))</f>
        <v/>
      </c>
      <c r="AC55" s="9" t="str">
        <f aca="false">IF(D55="","",IFERROR(VLOOKUP(D55,'Rate Chart'!$A$6:$F$23,5,FALSE()),""))</f>
        <v/>
      </c>
      <c r="AD55" s="9" t="str">
        <f aca="false">IF(P55&gt;0,Setup!$C$6-F55+1,"")</f>
        <v/>
      </c>
      <c r="AE55" s="9" t="str">
        <f aca="false">IF(D55="","",IF(H55="",Setup!$C$8,H55))</f>
        <v/>
      </c>
    </row>
    <row r="56" customFormat="false" ht="15" hidden="false" customHeight="false" outlineLevel="0" collapsed="false">
      <c r="A56" s="47" t="str">
        <f aca="false">IF(AND(B56="",C56=""),"",ROW()-6)</f>
        <v/>
      </c>
      <c r="B56" s="89"/>
      <c r="C56" s="86"/>
      <c r="D56" s="86"/>
      <c r="E56" s="86"/>
      <c r="F56" s="90"/>
      <c r="G56" s="91"/>
      <c r="H56" s="89"/>
      <c r="I56" s="91"/>
      <c r="J56" s="90"/>
      <c r="K56" s="91"/>
      <c r="L56" s="51" t="str">
        <f aca="false">IF(D56="","",IFERROR(VLOOKUP(D56,'Rate Chart'!$A$6:$F$23,2,FALSE()),0))</f>
        <v/>
      </c>
      <c r="M56" s="38" t="n">
        <f aca="false">IF(OR(L56="",N(L56)=0),0,IF(AE56="SLM",(1-Setup!$C$7)/L56,1-Setup!$C$7^(1/L56)))</f>
        <v>0</v>
      </c>
      <c r="N56" s="52" t="n">
        <f aca="false">IF(G56="",0,ROUND(G56*Setup!$C$7,0))</f>
        <v>0</v>
      </c>
      <c r="O56" s="52" t="n">
        <f aca="false">IF(OR(G56="",F56=""),0,IF(AND(F56&lt;Setup!$C$5,OR(J56="",J56&gt;=Setup!$C$5)),G56,0))</f>
        <v>0</v>
      </c>
      <c r="P56" s="52" t="n">
        <f aca="false">IF(OR(G56="",F56=""),0,IF(AND(F56&gt;=Setup!$C$5,F56&lt;=Setup!$C$6),G56,0))</f>
        <v>0</v>
      </c>
      <c r="Q56" s="52" t="n">
        <f aca="false">IF(O56=0,0,IF(I56&lt;&gt;"",I56,IF(N(L56)=0,0,ROUND(IF(AE56="SLM",MIN(G56-N56,(G56-N56)/L56*(AA56+AB56)),G56-MAX(N56,G56*(1-M56*AA56)*(1-M56)^AB56)),0))))</f>
        <v>0</v>
      </c>
      <c r="R56" s="51" t="n">
        <f aca="false">IF(OR(F56="",G56=""),0,IF(OR(F56&gt;Setup!$C$6,AND(J56&lt;&gt;"",J56&lt;Setup!$C$5)),0,MAX(0,MIN(Setup!$C$6,IF(J56="",Setup!$C$6,J56))-MAX(Setup!$C$5,F56)+1)))</f>
        <v>0</v>
      </c>
      <c r="S56" s="53" t="n">
        <f aca="false">IF(OR(N(L56)=0,R56=0),0,MAX(0,ROUND(MIN(IF(AE56="SLM",(G56-N56)/L56,(O56+P56-Q56)*M56)*R56/(Setup!$C$6-Setup!$C$5+1),O56+P56-Q56-N56),0)))</f>
        <v>0</v>
      </c>
      <c r="T56" s="52" t="n">
        <f aca="false">IF(AND(J56&lt;&gt;"",G56&lt;&gt;""),IF(AND(J56&gt;=Setup!$C$5,J56&lt;=Setup!$C$6),O56+P56,0),0)</f>
        <v>0</v>
      </c>
      <c r="U56" s="52" t="n">
        <f aca="false">IF(T56&gt;0,Q56+S56,0)</f>
        <v>0</v>
      </c>
      <c r="V56" s="52" t="n">
        <f aca="false">Q56+S56-U56</f>
        <v>0</v>
      </c>
      <c r="W56" s="54" t="n">
        <f aca="false">O56+P56-T56-V56</f>
        <v>0</v>
      </c>
      <c r="X56" s="52" t="str">
        <f aca="false">IF(T56&gt;0,N(K56)-(O56+P56-Q56-S56),"")</f>
        <v/>
      </c>
      <c r="Y56" s="55" t="str">
        <f aca="false">IF(AND(B56="",C56="",G56=""),"",IF(D56="","⚠ Pick category",IF(F56="","⚠ Enter put-to-use date",IF(G56="","⚠ Enter cost",IF(F56&gt;Setup!$C$6,"Not yet in use",IF(AND(J56&lt;&gt;"",J56&lt;F56),"⚠ Sale before put-to-use",IF(AND(J56&lt;&gt;"",J56&lt;Setup!$C$5),"Sold in an earlier year",IF(N(I56)&gt;G56,"⚠ Opening dep. more than cost",IF(T56&gt;0,"Sold this year",IF(AND(N(L56)&gt;0,W56&lt;=N56+1),"Fully depreciated","✔ OK"))))))))))</f>
        <v/>
      </c>
      <c r="Z56" s="56" t="str">
        <f aca="false">IF(F56="","",DATE(YEAR(F56)+IF(MONTH(F56)&gt;=MONTH(Setup!$C$5),1,0),MONTH(Setup!$C$5),1)-1)</f>
        <v/>
      </c>
      <c r="AA56" s="57" t="str">
        <f aca="false">IF(F56="","",(Z56-F56+1)/(Z56-DATE(YEAR(Z56+1)-1,MONTH(Setup!$C$5),1)+1))</f>
        <v/>
      </c>
      <c r="AB56" s="9" t="str">
        <f aca="false">IF(F56="","",MAX(0,YEAR(Setup!$C$5)-YEAR(Z56+1)))</f>
        <v/>
      </c>
      <c r="AC56" s="9" t="str">
        <f aca="false">IF(D56="","",IFERROR(VLOOKUP(D56,'Rate Chart'!$A$6:$F$23,5,FALSE()),""))</f>
        <v/>
      </c>
      <c r="AD56" s="9" t="str">
        <f aca="false">IF(P56&gt;0,Setup!$C$6-F56+1,"")</f>
        <v/>
      </c>
      <c r="AE56" s="9" t="str">
        <f aca="false">IF(D56="","",IF(H56="",Setup!$C$8,H56))</f>
        <v/>
      </c>
    </row>
    <row r="57" customFormat="false" ht="15" hidden="false" customHeight="false" outlineLevel="0" collapsed="false">
      <c r="A57" s="47" t="str">
        <f aca="false">IF(AND(B57="",C57=""),"",ROW()-6)</f>
        <v/>
      </c>
      <c r="B57" s="89"/>
      <c r="C57" s="86"/>
      <c r="D57" s="86"/>
      <c r="E57" s="86"/>
      <c r="F57" s="90"/>
      <c r="G57" s="91"/>
      <c r="H57" s="89"/>
      <c r="I57" s="91"/>
      <c r="J57" s="90"/>
      <c r="K57" s="91"/>
      <c r="L57" s="51" t="str">
        <f aca="false">IF(D57="","",IFERROR(VLOOKUP(D57,'Rate Chart'!$A$6:$F$23,2,FALSE()),0))</f>
        <v/>
      </c>
      <c r="M57" s="38" t="n">
        <f aca="false">IF(OR(L57="",N(L57)=0),0,IF(AE57="SLM",(1-Setup!$C$7)/L57,1-Setup!$C$7^(1/L57)))</f>
        <v>0</v>
      </c>
      <c r="N57" s="52" t="n">
        <f aca="false">IF(G57="",0,ROUND(G57*Setup!$C$7,0))</f>
        <v>0</v>
      </c>
      <c r="O57" s="52" t="n">
        <f aca="false">IF(OR(G57="",F57=""),0,IF(AND(F57&lt;Setup!$C$5,OR(J57="",J57&gt;=Setup!$C$5)),G57,0))</f>
        <v>0</v>
      </c>
      <c r="P57" s="52" t="n">
        <f aca="false">IF(OR(G57="",F57=""),0,IF(AND(F57&gt;=Setup!$C$5,F57&lt;=Setup!$C$6),G57,0))</f>
        <v>0</v>
      </c>
      <c r="Q57" s="52" t="n">
        <f aca="false">IF(O57=0,0,IF(I57&lt;&gt;"",I57,IF(N(L57)=0,0,ROUND(IF(AE57="SLM",MIN(G57-N57,(G57-N57)/L57*(AA57+AB57)),G57-MAX(N57,G57*(1-M57*AA57)*(1-M57)^AB57)),0))))</f>
        <v>0</v>
      </c>
      <c r="R57" s="51" t="n">
        <f aca="false">IF(OR(F57="",G57=""),0,IF(OR(F57&gt;Setup!$C$6,AND(J57&lt;&gt;"",J57&lt;Setup!$C$5)),0,MAX(0,MIN(Setup!$C$6,IF(J57="",Setup!$C$6,J57))-MAX(Setup!$C$5,F57)+1)))</f>
        <v>0</v>
      </c>
      <c r="S57" s="53" t="n">
        <f aca="false">IF(OR(N(L57)=0,R57=0),0,MAX(0,ROUND(MIN(IF(AE57="SLM",(G57-N57)/L57,(O57+P57-Q57)*M57)*R57/(Setup!$C$6-Setup!$C$5+1),O57+P57-Q57-N57),0)))</f>
        <v>0</v>
      </c>
      <c r="T57" s="52" t="n">
        <f aca="false">IF(AND(J57&lt;&gt;"",G57&lt;&gt;""),IF(AND(J57&gt;=Setup!$C$5,J57&lt;=Setup!$C$6),O57+P57,0),0)</f>
        <v>0</v>
      </c>
      <c r="U57" s="52" t="n">
        <f aca="false">IF(T57&gt;0,Q57+S57,0)</f>
        <v>0</v>
      </c>
      <c r="V57" s="52" t="n">
        <f aca="false">Q57+S57-U57</f>
        <v>0</v>
      </c>
      <c r="W57" s="54" t="n">
        <f aca="false">O57+P57-T57-V57</f>
        <v>0</v>
      </c>
      <c r="X57" s="52" t="str">
        <f aca="false">IF(T57&gt;0,N(K57)-(O57+P57-Q57-S57),"")</f>
        <v/>
      </c>
      <c r="Y57" s="55" t="str">
        <f aca="false">IF(AND(B57="",C57="",G57=""),"",IF(D57="","⚠ Pick category",IF(F57="","⚠ Enter put-to-use date",IF(G57="","⚠ Enter cost",IF(F57&gt;Setup!$C$6,"Not yet in use",IF(AND(J57&lt;&gt;"",J57&lt;F57),"⚠ Sale before put-to-use",IF(AND(J57&lt;&gt;"",J57&lt;Setup!$C$5),"Sold in an earlier year",IF(N(I57)&gt;G57,"⚠ Opening dep. more than cost",IF(T57&gt;0,"Sold this year",IF(AND(N(L57)&gt;0,W57&lt;=N57+1),"Fully depreciated","✔ OK"))))))))))</f>
        <v/>
      </c>
      <c r="Z57" s="56" t="str">
        <f aca="false">IF(F57="","",DATE(YEAR(F57)+IF(MONTH(F57)&gt;=MONTH(Setup!$C$5),1,0),MONTH(Setup!$C$5),1)-1)</f>
        <v/>
      </c>
      <c r="AA57" s="57" t="str">
        <f aca="false">IF(F57="","",(Z57-F57+1)/(Z57-DATE(YEAR(Z57+1)-1,MONTH(Setup!$C$5),1)+1))</f>
        <v/>
      </c>
      <c r="AB57" s="9" t="str">
        <f aca="false">IF(F57="","",MAX(0,YEAR(Setup!$C$5)-YEAR(Z57+1)))</f>
        <v/>
      </c>
      <c r="AC57" s="9" t="str">
        <f aca="false">IF(D57="","",IFERROR(VLOOKUP(D57,'Rate Chart'!$A$6:$F$23,5,FALSE()),""))</f>
        <v/>
      </c>
      <c r="AD57" s="9" t="str">
        <f aca="false">IF(P57&gt;0,Setup!$C$6-F57+1,"")</f>
        <v/>
      </c>
      <c r="AE57" s="9" t="str">
        <f aca="false">IF(D57="","",IF(H57="",Setup!$C$8,H57))</f>
        <v/>
      </c>
    </row>
    <row r="58" customFormat="false" ht="15" hidden="false" customHeight="false" outlineLevel="0" collapsed="false">
      <c r="A58" s="47" t="str">
        <f aca="false">IF(AND(B58="",C58=""),"",ROW()-6)</f>
        <v/>
      </c>
      <c r="B58" s="89"/>
      <c r="C58" s="86"/>
      <c r="D58" s="86"/>
      <c r="E58" s="86"/>
      <c r="F58" s="90"/>
      <c r="G58" s="91"/>
      <c r="H58" s="89"/>
      <c r="I58" s="91"/>
      <c r="J58" s="90"/>
      <c r="K58" s="91"/>
      <c r="L58" s="51" t="str">
        <f aca="false">IF(D58="","",IFERROR(VLOOKUP(D58,'Rate Chart'!$A$6:$F$23,2,FALSE()),0))</f>
        <v/>
      </c>
      <c r="M58" s="38" t="n">
        <f aca="false">IF(OR(L58="",N(L58)=0),0,IF(AE58="SLM",(1-Setup!$C$7)/L58,1-Setup!$C$7^(1/L58)))</f>
        <v>0</v>
      </c>
      <c r="N58" s="52" t="n">
        <f aca="false">IF(G58="",0,ROUND(G58*Setup!$C$7,0))</f>
        <v>0</v>
      </c>
      <c r="O58" s="52" t="n">
        <f aca="false">IF(OR(G58="",F58=""),0,IF(AND(F58&lt;Setup!$C$5,OR(J58="",J58&gt;=Setup!$C$5)),G58,0))</f>
        <v>0</v>
      </c>
      <c r="P58" s="52" t="n">
        <f aca="false">IF(OR(G58="",F58=""),0,IF(AND(F58&gt;=Setup!$C$5,F58&lt;=Setup!$C$6),G58,0))</f>
        <v>0</v>
      </c>
      <c r="Q58" s="52" t="n">
        <f aca="false">IF(O58=0,0,IF(I58&lt;&gt;"",I58,IF(N(L58)=0,0,ROUND(IF(AE58="SLM",MIN(G58-N58,(G58-N58)/L58*(AA58+AB58)),G58-MAX(N58,G58*(1-M58*AA58)*(1-M58)^AB58)),0))))</f>
        <v>0</v>
      </c>
      <c r="R58" s="51" t="n">
        <f aca="false">IF(OR(F58="",G58=""),0,IF(OR(F58&gt;Setup!$C$6,AND(J58&lt;&gt;"",J58&lt;Setup!$C$5)),0,MAX(0,MIN(Setup!$C$6,IF(J58="",Setup!$C$6,J58))-MAX(Setup!$C$5,F58)+1)))</f>
        <v>0</v>
      </c>
      <c r="S58" s="53" t="n">
        <f aca="false">IF(OR(N(L58)=0,R58=0),0,MAX(0,ROUND(MIN(IF(AE58="SLM",(G58-N58)/L58,(O58+P58-Q58)*M58)*R58/(Setup!$C$6-Setup!$C$5+1),O58+P58-Q58-N58),0)))</f>
        <v>0</v>
      </c>
      <c r="T58" s="52" t="n">
        <f aca="false">IF(AND(J58&lt;&gt;"",G58&lt;&gt;""),IF(AND(J58&gt;=Setup!$C$5,J58&lt;=Setup!$C$6),O58+P58,0),0)</f>
        <v>0</v>
      </c>
      <c r="U58" s="52" t="n">
        <f aca="false">IF(T58&gt;0,Q58+S58,0)</f>
        <v>0</v>
      </c>
      <c r="V58" s="52" t="n">
        <f aca="false">Q58+S58-U58</f>
        <v>0</v>
      </c>
      <c r="W58" s="54" t="n">
        <f aca="false">O58+P58-T58-V58</f>
        <v>0</v>
      </c>
      <c r="X58" s="52" t="str">
        <f aca="false">IF(T58&gt;0,N(K58)-(O58+P58-Q58-S58),"")</f>
        <v/>
      </c>
      <c r="Y58" s="55" t="str">
        <f aca="false">IF(AND(B58="",C58="",G58=""),"",IF(D58="","⚠ Pick category",IF(F58="","⚠ Enter put-to-use date",IF(G58="","⚠ Enter cost",IF(F58&gt;Setup!$C$6,"Not yet in use",IF(AND(J58&lt;&gt;"",J58&lt;F58),"⚠ Sale before put-to-use",IF(AND(J58&lt;&gt;"",J58&lt;Setup!$C$5),"Sold in an earlier year",IF(N(I58)&gt;G58,"⚠ Opening dep. more than cost",IF(T58&gt;0,"Sold this year",IF(AND(N(L58)&gt;0,W58&lt;=N58+1),"Fully depreciated","✔ OK"))))))))))</f>
        <v/>
      </c>
      <c r="Z58" s="56" t="str">
        <f aca="false">IF(F58="","",DATE(YEAR(F58)+IF(MONTH(F58)&gt;=MONTH(Setup!$C$5),1,0),MONTH(Setup!$C$5),1)-1)</f>
        <v/>
      </c>
      <c r="AA58" s="57" t="str">
        <f aca="false">IF(F58="","",(Z58-F58+1)/(Z58-DATE(YEAR(Z58+1)-1,MONTH(Setup!$C$5),1)+1))</f>
        <v/>
      </c>
      <c r="AB58" s="9" t="str">
        <f aca="false">IF(F58="","",MAX(0,YEAR(Setup!$C$5)-YEAR(Z58+1)))</f>
        <v/>
      </c>
      <c r="AC58" s="9" t="str">
        <f aca="false">IF(D58="","",IFERROR(VLOOKUP(D58,'Rate Chart'!$A$6:$F$23,5,FALSE()),""))</f>
        <v/>
      </c>
      <c r="AD58" s="9" t="str">
        <f aca="false">IF(P58&gt;0,Setup!$C$6-F58+1,"")</f>
        <v/>
      </c>
      <c r="AE58" s="9" t="str">
        <f aca="false">IF(D58="","",IF(H58="",Setup!$C$8,H58))</f>
        <v/>
      </c>
    </row>
    <row r="59" customFormat="false" ht="15" hidden="false" customHeight="false" outlineLevel="0" collapsed="false">
      <c r="A59" s="47" t="str">
        <f aca="false">IF(AND(B59="",C59=""),"",ROW()-6)</f>
        <v/>
      </c>
      <c r="B59" s="89"/>
      <c r="C59" s="86"/>
      <c r="D59" s="86"/>
      <c r="E59" s="86"/>
      <c r="F59" s="90"/>
      <c r="G59" s="91"/>
      <c r="H59" s="89"/>
      <c r="I59" s="91"/>
      <c r="J59" s="90"/>
      <c r="K59" s="91"/>
      <c r="L59" s="51" t="str">
        <f aca="false">IF(D59="","",IFERROR(VLOOKUP(D59,'Rate Chart'!$A$6:$F$23,2,FALSE()),0))</f>
        <v/>
      </c>
      <c r="M59" s="38" t="n">
        <f aca="false">IF(OR(L59="",N(L59)=0),0,IF(AE59="SLM",(1-Setup!$C$7)/L59,1-Setup!$C$7^(1/L59)))</f>
        <v>0</v>
      </c>
      <c r="N59" s="52" t="n">
        <f aca="false">IF(G59="",0,ROUND(G59*Setup!$C$7,0))</f>
        <v>0</v>
      </c>
      <c r="O59" s="52" t="n">
        <f aca="false">IF(OR(G59="",F59=""),0,IF(AND(F59&lt;Setup!$C$5,OR(J59="",J59&gt;=Setup!$C$5)),G59,0))</f>
        <v>0</v>
      </c>
      <c r="P59" s="52" t="n">
        <f aca="false">IF(OR(G59="",F59=""),0,IF(AND(F59&gt;=Setup!$C$5,F59&lt;=Setup!$C$6),G59,0))</f>
        <v>0</v>
      </c>
      <c r="Q59" s="52" t="n">
        <f aca="false">IF(O59=0,0,IF(I59&lt;&gt;"",I59,IF(N(L59)=0,0,ROUND(IF(AE59="SLM",MIN(G59-N59,(G59-N59)/L59*(AA59+AB59)),G59-MAX(N59,G59*(1-M59*AA59)*(1-M59)^AB59)),0))))</f>
        <v>0</v>
      </c>
      <c r="R59" s="51" t="n">
        <f aca="false">IF(OR(F59="",G59=""),0,IF(OR(F59&gt;Setup!$C$6,AND(J59&lt;&gt;"",J59&lt;Setup!$C$5)),0,MAX(0,MIN(Setup!$C$6,IF(J59="",Setup!$C$6,J59))-MAX(Setup!$C$5,F59)+1)))</f>
        <v>0</v>
      </c>
      <c r="S59" s="53" t="n">
        <f aca="false">IF(OR(N(L59)=0,R59=0),0,MAX(0,ROUND(MIN(IF(AE59="SLM",(G59-N59)/L59,(O59+P59-Q59)*M59)*R59/(Setup!$C$6-Setup!$C$5+1),O59+P59-Q59-N59),0)))</f>
        <v>0</v>
      </c>
      <c r="T59" s="52" t="n">
        <f aca="false">IF(AND(J59&lt;&gt;"",G59&lt;&gt;""),IF(AND(J59&gt;=Setup!$C$5,J59&lt;=Setup!$C$6),O59+P59,0),0)</f>
        <v>0</v>
      </c>
      <c r="U59" s="52" t="n">
        <f aca="false">IF(T59&gt;0,Q59+S59,0)</f>
        <v>0</v>
      </c>
      <c r="V59" s="52" t="n">
        <f aca="false">Q59+S59-U59</f>
        <v>0</v>
      </c>
      <c r="W59" s="54" t="n">
        <f aca="false">O59+P59-T59-V59</f>
        <v>0</v>
      </c>
      <c r="X59" s="52" t="str">
        <f aca="false">IF(T59&gt;0,N(K59)-(O59+P59-Q59-S59),"")</f>
        <v/>
      </c>
      <c r="Y59" s="55" t="str">
        <f aca="false">IF(AND(B59="",C59="",G59=""),"",IF(D59="","⚠ Pick category",IF(F59="","⚠ Enter put-to-use date",IF(G59="","⚠ Enter cost",IF(F59&gt;Setup!$C$6,"Not yet in use",IF(AND(J59&lt;&gt;"",J59&lt;F59),"⚠ Sale before put-to-use",IF(AND(J59&lt;&gt;"",J59&lt;Setup!$C$5),"Sold in an earlier year",IF(N(I59)&gt;G59,"⚠ Opening dep. more than cost",IF(T59&gt;0,"Sold this year",IF(AND(N(L59)&gt;0,W59&lt;=N59+1),"Fully depreciated","✔ OK"))))))))))</f>
        <v/>
      </c>
      <c r="Z59" s="56" t="str">
        <f aca="false">IF(F59="","",DATE(YEAR(F59)+IF(MONTH(F59)&gt;=MONTH(Setup!$C$5),1,0),MONTH(Setup!$C$5),1)-1)</f>
        <v/>
      </c>
      <c r="AA59" s="57" t="str">
        <f aca="false">IF(F59="","",(Z59-F59+1)/(Z59-DATE(YEAR(Z59+1)-1,MONTH(Setup!$C$5),1)+1))</f>
        <v/>
      </c>
      <c r="AB59" s="9" t="str">
        <f aca="false">IF(F59="","",MAX(0,YEAR(Setup!$C$5)-YEAR(Z59+1)))</f>
        <v/>
      </c>
      <c r="AC59" s="9" t="str">
        <f aca="false">IF(D59="","",IFERROR(VLOOKUP(D59,'Rate Chart'!$A$6:$F$23,5,FALSE()),""))</f>
        <v/>
      </c>
      <c r="AD59" s="9" t="str">
        <f aca="false">IF(P59&gt;0,Setup!$C$6-F59+1,"")</f>
        <v/>
      </c>
      <c r="AE59" s="9" t="str">
        <f aca="false">IF(D59="","",IF(H59="",Setup!$C$8,H59))</f>
        <v/>
      </c>
    </row>
    <row r="60" customFormat="false" ht="15" hidden="false" customHeight="false" outlineLevel="0" collapsed="false">
      <c r="A60" s="47" t="str">
        <f aca="false">IF(AND(B60="",C60=""),"",ROW()-6)</f>
        <v/>
      </c>
      <c r="B60" s="89"/>
      <c r="C60" s="86"/>
      <c r="D60" s="86"/>
      <c r="E60" s="86"/>
      <c r="F60" s="90"/>
      <c r="G60" s="91"/>
      <c r="H60" s="89"/>
      <c r="I60" s="91"/>
      <c r="J60" s="90"/>
      <c r="K60" s="91"/>
      <c r="L60" s="51" t="str">
        <f aca="false">IF(D60="","",IFERROR(VLOOKUP(D60,'Rate Chart'!$A$6:$F$23,2,FALSE()),0))</f>
        <v/>
      </c>
      <c r="M60" s="38" t="n">
        <f aca="false">IF(OR(L60="",N(L60)=0),0,IF(AE60="SLM",(1-Setup!$C$7)/L60,1-Setup!$C$7^(1/L60)))</f>
        <v>0</v>
      </c>
      <c r="N60" s="52" t="n">
        <f aca="false">IF(G60="",0,ROUND(G60*Setup!$C$7,0))</f>
        <v>0</v>
      </c>
      <c r="O60" s="52" t="n">
        <f aca="false">IF(OR(G60="",F60=""),0,IF(AND(F60&lt;Setup!$C$5,OR(J60="",J60&gt;=Setup!$C$5)),G60,0))</f>
        <v>0</v>
      </c>
      <c r="P60" s="52" t="n">
        <f aca="false">IF(OR(G60="",F60=""),0,IF(AND(F60&gt;=Setup!$C$5,F60&lt;=Setup!$C$6),G60,0))</f>
        <v>0</v>
      </c>
      <c r="Q60" s="52" t="n">
        <f aca="false">IF(O60=0,0,IF(I60&lt;&gt;"",I60,IF(N(L60)=0,0,ROUND(IF(AE60="SLM",MIN(G60-N60,(G60-N60)/L60*(AA60+AB60)),G60-MAX(N60,G60*(1-M60*AA60)*(1-M60)^AB60)),0))))</f>
        <v>0</v>
      </c>
      <c r="R60" s="51" t="n">
        <f aca="false">IF(OR(F60="",G60=""),0,IF(OR(F60&gt;Setup!$C$6,AND(J60&lt;&gt;"",J60&lt;Setup!$C$5)),0,MAX(0,MIN(Setup!$C$6,IF(J60="",Setup!$C$6,J60))-MAX(Setup!$C$5,F60)+1)))</f>
        <v>0</v>
      </c>
      <c r="S60" s="53" t="n">
        <f aca="false">IF(OR(N(L60)=0,R60=0),0,MAX(0,ROUND(MIN(IF(AE60="SLM",(G60-N60)/L60,(O60+P60-Q60)*M60)*R60/(Setup!$C$6-Setup!$C$5+1),O60+P60-Q60-N60),0)))</f>
        <v>0</v>
      </c>
      <c r="T60" s="52" t="n">
        <f aca="false">IF(AND(J60&lt;&gt;"",G60&lt;&gt;""),IF(AND(J60&gt;=Setup!$C$5,J60&lt;=Setup!$C$6),O60+P60,0),0)</f>
        <v>0</v>
      </c>
      <c r="U60" s="52" t="n">
        <f aca="false">IF(T60&gt;0,Q60+S60,0)</f>
        <v>0</v>
      </c>
      <c r="V60" s="52" t="n">
        <f aca="false">Q60+S60-U60</f>
        <v>0</v>
      </c>
      <c r="W60" s="54" t="n">
        <f aca="false">O60+P60-T60-V60</f>
        <v>0</v>
      </c>
      <c r="X60" s="52" t="str">
        <f aca="false">IF(T60&gt;0,N(K60)-(O60+P60-Q60-S60),"")</f>
        <v/>
      </c>
      <c r="Y60" s="55" t="str">
        <f aca="false">IF(AND(B60="",C60="",G60=""),"",IF(D60="","⚠ Pick category",IF(F60="","⚠ Enter put-to-use date",IF(G60="","⚠ Enter cost",IF(F60&gt;Setup!$C$6,"Not yet in use",IF(AND(J60&lt;&gt;"",J60&lt;F60),"⚠ Sale before put-to-use",IF(AND(J60&lt;&gt;"",J60&lt;Setup!$C$5),"Sold in an earlier year",IF(N(I60)&gt;G60,"⚠ Opening dep. more than cost",IF(T60&gt;0,"Sold this year",IF(AND(N(L60)&gt;0,W60&lt;=N60+1),"Fully depreciated","✔ OK"))))))))))</f>
        <v/>
      </c>
      <c r="Z60" s="56" t="str">
        <f aca="false">IF(F60="","",DATE(YEAR(F60)+IF(MONTH(F60)&gt;=MONTH(Setup!$C$5),1,0),MONTH(Setup!$C$5),1)-1)</f>
        <v/>
      </c>
      <c r="AA60" s="57" t="str">
        <f aca="false">IF(F60="","",(Z60-F60+1)/(Z60-DATE(YEAR(Z60+1)-1,MONTH(Setup!$C$5),1)+1))</f>
        <v/>
      </c>
      <c r="AB60" s="9" t="str">
        <f aca="false">IF(F60="","",MAX(0,YEAR(Setup!$C$5)-YEAR(Z60+1)))</f>
        <v/>
      </c>
      <c r="AC60" s="9" t="str">
        <f aca="false">IF(D60="","",IFERROR(VLOOKUP(D60,'Rate Chart'!$A$6:$F$23,5,FALSE()),""))</f>
        <v/>
      </c>
      <c r="AD60" s="9" t="str">
        <f aca="false">IF(P60&gt;0,Setup!$C$6-F60+1,"")</f>
        <v/>
      </c>
      <c r="AE60" s="9" t="str">
        <f aca="false">IF(D60="","",IF(H60="",Setup!$C$8,H60))</f>
        <v/>
      </c>
    </row>
    <row r="61" customFormat="false" ht="15" hidden="false" customHeight="false" outlineLevel="0" collapsed="false">
      <c r="A61" s="47" t="str">
        <f aca="false">IF(AND(B61="",C61=""),"",ROW()-6)</f>
        <v/>
      </c>
      <c r="B61" s="89"/>
      <c r="C61" s="86"/>
      <c r="D61" s="86"/>
      <c r="E61" s="86"/>
      <c r="F61" s="90"/>
      <c r="G61" s="91"/>
      <c r="H61" s="89"/>
      <c r="I61" s="91"/>
      <c r="J61" s="90"/>
      <c r="K61" s="91"/>
      <c r="L61" s="51" t="str">
        <f aca="false">IF(D61="","",IFERROR(VLOOKUP(D61,'Rate Chart'!$A$6:$F$23,2,FALSE()),0))</f>
        <v/>
      </c>
      <c r="M61" s="38" t="n">
        <f aca="false">IF(OR(L61="",N(L61)=0),0,IF(AE61="SLM",(1-Setup!$C$7)/L61,1-Setup!$C$7^(1/L61)))</f>
        <v>0</v>
      </c>
      <c r="N61" s="52" t="n">
        <f aca="false">IF(G61="",0,ROUND(G61*Setup!$C$7,0))</f>
        <v>0</v>
      </c>
      <c r="O61" s="52" t="n">
        <f aca="false">IF(OR(G61="",F61=""),0,IF(AND(F61&lt;Setup!$C$5,OR(J61="",J61&gt;=Setup!$C$5)),G61,0))</f>
        <v>0</v>
      </c>
      <c r="P61" s="52" t="n">
        <f aca="false">IF(OR(G61="",F61=""),0,IF(AND(F61&gt;=Setup!$C$5,F61&lt;=Setup!$C$6),G61,0))</f>
        <v>0</v>
      </c>
      <c r="Q61" s="52" t="n">
        <f aca="false">IF(O61=0,0,IF(I61&lt;&gt;"",I61,IF(N(L61)=0,0,ROUND(IF(AE61="SLM",MIN(G61-N61,(G61-N61)/L61*(AA61+AB61)),G61-MAX(N61,G61*(1-M61*AA61)*(1-M61)^AB61)),0))))</f>
        <v>0</v>
      </c>
      <c r="R61" s="51" t="n">
        <f aca="false">IF(OR(F61="",G61=""),0,IF(OR(F61&gt;Setup!$C$6,AND(J61&lt;&gt;"",J61&lt;Setup!$C$5)),0,MAX(0,MIN(Setup!$C$6,IF(J61="",Setup!$C$6,J61))-MAX(Setup!$C$5,F61)+1)))</f>
        <v>0</v>
      </c>
      <c r="S61" s="53" t="n">
        <f aca="false">IF(OR(N(L61)=0,R61=0),0,MAX(0,ROUND(MIN(IF(AE61="SLM",(G61-N61)/L61,(O61+P61-Q61)*M61)*R61/(Setup!$C$6-Setup!$C$5+1),O61+P61-Q61-N61),0)))</f>
        <v>0</v>
      </c>
      <c r="T61" s="52" t="n">
        <f aca="false">IF(AND(J61&lt;&gt;"",G61&lt;&gt;""),IF(AND(J61&gt;=Setup!$C$5,J61&lt;=Setup!$C$6),O61+P61,0),0)</f>
        <v>0</v>
      </c>
      <c r="U61" s="52" t="n">
        <f aca="false">IF(T61&gt;0,Q61+S61,0)</f>
        <v>0</v>
      </c>
      <c r="V61" s="52" t="n">
        <f aca="false">Q61+S61-U61</f>
        <v>0</v>
      </c>
      <c r="W61" s="54" t="n">
        <f aca="false">O61+P61-T61-V61</f>
        <v>0</v>
      </c>
      <c r="X61" s="52" t="str">
        <f aca="false">IF(T61&gt;0,N(K61)-(O61+P61-Q61-S61),"")</f>
        <v/>
      </c>
      <c r="Y61" s="55" t="str">
        <f aca="false">IF(AND(B61="",C61="",G61=""),"",IF(D61="","⚠ Pick category",IF(F61="","⚠ Enter put-to-use date",IF(G61="","⚠ Enter cost",IF(F61&gt;Setup!$C$6,"Not yet in use",IF(AND(J61&lt;&gt;"",J61&lt;F61),"⚠ Sale before put-to-use",IF(AND(J61&lt;&gt;"",J61&lt;Setup!$C$5),"Sold in an earlier year",IF(N(I61)&gt;G61,"⚠ Opening dep. more than cost",IF(T61&gt;0,"Sold this year",IF(AND(N(L61)&gt;0,W61&lt;=N61+1),"Fully depreciated","✔ OK"))))))))))</f>
        <v/>
      </c>
      <c r="Z61" s="56" t="str">
        <f aca="false">IF(F61="","",DATE(YEAR(F61)+IF(MONTH(F61)&gt;=MONTH(Setup!$C$5),1,0),MONTH(Setup!$C$5),1)-1)</f>
        <v/>
      </c>
      <c r="AA61" s="57" t="str">
        <f aca="false">IF(F61="","",(Z61-F61+1)/(Z61-DATE(YEAR(Z61+1)-1,MONTH(Setup!$C$5),1)+1))</f>
        <v/>
      </c>
      <c r="AB61" s="9" t="str">
        <f aca="false">IF(F61="","",MAX(0,YEAR(Setup!$C$5)-YEAR(Z61+1)))</f>
        <v/>
      </c>
      <c r="AC61" s="9" t="str">
        <f aca="false">IF(D61="","",IFERROR(VLOOKUP(D61,'Rate Chart'!$A$6:$F$23,5,FALSE()),""))</f>
        <v/>
      </c>
      <c r="AD61" s="9" t="str">
        <f aca="false">IF(P61&gt;0,Setup!$C$6-F61+1,"")</f>
        <v/>
      </c>
      <c r="AE61" s="9" t="str">
        <f aca="false">IF(D61="","",IF(H61="",Setup!$C$8,H61))</f>
        <v/>
      </c>
    </row>
    <row r="62" customFormat="false" ht="15" hidden="false" customHeight="false" outlineLevel="0" collapsed="false">
      <c r="A62" s="47" t="str">
        <f aca="false">IF(AND(B62="",C62=""),"",ROW()-6)</f>
        <v/>
      </c>
      <c r="B62" s="89"/>
      <c r="C62" s="86"/>
      <c r="D62" s="86"/>
      <c r="E62" s="86"/>
      <c r="F62" s="90"/>
      <c r="G62" s="91"/>
      <c r="H62" s="89"/>
      <c r="I62" s="91"/>
      <c r="J62" s="90"/>
      <c r="K62" s="91"/>
      <c r="L62" s="51" t="str">
        <f aca="false">IF(D62="","",IFERROR(VLOOKUP(D62,'Rate Chart'!$A$6:$F$23,2,FALSE()),0))</f>
        <v/>
      </c>
      <c r="M62" s="38" t="n">
        <f aca="false">IF(OR(L62="",N(L62)=0),0,IF(AE62="SLM",(1-Setup!$C$7)/L62,1-Setup!$C$7^(1/L62)))</f>
        <v>0</v>
      </c>
      <c r="N62" s="52" t="n">
        <f aca="false">IF(G62="",0,ROUND(G62*Setup!$C$7,0))</f>
        <v>0</v>
      </c>
      <c r="O62" s="52" t="n">
        <f aca="false">IF(OR(G62="",F62=""),0,IF(AND(F62&lt;Setup!$C$5,OR(J62="",J62&gt;=Setup!$C$5)),G62,0))</f>
        <v>0</v>
      </c>
      <c r="P62" s="52" t="n">
        <f aca="false">IF(OR(G62="",F62=""),0,IF(AND(F62&gt;=Setup!$C$5,F62&lt;=Setup!$C$6),G62,0))</f>
        <v>0</v>
      </c>
      <c r="Q62" s="52" t="n">
        <f aca="false">IF(O62=0,0,IF(I62&lt;&gt;"",I62,IF(N(L62)=0,0,ROUND(IF(AE62="SLM",MIN(G62-N62,(G62-N62)/L62*(AA62+AB62)),G62-MAX(N62,G62*(1-M62*AA62)*(1-M62)^AB62)),0))))</f>
        <v>0</v>
      </c>
      <c r="R62" s="51" t="n">
        <f aca="false">IF(OR(F62="",G62=""),0,IF(OR(F62&gt;Setup!$C$6,AND(J62&lt;&gt;"",J62&lt;Setup!$C$5)),0,MAX(0,MIN(Setup!$C$6,IF(J62="",Setup!$C$6,J62))-MAX(Setup!$C$5,F62)+1)))</f>
        <v>0</v>
      </c>
      <c r="S62" s="53" t="n">
        <f aca="false">IF(OR(N(L62)=0,R62=0),0,MAX(0,ROUND(MIN(IF(AE62="SLM",(G62-N62)/L62,(O62+P62-Q62)*M62)*R62/(Setup!$C$6-Setup!$C$5+1),O62+P62-Q62-N62),0)))</f>
        <v>0</v>
      </c>
      <c r="T62" s="52" t="n">
        <f aca="false">IF(AND(J62&lt;&gt;"",G62&lt;&gt;""),IF(AND(J62&gt;=Setup!$C$5,J62&lt;=Setup!$C$6),O62+P62,0),0)</f>
        <v>0</v>
      </c>
      <c r="U62" s="52" t="n">
        <f aca="false">IF(T62&gt;0,Q62+S62,0)</f>
        <v>0</v>
      </c>
      <c r="V62" s="52" t="n">
        <f aca="false">Q62+S62-U62</f>
        <v>0</v>
      </c>
      <c r="W62" s="54" t="n">
        <f aca="false">O62+P62-T62-V62</f>
        <v>0</v>
      </c>
      <c r="X62" s="52" t="str">
        <f aca="false">IF(T62&gt;0,N(K62)-(O62+P62-Q62-S62),"")</f>
        <v/>
      </c>
      <c r="Y62" s="55" t="str">
        <f aca="false">IF(AND(B62="",C62="",G62=""),"",IF(D62="","⚠ Pick category",IF(F62="","⚠ Enter put-to-use date",IF(G62="","⚠ Enter cost",IF(F62&gt;Setup!$C$6,"Not yet in use",IF(AND(J62&lt;&gt;"",J62&lt;F62),"⚠ Sale before put-to-use",IF(AND(J62&lt;&gt;"",J62&lt;Setup!$C$5),"Sold in an earlier year",IF(N(I62)&gt;G62,"⚠ Opening dep. more than cost",IF(T62&gt;0,"Sold this year",IF(AND(N(L62)&gt;0,W62&lt;=N62+1),"Fully depreciated","✔ OK"))))))))))</f>
        <v/>
      </c>
      <c r="Z62" s="56" t="str">
        <f aca="false">IF(F62="","",DATE(YEAR(F62)+IF(MONTH(F62)&gt;=MONTH(Setup!$C$5),1,0),MONTH(Setup!$C$5),1)-1)</f>
        <v/>
      </c>
      <c r="AA62" s="57" t="str">
        <f aca="false">IF(F62="","",(Z62-F62+1)/(Z62-DATE(YEAR(Z62+1)-1,MONTH(Setup!$C$5),1)+1))</f>
        <v/>
      </c>
      <c r="AB62" s="9" t="str">
        <f aca="false">IF(F62="","",MAX(0,YEAR(Setup!$C$5)-YEAR(Z62+1)))</f>
        <v/>
      </c>
      <c r="AC62" s="9" t="str">
        <f aca="false">IF(D62="","",IFERROR(VLOOKUP(D62,'Rate Chart'!$A$6:$F$23,5,FALSE()),""))</f>
        <v/>
      </c>
      <c r="AD62" s="9" t="str">
        <f aca="false">IF(P62&gt;0,Setup!$C$6-F62+1,"")</f>
        <v/>
      </c>
      <c r="AE62" s="9" t="str">
        <f aca="false">IF(D62="","",IF(H62="",Setup!$C$8,H62))</f>
        <v/>
      </c>
    </row>
    <row r="63" customFormat="false" ht="15" hidden="false" customHeight="false" outlineLevel="0" collapsed="false">
      <c r="A63" s="47" t="str">
        <f aca="false">IF(AND(B63="",C63=""),"",ROW()-6)</f>
        <v/>
      </c>
      <c r="B63" s="89"/>
      <c r="C63" s="86"/>
      <c r="D63" s="86"/>
      <c r="E63" s="86"/>
      <c r="F63" s="90"/>
      <c r="G63" s="91"/>
      <c r="H63" s="89"/>
      <c r="I63" s="91"/>
      <c r="J63" s="90"/>
      <c r="K63" s="91"/>
      <c r="L63" s="51" t="str">
        <f aca="false">IF(D63="","",IFERROR(VLOOKUP(D63,'Rate Chart'!$A$6:$F$23,2,FALSE()),0))</f>
        <v/>
      </c>
      <c r="M63" s="38" t="n">
        <f aca="false">IF(OR(L63="",N(L63)=0),0,IF(AE63="SLM",(1-Setup!$C$7)/L63,1-Setup!$C$7^(1/L63)))</f>
        <v>0</v>
      </c>
      <c r="N63" s="52" t="n">
        <f aca="false">IF(G63="",0,ROUND(G63*Setup!$C$7,0))</f>
        <v>0</v>
      </c>
      <c r="O63" s="52" t="n">
        <f aca="false">IF(OR(G63="",F63=""),0,IF(AND(F63&lt;Setup!$C$5,OR(J63="",J63&gt;=Setup!$C$5)),G63,0))</f>
        <v>0</v>
      </c>
      <c r="P63" s="52" t="n">
        <f aca="false">IF(OR(G63="",F63=""),0,IF(AND(F63&gt;=Setup!$C$5,F63&lt;=Setup!$C$6),G63,0))</f>
        <v>0</v>
      </c>
      <c r="Q63" s="52" t="n">
        <f aca="false">IF(O63=0,0,IF(I63&lt;&gt;"",I63,IF(N(L63)=0,0,ROUND(IF(AE63="SLM",MIN(G63-N63,(G63-N63)/L63*(AA63+AB63)),G63-MAX(N63,G63*(1-M63*AA63)*(1-M63)^AB63)),0))))</f>
        <v>0</v>
      </c>
      <c r="R63" s="51" t="n">
        <f aca="false">IF(OR(F63="",G63=""),0,IF(OR(F63&gt;Setup!$C$6,AND(J63&lt;&gt;"",J63&lt;Setup!$C$5)),0,MAX(0,MIN(Setup!$C$6,IF(J63="",Setup!$C$6,J63))-MAX(Setup!$C$5,F63)+1)))</f>
        <v>0</v>
      </c>
      <c r="S63" s="53" t="n">
        <f aca="false">IF(OR(N(L63)=0,R63=0),0,MAX(0,ROUND(MIN(IF(AE63="SLM",(G63-N63)/L63,(O63+P63-Q63)*M63)*R63/(Setup!$C$6-Setup!$C$5+1),O63+P63-Q63-N63),0)))</f>
        <v>0</v>
      </c>
      <c r="T63" s="52" t="n">
        <f aca="false">IF(AND(J63&lt;&gt;"",G63&lt;&gt;""),IF(AND(J63&gt;=Setup!$C$5,J63&lt;=Setup!$C$6),O63+P63,0),0)</f>
        <v>0</v>
      </c>
      <c r="U63" s="52" t="n">
        <f aca="false">IF(T63&gt;0,Q63+S63,0)</f>
        <v>0</v>
      </c>
      <c r="V63" s="52" t="n">
        <f aca="false">Q63+S63-U63</f>
        <v>0</v>
      </c>
      <c r="W63" s="54" t="n">
        <f aca="false">O63+P63-T63-V63</f>
        <v>0</v>
      </c>
      <c r="X63" s="52" t="str">
        <f aca="false">IF(T63&gt;0,N(K63)-(O63+P63-Q63-S63),"")</f>
        <v/>
      </c>
      <c r="Y63" s="55" t="str">
        <f aca="false">IF(AND(B63="",C63="",G63=""),"",IF(D63="","⚠ Pick category",IF(F63="","⚠ Enter put-to-use date",IF(G63="","⚠ Enter cost",IF(F63&gt;Setup!$C$6,"Not yet in use",IF(AND(J63&lt;&gt;"",J63&lt;F63),"⚠ Sale before put-to-use",IF(AND(J63&lt;&gt;"",J63&lt;Setup!$C$5),"Sold in an earlier year",IF(N(I63)&gt;G63,"⚠ Opening dep. more than cost",IF(T63&gt;0,"Sold this year",IF(AND(N(L63)&gt;0,W63&lt;=N63+1),"Fully depreciated","✔ OK"))))))))))</f>
        <v/>
      </c>
      <c r="Z63" s="56" t="str">
        <f aca="false">IF(F63="","",DATE(YEAR(F63)+IF(MONTH(F63)&gt;=MONTH(Setup!$C$5),1,0),MONTH(Setup!$C$5),1)-1)</f>
        <v/>
      </c>
      <c r="AA63" s="57" t="str">
        <f aca="false">IF(F63="","",(Z63-F63+1)/(Z63-DATE(YEAR(Z63+1)-1,MONTH(Setup!$C$5),1)+1))</f>
        <v/>
      </c>
      <c r="AB63" s="9" t="str">
        <f aca="false">IF(F63="","",MAX(0,YEAR(Setup!$C$5)-YEAR(Z63+1)))</f>
        <v/>
      </c>
      <c r="AC63" s="9" t="str">
        <f aca="false">IF(D63="","",IFERROR(VLOOKUP(D63,'Rate Chart'!$A$6:$F$23,5,FALSE()),""))</f>
        <v/>
      </c>
      <c r="AD63" s="9" t="str">
        <f aca="false">IF(P63&gt;0,Setup!$C$6-F63+1,"")</f>
        <v/>
      </c>
      <c r="AE63" s="9" t="str">
        <f aca="false">IF(D63="","",IF(H63="",Setup!$C$8,H63))</f>
        <v/>
      </c>
    </row>
    <row r="64" customFormat="false" ht="15" hidden="false" customHeight="false" outlineLevel="0" collapsed="false">
      <c r="A64" s="47" t="str">
        <f aca="false">IF(AND(B64="",C64=""),"",ROW()-6)</f>
        <v/>
      </c>
      <c r="B64" s="89"/>
      <c r="C64" s="86"/>
      <c r="D64" s="86"/>
      <c r="E64" s="86"/>
      <c r="F64" s="90"/>
      <c r="G64" s="91"/>
      <c r="H64" s="89"/>
      <c r="I64" s="91"/>
      <c r="J64" s="90"/>
      <c r="K64" s="91"/>
      <c r="L64" s="51" t="str">
        <f aca="false">IF(D64="","",IFERROR(VLOOKUP(D64,'Rate Chart'!$A$6:$F$23,2,FALSE()),0))</f>
        <v/>
      </c>
      <c r="M64" s="38" t="n">
        <f aca="false">IF(OR(L64="",N(L64)=0),0,IF(AE64="SLM",(1-Setup!$C$7)/L64,1-Setup!$C$7^(1/L64)))</f>
        <v>0</v>
      </c>
      <c r="N64" s="52" t="n">
        <f aca="false">IF(G64="",0,ROUND(G64*Setup!$C$7,0))</f>
        <v>0</v>
      </c>
      <c r="O64" s="52" t="n">
        <f aca="false">IF(OR(G64="",F64=""),0,IF(AND(F64&lt;Setup!$C$5,OR(J64="",J64&gt;=Setup!$C$5)),G64,0))</f>
        <v>0</v>
      </c>
      <c r="P64" s="52" t="n">
        <f aca="false">IF(OR(G64="",F64=""),0,IF(AND(F64&gt;=Setup!$C$5,F64&lt;=Setup!$C$6),G64,0))</f>
        <v>0</v>
      </c>
      <c r="Q64" s="52" t="n">
        <f aca="false">IF(O64=0,0,IF(I64&lt;&gt;"",I64,IF(N(L64)=0,0,ROUND(IF(AE64="SLM",MIN(G64-N64,(G64-N64)/L64*(AA64+AB64)),G64-MAX(N64,G64*(1-M64*AA64)*(1-M64)^AB64)),0))))</f>
        <v>0</v>
      </c>
      <c r="R64" s="51" t="n">
        <f aca="false">IF(OR(F64="",G64=""),0,IF(OR(F64&gt;Setup!$C$6,AND(J64&lt;&gt;"",J64&lt;Setup!$C$5)),0,MAX(0,MIN(Setup!$C$6,IF(J64="",Setup!$C$6,J64))-MAX(Setup!$C$5,F64)+1)))</f>
        <v>0</v>
      </c>
      <c r="S64" s="53" t="n">
        <f aca="false">IF(OR(N(L64)=0,R64=0),0,MAX(0,ROUND(MIN(IF(AE64="SLM",(G64-N64)/L64,(O64+P64-Q64)*M64)*R64/(Setup!$C$6-Setup!$C$5+1),O64+P64-Q64-N64),0)))</f>
        <v>0</v>
      </c>
      <c r="T64" s="52" t="n">
        <f aca="false">IF(AND(J64&lt;&gt;"",G64&lt;&gt;""),IF(AND(J64&gt;=Setup!$C$5,J64&lt;=Setup!$C$6),O64+P64,0),0)</f>
        <v>0</v>
      </c>
      <c r="U64" s="52" t="n">
        <f aca="false">IF(T64&gt;0,Q64+S64,0)</f>
        <v>0</v>
      </c>
      <c r="V64" s="52" t="n">
        <f aca="false">Q64+S64-U64</f>
        <v>0</v>
      </c>
      <c r="W64" s="54" t="n">
        <f aca="false">O64+P64-T64-V64</f>
        <v>0</v>
      </c>
      <c r="X64" s="52" t="str">
        <f aca="false">IF(T64&gt;0,N(K64)-(O64+P64-Q64-S64),"")</f>
        <v/>
      </c>
      <c r="Y64" s="55" t="str">
        <f aca="false">IF(AND(B64="",C64="",G64=""),"",IF(D64="","⚠ Pick category",IF(F64="","⚠ Enter put-to-use date",IF(G64="","⚠ Enter cost",IF(F64&gt;Setup!$C$6,"Not yet in use",IF(AND(J64&lt;&gt;"",J64&lt;F64),"⚠ Sale before put-to-use",IF(AND(J64&lt;&gt;"",J64&lt;Setup!$C$5),"Sold in an earlier year",IF(N(I64)&gt;G64,"⚠ Opening dep. more than cost",IF(T64&gt;0,"Sold this year",IF(AND(N(L64)&gt;0,W64&lt;=N64+1),"Fully depreciated","✔ OK"))))))))))</f>
        <v/>
      </c>
      <c r="Z64" s="56" t="str">
        <f aca="false">IF(F64="","",DATE(YEAR(F64)+IF(MONTH(F64)&gt;=MONTH(Setup!$C$5),1,0),MONTH(Setup!$C$5),1)-1)</f>
        <v/>
      </c>
      <c r="AA64" s="57" t="str">
        <f aca="false">IF(F64="","",(Z64-F64+1)/(Z64-DATE(YEAR(Z64+1)-1,MONTH(Setup!$C$5),1)+1))</f>
        <v/>
      </c>
      <c r="AB64" s="9" t="str">
        <f aca="false">IF(F64="","",MAX(0,YEAR(Setup!$C$5)-YEAR(Z64+1)))</f>
        <v/>
      </c>
      <c r="AC64" s="9" t="str">
        <f aca="false">IF(D64="","",IFERROR(VLOOKUP(D64,'Rate Chart'!$A$6:$F$23,5,FALSE()),""))</f>
        <v/>
      </c>
      <c r="AD64" s="9" t="str">
        <f aca="false">IF(P64&gt;0,Setup!$C$6-F64+1,"")</f>
        <v/>
      </c>
      <c r="AE64" s="9" t="str">
        <f aca="false">IF(D64="","",IF(H64="",Setup!$C$8,H64))</f>
        <v/>
      </c>
    </row>
    <row r="65" customFormat="false" ht="15" hidden="false" customHeight="false" outlineLevel="0" collapsed="false">
      <c r="A65" s="47" t="str">
        <f aca="false">IF(AND(B65="",C65=""),"",ROW()-6)</f>
        <v/>
      </c>
      <c r="B65" s="89"/>
      <c r="C65" s="86"/>
      <c r="D65" s="86"/>
      <c r="E65" s="86"/>
      <c r="F65" s="90"/>
      <c r="G65" s="91"/>
      <c r="H65" s="89"/>
      <c r="I65" s="91"/>
      <c r="J65" s="90"/>
      <c r="K65" s="91"/>
      <c r="L65" s="51" t="str">
        <f aca="false">IF(D65="","",IFERROR(VLOOKUP(D65,'Rate Chart'!$A$6:$F$23,2,FALSE()),0))</f>
        <v/>
      </c>
      <c r="M65" s="38" t="n">
        <f aca="false">IF(OR(L65="",N(L65)=0),0,IF(AE65="SLM",(1-Setup!$C$7)/L65,1-Setup!$C$7^(1/L65)))</f>
        <v>0</v>
      </c>
      <c r="N65" s="52" t="n">
        <f aca="false">IF(G65="",0,ROUND(G65*Setup!$C$7,0))</f>
        <v>0</v>
      </c>
      <c r="O65" s="52" t="n">
        <f aca="false">IF(OR(G65="",F65=""),0,IF(AND(F65&lt;Setup!$C$5,OR(J65="",J65&gt;=Setup!$C$5)),G65,0))</f>
        <v>0</v>
      </c>
      <c r="P65" s="52" t="n">
        <f aca="false">IF(OR(G65="",F65=""),0,IF(AND(F65&gt;=Setup!$C$5,F65&lt;=Setup!$C$6),G65,0))</f>
        <v>0</v>
      </c>
      <c r="Q65" s="52" t="n">
        <f aca="false">IF(O65=0,0,IF(I65&lt;&gt;"",I65,IF(N(L65)=0,0,ROUND(IF(AE65="SLM",MIN(G65-N65,(G65-N65)/L65*(AA65+AB65)),G65-MAX(N65,G65*(1-M65*AA65)*(1-M65)^AB65)),0))))</f>
        <v>0</v>
      </c>
      <c r="R65" s="51" t="n">
        <f aca="false">IF(OR(F65="",G65=""),0,IF(OR(F65&gt;Setup!$C$6,AND(J65&lt;&gt;"",J65&lt;Setup!$C$5)),0,MAX(0,MIN(Setup!$C$6,IF(J65="",Setup!$C$6,J65))-MAX(Setup!$C$5,F65)+1)))</f>
        <v>0</v>
      </c>
      <c r="S65" s="53" t="n">
        <f aca="false">IF(OR(N(L65)=0,R65=0),0,MAX(0,ROUND(MIN(IF(AE65="SLM",(G65-N65)/L65,(O65+P65-Q65)*M65)*R65/(Setup!$C$6-Setup!$C$5+1),O65+P65-Q65-N65),0)))</f>
        <v>0</v>
      </c>
      <c r="T65" s="52" t="n">
        <f aca="false">IF(AND(J65&lt;&gt;"",G65&lt;&gt;""),IF(AND(J65&gt;=Setup!$C$5,J65&lt;=Setup!$C$6),O65+P65,0),0)</f>
        <v>0</v>
      </c>
      <c r="U65" s="52" t="n">
        <f aca="false">IF(T65&gt;0,Q65+S65,0)</f>
        <v>0</v>
      </c>
      <c r="V65" s="52" t="n">
        <f aca="false">Q65+S65-U65</f>
        <v>0</v>
      </c>
      <c r="W65" s="54" t="n">
        <f aca="false">O65+P65-T65-V65</f>
        <v>0</v>
      </c>
      <c r="X65" s="52" t="str">
        <f aca="false">IF(T65&gt;0,N(K65)-(O65+P65-Q65-S65),"")</f>
        <v/>
      </c>
      <c r="Y65" s="55" t="str">
        <f aca="false">IF(AND(B65="",C65="",G65=""),"",IF(D65="","⚠ Pick category",IF(F65="","⚠ Enter put-to-use date",IF(G65="","⚠ Enter cost",IF(F65&gt;Setup!$C$6,"Not yet in use",IF(AND(J65&lt;&gt;"",J65&lt;F65),"⚠ Sale before put-to-use",IF(AND(J65&lt;&gt;"",J65&lt;Setup!$C$5),"Sold in an earlier year",IF(N(I65)&gt;G65,"⚠ Opening dep. more than cost",IF(T65&gt;0,"Sold this year",IF(AND(N(L65)&gt;0,W65&lt;=N65+1),"Fully depreciated","✔ OK"))))))))))</f>
        <v/>
      </c>
      <c r="Z65" s="56" t="str">
        <f aca="false">IF(F65="","",DATE(YEAR(F65)+IF(MONTH(F65)&gt;=MONTH(Setup!$C$5),1,0),MONTH(Setup!$C$5),1)-1)</f>
        <v/>
      </c>
      <c r="AA65" s="57" t="str">
        <f aca="false">IF(F65="","",(Z65-F65+1)/(Z65-DATE(YEAR(Z65+1)-1,MONTH(Setup!$C$5),1)+1))</f>
        <v/>
      </c>
      <c r="AB65" s="9" t="str">
        <f aca="false">IF(F65="","",MAX(0,YEAR(Setup!$C$5)-YEAR(Z65+1)))</f>
        <v/>
      </c>
      <c r="AC65" s="9" t="str">
        <f aca="false">IF(D65="","",IFERROR(VLOOKUP(D65,'Rate Chart'!$A$6:$F$23,5,FALSE()),""))</f>
        <v/>
      </c>
      <c r="AD65" s="9" t="str">
        <f aca="false">IF(P65&gt;0,Setup!$C$6-F65+1,"")</f>
        <v/>
      </c>
      <c r="AE65" s="9" t="str">
        <f aca="false">IF(D65="","",IF(H65="",Setup!$C$8,H65))</f>
        <v/>
      </c>
    </row>
    <row r="66" customFormat="false" ht="15" hidden="false" customHeight="false" outlineLevel="0" collapsed="false">
      <c r="A66" s="47" t="str">
        <f aca="false">IF(AND(B66="",C66=""),"",ROW()-6)</f>
        <v/>
      </c>
      <c r="B66" s="89"/>
      <c r="C66" s="86"/>
      <c r="D66" s="86"/>
      <c r="E66" s="86"/>
      <c r="F66" s="90"/>
      <c r="G66" s="91"/>
      <c r="H66" s="89"/>
      <c r="I66" s="91"/>
      <c r="J66" s="90"/>
      <c r="K66" s="91"/>
      <c r="L66" s="51" t="str">
        <f aca="false">IF(D66="","",IFERROR(VLOOKUP(D66,'Rate Chart'!$A$6:$F$23,2,FALSE()),0))</f>
        <v/>
      </c>
      <c r="M66" s="38" t="n">
        <f aca="false">IF(OR(L66="",N(L66)=0),0,IF(AE66="SLM",(1-Setup!$C$7)/L66,1-Setup!$C$7^(1/L66)))</f>
        <v>0</v>
      </c>
      <c r="N66" s="52" t="n">
        <f aca="false">IF(G66="",0,ROUND(G66*Setup!$C$7,0))</f>
        <v>0</v>
      </c>
      <c r="O66" s="52" t="n">
        <f aca="false">IF(OR(G66="",F66=""),0,IF(AND(F66&lt;Setup!$C$5,OR(J66="",J66&gt;=Setup!$C$5)),G66,0))</f>
        <v>0</v>
      </c>
      <c r="P66" s="52" t="n">
        <f aca="false">IF(OR(G66="",F66=""),0,IF(AND(F66&gt;=Setup!$C$5,F66&lt;=Setup!$C$6),G66,0))</f>
        <v>0</v>
      </c>
      <c r="Q66" s="52" t="n">
        <f aca="false">IF(O66=0,0,IF(I66&lt;&gt;"",I66,IF(N(L66)=0,0,ROUND(IF(AE66="SLM",MIN(G66-N66,(G66-N66)/L66*(AA66+AB66)),G66-MAX(N66,G66*(1-M66*AA66)*(1-M66)^AB66)),0))))</f>
        <v>0</v>
      </c>
      <c r="R66" s="51" t="n">
        <f aca="false">IF(OR(F66="",G66=""),0,IF(OR(F66&gt;Setup!$C$6,AND(J66&lt;&gt;"",J66&lt;Setup!$C$5)),0,MAX(0,MIN(Setup!$C$6,IF(J66="",Setup!$C$6,J66))-MAX(Setup!$C$5,F66)+1)))</f>
        <v>0</v>
      </c>
      <c r="S66" s="53" t="n">
        <f aca="false">IF(OR(N(L66)=0,R66=0),0,MAX(0,ROUND(MIN(IF(AE66="SLM",(G66-N66)/L66,(O66+P66-Q66)*M66)*R66/(Setup!$C$6-Setup!$C$5+1),O66+P66-Q66-N66),0)))</f>
        <v>0</v>
      </c>
      <c r="T66" s="52" t="n">
        <f aca="false">IF(AND(J66&lt;&gt;"",G66&lt;&gt;""),IF(AND(J66&gt;=Setup!$C$5,J66&lt;=Setup!$C$6),O66+P66,0),0)</f>
        <v>0</v>
      </c>
      <c r="U66" s="52" t="n">
        <f aca="false">IF(T66&gt;0,Q66+S66,0)</f>
        <v>0</v>
      </c>
      <c r="V66" s="52" t="n">
        <f aca="false">Q66+S66-U66</f>
        <v>0</v>
      </c>
      <c r="W66" s="54" t="n">
        <f aca="false">O66+P66-T66-V66</f>
        <v>0</v>
      </c>
      <c r="X66" s="52" t="str">
        <f aca="false">IF(T66&gt;0,N(K66)-(O66+P66-Q66-S66),"")</f>
        <v/>
      </c>
      <c r="Y66" s="55" t="str">
        <f aca="false">IF(AND(B66="",C66="",G66=""),"",IF(D66="","⚠ Pick category",IF(F66="","⚠ Enter put-to-use date",IF(G66="","⚠ Enter cost",IF(F66&gt;Setup!$C$6,"Not yet in use",IF(AND(J66&lt;&gt;"",J66&lt;F66),"⚠ Sale before put-to-use",IF(AND(J66&lt;&gt;"",J66&lt;Setup!$C$5),"Sold in an earlier year",IF(N(I66)&gt;G66,"⚠ Opening dep. more than cost",IF(T66&gt;0,"Sold this year",IF(AND(N(L66)&gt;0,W66&lt;=N66+1),"Fully depreciated","✔ OK"))))))))))</f>
        <v/>
      </c>
      <c r="Z66" s="56" t="str">
        <f aca="false">IF(F66="","",DATE(YEAR(F66)+IF(MONTH(F66)&gt;=MONTH(Setup!$C$5),1,0),MONTH(Setup!$C$5),1)-1)</f>
        <v/>
      </c>
      <c r="AA66" s="57" t="str">
        <f aca="false">IF(F66="","",(Z66-F66+1)/(Z66-DATE(YEAR(Z66+1)-1,MONTH(Setup!$C$5),1)+1))</f>
        <v/>
      </c>
      <c r="AB66" s="9" t="str">
        <f aca="false">IF(F66="","",MAX(0,YEAR(Setup!$C$5)-YEAR(Z66+1)))</f>
        <v/>
      </c>
      <c r="AC66" s="9" t="str">
        <f aca="false">IF(D66="","",IFERROR(VLOOKUP(D66,'Rate Chart'!$A$6:$F$23,5,FALSE()),""))</f>
        <v/>
      </c>
      <c r="AD66" s="9" t="str">
        <f aca="false">IF(P66&gt;0,Setup!$C$6-F66+1,"")</f>
        <v/>
      </c>
      <c r="AE66" s="9" t="str">
        <f aca="false">IF(D66="","",IF(H66="",Setup!$C$8,H66))</f>
        <v/>
      </c>
    </row>
    <row r="67" customFormat="false" ht="15" hidden="false" customHeight="false" outlineLevel="0" collapsed="false">
      <c r="A67" s="47" t="str">
        <f aca="false">IF(AND(B67="",C67=""),"",ROW()-6)</f>
        <v/>
      </c>
      <c r="B67" s="89"/>
      <c r="C67" s="86"/>
      <c r="D67" s="86"/>
      <c r="E67" s="86"/>
      <c r="F67" s="90"/>
      <c r="G67" s="91"/>
      <c r="H67" s="89"/>
      <c r="I67" s="91"/>
      <c r="J67" s="90"/>
      <c r="K67" s="91"/>
      <c r="L67" s="51" t="str">
        <f aca="false">IF(D67="","",IFERROR(VLOOKUP(D67,'Rate Chart'!$A$6:$F$23,2,FALSE()),0))</f>
        <v/>
      </c>
      <c r="M67" s="38" t="n">
        <f aca="false">IF(OR(L67="",N(L67)=0),0,IF(AE67="SLM",(1-Setup!$C$7)/L67,1-Setup!$C$7^(1/L67)))</f>
        <v>0</v>
      </c>
      <c r="N67" s="52" t="n">
        <f aca="false">IF(G67="",0,ROUND(G67*Setup!$C$7,0))</f>
        <v>0</v>
      </c>
      <c r="O67" s="52" t="n">
        <f aca="false">IF(OR(G67="",F67=""),0,IF(AND(F67&lt;Setup!$C$5,OR(J67="",J67&gt;=Setup!$C$5)),G67,0))</f>
        <v>0</v>
      </c>
      <c r="P67" s="52" t="n">
        <f aca="false">IF(OR(G67="",F67=""),0,IF(AND(F67&gt;=Setup!$C$5,F67&lt;=Setup!$C$6),G67,0))</f>
        <v>0</v>
      </c>
      <c r="Q67" s="52" t="n">
        <f aca="false">IF(O67=0,0,IF(I67&lt;&gt;"",I67,IF(N(L67)=0,0,ROUND(IF(AE67="SLM",MIN(G67-N67,(G67-N67)/L67*(AA67+AB67)),G67-MAX(N67,G67*(1-M67*AA67)*(1-M67)^AB67)),0))))</f>
        <v>0</v>
      </c>
      <c r="R67" s="51" t="n">
        <f aca="false">IF(OR(F67="",G67=""),0,IF(OR(F67&gt;Setup!$C$6,AND(J67&lt;&gt;"",J67&lt;Setup!$C$5)),0,MAX(0,MIN(Setup!$C$6,IF(J67="",Setup!$C$6,J67))-MAX(Setup!$C$5,F67)+1)))</f>
        <v>0</v>
      </c>
      <c r="S67" s="53" t="n">
        <f aca="false">IF(OR(N(L67)=0,R67=0),0,MAX(0,ROUND(MIN(IF(AE67="SLM",(G67-N67)/L67,(O67+P67-Q67)*M67)*R67/(Setup!$C$6-Setup!$C$5+1),O67+P67-Q67-N67),0)))</f>
        <v>0</v>
      </c>
      <c r="T67" s="52" t="n">
        <f aca="false">IF(AND(J67&lt;&gt;"",G67&lt;&gt;""),IF(AND(J67&gt;=Setup!$C$5,J67&lt;=Setup!$C$6),O67+P67,0),0)</f>
        <v>0</v>
      </c>
      <c r="U67" s="52" t="n">
        <f aca="false">IF(T67&gt;0,Q67+S67,0)</f>
        <v>0</v>
      </c>
      <c r="V67" s="52" t="n">
        <f aca="false">Q67+S67-U67</f>
        <v>0</v>
      </c>
      <c r="W67" s="54" t="n">
        <f aca="false">O67+P67-T67-V67</f>
        <v>0</v>
      </c>
      <c r="X67" s="52" t="str">
        <f aca="false">IF(T67&gt;0,N(K67)-(O67+P67-Q67-S67),"")</f>
        <v/>
      </c>
      <c r="Y67" s="55" t="str">
        <f aca="false">IF(AND(B67="",C67="",G67=""),"",IF(D67="","⚠ Pick category",IF(F67="","⚠ Enter put-to-use date",IF(G67="","⚠ Enter cost",IF(F67&gt;Setup!$C$6,"Not yet in use",IF(AND(J67&lt;&gt;"",J67&lt;F67),"⚠ Sale before put-to-use",IF(AND(J67&lt;&gt;"",J67&lt;Setup!$C$5),"Sold in an earlier year",IF(N(I67)&gt;G67,"⚠ Opening dep. more than cost",IF(T67&gt;0,"Sold this year",IF(AND(N(L67)&gt;0,W67&lt;=N67+1),"Fully depreciated","✔ OK"))))))))))</f>
        <v/>
      </c>
      <c r="Z67" s="56" t="str">
        <f aca="false">IF(F67="","",DATE(YEAR(F67)+IF(MONTH(F67)&gt;=MONTH(Setup!$C$5),1,0),MONTH(Setup!$C$5),1)-1)</f>
        <v/>
      </c>
      <c r="AA67" s="57" t="str">
        <f aca="false">IF(F67="","",(Z67-F67+1)/(Z67-DATE(YEAR(Z67+1)-1,MONTH(Setup!$C$5),1)+1))</f>
        <v/>
      </c>
      <c r="AB67" s="9" t="str">
        <f aca="false">IF(F67="","",MAX(0,YEAR(Setup!$C$5)-YEAR(Z67+1)))</f>
        <v/>
      </c>
      <c r="AC67" s="9" t="str">
        <f aca="false">IF(D67="","",IFERROR(VLOOKUP(D67,'Rate Chart'!$A$6:$F$23,5,FALSE()),""))</f>
        <v/>
      </c>
      <c r="AD67" s="9" t="str">
        <f aca="false">IF(P67&gt;0,Setup!$C$6-F67+1,"")</f>
        <v/>
      </c>
      <c r="AE67" s="9" t="str">
        <f aca="false">IF(D67="","",IF(H67="",Setup!$C$8,H67))</f>
        <v/>
      </c>
    </row>
    <row r="68" customFormat="false" ht="15" hidden="false" customHeight="false" outlineLevel="0" collapsed="false">
      <c r="A68" s="47" t="str">
        <f aca="false">IF(AND(B68="",C68=""),"",ROW()-6)</f>
        <v/>
      </c>
      <c r="B68" s="89"/>
      <c r="C68" s="86"/>
      <c r="D68" s="86"/>
      <c r="E68" s="86"/>
      <c r="F68" s="90"/>
      <c r="G68" s="91"/>
      <c r="H68" s="89"/>
      <c r="I68" s="91"/>
      <c r="J68" s="90"/>
      <c r="K68" s="91"/>
      <c r="L68" s="51" t="str">
        <f aca="false">IF(D68="","",IFERROR(VLOOKUP(D68,'Rate Chart'!$A$6:$F$23,2,FALSE()),0))</f>
        <v/>
      </c>
      <c r="M68" s="38" t="n">
        <f aca="false">IF(OR(L68="",N(L68)=0),0,IF(AE68="SLM",(1-Setup!$C$7)/L68,1-Setup!$C$7^(1/L68)))</f>
        <v>0</v>
      </c>
      <c r="N68" s="52" t="n">
        <f aca="false">IF(G68="",0,ROUND(G68*Setup!$C$7,0))</f>
        <v>0</v>
      </c>
      <c r="O68" s="52" t="n">
        <f aca="false">IF(OR(G68="",F68=""),0,IF(AND(F68&lt;Setup!$C$5,OR(J68="",J68&gt;=Setup!$C$5)),G68,0))</f>
        <v>0</v>
      </c>
      <c r="P68" s="52" t="n">
        <f aca="false">IF(OR(G68="",F68=""),0,IF(AND(F68&gt;=Setup!$C$5,F68&lt;=Setup!$C$6),G68,0))</f>
        <v>0</v>
      </c>
      <c r="Q68" s="52" t="n">
        <f aca="false">IF(O68=0,0,IF(I68&lt;&gt;"",I68,IF(N(L68)=0,0,ROUND(IF(AE68="SLM",MIN(G68-N68,(G68-N68)/L68*(AA68+AB68)),G68-MAX(N68,G68*(1-M68*AA68)*(1-M68)^AB68)),0))))</f>
        <v>0</v>
      </c>
      <c r="R68" s="51" t="n">
        <f aca="false">IF(OR(F68="",G68=""),0,IF(OR(F68&gt;Setup!$C$6,AND(J68&lt;&gt;"",J68&lt;Setup!$C$5)),0,MAX(0,MIN(Setup!$C$6,IF(J68="",Setup!$C$6,J68))-MAX(Setup!$C$5,F68)+1)))</f>
        <v>0</v>
      </c>
      <c r="S68" s="53" t="n">
        <f aca="false">IF(OR(N(L68)=0,R68=0),0,MAX(0,ROUND(MIN(IF(AE68="SLM",(G68-N68)/L68,(O68+P68-Q68)*M68)*R68/(Setup!$C$6-Setup!$C$5+1),O68+P68-Q68-N68),0)))</f>
        <v>0</v>
      </c>
      <c r="T68" s="52" t="n">
        <f aca="false">IF(AND(J68&lt;&gt;"",G68&lt;&gt;""),IF(AND(J68&gt;=Setup!$C$5,J68&lt;=Setup!$C$6),O68+P68,0),0)</f>
        <v>0</v>
      </c>
      <c r="U68" s="52" t="n">
        <f aca="false">IF(T68&gt;0,Q68+S68,0)</f>
        <v>0</v>
      </c>
      <c r="V68" s="52" t="n">
        <f aca="false">Q68+S68-U68</f>
        <v>0</v>
      </c>
      <c r="W68" s="54" t="n">
        <f aca="false">O68+P68-T68-V68</f>
        <v>0</v>
      </c>
      <c r="X68" s="52" t="str">
        <f aca="false">IF(T68&gt;0,N(K68)-(O68+P68-Q68-S68),"")</f>
        <v/>
      </c>
      <c r="Y68" s="55" t="str">
        <f aca="false">IF(AND(B68="",C68="",G68=""),"",IF(D68="","⚠ Pick category",IF(F68="","⚠ Enter put-to-use date",IF(G68="","⚠ Enter cost",IF(F68&gt;Setup!$C$6,"Not yet in use",IF(AND(J68&lt;&gt;"",J68&lt;F68),"⚠ Sale before put-to-use",IF(AND(J68&lt;&gt;"",J68&lt;Setup!$C$5),"Sold in an earlier year",IF(N(I68)&gt;G68,"⚠ Opening dep. more than cost",IF(T68&gt;0,"Sold this year",IF(AND(N(L68)&gt;0,W68&lt;=N68+1),"Fully depreciated","✔ OK"))))))))))</f>
        <v/>
      </c>
      <c r="Z68" s="56" t="str">
        <f aca="false">IF(F68="","",DATE(YEAR(F68)+IF(MONTH(F68)&gt;=MONTH(Setup!$C$5),1,0),MONTH(Setup!$C$5),1)-1)</f>
        <v/>
      </c>
      <c r="AA68" s="57" t="str">
        <f aca="false">IF(F68="","",(Z68-F68+1)/(Z68-DATE(YEAR(Z68+1)-1,MONTH(Setup!$C$5),1)+1))</f>
        <v/>
      </c>
      <c r="AB68" s="9" t="str">
        <f aca="false">IF(F68="","",MAX(0,YEAR(Setup!$C$5)-YEAR(Z68+1)))</f>
        <v/>
      </c>
      <c r="AC68" s="9" t="str">
        <f aca="false">IF(D68="","",IFERROR(VLOOKUP(D68,'Rate Chart'!$A$6:$F$23,5,FALSE()),""))</f>
        <v/>
      </c>
      <c r="AD68" s="9" t="str">
        <f aca="false">IF(P68&gt;0,Setup!$C$6-F68+1,"")</f>
        <v/>
      </c>
      <c r="AE68" s="9" t="str">
        <f aca="false">IF(D68="","",IF(H68="",Setup!$C$8,H68))</f>
        <v/>
      </c>
    </row>
    <row r="69" customFormat="false" ht="15" hidden="false" customHeight="false" outlineLevel="0" collapsed="false">
      <c r="A69" s="47" t="str">
        <f aca="false">IF(AND(B69="",C69=""),"",ROW()-6)</f>
        <v/>
      </c>
      <c r="B69" s="89"/>
      <c r="C69" s="86"/>
      <c r="D69" s="86"/>
      <c r="E69" s="86"/>
      <c r="F69" s="90"/>
      <c r="G69" s="91"/>
      <c r="H69" s="89"/>
      <c r="I69" s="91"/>
      <c r="J69" s="90"/>
      <c r="K69" s="91"/>
      <c r="L69" s="51" t="str">
        <f aca="false">IF(D69="","",IFERROR(VLOOKUP(D69,'Rate Chart'!$A$6:$F$23,2,FALSE()),0))</f>
        <v/>
      </c>
      <c r="M69" s="38" t="n">
        <f aca="false">IF(OR(L69="",N(L69)=0),0,IF(AE69="SLM",(1-Setup!$C$7)/L69,1-Setup!$C$7^(1/L69)))</f>
        <v>0</v>
      </c>
      <c r="N69" s="52" t="n">
        <f aca="false">IF(G69="",0,ROUND(G69*Setup!$C$7,0))</f>
        <v>0</v>
      </c>
      <c r="O69" s="52" t="n">
        <f aca="false">IF(OR(G69="",F69=""),0,IF(AND(F69&lt;Setup!$C$5,OR(J69="",J69&gt;=Setup!$C$5)),G69,0))</f>
        <v>0</v>
      </c>
      <c r="P69" s="52" t="n">
        <f aca="false">IF(OR(G69="",F69=""),0,IF(AND(F69&gt;=Setup!$C$5,F69&lt;=Setup!$C$6),G69,0))</f>
        <v>0</v>
      </c>
      <c r="Q69" s="52" t="n">
        <f aca="false">IF(O69=0,0,IF(I69&lt;&gt;"",I69,IF(N(L69)=0,0,ROUND(IF(AE69="SLM",MIN(G69-N69,(G69-N69)/L69*(AA69+AB69)),G69-MAX(N69,G69*(1-M69*AA69)*(1-M69)^AB69)),0))))</f>
        <v>0</v>
      </c>
      <c r="R69" s="51" t="n">
        <f aca="false">IF(OR(F69="",G69=""),0,IF(OR(F69&gt;Setup!$C$6,AND(J69&lt;&gt;"",J69&lt;Setup!$C$5)),0,MAX(0,MIN(Setup!$C$6,IF(J69="",Setup!$C$6,J69))-MAX(Setup!$C$5,F69)+1)))</f>
        <v>0</v>
      </c>
      <c r="S69" s="53" t="n">
        <f aca="false">IF(OR(N(L69)=0,R69=0),0,MAX(0,ROUND(MIN(IF(AE69="SLM",(G69-N69)/L69,(O69+P69-Q69)*M69)*R69/(Setup!$C$6-Setup!$C$5+1),O69+P69-Q69-N69),0)))</f>
        <v>0</v>
      </c>
      <c r="T69" s="52" t="n">
        <f aca="false">IF(AND(J69&lt;&gt;"",G69&lt;&gt;""),IF(AND(J69&gt;=Setup!$C$5,J69&lt;=Setup!$C$6),O69+P69,0),0)</f>
        <v>0</v>
      </c>
      <c r="U69" s="52" t="n">
        <f aca="false">IF(T69&gt;0,Q69+S69,0)</f>
        <v>0</v>
      </c>
      <c r="V69" s="52" t="n">
        <f aca="false">Q69+S69-U69</f>
        <v>0</v>
      </c>
      <c r="W69" s="54" t="n">
        <f aca="false">O69+P69-T69-V69</f>
        <v>0</v>
      </c>
      <c r="X69" s="52" t="str">
        <f aca="false">IF(T69&gt;0,N(K69)-(O69+P69-Q69-S69),"")</f>
        <v/>
      </c>
      <c r="Y69" s="55" t="str">
        <f aca="false">IF(AND(B69="",C69="",G69=""),"",IF(D69="","⚠ Pick category",IF(F69="","⚠ Enter put-to-use date",IF(G69="","⚠ Enter cost",IF(F69&gt;Setup!$C$6,"Not yet in use",IF(AND(J69&lt;&gt;"",J69&lt;F69),"⚠ Sale before put-to-use",IF(AND(J69&lt;&gt;"",J69&lt;Setup!$C$5),"Sold in an earlier year",IF(N(I69)&gt;G69,"⚠ Opening dep. more than cost",IF(T69&gt;0,"Sold this year",IF(AND(N(L69)&gt;0,W69&lt;=N69+1),"Fully depreciated","✔ OK"))))))))))</f>
        <v/>
      </c>
      <c r="Z69" s="56" t="str">
        <f aca="false">IF(F69="","",DATE(YEAR(F69)+IF(MONTH(F69)&gt;=MONTH(Setup!$C$5),1,0),MONTH(Setup!$C$5),1)-1)</f>
        <v/>
      </c>
      <c r="AA69" s="57" t="str">
        <f aca="false">IF(F69="","",(Z69-F69+1)/(Z69-DATE(YEAR(Z69+1)-1,MONTH(Setup!$C$5),1)+1))</f>
        <v/>
      </c>
      <c r="AB69" s="9" t="str">
        <f aca="false">IF(F69="","",MAX(0,YEAR(Setup!$C$5)-YEAR(Z69+1)))</f>
        <v/>
      </c>
      <c r="AC69" s="9" t="str">
        <f aca="false">IF(D69="","",IFERROR(VLOOKUP(D69,'Rate Chart'!$A$6:$F$23,5,FALSE()),""))</f>
        <v/>
      </c>
      <c r="AD69" s="9" t="str">
        <f aca="false">IF(P69&gt;0,Setup!$C$6-F69+1,"")</f>
        <v/>
      </c>
      <c r="AE69" s="9" t="str">
        <f aca="false">IF(D69="","",IF(H69="",Setup!$C$8,H69))</f>
        <v/>
      </c>
    </row>
    <row r="70" customFormat="false" ht="15" hidden="false" customHeight="false" outlineLevel="0" collapsed="false">
      <c r="A70" s="47" t="str">
        <f aca="false">IF(AND(B70="",C70=""),"",ROW()-6)</f>
        <v/>
      </c>
      <c r="B70" s="89"/>
      <c r="C70" s="86"/>
      <c r="D70" s="86"/>
      <c r="E70" s="86"/>
      <c r="F70" s="90"/>
      <c r="G70" s="91"/>
      <c r="H70" s="89"/>
      <c r="I70" s="91"/>
      <c r="J70" s="90"/>
      <c r="K70" s="91"/>
      <c r="L70" s="51" t="str">
        <f aca="false">IF(D70="","",IFERROR(VLOOKUP(D70,'Rate Chart'!$A$6:$F$23,2,FALSE()),0))</f>
        <v/>
      </c>
      <c r="M70" s="38" t="n">
        <f aca="false">IF(OR(L70="",N(L70)=0),0,IF(AE70="SLM",(1-Setup!$C$7)/L70,1-Setup!$C$7^(1/L70)))</f>
        <v>0</v>
      </c>
      <c r="N70" s="52" t="n">
        <f aca="false">IF(G70="",0,ROUND(G70*Setup!$C$7,0))</f>
        <v>0</v>
      </c>
      <c r="O70" s="52" t="n">
        <f aca="false">IF(OR(G70="",F70=""),0,IF(AND(F70&lt;Setup!$C$5,OR(J70="",J70&gt;=Setup!$C$5)),G70,0))</f>
        <v>0</v>
      </c>
      <c r="P70" s="52" t="n">
        <f aca="false">IF(OR(G70="",F70=""),0,IF(AND(F70&gt;=Setup!$C$5,F70&lt;=Setup!$C$6),G70,0))</f>
        <v>0</v>
      </c>
      <c r="Q70" s="52" t="n">
        <f aca="false">IF(O70=0,0,IF(I70&lt;&gt;"",I70,IF(N(L70)=0,0,ROUND(IF(AE70="SLM",MIN(G70-N70,(G70-N70)/L70*(AA70+AB70)),G70-MAX(N70,G70*(1-M70*AA70)*(1-M70)^AB70)),0))))</f>
        <v>0</v>
      </c>
      <c r="R70" s="51" t="n">
        <f aca="false">IF(OR(F70="",G70=""),0,IF(OR(F70&gt;Setup!$C$6,AND(J70&lt;&gt;"",J70&lt;Setup!$C$5)),0,MAX(0,MIN(Setup!$C$6,IF(J70="",Setup!$C$6,J70))-MAX(Setup!$C$5,F70)+1)))</f>
        <v>0</v>
      </c>
      <c r="S70" s="53" t="n">
        <f aca="false">IF(OR(N(L70)=0,R70=0),0,MAX(0,ROUND(MIN(IF(AE70="SLM",(G70-N70)/L70,(O70+P70-Q70)*M70)*R70/(Setup!$C$6-Setup!$C$5+1),O70+P70-Q70-N70),0)))</f>
        <v>0</v>
      </c>
      <c r="T70" s="52" t="n">
        <f aca="false">IF(AND(J70&lt;&gt;"",G70&lt;&gt;""),IF(AND(J70&gt;=Setup!$C$5,J70&lt;=Setup!$C$6),O70+P70,0),0)</f>
        <v>0</v>
      </c>
      <c r="U70" s="52" t="n">
        <f aca="false">IF(T70&gt;0,Q70+S70,0)</f>
        <v>0</v>
      </c>
      <c r="V70" s="52" t="n">
        <f aca="false">Q70+S70-U70</f>
        <v>0</v>
      </c>
      <c r="W70" s="54" t="n">
        <f aca="false">O70+P70-T70-V70</f>
        <v>0</v>
      </c>
      <c r="X70" s="52" t="str">
        <f aca="false">IF(T70&gt;0,N(K70)-(O70+P70-Q70-S70),"")</f>
        <v/>
      </c>
      <c r="Y70" s="55" t="str">
        <f aca="false">IF(AND(B70="",C70="",G70=""),"",IF(D70="","⚠ Pick category",IF(F70="","⚠ Enter put-to-use date",IF(G70="","⚠ Enter cost",IF(F70&gt;Setup!$C$6,"Not yet in use",IF(AND(J70&lt;&gt;"",J70&lt;F70),"⚠ Sale before put-to-use",IF(AND(J70&lt;&gt;"",J70&lt;Setup!$C$5),"Sold in an earlier year",IF(N(I70)&gt;G70,"⚠ Opening dep. more than cost",IF(T70&gt;0,"Sold this year",IF(AND(N(L70)&gt;0,W70&lt;=N70+1),"Fully depreciated","✔ OK"))))))))))</f>
        <v/>
      </c>
      <c r="Z70" s="56" t="str">
        <f aca="false">IF(F70="","",DATE(YEAR(F70)+IF(MONTH(F70)&gt;=MONTH(Setup!$C$5),1,0),MONTH(Setup!$C$5),1)-1)</f>
        <v/>
      </c>
      <c r="AA70" s="57" t="str">
        <f aca="false">IF(F70="","",(Z70-F70+1)/(Z70-DATE(YEAR(Z70+1)-1,MONTH(Setup!$C$5),1)+1))</f>
        <v/>
      </c>
      <c r="AB70" s="9" t="str">
        <f aca="false">IF(F70="","",MAX(0,YEAR(Setup!$C$5)-YEAR(Z70+1)))</f>
        <v/>
      </c>
      <c r="AC70" s="9" t="str">
        <f aca="false">IF(D70="","",IFERROR(VLOOKUP(D70,'Rate Chart'!$A$6:$F$23,5,FALSE()),""))</f>
        <v/>
      </c>
      <c r="AD70" s="9" t="str">
        <f aca="false">IF(P70&gt;0,Setup!$C$6-F70+1,"")</f>
        <v/>
      </c>
      <c r="AE70" s="9" t="str">
        <f aca="false">IF(D70="","",IF(H70="",Setup!$C$8,H70))</f>
        <v/>
      </c>
    </row>
    <row r="71" customFormat="false" ht="15" hidden="false" customHeight="false" outlineLevel="0" collapsed="false">
      <c r="A71" s="47" t="str">
        <f aca="false">IF(AND(B71="",C71=""),"",ROW()-6)</f>
        <v/>
      </c>
      <c r="B71" s="89"/>
      <c r="C71" s="86"/>
      <c r="D71" s="86"/>
      <c r="E71" s="86"/>
      <c r="F71" s="90"/>
      <c r="G71" s="91"/>
      <c r="H71" s="89"/>
      <c r="I71" s="91"/>
      <c r="J71" s="90"/>
      <c r="K71" s="91"/>
      <c r="L71" s="51" t="str">
        <f aca="false">IF(D71="","",IFERROR(VLOOKUP(D71,'Rate Chart'!$A$6:$F$23,2,FALSE()),0))</f>
        <v/>
      </c>
      <c r="M71" s="38" t="n">
        <f aca="false">IF(OR(L71="",N(L71)=0),0,IF(AE71="SLM",(1-Setup!$C$7)/L71,1-Setup!$C$7^(1/L71)))</f>
        <v>0</v>
      </c>
      <c r="N71" s="52" t="n">
        <f aca="false">IF(G71="",0,ROUND(G71*Setup!$C$7,0))</f>
        <v>0</v>
      </c>
      <c r="O71" s="52" t="n">
        <f aca="false">IF(OR(G71="",F71=""),0,IF(AND(F71&lt;Setup!$C$5,OR(J71="",J71&gt;=Setup!$C$5)),G71,0))</f>
        <v>0</v>
      </c>
      <c r="P71" s="52" t="n">
        <f aca="false">IF(OR(G71="",F71=""),0,IF(AND(F71&gt;=Setup!$C$5,F71&lt;=Setup!$C$6),G71,0))</f>
        <v>0</v>
      </c>
      <c r="Q71" s="52" t="n">
        <f aca="false">IF(O71=0,0,IF(I71&lt;&gt;"",I71,IF(N(L71)=0,0,ROUND(IF(AE71="SLM",MIN(G71-N71,(G71-N71)/L71*(AA71+AB71)),G71-MAX(N71,G71*(1-M71*AA71)*(1-M71)^AB71)),0))))</f>
        <v>0</v>
      </c>
      <c r="R71" s="51" t="n">
        <f aca="false">IF(OR(F71="",G71=""),0,IF(OR(F71&gt;Setup!$C$6,AND(J71&lt;&gt;"",J71&lt;Setup!$C$5)),0,MAX(0,MIN(Setup!$C$6,IF(J71="",Setup!$C$6,J71))-MAX(Setup!$C$5,F71)+1)))</f>
        <v>0</v>
      </c>
      <c r="S71" s="53" t="n">
        <f aca="false">IF(OR(N(L71)=0,R71=0),0,MAX(0,ROUND(MIN(IF(AE71="SLM",(G71-N71)/L71,(O71+P71-Q71)*M71)*R71/(Setup!$C$6-Setup!$C$5+1),O71+P71-Q71-N71),0)))</f>
        <v>0</v>
      </c>
      <c r="T71" s="52" t="n">
        <f aca="false">IF(AND(J71&lt;&gt;"",G71&lt;&gt;""),IF(AND(J71&gt;=Setup!$C$5,J71&lt;=Setup!$C$6),O71+P71,0),0)</f>
        <v>0</v>
      </c>
      <c r="U71" s="52" t="n">
        <f aca="false">IF(T71&gt;0,Q71+S71,0)</f>
        <v>0</v>
      </c>
      <c r="V71" s="52" t="n">
        <f aca="false">Q71+S71-U71</f>
        <v>0</v>
      </c>
      <c r="W71" s="54" t="n">
        <f aca="false">O71+P71-T71-V71</f>
        <v>0</v>
      </c>
      <c r="X71" s="52" t="str">
        <f aca="false">IF(T71&gt;0,N(K71)-(O71+P71-Q71-S71),"")</f>
        <v/>
      </c>
      <c r="Y71" s="55" t="str">
        <f aca="false">IF(AND(B71="",C71="",G71=""),"",IF(D71="","⚠ Pick category",IF(F71="","⚠ Enter put-to-use date",IF(G71="","⚠ Enter cost",IF(F71&gt;Setup!$C$6,"Not yet in use",IF(AND(J71&lt;&gt;"",J71&lt;F71),"⚠ Sale before put-to-use",IF(AND(J71&lt;&gt;"",J71&lt;Setup!$C$5),"Sold in an earlier year",IF(N(I71)&gt;G71,"⚠ Opening dep. more than cost",IF(T71&gt;0,"Sold this year",IF(AND(N(L71)&gt;0,W71&lt;=N71+1),"Fully depreciated","✔ OK"))))))))))</f>
        <v/>
      </c>
      <c r="Z71" s="56" t="str">
        <f aca="false">IF(F71="","",DATE(YEAR(F71)+IF(MONTH(F71)&gt;=MONTH(Setup!$C$5),1,0),MONTH(Setup!$C$5),1)-1)</f>
        <v/>
      </c>
      <c r="AA71" s="57" t="str">
        <f aca="false">IF(F71="","",(Z71-F71+1)/(Z71-DATE(YEAR(Z71+1)-1,MONTH(Setup!$C$5),1)+1))</f>
        <v/>
      </c>
      <c r="AB71" s="9" t="str">
        <f aca="false">IF(F71="","",MAX(0,YEAR(Setup!$C$5)-YEAR(Z71+1)))</f>
        <v/>
      </c>
      <c r="AC71" s="9" t="str">
        <f aca="false">IF(D71="","",IFERROR(VLOOKUP(D71,'Rate Chart'!$A$6:$F$23,5,FALSE()),""))</f>
        <v/>
      </c>
      <c r="AD71" s="9" t="str">
        <f aca="false">IF(P71&gt;0,Setup!$C$6-F71+1,"")</f>
        <v/>
      </c>
      <c r="AE71" s="9" t="str">
        <f aca="false">IF(D71="","",IF(H71="",Setup!$C$8,H71))</f>
        <v/>
      </c>
    </row>
    <row r="72" customFormat="false" ht="15" hidden="false" customHeight="false" outlineLevel="0" collapsed="false">
      <c r="A72" s="47" t="str">
        <f aca="false">IF(AND(B72="",C72=""),"",ROW()-6)</f>
        <v/>
      </c>
      <c r="B72" s="89"/>
      <c r="C72" s="86"/>
      <c r="D72" s="86"/>
      <c r="E72" s="86"/>
      <c r="F72" s="90"/>
      <c r="G72" s="91"/>
      <c r="H72" s="89"/>
      <c r="I72" s="91"/>
      <c r="J72" s="90"/>
      <c r="K72" s="91"/>
      <c r="L72" s="51" t="str">
        <f aca="false">IF(D72="","",IFERROR(VLOOKUP(D72,'Rate Chart'!$A$6:$F$23,2,FALSE()),0))</f>
        <v/>
      </c>
      <c r="M72" s="38" t="n">
        <f aca="false">IF(OR(L72="",N(L72)=0),0,IF(AE72="SLM",(1-Setup!$C$7)/L72,1-Setup!$C$7^(1/L72)))</f>
        <v>0</v>
      </c>
      <c r="N72" s="52" t="n">
        <f aca="false">IF(G72="",0,ROUND(G72*Setup!$C$7,0))</f>
        <v>0</v>
      </c>
      <c r="O72" s="52" t="n">
        <f aca="false">IF(OR(G72="",F72=""),0,IF(AND(F72&lt;Setup!$C$5,OR(J72="",J72&gt;=Setup!$C$5)),G72,0))</f>
        <v>0</v>
      </c>
      <c r="P72" s="52" t="n">
        <f aca="false">IF(OR(G72="",F72=""),0,IF(AND(F72&gt;=Setup!$C$5,F72&lt;=Setup!$C$6),G72,0))</f>
        <v>0</v>
      </c>
      <c r="Q72" s="52" t="n">
        <f aca="false">IF(O72=0,0,IF(I72&lt;&gt;"",I72,IF(N(L72)=0,0,ROUND(IF(AE72="SLM",MIN(G72-N72,(G72-N72)/L72*(AA72+AB72)),G72-MAX(N72,G72*(1-M72*AA72)*(1-M72)^AB72)),0))))</f>
        <v>0</v>
      </c>
      <c r="R72" s="51" t="n">
        <f aca="false">IF(OR(F72="",G72=""),0,IF(OR(F72&gt;Setup!$C$6,AND(J72&lt;&gt;"",J72&lt;Setup!$C$5)),0,MAX(0,MIN(Setup!$C$6,IF(J72="",Setup!$C$6,J72))-MAX(Setup!$C$5,F72)+1)))</f>
        <v>0</v>
      </c>
      <c r="S72" s="53" t="n">
        <f aca="false">IF(OR(N(L72)=0,R72=0),0,MAX(0,ROUND(MIN(IF(AE72="SLM",(G72-N72)/L72,(O72+P72-Q72)*M72)*R72/(Setup!$C$6-Setup!$C$5+1),O72+P72-Q72-N72),0)))</f>
        <v>0</v>
      </c>
      <c r="T72" s="52" t="n">
        <f aca="false">IF(AND(J72&lt;&gt;"",G72&lt;&gt;""),IF(AND(J72&gt;=Setup!$C$5,J72&lt;=Setup!$C$6),O72+P72,0),0)</f>
        <v>0</v>
      </c>
      <c r="U72" s="52" t="n">
        <f aca="false">IF(T72&gt;0,Q72+S72,0)</f>
        <v>0</v>
      </c>
      <c r="V72" s="52" t="n">
        <f aca="false">Q72+S72-U72</f>
        <v>0</v>
      </c>
      <c r="W72" s="54" t="n">
        <f aca="false">O72+P72-T72-V72</f>
        <v>0</v>
      </c>
      <c r="X72" s="52" t="str">
        <f aca="false">IF(T72&gt;0,N(K72)-(O72+P72-Q72-S72),"")</f>
        <v/>
      </c>
      <c r="Y72" s="55" t="str">
        <f aca="false">IF(AND(B72="",C72="",G72=""),"",IF(D72="","⚠ Pick category",IF(F72="","⚠ Enter put-to-use date",IF(G72="","⚠ Enter cost",IF(F72&gt;Setup!$C$6,"Not yet in use",IF(AND(J72&lt;&gt;"",J72&lt;F72),"⚠ Sale before put-to-use",IF(AND(J72&lt;&gt;"",J72&lt;Setup!$C$5),"Sold in an earlier year",IF(N(I72)&gt;G72,"⚠ Opening dep. more than cost",IF(T72&gt;0,"Sold this year",IF(AND(N(L72)&gt;0,W72&lt;=N72+1),"Fully depreciated","✔ OK"))))))))))</f>
        <v/>
      </c>
      <c r="Z72" s="56" t="str">
        <f aca="false">IF(F72="","",DATE(YEAR(F72)+IF(MONTH(F72)&gt;=MONTH(Setup!$C$5),1,0),MONTH(Setup!$C$5),1)-1)</f>
        <v/>
      </c>
      <c r="AA72" s="57" t="str">
        <f aca="false">IF(F72="","",(Z72-F72+1)/(Z72-DATE(YEAR(Z72+1)-1,MONTH(Setup!$C$5),1)+1))</f>
        <v/>
      </c>
      <c r="AB72" s="9" t="str">
        <f aca="false">IF(F72="","",MAX(0,YEAR(Setup!$C$5)-YEAR(Z72+1)))</f>
        <v/>
      </c>
      <c r="AC72" s="9" t="str">
        <f aca="false">IF(D72="","",IFERROR(VLOOKUP(D72,'Rate Chart'!$A$6:$F$23,5,FALSE()),""))</f>
        <v/>
      </c>
      <c r="AD72" s="9" t="str">
        <f aca="false">IF(P72&gt;0,Setup!$C$6-F72+1,"")</f>
        <v/>
      </c>
      <c r="AE72" s="9" t="str">
        <f aca="false">IF(D72="","",IF(H72="",Setup!$C$8,H72))</f>
        <v/>
      </c>
    </row>
    <row r="73" customFormat="false" ht="15" hidden="false" customHeight="false" outlineLevel="0" collapsed="false">
      <c r="A73" s="47" t="str">
        <f aca="false">IF(AND(B73="",C73=""),"",ROW()-6)</f>
        <v/>
      </c>
      <c r="B73" s="89"/>
      <c r="C73" s="86"/>
      <c r="D73" s="86"/>
      <c r="E73" s="86"/>
      <c r="F73" s="90"/>
      <c r="G73" s="91"/>
      <c r="H73" s="89"/>
      <c r="I73" s="91"/>
      <c r="J73" s="90"/>
      <c r="K73" s="91"/>
      <c r="L73" s="51" t="str">
        <f aca="false">IF(D73="","",IFERROR(VLOOKUP(D73,'Rate Chart'!$A$6:$F$23,2,FALSE()),0))</f>
        <v/>
      </c>
      <c r="M73" s="38" t="n">
        <f aca="false">IF(OR(L73="",N(L73)=0),0,IF(AE73="SLM",(1-Setup!$C$7)/L73,1-Setup!$C$7^(1/L73)))</f>
        <v>0</v>
      </c>
      <c r="N73" s="52" t="n">
        <f aca="false">IF(G73="",0,ROUND(G73*Setup!$C$7,0))</f>
        <v>0</v>
      </c>
      <c r="O73" s="52" t="n">
        <f aca="false">IF(OR(G73="",F73=""),0,IF(AND(F73&lt;Setup!$C$5,OR(J73="",J73&gt;=Setup!$C$5)),G73,0))</f>
        <v>0</v>
      </c>
      <c r="P73" s="52" t="n">
        <f aca="false">IF(OR(G73="",F73=""),0,IF(AND(F73&gt;=Setup!$C$5,F73&lt;=Setup!$C$6),G73,0))</f>
        <v>0</v>
      </c>
      <c r="Q73" s="52" t="n">
        <f aca="false">IF(O73=0,0,IF(I73&lt;&gt;"",I73,IF(N(L73)=0,0,ROUND(IF(AE73="SLM",MIN(G73-N73,(G73-N73)/L73*(AA73+AB73)),G73-MAX(N73,G73*(1-M73*AA73)*(1-M73)^AB73)),0))))</f>
        <v>0</v>
      </c>
      <c r="R73" s="51" t="n">
        <f aca="false">IF(OR(F73="",G73=""),0,IF(OR(F73&gt;Setup!$C$6,AND(J73&lt;&gt;"",J73&lt;Setup!$C$5)),0,MAX(0,MIN(Setup!$C$6,IF(J73="",Setup!$C$6,J73))-MAX(Setup!$C$5,F73)+1)))</f>
        <v>0</v>
      </c>
      <c r="S73" s="53" t="n">
        <f aca="false">IF(OR(N(L73)=0,R73=0),0,MAX(0,ROUND(MIN(IF(AE73="SLM",(G73-N73)/L73,(O73+P73-Q73)*M73)*R73/(Setup!$C$6-Setup!$C$5+1),O73+P73-Q73-N73),0)))</f>
        <v>0</v>
      </c>
      <c r="T73" s="52" t="n">
        <f aca="false">IF(AND(J73&lt;&gt;"",G73&lt;&gt;""),IF(AND(J73&gt;=Setup!$C$5,J73&lt;=Setup!$C$6),O73+P73,0),0)</f>
        <v>0</v>
      </c>
      <c r="U73" s="52" t="n">
        <f aca="false">IF(T73&gt;0,Q73+S73,0)</f>
        <v>0</v>
      </c>
      <c r="V73" s="52" t="n">
        <f aca="false">Q73+S73-U73</f>
        <v>0</v>
      </c>
      <c r="W73" s="54" t="n">
        <f aca="false">O73+P73-T73-V73</f>
        <v>0</v>
      </c>
      <c r="X73" s="52" t="str">
        <f aca="false">IF(T73&gt;0,N(K73)-(O73+P73-Q73-S73),"")</f>
        <v/>
      </c>
      <c r="Y73" s="55" t="str">
        <f aca="false">IF(AND(B73="",C73="",G73=""),"",IF(D73="","⚠ Pick category",IF(F73="","⚠ Enter put-to-use date",IF(G73="","⚠ Enter cost",IF(F73&gt;Setup!$C$6,"Not yet in use",IF(AND(J73&lt;&gt;"",J73&lt;F73),"⚠ Sale before put-to-use",IF(AND(J73&lt;&gt;"",J73&lt;Setup!$C$5),"Sold in an earlier year",IF(N(I73)&gt;G73,"⚠ Opening dep. more than cost",IF(T73&gt;0,"Sold this year",IF(AND(N(L73)&gt;0,W73&lt;=N73+1),"Fully depreciated","✔ OK"))))))))))</f>
        <v/>
      </c>
      <c r="Z73" s="56" t="str">
        <f aca="false">IF(F73="","",DATE(YEAR(F73)+IF(MONTH(F73)&gt;=MONTH(Setup!$C$5),1,0),MONTH(Setup!$C$5),1)-1)</f>
        <v/>
      </c>
      <c r="AA73" s="57" t="str">
        <f aca="false">IF(F73="","",(Z73-F73+1)/(Z73-DATE(YEAR(Z73+1)-1,MONTH(Setup!$C$5),1)+1))</f>
        <v/>
      </c>
      <c r="AB73" s="9" t="str">
        <f aca="false">IF(F73="","",MAX(0,YEAR(Setup!$C$5)-YEAR(Z73+1)))</f>
        <v/>
      </c>
      <c r="AC73" s="9" t="str">
        <f aca="false">IF(D73="","",IFERROR(VLOOKUP(D73,'Rate Chart'!$A$6:$F$23,5,FALSE()),""))</f>
        <v/>
      </c>
      <c r="AD73" s="9" t="str">
        <f aca="false">IF(P73&gt;0,Setup!$C$6-F73+1,"")</f>
        <v/>
      </c>
      <c r="AE73" s="9" t="str">
        <f aca="false">IF(D73="","",IF(H73="",Setup!$C$8,H73))</f>
        <v/>
      </c>
    </row>
    <row r="74" customFormat="false" ht="15" hidden="false" customHeight="false" outlineLevel="0" collapsed="false">
      <c r="A74" s="47" t="str">
        <f aca="false">IF(AND(B74="",C74=""),"",ROW()-6)</f>
        <v/>
      </c>
      <c r="B74" s="89"/>
      <c r="C74" s="86"/>
      <c r="D74" s="86"/>
      <c r="E74" s="86"/>
      <c r="F74" s="90"/>
      <c r="G74" s="91"/>
      <c r="H74" s="89"/>
      <c r="I74" s="91"/>
      <c r="J74" s="90"/>
      <c r="K74" s="91"/>
      <c r="L74" s="51" t="str">
        <f aca="false">IF(D74="","",IFERROR(VLOOKUP(D74,'Rate Chart'!$A$6:$F$23,2,FALSE()),0))</f>
        <v/>
      </c>
      <c r="M74" s="38" t="n">
        <f aca="false">IF(OR(L74="",N(L74)=0),0,IF(AE74="SLM",(1-Setup!$C$7)/L74,1-Setup!$C$7^(1/L74)))</f>
        <v>0</v>
      </c>
      <c r="N74" s="52" t="n">
        <f aca="false">IF(G74="",0,ROUND(G74*Setup!$C$7,0))</f>
        <v>0</v>
      </c>
      <c r="O74" s="52" t="n">
        <f aca="false">IF(OR(G74="",F74=""),0,IF(AND(F74&lt;Setup!$C$5,OR(J74="",J74&gt;=Setup!$C$5)),G74,0))</f>
        <v>0</v>
      </c>
      <c r="P74" s="52" t="n">
        <f aca="false">IF(OR(G74="",F74=""),0,IF(AND(F74&gt;=Setup!$C$5,F74&lt;=Setup!$C$6),G74,0))</f>
        <v>0</v>
      </c>
      <c r="Q74" s="52" t="n">
        <f aca="false">IF(O74=0,0,IF(I74&lt;&gt;"",I74,IF(N(L74)=0,0,ROUND(IF(AE74="SLM",MIN(G74-N74,(G74-N74)/L74*(AA74+AB74)),G74-MAX(N74,G74*(1-M74*AA74)*(1-M74)^AB74)),0))))</f>
        <v>0</v>
      </c>
      <c r="R74" s="51" t="n">
        <f aca="false">IF(OR(F74="",G74=""),0,IF(OR(F74&gt;Setup!$C$6,AND(J74&lt;&gt;"",J74&lt;Setup!$C$5)),0,MAX(0,MIN(Setup!$C$6,IF(J74="",Setup!$C$6,J74))-MAX(Setup!$C$5,F74)+1)))</f>
        <v>0</v>
      </c>
      <c r="S74" s="53" t="n">
        <f aca="false">IF(OR(N(L74)=0,R74=0),0,MAX(0,ROUND(MIN(IF(AE74="SLM",(G74-N74)/L74,(O74+P74-Q74)*M74)*R74/(Setup!$C$6-Setup!$C$5+1),O74+P74-Q74-N74),0)))</f>
        <v>0</v>
      </c>
      <c r="T74" s="52" t="n">
        <f aca="false">IF(AND(J74&lt;&gt;"",G74&lt;&gt;""),IF(AND(J74&gt;=Setup!$C$5,J74&lt;=Setup!$C$6),O74+P74,0),0)</f>
        <v>0</v>
      </c>
      <c r="U74" s="52" t="n">
        <f aca="false">IF(T74&gt;0,Q74+S74,0)</f>
        <v>0</v>
      </c>
      <c r="V74" s="52" t="n">
        <f aca="false">Q74+S74-U74</f>
        <v>0</v>
      </c>
      <c r="W74" s="54" t="n">
        <f aca="false">O74+P74-T74-V74</f>
        <v>0</v>
      </c>
      <c r="X74" s="52" t="str">
        <f aca="false">IF(T74&gt;0,N(K74)-(O74+P74-Q74-S74),"")</f>
        <v/>
      </c>
      <c r="Y74" s="55" t="str">
        <f aca="false">IF(AND(B74="",C74="",G74=""),"",IF(D74="","⚠ Pick category",IF(F74="","⚠ Enter put-to-use date",IF(G74="","⚠ Enter cost",IF(F74&gt;Setup!$C$6,"Not yet in use",IF(AND(J74&lt;&gt;"",J74&lt;F74),"⚠ Sale before put-to-use",IF(AND(J74&lt;&gt;"",J74&lt;Setup!$C$5),"Sold in an earlier year",IF(N(I74)&gt;G74,"⚠ Opening dep. more than cost",IF(T74&gt;0,"Sold this year",IF(AND(N(L74)&gt;0,W74&lt;=N74+1),"Fully depreciated","✔ OK"))))))))))</f>
        <v/>
      </c>
      <c r="Z74" s="56" t="str">
        <f aca="false">IF(F74="","",DATE(YEAR(F74)+IF(MONTH(F74)&gt;=MONTH(Setup!$C$5),1,0),MONTH(Setup!$C$5),1)-1)</f>
        <v/>
      </c>
      <c r="AA74" s="57" t="str">
        <f aca="false">IF(F74="","",(Z74-F74+1)/(Z74-DATE(YEAR(Z74+1)-1,MONTH(Setup!$C$5),1)+1))</f>
        <v/>
      </c>
      <c r="AB74" s="9" t="str">
        <f aca="false">IF(F74="","",MAX(0,YEAR(Setup!$C$5)-YEAR(Z74+1)))</f>
        <v/>
      </c>
      <c r="AC74" s="9" t="str">
        <f aca="false">IF(D74="","",IFERROR(VLOOKUP(D74,'Rate Chart'!$A$6:$F$23,5,FALSE()),""))</f>
        <v/>
      </c>
      <c r="AD74" s="9" t="str">
        <f aca="false">IF(P74&gt;0,Setup!$C$6-F74+1,"")</f>
        <v/>
      </c>
      <c r="AE74" s="9" t="str">
        <f aca="false">IF(D74="","",IF(H74="",Setup!$C$8,H74))</f>
        <v/>
      </c>
    </row>
    <row r="75" customFormat="false" ht="15" hidden="false" customHeight="false" outlineLevel="0" collapsed="false">
      <c r="A75" s="47" t="str">
        <f aca="false">IF(AND(B75="",C75=""),"",ROW()-6)</f>
        <v/>
      </c>
      <c r="B75" s="89"/>
      <c r="C75" s="86"/>
      <c r="D75" s="86"/>
      <c r="E75" s="86"/>
      <c r="F75" s="90"/>
      <c r="G75" s="91"/>
      <c r="H75" s="89"/>
      <c r="I75" s="91"/>
      <c r="J75" s="90"/>
      <c r="K75" s="91"/>
      <c r="L75" s="51" t="str">
        <f aca="false">IF(D75="","",IFERROR(VLOOKUP(D75,'Rate Chart'!$A$6:$F$23,2,FALSE()),0))</f>
        <v/>
      </c>
      <c r="M75" s="38" t="n">
        <f aca="false">IF(OR(L75="",N(L75)=0),0,IF(AE75="SLM",(1-Setup!$C$7)/L75,1-Setup!$C$7^(1/L75)))</f>
        <v>0</v>
      </c>
      <c r="N75" s="52" t="n">
        <f aca="false">IF(G75="",0,ROUND(G75*Setup!$C$7,0))</f>
        <v>0</v>
      </c>
      <c r="O75" s="52" t="n">
        <f aca="false">IF(OR(G75="",F75=""),0,IF(AND(F75&lt;Setup!$C$5,OR(J75="",J75&gt;=Setup!$C$5)),G75,0))</f>
        <v>0</v>
      </c>
      <c r="P75" s="52" t="n">
        <f aca="false">IF(OR(G75="",F75=""),0,IF(AND(F75&gt;=Setup!$C$5,F75&lt;=Setup!$C$6),G75,0))</f>
        <v>0</v>
      </c>
      <c r="Q75" s="52" t="n">
        <f aca="false">IF(O75=0,0,IF(I75&lt;&gt;"",I75,IF(N(L75)=0,0,ROUND(IF(AE75="SLM",MIN(G75-N75,(G75-N75)/L75*(AA75+AB75)),G75-MAX(N75,G75*(1-M75*AA75)*(1-M75)^AB75)),0))))</f>
        <v>0</v>
      </c>
      <c r="R75" s="51" t="n">
        <f aca="false">IF(OR(F75="",G75=""),0,IF(OR(F75&gt;Setup!$C$6,AND(J75&lt;&gt;"",J75&lt;Setup!$C$5)),0,MAX(0,MIN(Setup!$C$6,IF(J75="",Setup!$C$6,J75))-MAX(Setup!$C$5,F75)+1)))</f>
        <v>0</v>
      </c>
      <c r="S75" s="53" t="n">
        <f aca="false">IF(OR(N(L75)=0,R75=0),0,MAX(0,ROUND(MIN(IF(AE75="SLM",(G75-N75)/L75,(O75+P75-Q75)*M75)*R75/(Setup!$C$6-Setup!$C$5+1),O75+P75-Q75-N75),0)))</f>
        <v>0</v>
      </c>
      <c r="T75" s="52" t="n">
        <f aca="false">IF(AND(J75&lt;&gt;"",G75&lt;&gt;""),IF(AND(J75&gt;=Setup!$C$5,J75&lt;=Setup!$C$6),O75+P75,0),0)</f>
        <v>0</v>
      </c>
      <c r="U75" s="52" t="n">
        <f aca="false">IF(T75&gt;0,Q75+S75,0)</f>
        <v>0</v>
      </c>
      <c r="V75" s="52" t="n">
        <f aca="false">Q75+S75-U75</f>
        <v>0</v>
      </c>
      <c r="W75" s="54" t="n">
        <f aca="false">O75+P75-T75-V75</f>
        <v>0</v>
      </c>
      <c r="X75" s="52" t="str">
        <f aca="false">IF(T75&gt;0,N(K75)-(O75+P75-Q75-S75),"")</f>
        <v/>
      </c>
      <c r="Y75" s="55" t="str">
        <f aca="false">IF(AND(B75="",C75="",G75=""),"",IF(D75="","⚠ Pick category",IF(F75="","⚠ Enter put-to-use date",IF(G75="","⚠ Enter cost",IF(F75&gt;Setup!$C$6,"Not yet in use",IF(AND(J75&lt;&gt;"",J75&lt;F75),"⚠ Sale before put-to-use",IF(AND(J75&lt;&gt;"",J75&lt;Setup!$C$5),"Sold in an earlier year",IF(N(I75)&gt;G75,"⚠ Opening dep. more than cost",IF(T75&gt;0,"Sold this year",IF(AND(N(L75)&gt;0,W75&lt;=N75+1),"Fully depreciated","✔ OK"))))))))))</f>
        <v/>
      </c>
      <c r="Z75" s="56" t="str">
        <f aca="false">IF(F75="","",DATE(YEAR(F75)+IF(MONTH(F75)&gt;=MONTH(Setup!$C$5),1,0),MONTH(Setup!$C$5),1)-1)</f>
        <v/>
      </c>
      <c r="AA75" s="57" t="str">
        <f aca="false">IF(F75="","",(Z75-F75+1)/(Z75-DATE(YEAR(Z75+1)-1,MONTH(Setup!$C$5),1)+1))</f>
        <v/>
      </c>
      <c r="AB75" s="9" t="str">
        <f aca="false">IF(F75="","",MAX(0,YEAR(Setup!$C$5)-YEAR(Z75+1)))</f>
        <v/>
      </c>
      <c r="AC75" s="9" t="str">
        <f aca="false">IF(D75="","",IFERROR(VLOOKUP(D75,'Rate Chart'!$A$6:$F$23,5,FALSE()),""))</f>
        <v/>
      </c>
      <c r="AD75" s="9" t="str">
        <f aca="false">IF(P75&gt;0,Setup!$C$6-F75+1,"")</f>
        <v/>
      </c>
      <c r="AE75" s="9" t="str">
        <f aca="false">IF(D75="","",IF(H75="",Setup!$C$8,H75))</f>
        <v/>
      </c>
    </row>
    <row r="76" customFormat="false" ht="15" hidden="false" customHeight="false" outlineLevel="0" collapsed="false">
      <c r="A76" s="47" t="str">
        <f aca="false">IF(AND(B76="",C76=""),"",ROW()-6)</f>
        <v/>
      </c>
      <c r="B76" s="89"/>
      <c r="C76" s="86"/>
      <c r="D76" s="86"/>
      <c r="E76" s="86"/>
      <c r="F76" s="90"/>
      <c r="G76" s="91"/>
      <c r="H76" s="89"/>
      <c r="I76" s="91"/>
      <c r="J76" s="90"/>
      <c r="K76" s="91"/>
      <c r="L76" s="51" t="str">
        <f aca="false">IF(D76="","",IFERROR(VLOOKUP(D76,'Rate Chart'!$A$6:$F$23,2,FALSE()),0))</f>
        <v/>
      </c>
      <c r="M76" s="38" t="n">
        <f aca="false">IF(OR(L76="",N(L76)=0),0,IF(AE76="SLM",(1-Setup!$C$7)/L76,1-Setup!$C$7^(1/L76)))</f>
        <v>0</v>
      </c>
      <c r="N76" s="52" t="n">
        <f aca="false">IF(G76="",0,ROUND(G76*Setup!$C$7,0))</f>
        <v>0</v>
      </c>
      <c r="O76" s="52" t="n">
        <f aca="false">IF(OR(G76="",F76=""),0,IF(AND(F76&lt;Setup!$C$5,OR(J76="",J76&gt;=Setup!$C$5)),G76,0))</f>
        <v>0</v>
      </c>
      <c r="P76" s="52" t="n">
        <f aca="false">IF(OR(G76="",F76=""),0,IF(AND(F76&gt;=Setup!$C$5,F76&lt;=Setup!$C$6),G76,0))</f>
        <v>0</v>
      </c>
      <c r="Q76" s="52" t="n">
        <f aca="false">IF(O76=0,0,IF(I76&lt;&gt;"",I76,IF(N(L76)=0,0,ROUND(IF(AE76="SLM",MIN(G76-N76,(G76-N76)/L76*(AA76+AB76)),G76-MAX(N76,G76*(1-M76*AA76)*(1-M76)^AB76)),0))))</f>
        <v>0</v>
      </c>
      <c r="R76" s="51" t="n">
        <f aca="false">IF(OR(F76="",G76=""),0,IF(OR(F76&gt;Setup!$C$6,AND(J76&lt;&gt;"",J76&lt;Setup!$C$5)),0,MAX(0,MIN(Setup!$C$6,IF(J76="",Setup!$C$6,J76))-MAX(Setup!$C$5,F76)+1)))</f>
        <v>0</v>
      </c>
      <c r="S76" s="53" t="n">
        <f aca="false">IF(OR(N(L76)=0,R76=0),0,MAX(0,ROUND(MIN(IF(AE76="SLM",(G76-N76)/L76,(O76+P76-Q76)*M76)*R76/(Setup!$C$6-Setup!$C$5+1),O76+P76-Q76-N76),0)))</f>
        <v>0</v>
      </c>
      <c r="T76" s="52" t="n">
        <f aca="false">IF(AND(J76&lt;&gt;"",G76&lt;&gt;""),IF(AND(J76&gt;=Setup!$C$5,J76&lt;=Setup!$C$6),O76+P76,0),0)</f>
        <v>0</v>
      </c>
      <c r="U76" s="52" t="n">
        <f aca="false">IF(T76&gt;0,Q76+S76,0)</f>
        <v>0</v>
      </c>
      <c r="V76" s="52" t="n">
        <f aca="false">Q76+S76-U76</f>
        <v>0</v>
      </c>
      <c r="W76" s="54" t="n">
        <f aca="false">O76+P76-T76-V76</f>
        <v>0</v>
      </c>
      <c r="X76" s="52" t="str">
        <f aca="false">IF(T76&gt;0,N(K76)-(O76+P76-Q76-S76),"")</f>
        <v/>
      </c>
      <c r="Y76" s="55" t="str">
        <f aca="false">IF(AND(B76="",C76="",G76=""),"",IF(D76="","⚠ Pick category",IF(F76="","⚠ Enter put-to-use date",IF(G76="","⚠ Enter cost",IF(F76&gt;Setup!$C$6,"Not yet in use",IF(AND(J76&lt;&gt;"",J76&lt;F76),"⚠ Sale before put-to-use",IF(AND(J76&lt;&gt;"",J76&lt;Setup!$C$5),"Sold in an earlier year",IF(N(I76)&gt;G76,"⚠ Opening dep. more than cost",IF(T76&gt;0,"Sold this year",IF(AND(N(L76)&gt;0,W76&lt;=N76+1),"Fully depreciated","✔ OK"))))))))))</f>
        <v/>
      </c>
      <c r="Z76" s="56" t="str">
        <f aca="false">IF(F76="","",DATE(YEAR(F76)+IF(MONTH(F76)&gt;=MONTH(Setup!$C$5),1,0),MONTH(Setup!$C$5),1)-1)</f>
        <v/>
      </c>
      <c r="AA76" s="57" t="str">
        <f aca="false">IF(F76="","",(Z76-F76+1)/(Z76-DATE(YEAR(Z76+1)-1,MONTH(Setup!$C$5),1)+1))</f>
        <v/>
      </c>
      <c r="AB76" s="9" t="str">
        <f aca="false">IF(F76="","",MAX(0,YEAR(Setup!$C$5)-YEAR(Z76+1)))</f>
        <v/>
      </c>
      <c r="AC76" s="9" t="str">
        <f aca="false">IF(D76="","",IFERROR(VLOOKUP(D76,'Rate Chart'!$A$6:$F$23,5,FALSE()),""))</f>
        <v/>
      </c>
      <c r="AD76" s="9" t="str">
        <f aca="false">IF(P76&gt;0,Setup!$C$6-F76+1,"")</f>
        <v/>
      </c>
      <c r="AE76" s="9" t="str">
        <f aca="false">IF(D76="","",IF(H76="",Setup!$C$8,H76))</f>
        <v/>
      </c>
    </row>
    <row r="77" customFormat="false" ht="15" hidden="false" customHeight="false" outlineLevel="0" collapsed="false">
      <c r="A77" s="47" t="str">
        <f aca="false">IF(AND(B77="",C77=""),"",ROW()-6)</f>
        <v/>
      </c>
      <c r="B77" s="89"/>
      <c r="C77" s="86"/>
      <c r="D77" s="86"/>
      <c r="E77" s="86"/>
      <c r="F77" s="90"/>
      <c r="G77" s="91"/>
      <c r="H77" s="89"/>
      <c r="I77" s="91"/>
      <c r="J77" s="90"/>
      <c r="K77" s="91"/>
      <c r="L77" s="51" t="str">
        <f aca="false">IF(D77="","",IFERROR(VLOOKUP(D77,'Rate Chart'!$A$6:$F$23,2,FALSE()),0))</f>
        <v/>
      </c>
      <c r="M77" s="38" t="n">
        <f aca="false">IF(OR(L77="",N(L77)=0),0,IF(AE77="SLM",(1-Setup!$C$7)/L77,1-Setup!$C$7^(1/L77)))</f>
        <v>0</v>
      </c>
      <c r="N77" s="52" t="n">
        <f aca="false">IF(G77="",0,ROUND(G77*Setup!$C$7,0))</f>
        <v>0</v>
      </c>
      <c r="O77" s="52" t="n">
        <f aca="false">IF(OR(G77="",F77=""),0,IF(AND(F77&lt;Setup!$C$5,OR(J77="",J77&gt;=Setup!$C$5)),G77,0))</f>
        <v>0</v>
      </c>
      <c r="P77" s="52" t="n">
        <f aca="false">IF(OR(G77="",F77=""),0,IF(AND(F77&gt;=Setup!$C$5,F77&lt;=Setup!$C$6),G77,0))</f>
        <v>0</v>
      </c>
      <c r="Q77" s="52" t="n">
        <f aca="false">IF(O77=0,0,IF(I77&lt;&gt;"",I77,IF(N(L77)=0,0,ROUND(IF(AE77="SLM",MIN(G77-N77,(G77-N77)/L77*(AA77+AB77)),G77-MAX(N77,G77*(1-M77*AA77)*(1-M77)^AB77)),0))))</f>
        <v>0</v>
      </c>
      <c r="R77" s="51" t="n">
        <f aca="false">IF(OR(F77="",G77=""),0,IF(OR(F77&gt;Setup!$C$6,AND(J77&lt;&gt;"",J77&lt;Setup!$C$5)),0,MAX(0,MIN(Setup!$C$6,IF(J77="",Setup!$C$6,J77))-MAX(Setup!$C$5,F77)+1)))</f>
        <v>0</v>
      </c>
      <c r="S77" s="53" t="n">
        <f aca="false">IF(OR(N(L77)=0,R77=0),0,MAX(0,ROUND(MIN(IF(AE77="SLM",(G77-N77)/L77,(O77+P77-Q77)*M77)*R77/(Setup!$C$6-Setup!$C$5+1),O77+P77-Q77-N77),0)))</f>
        <v>0</v>
      </c>
      <c r="T77" s="52" t="n">
        <f aca="false">IF(AND(J77&lt;&gt;"",G77&lt;&gt;""),IF(AND(J77&gt;=Setup!$C$5,J77&lt;=Setup!$C$6),O77+P77,0),0)</f>
        <v>0</v>
      </c>
      <c r="U77" s="52" t="n">
        <f aca="false">IF(T77&gt;0,Q77+S77,0)</f>
        <v>0</v>
      </c>
      <c r="V77" s="52" t="n">
        <f aca="false">Q77+S77-U77</f>
        <v>0</v>
      </c>
      <c r="W77" s="54" t="n">
        <f aca="false">O77+P77-T77-V77</f>
        <v>0</v>
      </c>
      <c r="X77" s="52" t="str">
        <f aca="false">IF(T77&gt;0,N(K77)-(O77+P77-Q77-S77),"")</f>
        <v/>
      </c>
      <c r="Y77" s="55" t="str">
        <f aca="false">IF(AND(B77="",C77="",G77=""),"",IF(D77="","⚠ Pick category",IF(F77="","⚠ Enter put-to-use date",IF(G77="","⚠ Enter cost",IF(F77&gt;Setup!$C$6,"Not yet in use",IF(AND(J77&lt;&gt;"",J77&lt;F77),"⚠ Sale before put-to-use",IF(AND(J77&lt;&gt;"",J77&lt;Setup!$C$5),"Sold in an earlier year",IF(N(I77)&gt;G77,"⚠ Opening dep. more than cost",IF(T77&gt;0,"Sold this year",IF(AND(N(L77)&gt;0,W77&lt;=N77+1),"Fully depreciated","✔ OK"))))))))))</f>
        <v/>
      </c>
      <c r="Z77" s="56" t="str">
        <f aca="false">IF(F77="","",DATE(YEAR(F77)+IF(MONTH(F77)&gt;=MONTH(Setup!$C$5),1,0),MONTH(Setup!$C$5),1)-1)</f>
        <v/>
      </c>
      <c r="AA77" s="57" t="str">
        <f aca="false">IF(F77="","",(Z77-F77+1)/(Z77-DATE(YEAR(Z77+1)-1,MONTH(Setup!$C$5),1)+1))</f>
        <v/>
      </c>
      <c r="AB77" s="9" t="str">
        <f aca="false">IF(F77="","",MAX(0,YEAR(Setup!$C$5)-YEAR(Z77+1)))</f>
        <v/>
      </c>
      <c r="AC77" s="9" t="str">
        <f aca="false">IF(D77="","",IFERROR(VLOOKUP(D77,'Rate Chart'!$A$6:$F$23,5,FALSE()),""))</f>
        <v/>
      </c>
      <c r="AD77" s="9" t="str">
        <f aca="false">IF(P77&gt;0,Setup!$C$6-F77+1,"")</f>
        <v/>
      </c>
      <c r="AE77" s="9" t="str">
        <f aca="false">IF(D77="","",IF(H77="",Setup!$C$8,H77))</f>
        <v/>
      </c>
    </row>
    <row r="78" customFormat="false" ht="15" hidden="false" customHeight="false" outlineLevel="0" collapsed="false">
      <c r="A78" s="47" t="str">
        <f aca="false">IF(AND(B78="",C78=""),"",ROW()-6)</f>
        <v/>
      </c>
      <c r="B78" s="89"/>
      <c r="C78" s="86"/>
      <c r="D78" s="86"/>
      <c r="E78" s="86"/>
      <c r="F78" s="90"/>
      <c r="G78" s="91"/>
      <c r="H78" s="89"/>
      <c r="I78" s="91"/>
      <c r="J78" s="90"/>
      <c r="K78" s="91"/>
      <c r="L78" s="51" t="str">
        <f aca="false">IF(D78="","",IFERROR(VLOOKUP(D78,'Rate Chart'!$A$6:$F$23,2,FALSE()),0))</f>
        <v/>
      </c>
      <c r="M78" s="38" t="n">
        <f aca="false">IF(OR(L78="",N(L78)=0),0,IF(AE78="SLM",(1-Setup!$C$7)/L78,1-Setup!$C$7^(1/L78)))</f>
        <v>0</v>
      </c>
      <c r="N78" s="52" t="n">
        <f aca="false">IF(G78="",0,ROUND(G78*Setup!$C$7,0))</f>
        <v>0</v>
      </c>
      <c r="O78" s="52" t="n">
        <f aca="false">IF(OR(G78="",F78=""),0,IF(AND(F78&lt;Setup!$C$5,OR(J78="",J78&gt;=Setup!$C$5)),G78,0))</f>
        <v>0</v>
      </c>
      <c r="P78" s="52" t="n">
        <f aca="false">IF(OR(G78="",F78=""),0,IF(AND(F78&gt;=Setup!$C$5,F78&lt;=Setup!$C$6),G78,0))</f>
        <v>0</v>
      </c>
      <c r="Q78" s="52" t="n">
        <f aca="false">IF(O78=0,0,IF(I78&lt;&gt;"",I78,IF(N(L78)=0,0,ROUND(IF(AE78="SLM",MIN(G78-N78,(G78-N78)/L78*(AA78+AB78)),G78-MAX(N78,G78*(1-M78*AA78)*(1-M78)^AB78)),0))))</f>
        <v>0</v>
      </c>
      <c r="R78" s="51" t="n">
        <f aca="false">IF(OR(F78="",G78=""),0,IF(OR(F78&gt;Setup!$C$6,AND(J78&lt;&gt;"",J78&lt;Setup!$C$5)),0,MAX(0,MIN(Setup!$C$6,IF(J78="",Setup!$C$6,J78))-MAX(Setup!$C$5,F78)+1)))</f>
        <v>0</v>
      </c>
      <c r="S78" s="53" t="n">
        <f aca="false">IF(OR(N(L78)=0,R78=0),0,MAX(0,ROUND(MIN(IF(AE78="SLM",(G78-N78)/L78,(O78+P78-Q78)*M78)*R78/(Setup!$C$6-Setup!$C$5+1),O78+P78-Q78-N78),0)))</f>
        <v>0</v>
      </c>
      <c r="T78" s="52" t="n">
        <f aca="false">IF(AND(J78&lt;&gt;"",G78&lt;&gt;""),IF(AND(J78&gt;=Setup!$C$5,J78&lt;=Setup!$C$6),O78+P78,0),0)</f>
        <v>0</v>
      </c>
      <c r="U78" s="52" t="n">
        <f aca="false">IF(T78&gt;0,Q78+S78,0)</f>
        <v>0</v>
      </c>
      <c r="V78" s="52" t="n">
        <f aca="false">Q78+S78-U78</f>
        <v>0</v>
      </c>
      <c r="W78" s="54" t="n">
        <f aca="false">O78+P78-T78-V78</f>
        <v>0</v>
      </c>
      <c r="X78" s="52" t="str">
        <f aca="false">IF(T78&gt;0,N(K78)-(O78+P78-Q78-S78),"")</f>
        <v/>
      </c>
      <c r="Y78" s="55" t="str">
        <f aca="false">IF(AND(B78="",C78="",G78=""),"",IF(D78="","⚠ Pick category",IF(F78="","⚠ Enter put-to-use date",IF(G78="","⚠ Enter cost",IF(F78&gt;Setup!$C$6,"Not yet in use",IF(AND(J78&lt;&gt;"",J78&lt;F78),"⚠ Sale before put-to-use",IF(AND(J78&lt;&gt;"",J78&lt;Setup!$C$5),"Sold in an earlier year",IF(N(I78)&gt;G78,"⚠ Opening dep. more than cost",IF(T78&gt;0,"Sold this year",IF(AND(N(L78)&gt;0,W78&lt;=N78+1),"Fully depreciated","✔ OK"))))))))))</f>
        <v/>
      </c>
      <c r="Z78" s="56" t="str">
        <f aca="false">IF(F78="","",DATE(YEAR(F78)+IF(MONTH(F78)&gt;=MONTH(Setup!$C$5),1,0),MONTH(Setup!$C$5),1)-1)</f>
        <v/>
      </c>
      <c r="AA78" s="57" t="str">
        <f aca="false">IF(F78="","",(Z78-F78+1)/(Z78-DATE(YEAR(Z78+1)-1,MONTH(Setup!$C$5),1)+1))</f>
        <v/>
      </c>
      <c r="AB78" s="9" t="str">
        <f aca="false">IF(F78="","",MAX(0,YEAR(Setup!$C$5)-YEAR(Z78+1)))</f>
        <v/>
      </c>
      <c r="AC78" s="9" t="str">
        <f aca="false">IF(D78="","",IFERROR(VLOOKUP(D78,'Rate Chart'!$A$6:$F$23,5,FALSE()),""))</f>
        <v/>
      </c>
      <c r="AD78" s="9" t="str">
        <f aca="false">IF(P78&gt;0,Setup!$C$6-F78+1,"")</f>
        <v/>
      </c>
      <c r="AE78" s="9" t="str">
        <f aca="false">IF(D78="","",IF(H78="",Setup!$C$8,H78))</f>
        <v/>
      </c>
    </row>
    <row r="79" customFormat="false" ht="15" hidden="false" customHeight="false" outlineLevel="0" collapsed="false">
      <c r="A79" s="47" t="str">
        <f aca="false">IF(AND(B79="",C79=""),"",ROW()-6)</f>
        <v/>
      </c>
      <c r="B79" s="89"/>
      <c r="C79" s="86"/>
      <c r="D79" s="86"/>
      <c r="E79" s="86"/>
      <c r="F79" s="90"/>
      <c r="G79" s="91"/>
      <c r="H79" s="89"/>
      <c r="I79" s="91"/>
      <c r="J79" s="90"/>
      <c r="K79" s="91"/>
      <c r="L79" s="51" t="str">
        <f aca="false">IF(D79="","",IFERROR(VLOOKUP(D79,'Rate Chart'!$A$6:$F$23,2,FALSE()),0))</f>
        <v/>
      </c>
      <c r="M79" s="38" t="n">
        <f aca="false">IF(OR(L79="",N(L79)=0),0,IF(AE79="SLM",(1-Setup!$C$7)/L79,1-Setup!$C$7^(1/L79)))</f>
        <v>0</v>
      </c>
      <c r="N79" s="52" t="n">
        <f aca="false">IF(G79="",0,ROUND(G79*Setup!$C$7,0))</f>
        <v>0</v>
      </c>
      <c r="O79" s="52" t="n">
        <f aca="false">IF(OR(G79="",F79=""),0,IF(AND(F79&lt;Setup!$C$5,OR(J79="",J79&gt;=Setup!$C$5)),G79,0))</f>
        <v>0</v>
      </c>
      <c r="P79" s="52" t="n">
        <f aca="false">IF(OR(G79="",F79=""),0,IF(AND(F79&gt;=Setup!$C$5,F79&lt;=Setup!$C$6),G79,0))</f>
        <v>0</v>
      </c>
      <c r="Q79" s="52" t="n">
        <f aca="false">IF(O79=0,0,IF(I79&lt;&gt;"",I79,IF(N(L79)=0,0,ROUND(IF(AE79="SLM",MIN(G79-N79,(G79-N79)/L79*(AA79+AB79)),G79-MAX(N79,G79*(1-M79*AA79)*(1-M79)^AB79)),0))))</f>
        <v>0</v>
      </c>
      <c r="R79" s="51" t="n">
        <f aca="false">IF(OR(F79="",G79=""),0,IF(OR(F79&gt;Setup!$C$6,AND(J79&lt;&gt;"",J79&lt;Setup!$C$5)),0,MAX(0,MIN(Setup!$C$6,IF(J79="",Setup!$C$6,J79))-MAX(Setup!$C$5,F79)+1)))</f>
        <v>0</v>
      </c>
      <c r="S79" s="53" t="n">
        <f aca="false">IF(OR(N(L79)=0,R79=0),0,MAX(0,ROUND(MIN(IF(AE79="SLM",(G79-N79)/L79,(O79+P79-Q79)*M79)*R79/(Setup!$C$6-Setup!$C$5+1),O79+P79-Q79-N79),0)))</f>
        <v>0</v>
      </c>
      <c r="T79" s="52" t="n">
        <f aca="false">IF(AND(J79&lt;&gt;"",G79&lt;&gt;""),IF(AND(J79&gt;=Setup!$C$5,J79&lt;=Setup!$C$6),O79+P79,0),0)</f>
        <v>0</v>
      </c>
      <c r="U79" s="52" t="n">
        <f aca="false">IF(T79&gt;0,Q79+S79,0)</f>
        <v>0</v>
      </c>
      <c r="V79" s="52" t="n">
        <f aca="false">Q79+S79-U79</f>
        <v>0</v>
      </c>
      <c r="W79" s="54" t="n">
        <f aca="false">O79+P79-T79-V79</f>
        <v>0</v>
      </c>
      <c r="X79" s="52" t="str">
        <f aca="false">IF(T79&gt;0,N(K79)-(O79+P79-Q79-S79),"")</f>
        <v/>
      </c>
      <c r="Y79" s="55" t="str">
        <f aca="false">IF(AND(B79="",C79="",G79=""),"",IF(D79="","⚠ Pick category",IF(F79="","⚠ Enter put-to-use date",IF(G79="","⚠ Enter cost",IF(F79&gt;Setup!$C$6,"Not yet in use",IF(AND(J79&lt;&gt;"",J79&lt;F79),"⚠ Sale before put-to-use",IF(AND(J79&lt;&gt;"",J79&lt;Setup!$C$5),"Sold in an earlier year",IF(N(I79)&gt;G79,"⚠ Opening dep. more than cost",IF(T79&gt;0,"Sold this year",IF(AND(N(L79)&gt;0,W79&lt;=N79+1),"Fully depreciated","✔ OK"))))))))))</f>
        <v/>
      </c>
      <c r="Z79" s="56" t="str">
        <f aca="false">IF(F79="","",DATE(YEAR(F79)+IF(MONTH(F79)&gt;=MONTH(Setup!$C$5),1,0),MONTH(Setup!$C$5),1)-1)</f>
        <v/>
      </c>
      <c r="AA79" s="57" t="str">
        <f aca="false">IF(F79="","",(Z79-F79+1)/(Z79-DATE(YEAR(Z79+1)-1,MONTH(Setup!$C$5),1)+1))</f>
        <v/>
      </c>
      <c r="AB79" s="9" t="str">
        <f aca="false">IF(F79="","",MAX(0,YEAR(Setup!$C$5)-YEAR(Z79+1)))</f>
        <v/>
      </c>
      <c r="AC79" s="9" t="str">
        <f aca="false">IF(D79="","",IFERROR(VLOOKUP(D79,'Rate Chart'!$A$6:$F$23,5,FALSE()),""))</f>
        <v/>
      </c>
      <c r="AD79" s="9" t="str">
        <f aca="false">IF(P79&gt;0,Setup!$C$6-F79+1,"")</f>
        <v/>
      </c>
      <c r="AE79" s="9" t="str">
        <f aca="false">IF(D79="","",IF(H79="",Setup!$C$8,H79))</f>
        <v/>
      </c>
    </row>
    <row r="80" customFormat="false" ht="15" hidden="false" customHeight="false" outlineLevel="0" collapsed="false">
      <c r="A80" s="47" t="str">
        <f aca="false">IF(AND(B80="",C80=""),"",ROW()-6)</f>
        <v/>
      </c>
      <c r="B80" s="89"/>
      <c r="C80" s="86"/>
      <c r="D80" s="86"/>
      <c r="E80" s="86"/>
      <c r="F80" s="90"/>
      <c r="G80" s="91"/>
      <c r="H80" s="89"/>
      <c r="I80" s="91"/>
      <c r="J80" s="90"/>
      <c r="K80" s="91"/>
      <c r="L80" s="51" t="str">
        <f aca="false">IF(D80="","",IFERROR(VLOOKUP(D80,'Rate Chart'!$A$6:$F$23,2,FALSE()),0))</f>
        <v/>
      </c>
      <c r="M80" s="38" t="n">
        <f aca="false">IF(OR(L80="",N(L80)=0),0,IF(AE80="SLM",(1-Setup!$C$7)/L80,1-Setup!$C$7^(1/L80)))</f>
        <v>0</v>
      </c>
      <c r="N80" s="52" t="n">
        <f aca="false">IF(G80="",0,ROUND(G80*Setup!$C$7,0))</f>
        <v>0</v>
      </c>
      <c r="O80" s="52" t="n">
        <f aca="false">IF(OR(G80="",F80=""),0,IF(AND(F80&lt;Setup!$C$5,OR(J80="",J80&gt;=Setup!$C$5)),G80,0))</f>
        <v>0</v>
      </c>
      <c r="P80" s="52" t="n">
        <f aca="false">IF(OR(G80="",F80=""),0,IF(AND(F80&gt;=Setup!$C$5,F80&lt;=Setup!$C$6),G80,0))</f>
        <v>0</v>
      </c>
      <c r="Q80" s="52" t="n">
        <f aca="false">IF(O80=0,0,IF(I80&lt;&gt;"",I80,IF(N(L80)=0,0,ROUND(IF(AE80="SLM",MIN(G80-N80,(G80-N80)/L80*(AA80+AB80)),G80-MAX(N80,G80*(1-M80*AA80)*(1-M80)^AB80)),0))))</f>
        <v>0</v>
      </c>
      <c r="R80" s="51" t="n">
        <f aca="false">IF(OR(F80="",G80=""),0,IF(OR(F80&gt;Setup!$C$6,AND(J80&lt;&gt;"",J80&lt;Setup!$C$5)),0,MAX(0,MIN(Setup!$C$6,IF(J80="",Setup!$C$6,J80))-MAX(Setup!$C$5,F80)+1)))</f>
        <v>0</v>
      </c>
      <c r="S80" s="53" t="n">
        <f aca="false">IF(OR(N(L80)=0,R80=0),0,MAX(0,ROUND(MIN(IF(AE80="SLM",(G80-N80)/L80,(O80+P80-Q80)*M80)*R80/(Setup!$C$6-Setup!$C$5+1),O80+P80-Q80-N80),0)))</f>
        <v>0</v>
      </c>
      <c r="T80" s="52" t="n">
        <f aca="false">IF(AND(J80&lt;&gt;"",G80&lt;&gt;""),IF(AND(J80&gt;=Setup!$C$5,J80&lt;=Setup!$C$6),O80+P80,0),0)</f>
        <v>0</v>
      </c>
      <c r="U80" s="52" t="n">
        <f aca="false">IF(T80&gt;0,Q80+S80,0)</f>
        <v>0</v>
      </c>
      <c r="V80" s="52" t="n">
        <f aca="false">Q80+S80-U80</f>
        <v>0</v>
      </c>
      <c r="W80" s="54" t="n">
        <f aca="false">O80+P80-T80-V80</f>
        <v>0</v>
      </c>
      <c r="X80" s="52" t="str">
        <f aca="false">IF(T80&gt;0,N(K80)-(O80+P80-Q80-S80),"")</f>
        <v/>
      </c>
      <c r="Y80" s="55" t="str">
        <f aca="false">IF(AND(B80="",C80="",G80=""),"",IF(D80="","⚠ Pick category",IF(F80="","⚠ Enter put-to-use date",IF(G80="","⚠ Enter cost",IF(F80&gt;Setup!$C$6,"Not yet in use",IF(AND(J80&lt;&gt;"",J80&lt;F80),"⚠ Sale before put-to-use",IF(AND(J80&lt;&gt;"",J80&lt;Setup!$C$5),"Sold in an earlier year",IF(N(I80)&gt;G80,"⚠ Opening dep. more than cost",IF(T80&gt;0,"Sold this year",IF(AND(N(L80)&gt;0,W80&lt;=N80+1),"Fully depreciated","✔ OK"))))))))))</f>
        <v/>
      </c>
      <c r="Z80" s="56" t="str">
        <f aca="false">IF(F80="","",DATE(YEAR(F80)+IF(MONTH(F80)&gt;=MONTH(Setup!$C$5),1,0),MONTH(Setup!$C$5),1)-1)</f>
        <v/>
      </c>
      <c r="AA80" s="57" t="str">
        <f aca="false">IF(F80="","",(Z80-F80+1)/(Z80-DATE(YEAR(Z80+1)-1,MONTH(Setup!$C$5),1)+1))</f>
        <v/>
      </c>
      <c r="AB80" s="9" t="str">
        <f aca="false">IF(F80="","",MAX(0,YEAR(Setup!$C$5)-YEAR(Z80+1)))</f>
        <v/>
      </c>
      <c r="AC80" s="9" t="str">
        <f aca="false">IF(D80="","",IFERROR(VLOOKUP(D80,'Rate Chart'!$A$6:$F$23,5,FALSE()),""))</f>
        <v/>
      </c>
      <c r="AD80" s="9" t="str">
        <f aca="false">IF(P80&gt;0,Setup!$C$6-F80+1,"")</f>
        <v/>
      </c>
      <c r="AE80" s="9" t="str">
        <f aca="false">IF(D80="","",IF(H80="",Setup!$C$8,H80))</f>
        <v/>
      </c>
    </row>
    <row r="81" customFormat="false" ht="15" hidden="false" customHeight="false" outlineLevel="0" collapsed="false">
      <c r="A81" s="47" t="str">
        <f aca="false">IF(AND(B81="",C81=""),"",ROW()-6)</f>
        <v/>
      </c>
      <c r="B81" s="89"/>
      <c r="C81" s="86"/>
      <c r="D81" s="86"/>
      <c r="E81" s="86"/>
      <c r="F81" s="90"/>
      <c r="G81" s="91"/>
      <c r="H81" s="89"/>
      <c r="I81" s="91"/>
      <c r="J81" s="90"/>
      <c r="K81" s="91"/>
      <c r="L81" s="51" t="str">
        <f aca="false">IF(D81="","",IFERROR(VLOOKUP(D81,'Rate Chart'!$A$6:$F$23,2,FALSE()),0))</f>
        <v/>
      </c>
      <c r="M81" s="38" t="n">
        <f aca="false">IF(OR(L81="",N(L81)=0),0,IF(AE81="SLM",(1-Setup!$C$7)/L81,1-Setup!$C$7^(1/L81)))</f>
        <v>0</v>
      </c>
      <c r="N81" s="52" t="n">
        <f aca="false">IF(G81="",0,ROUND(G81*Setup!$C$7,0))</f>
        <v>0</v>
      </c>
      <c r="O81" s="52" t="n">
        <f aca="false">IF(OR(G81="",F81=""),0,IF(AND(F81&lt;Setup!$C$5,OR(J81="",J81&gt;=Setup!$C$5)),G81,0))</f>
        <v>0</v>
      </c>
      <c r="P81" s="52" t="n">
        <f aca="false">IF(OR(G81="",F81=""),0,IF(AND(F81&gt;=Setup!$C$5,F81&lt;=Setup!$C$6),G81,0))</f>
        <v>0</v>
      </c>
      <c r="Q81" s="52" t="n">
        <f aca="false">IF(O81=0,0,IF(I81&lt;&gt;"",I81,IF(N(L81)=0,0,ROUND(IF(AE81="SLM",MIN(G81-N81,(G81-N81)/L81*(AA81+AB81)),G81-MAX(N81,G81*(1-M81*AA81)*(1-M81)^AB81)),0))))</f>
        <v>0</v>
      </c>
      <c r="R81" s="51" t="n">
        <f aca="false">IF(OR(F81="",G81=""),0,IF(OR(F81&gt;Setup!$C$6,AND(J81&lt;&gt;"",J81&lt;Setup!$C$5)),0,MAX(0,MIN(Setup!$C$6,IF(J81="",Setup!$C$6,J81))-MAX(Setup!$C$5,F81)+1)))</f>
        <v>0</v>
      </c>
      <c r="S81" s="53" t="n">
        <f aca="false">IF(OR(N(L81)=0,R81=0),0,MAX(0,ROUND(MIN(IF(AE81="SLM",(G81-N81)/L81,(O81+P81-Q81)*M81)*R81/(Setup!$C$6-Setup!$C$5+1),O81+P81-Q81-N81),0)))</f>
        <v>0</v>
      </c>
      <c r="T81" s="52" t="n">
        <f aca="false">IF(AND(J81&lt;&gt;"",G81&lt;&gt;""),IF(AND(J81&gt;=Setup!$C$5,J81&lt;=Setup!$C$6),O81+P81,0),0)</f>
        <v>0</v>
      </c>
      <c r="U81" s="52" t="n">
        <f aca="false">IF(T81&gt;0,Q81+S81,0)</f>
        <v>0</v>
      </c>
      <c r="V81" s="52" t="n">
        <f aca="false">Q81+S81-U81</f>
        <v>0</v>
      </c>
      <c r="W81" s="54" t="n">
        <f aca="false">O81+P81-T81-V81</f>
        <v>0</v>
      </c>
      <c r="X81" s="52" t="str">
        <f aca="false">IF(T81&gt;0,N(K81)-(O81+P81-Q81-S81),"")</f>
        <v/>
      </c>
      <c r="Y81" s="55" t="str">
        <f aca="false">IF(AND(B81="",C81="",G81=""),"",IF(D81="","⚠ Pick category",IF(F81="","⚠ Enter put-to-use date",IF(G81="","⚠ Enter cost",IF(F81&gt;Setup!$C$6,"Not yet in use",IF(AND(J81&lt;&gt;"",J81&lt;F81),"⚠ Sale before put-to-use",IF(AND(J81&lt;&gt;"",J81&lt;Setup!$C$5),"Sold in an earlier year",IF(N(I81)&gt;G81,"⚠ Opening dep. more than cost",IF(T81&gt;0,"Sold this year",IF(AND(N(L81)&gt;0,W81&lt;=N81+1),"Fully depreciated","✔ OK"))))))))))</f>
        <v/>
      </c>
      <c r="Z81" s="56" t="str">
        <f aca="false">IF(F81="","",DATE(YEAR(F81)+IF(MONTH(F81)&gt;=MONTH(Setup!$C$5),1,0),MONTH(Setup!$C$5),1)-1)</f>
        <v/>
      </c>
      <c r="AA81" s="57" t="str">
        <f aca="false">IF(F81="","",(Z81-F81+1)/(Z81-DATE(YEAR(Z81+1)-1,MONTH(Setup!$C$5),1)+1))</f>
        <v/>
      </c>
      <c r="AB81" s="9" t="str">
        <f aca="false">IF(F81="","",MAX(0,YEAR(Setup!$C$5)-YEAR(Z81+1)))</f>
        <v/>
      </c>
      <c r="AC81" s="9" t="str">
        <f aca="false">IF(D81="","",IFERROR(VLOOKUP(D81,'Rate Chart'!$A$6:$F$23,5,FALSE()),""))</f>
        <v/>
      </c>
      <c r="AD81" s="9" t="str">
        <f aca="false">IF(P81&gt;0,Setup!$C$6-F81+1,"")</f>
        <v/>
      </c>
      <c r="AE81" s="9" t="str">
        <f aca="false">IF(D81="","",IF(H81="",Setup!$C$8,H81))</f>
        <v/>
      </c>
    </row>
    <row r="82" customFormat="false" ht="15" hidden="false" customHeight="false" outlineLevel="0" collapsed="false">
      <c r="A82" s="47" t="str">
        <f aca="false">IF(AND(B82="",C82=""),"",ROW()-6)</f>
        <v/>
      </c>
      <c r="B82" s="89"/>
      <c r="C82" s="86"/>
      <c r="D82" s="86"/>
      <c r="E82" s="86"/>
      <c r="F82" s="90"/>
      <c r="G82" s="91"/>
      <c r="H82" s="89"/>
      <c r="I82" s="91"/>
      <c r="J82" s="90"/>
      <c r="K82" s="91"/>
      <c r="L82" s="51" t="str">
        <f aca="false">IF(D82="","",IFERROR(VLOOKUP(D82,'Rate Chart'!$A$6:$F$23,2,FALSE()),0))</f>
        <v/>
      </c>
      <c r="M82" s="38" t="n">
        <f aca="false">IF(OR(L82="",N(L82)=0),0,IF(AE82="SLM",(1-Setup!$C$7)/L82,1-Setup!$C$7^(1/L82)))</f>
        <v>0</v>
      </c>
      <c r="N82" s="52" t="n">
        <f aca="false">IF(G82="",0,ROUND(G82*Setup!$C$7,0))</f>
        <v>0</v>
      </c>
      <c r="O82" s="52" t="n">
        <f aca="false">IF(OR(G82="",F82=""),0,IF(AND(F82&lt;Setup!$C$5,OR(J82="",J82&gt;=Setup!$C$5)),G82,0))</f>
        <v>0</v>
      </c>
      <c r="P82" s="52" t="n">
        <f aca="false">IF(OR(G82="",F82=""),0,IF(AND(F82&gt;=Setup!$C$5,F82&lt;=Setup!$C$6),G82,0))</f>
        <v>0</v>
      </c>
      <c r="Q82" s="52" t="n">
        <f aca="false">IF(O82=0,0,IF(I82&lt;&gt;"",I82,IF(N(L82)=0,0,ROUND(IF(AE82="SLM",MIN(G82-N82,(G82-N82)/L82*(AA82+AB82)),G82-MAX(N82,G82*(1-M82*AA82)*(1-M82)^AB82)),0))))</f>
        <v>0</v>
      </c>
      <c r="R82" s="51" t="n">
        <f aca="false">IF(OR(F82="",G82=""),0,IF(OR(F82&gt;Setup!$C$6,AND(J82&lt;&gt;"",J82&lt;Setup!$C$5)),0,MAX(0,MIN(Setup!$C$6,IF(J82="",Setup!$C$6,J82))-MAX(Setup!$C$5,F82)+1)))</f>
        <v>0</v>
      </c>
      <c r="S82" s="53" t="n">
        <f aca="false">IF(OR(N(L82)=0,R82=0),0,MAX(0,ROUND(MIN(IF(AE82="SLM",(G82-N82)/L82,(O82+P82-Q82)*M82)*R82/(Setup!$C$6-Setup!$C$5+1),O82+P82-Q82-N82),0)))</f>
        <v>0</v>
      </c>
      <c r="T82" s="52" t="n">
        <f aca="false">IF(AND(J82&lt;&gt;"",G82&lt;&gt;""),IF(AND(J82&gt;=Setup!$C$5,J82&lt;=Setup!$C$6),O82+P82,0),0)</f>
        <v>0</v>
      </c>
      <c r="U82" s="52" t="n">
        <f aca="false">IF(T82&gt;0,Q82+S82,0)</f>
        <v>0</v>
      </c>
      <c r="V82" s="52" t="n">
        <f aca="false">Q82+S82-U82</f>
        <v>0</v>
      </c>
      <c r="W82" s="54" t="n">
        <f aca="false">O82+P82-T82-V82</f>
        <v>0</v>
      </c>
      <c r="X82" s="52" t="str">
        <f aca="false">IF(T82&gt;0,N(K82)-(O82+P82-Q82-S82),"")</f>
        <v/>
      </c>
      <c r="Y82" s="55" t="str">
        <f aca="false">IF(AND(B82="",C82="",G82=""),"",IF(D82="","⚠ Pick category",IF(F82="","⚠ Enter put-to-use date",IF(G82="","⚠ Enter cost",IF(F82&gt;Setup!$C$6,"Not yet in use",IF(AND(J82&lt;&gt;"",J82&lt;F82),"⚠ Sale before put-to-use",IF(AND(J82&lt;&gt;"",J82&lt;Setup!$C$5),"Sold in an earlier year",IF(N(I82)&gt;G82,"⚠ Opening dep. more than cost",IF(T82&gt;0,"Sold this year",IF(AND(N(L82)&gt;0,W82&lt;=N82+1),"Fully depreciated","✔ OK"))))))))))</f>
        <v/>
      </c>
      <c r="Z82" s="56" t="str">
        <f aca="false">IF(F82="","",DATE(YEAR(F82)+IF(MONTH(F82)&gt;=MONTH(Setup!$C$5),1,0),MONTH(Setup!$C$5),1)-1)</f>
        <v/>
      </c>
      <c r="AA82" s="57" t="str">
        <f aca="false">IF(F82="","",(Z82-F82+1)/(Z82-DATE(YEAR(Z82+1)-1,MONTH(Setup!$C$5),1)+1))</f>
        <v/>
      </c>
      <c r="AB82" s="9" t="str">
        <f aca="false">IF(F82="","",MAX(0,YEAR(Setup!$C$5)-YEAR(Z82+1)))</f>
        <v/>
      </c>
      <c r="AC82" s="9" t="str">
        <f aca="false">IF(D82="","",IFERROR(VLOOKUP(D82,'Rate Chart'!$A$6:$F$23,5,FALSE()),""))</f>
        <v/>
      </c>
      <c r="AD82" s="9" t="str">
        <f aca="false">IF(P82&gt;0,Setup!$C$6-F82+1,"")</f>
        <v/>
      </c>
      <c r="AE82" s="9" t="str">
        <f aca="false">IF(D82="","",IF(H82="",Setup!$C$8,H82))</f>
        <v/>
      </c>
    </row>
    <row r="83" customFormat="false" ht="15" hidden="false" customHeight="false" outlineLevel="0" collapsed="false">
      <c r="A83" s="47" t="str">
        <f aca="false">IF(AND(B83="",C83=""),"",ROW()-6)</f>
        <v/>
      </c>
      <c r="B83" s="89"/>
      <c r="C83" s="86"/>
      <c r="D83" s="86"/>
      <c r="E83" s="86"/>
      <c r="F83" s="90"/>
      <c r="G83" s="91"/>
      <c r="H83" s="89"/>
      <c r="I83" s="91"/>
      <c r="J83" s="90"/>
      <c r="K83" s="91"/>
      <c r="L83" s="51" t="str">
        <f aca="false">IF(D83="","",IFERROR(VLOOKUP(D83,'Rate Chart'!$A$6:$F$23,2,FALSE()),0))</f>
        <v/>
      </c>
      <c r="M83" s="38" t="n">
        <f aca="false">IF(OR(L83="",N(L83)=0),0,IF(AE83="SLM",(1-Setup!$C$7)/L83,1-Setup!$C$7^(1/L83)))</f>
        <v>0</v>
      </c>
      <c r="N83" s="52" t="n">
        <f aca="false">IF(G83="",0,ROUND(G83*Setup!$C$7,0))</f>
        <v>0</v>
      </c>
      <c r="O83" s="52" t="n">
        <f aca="false">IF(OR(G83="",F83=""),0,IF(AND(F83&lt;Setup!$C$5,OR(J83="",J83&gt;=Setup!$C$5)),G83,0))</f>
        <v>0</v>
      </c>
      <c r="P83" s="52" t="n">
        <f aca="false">IF(OR(G83="",F83=""),0,IF(AND(F83&gt;=Setup!$C$5,F83&lt;=Setup!$C$6),G83,0))</f>
        <v>0</v>
      </c>
      <c r="Q83" s="52" t="n">
        <f aca="false">IF(O83=0,0,IF(I83&lt;&gt;"",I83,IF(N(L83)=0,0,ROUND(IF(AE83="SLM",MIN(G83-N83,(G83-N83)/L83*(AA83+AB83)),G83-MAX(N83,G83*(1-M83*AA83)*(1-M83)^AB83)),0))))</f>
        <v>0</v>
      </c>
      <c r="R83" s="51" t="n">
        <f aca="false">IF(OR(F83="",G83=""),0,IF(OR(F83&gt;Setup!$C$6,AND(J83&lt;&gt;"",J83&lt;Setup!$C$5)),0,MAX(0,MIN(Setup!$C$6,IF(J83="",Setup!$C$6,J83))-MAX(Setup!$C$5,F83)+1)))</f>
        <v>0</v>
      </c>
      <c r="S83" s="53" t="n">
        <f aca="false">IF(OR(N(L83)=0,R83=0),0,MAX(0,ROUND(MIN(IF(AE83="SLM",(G83-N83)/L83,(O83+P83-Q83)*M83)*R83/(Setup!$C$6-Setup!$C$5+1),O83+P83-Q83-N83),0)))</f>
        <v>0</v>
      </c>
      <c r="T83" s="52" t="n">
        <f aca="false">IF(AND(J83&lt;&gt;"",G83&lt;&gt;""),IF(AND(J83&gt;=Setup!$C$5,J83&lt;=Setup!$C$6),O83+P83,0),0)</f>
        <v>0</v>
      </c>
      <c r="U83" s="52" t="n">
        <f aca="false">IF(T83&gt;0,Q83+S83,0)</f>
        <v>0</v>
      </c>
      <c r="V83" s="52" t="n">
        <f aca="false">Q83+S83-U83</f>
        <v>0</v>
      </c>
      <c r="W83" s="54" t="n">
        <f aca="false">O83+P83-T83-V83</f>
        <v>0</v>
      </c>
      <c r="X83" s="52" t="str">
        <f aca="false">IF(T83&gt;0,N(K83)-(O83+P83-Q83-S83),"")</f>
        <v/>
      </c>
      <c r="Y83" s="55" t="str">
        <f aca="false">IF(AND(B83="",C83="",G83=""),"",IF(D83="","⚠ Pick category",IF(F83="","⚠ Enter put-to-use date",IF(G83="","⚠ Enter cost",IF(F83&gt;Setup!$C$6,"Not yet in use",IF(AND(J83&lt;&gt;"",J83&lt;F83),"⚠ Sale before put-to-use",IF(AND(J83&lt;&gt;"",J83&lt;Setup!$C$5),"Sold in an earlier year",IF(N(I83)&gt;G83,"⚠ Opening dep. more than cost",IF(T83&gt;0,"Sold this year",IF(AND(N(L83)&gt;0,W83&lt;=N83+1),"Fully depreciated","✔ OK"))))))))))</f>
        <v/>
      </c>
      <c r="Z83" s="56" t="str">
        <f aca="false">IF(F83="","",DATE(YEAR(F83)+IF(MONTH(F83)&gt;=MONTH(Setup!$C$5),1,0),MONTH(Setup!$C$5),1)-1)</f>
        <v/>
      </c>
      <c r="AA83" s="57" t="str">
        <f aca="false">IF(F83="","",(Z83-F83+1)/(Z83-DATE(YEAR(Z83+1)-1,MONTH(Setup!$C$5),1)+1))</f>
        <v/>
      </c>
      <c r="AB83" s="9" t="str">
        <f aca="false">IF(F83="","",MAX(0,YEAR(Setup!$C$5)-YEAR(Z83+1)))</f>
        <v/>
      </c>
      <c r="AC83" s="9" t="str">
        <f aca="false">IF(D83="","",IFERROR(VLOOKUP(D83,'Rate Chart'!$A$6:$F$23,5,FALSE()),""))</f>
        <v/>
      </c>
      <c r="AD83" s="9" t="str">
        <f aca="false">IF(P83&gt;0,Setup!$C$6-F83+1,"")</f>
        <v/>
      </c>
      <c r="AE83" s="9" t="str">
        <f aca="false">IF(D83="","",IF(H83="",Setup!$C$8,H83))</f>
        <v/>
      </c>
    </row>
    <row r="84" customFormat="false" ht="15" hidden="false" customHeight="false" outlineLevel="0" collapsed="false">
      <c r="A84" s="47" t="str">
        <f aca="false">IF(AND(B84="",C84=""),"",ROW()-6)</f>
        <v/>
      </c>
      <c r="B84" s="89"/>
      <c r="C84" s="86"/>
      <c r="D84" s="86"/>
      <c r="E84" s="86"/>
      <c r="F84" s="90"/>
      <c r="G84" s="91"/>
      <c r="H84" s="89"/>
      <c r="I84" s="91"/>
      <c r="J84" s="90"/>
      <c r="K84" s="91"/>
      <c r="L84" s="51" t="str">
        <f aca="false">IF(D84="","",IFERROR(VLOOKUP(D84,'Rate Chart'!$A$6:$F$23,2,FALSE()),0))</f>
        <v/>
      </c>
      <c r="M84" s="38" t="n">
        <f aca="false">IF(OR(L84="",N(L84)=0),0,IF(AE84="SLM",(1-Setup!$C$7)/L84,1-Setup!$C$7^(1/L84)))</f>
        <v>0</v>
      </c>
      <c r="N84" s="52" t="n">
        <f aca="false">IF(G84="",0,ROUND(G84*Setup!$C$7,0))</f>
        <v>0</v>
      </c>
      <c r="O84" s="52" t="n">
        <f aca="false">IF(OR(G84="",F84=""),0,IF(AND(F84&lt;Setup!$C$5,OR(J84="",J84&gt;=Setup!$C$5)),G84,0))</f>
        <v>0</v>
      </c>
      <c r="P84" s="52" t="n">
        <f aca="false">IF(OR(G84="",F84=""),0,IF(AND(F84&gt;=Setup!$C$5,F84&lt;=Setup!$C$6),G84,0))</f>
        <v>0</v>
      </c>
      <c r="Q84" s="52" t="n">
        <f aca="false">IF(O84=0,0,IF(I84&lt;&gt;"",I84,IF(N(L84)=0,0,ROUND(IF(AE84="SLM",MIN(G84-N84,(G84-N84)/L84*(AA84+AB84)),G84-MAX(N84,G84*(1-M84*AA84)*(1-M84)^AB84)),0))))</f>
        <v>0</v>
      </c>
      <c r="R84" s="51" t="n">
        <f aca="false">IF(OR(F84="",G84=""),0,IF(OR(F84&gt;Setup!$C$6,AND(J84&lt;&gt;"",J84&lt;Setup!$C$5)),0,MAX(0,MIN(Setup!$C$6,IF(J84="",Setup!$C$6,J84))-MAX(Setup!$C$5,F84)+1)))</f>
        <v>0</v>
      </c>
      <c r="S84" s="53" t="n">
        <f aca="false">IF(OR(N(L84)=0,R84=0),0,MAX(0,ROUND(MIN(IF(AE84="SLM",(G84-N84)/L84,(O84+P84-Q84)*M84)*R84/(Setup!$C$6-Setup!$C$5+1),O84+P84-Q84-N84),0)))</f>
        <v>0</v>
      </c>
      <c r="T84" s="52" t="n">
        <f aca="false">IF(AND(J84&lt;&gt;"",G84&lt;&gt;""),IF(AND(J84&gt;=Setup!$C$5,J84&lt;=Setup!$C$6),O84+P84,0),0)</f>
        <v>0</v>
      </c>
      <c r="U84" s="52" t="n">
        <f aca="false">IF(T84&gt;0,Q84+S84,0)</f>
        <v>0</v>
      </c>
      <c r="V84" s="52" t="n">
        <f aca="false">Q84+S84-U84</f>
        <v>0</v>
      </c>
      <c r="W84" s="54" t="n">
        <f aca="false">O84+P84-T84-V84</f>
        <v>0</v>
      </c>
      <c r="X84" s="52" t="str">
        <f aca="false">IF(T84&gt;0,N(K84)-(O84+P84-Q84-S84),"")</f>
        <v/>
      </c>
      <c r="Y84" s="55" t="str">
        <f aca="false">IF(AND(B84="",C84="",G84=""),"",IF(D84="","⚠ Pick category",IF(F84="","⚠ Enter put-to-use date",IF(G84="","⚠ Enter cost",IF(F84&gt;Setup!$C$6,"Not yet in use",IF(AND(J84&lt;&gt;"",J84&lt;F84),"⚠ Sale before put-to-use",IF(AND(J84&lt;&gt;"",J84&lt;Setup!$C$5),"Sold in an earlier year",IF(N(I84)&gt;G84,"⚠ Opening dep. more than cost",IF(T84&gt;0,"Sold this year",IF(AND(N(L84)&gt;0,W84&lt;=N84+1),"Fully depreciated","✔ OK"))))))))))</f>
        <v/>
      </c>
      <c r="Z84" s="56" t="str">
        <f aca="false">IF(F84="","",DATE(YEAR(F84)+IF(MONTH(F84)&gt;=MONTH(Setup!$C$5),1,0),MONTH(Setup!$C$5),1)-1)</f>
        <v/>
      </c>
      <c r="AA84" s="57" t="str">
        <f aca="false">IF(F84="","",(Z84-F84+1)/(Z84-DATE(YEAR(Z84+1)-1,MONTH(Setup!$C$5),1)+1))</f>
        <v/>
      </c>
      <c r="AB84" s="9" t="str">
        <f aca="false">IF(F84="","",MAX(0,YEAR(Setup!$C$5)-YEAR(Z84+1)))</f>
        <v/>
      </c>
      <c r="AC84" s="9" t="str">
        <f aca="false">IF(D84="","",IFERROR(VLOOKUP(D84,'Rate Chart'!$A$6:$F$23,5,FALSE()),""))</f>
        <v/>
      </c>
      <c r="AD84" s="9" t="str">
        <f aca="false">IF(P84&gt;0,Setup!$C$6-F84+1,"")</f>
        <v/>
      </c>
      <c r="AE84" s="9" t="str">
        <f aca="false">IF(D84="","",IF(H84="",Setup!$C$8,H84))</f>
        <v/>
      </c>
    </row>
    <row r="85" customFormat="false" ht="15" hidden="false" customHeight="false" outlineLevel="0" collapsed="false">
      <c r="A85" s="47" t="str">
        <f aca="false">IF(AND(B85="",C85=""),"",ROW()-6)</f>
        <v/>
      </c>
      <c r="B85" s="89"/>
      <c r="C85" s="86"/>
      <c r="D85" s="86"/>
      <c r="E85" s="86"/>
      <c r="F85" s="90"/>
      <c r="G85" s="91"/>
      <c r="H85" s="89"/>
      <c r="I85" s="91"/>
      <c r="J85" s="90"/>
      <c r="K85" s="91"/>
      <c r="L85" s="51" t="str">
        <f aca="false">IF(D85="","",IFERROR(VLOOKUP(D85,'Rate Chart'!$A$6:$F$23,2,FALSE()),0))</f>
        <v/>
      </c>
      <c r="M85" s="38" t="n">
        <f aca="false">IF(OR(L85="",N(L85)=0),0,IF(AE85="SLM",(1-Setup!$C$7)/L85,1-Setup!$C$7^(1/L85)))</f>
        <v>0</v>
      </c>
      <c r="N85" s="52" t="n">
        <f aca="false">IF(G85="",0,ROUND(G85*Setup!$C$7,0))</f>
        <v>0</v>
      </c>
      <c r="O85" s="52" t="n">
        <f aca="false">IF(OR(G85="",F85=""),0,IF(AND(F85&lt;Setup!$C$5,OR(J85="",J85&gt;=Setup!$C$5)),G85,0))</f>
        <v>0</v>
      </c>
      <c r="P85" s="52" t="n">
        <f aca="false">IF(OR(G85="",F85=""),0,IF(AND(F85&gt;=Setup!$C$5,F85&lt;=Setup!$C$6),G85,0))</f>
        <v>0</v>
      </c>
      <c r="Q85" s="52" t="n">
        <f aca="false">IF(O85=0,0,IF(I85&lt;&gt;"",I85,IF(N(L85)=0,0,ROUND(IF(AE85="SLM",MIN(G85-N85,(G85-N85)/L85*(AA85+AB85)),G85-MAX(N85,G85*(1-M85*AA85)*(1-M85)^AB85)),0))))</f>
        <v>0</v>
      </c>
      <c r="R85" s="51" t="n">
        <f aca="false">IF(OR(F85="",G85=""),0,IF(OR(F85&gt;Setup!$C$6,AND(J85&lt;&gt;"",J85&lt;Setup!$C$5)),0,MAX(0,MIN(Setup!$C$6,IF(J85="",Setup!$C$6,J85))-MAX(Setup!$C$5,F85)+1)))</f>
        <v>0</v>
      </c>
      <c r="S85" s="53" t="n">
        <f aca="false">IF(OR(N(L85)=0,R85=0),0,MAX(0,ROUND(MIN(IF(AE85="SLM",(G85-N85)/L85,(O85+P85-Q85)*M85)*R85/(Setup!$C$6-Setup!$C$5+1),O85+P85-Q85-N85),0)))</f>
        <v>0</v>
      </c>
      <c r="T85" s="52" t="n">
        <f aca="false">IF(AND(J85&lt;&gt;"",G85&lt;&gt;""),IF(AND(J85&gt;=Setup!$C$5,J85&lt;=Setup!$C$6),O85+P85,0),0)</f>
        <v>0</v>
      </c>
      <c r="U85" s="52" t="n">
        <f aca="false">IF(T85&gt;0,Q85+S85,0)</f>
        <v>0</v>
      </c>
      <c r="V85" s="52" t="n">
        <f aca="false">Q85+S85-U85</f>
        <v>0</v>
      </c>
      <c r="W85" s="54" t="n">
        <f aca="false">O85+P85-T85-V85</f>
        <v>0</v>
      </c>
      <c r="X85" s="52" t="str">
        <f aca="false">IF(T85&gt;0,N(K85)-(O85+P85-Q85-S85),"")</f>
        <v/>
      </c>
      <c r="Y85" s="55" t="str">
        <f aca="false">IF(AND(B85="",C85="",G85=""),"",IF(D85="","⚠ Pick category",IF(F85="","⚠ Enter put-to-use date",IF(G85="","⚠ Enter cost",IF(F85&gt;Setup!$C$6,"Not yet in use",IF(AND(J85&lt;&gt;"",J85&lt;F85),"⚠ Sale before put-to-use",IF(AND(J85&lt;&gt;"",J85&lt;Setup!$C$5),"Sold in an earlier year",IF(N(I85)&gt;G85,"⚠ Opening dep. more than cost",IF(T85&gt;0,"Sold this year",IF(AND(N(L85)&gt;0,W85&lt;=N85+1),"Fully depreciated","✔ OK"))))))))))</f>
        <v/>
      </c>
      <c r="Z85" s="56" t="str">
        <f aca="false">IF(F85="","",DATE(YEAR(F85)+IF(MONTH(F85)&gt;=MONTH(Setup!$C$5),1,0),MONTH(Setup!$C$5),1)-1)</f>
        <v/>
      </c>
      <c r="AA85" s="57" t="str">
        <f aca="false">IF(F85="","",(Z85-F85+1)/(Z85-DATE(YEAR(Z85+1)-1,MONTH(Setup!$C$5),1)+1))</f>
        <v/>
      </c>
      <c r="AB85" s="9" t="str">
        <f aca="false">IF(F85="","",MAX(0,YEAR(Setup!$C$5)-YEAR(Z85+1)))</f>
        <v/>
      </c>
      <c r="AC85" s="9" t="str">
        <f aca="false">IF(D85="","",IFERROR(VLOOKUP(D85,'Rate Chart'!$A$6:$F$23,5,FALSE()),""))</f>
        <v/>
      </c>
      <c r="AD85" s="9" t="str">
        <f aca="false">IF(P85&gt;0,Setup!$C$6-F85+1,"")</f>
        <v/>
      </c>
      <c r="AE85" s="9" t="str">
        <f aca="false">IF(D85="","",IF(H85="",Setup!$C$8,H85))</f>
        <v/>
      </c>
    </row>
    <row r="86" customFormat="false" ht="15" hidden="false" customHeight="false" outlineLevel="0" collapsed="false">
      <c r="A86" s="47" t="str">
        <f aca="false">IF(AND(B86="",C86=""),"",ROW()-6)</f>
        <v/>
      </c>
      <c r="B86" s="89"/>
      <c r="C86" s="86"/>
      <c r="D86" s="86"/>
      <c r="E86" s="86"/>
      <c r="F86" s="90"/>
      <c r="G86" s="91"/>
      <c r="H86" s="89"/>
      <c r="I86" s="91"/>
      <c r="J86" s="90"/>
      <c r="K86" s="91"/>
      <c r="L86" s="51" t="str">
        <f aca="false">IF(D86="","",IFERROR(VLOOKUP(D86,'Rate Chart'!$A$6:$F$23,2,FALSE()),0))</f>
        <v/>
      </c>
      <c r="M86" s="38" t="n">
        <f aca="false">IF(OR(L86="",N(L86)=0),0,IF(AE86="SLM",(1-Setup!$C$7)/L86,1-Setup!$C$7^(1/L86)))</f>
        <v>0</v>
      </c>
      <c r="N86" s="52" t="n">
        <f aca="false">IF(G86="",0,ROUND(G86*Setup!$C$7,0))</f>
        <v>0</v>
      </c>
      <c r="O86" s="52" t="n">
        <f aca="false">IF(OR(G86="",F86=""),0,IF(AND(F86&lt;Setup!$C$5,OR(J86="",J86&gt;=Setup!$C$5)),G86,0))</f>
        <v>0</v>
      </c>
      <c r="P86" s="52" t="n">
        <f aca="false">IF(OR(G86="",F86=""),0,IF(AND(F86&gt;=Setup!$C$5,F86&lt;=Setup!$C$6),G86,0))</f>
        <v>0</v>
      </c>
      <c r="Q86" s="52" t="n">
        <f aca="false">IF(O86=0,0,IF(I86&lt;&gt;"",I86,IF(N(L86)=0,0,ROUND(IF(AE86="SLM",MIN(G86-N86,(G86-N86)/L86*(AA86+AB86)),G86-MAX(N86,G86*(1-M86*AA86)*(1-M86)^AB86)),0))))</f>
        <v>0</v>
      </c>
      <c r="R86" s="51" t="n">
        <f aca="false">IF(OR(F86="",G86=""),0,IF(OR(F86&gt;Setup!$C$6,AND(J86&lt;&gt;"",J86&lt;Setup!$C$5)),0,MAX(0,MIN(Setup!$C$6,IF(J86="",Setup!$C$6,J86))-MAX(Setup!$C$5,F86)+1)))</f>
        <v>0</v>
      </c>
      <c r="S86" s="53" t="n">
        <f aca="false">IF(OR(N(L86)=0,R86=0),0,MAX(0,ROUND(MIN(IF(AE86="SLM",(G86-N86)/L86,(O86+P86-Q86)*M86)*R86/(Setup!$C$6-Setup!$C$5+1),O86+P86-Q86-N86),0)))</f>
        <v>0</v>
      </c>
      <c r="T86" s="52" t="n">
        <f aca="false">IF(AND(J86&lt;&gt;"",G86&lt;&gt;""),IF(AND(J86&gt;=Setup!$C$5,J86&lt;=Setup!$C$6),O86+P86,0),0)</f>
        <v>0</v>
      </c>
      <c r="U86" s="52" t="n">
        <f aca="false">IF(T86&gt;0,Q86+S86,0)</f>
        <v>0</v>
      </c>
      <c r="V86" s="52" t="n">
        <f aca="false">Q86+S86-U86</f>
        <v>0</v>
      </c>
      <c r="W86" s="54" t="n">
        <f aca="false">O86+P86-T86-V86</f>
        <v>0</v>
      </c>
      <c r="X86" s="52" t="str">
        <f aca="false">IF(T86&gt;0,N(K86)-(O86+P86-Q86-S86),"")</f>
        <v/>
      </c>
      <c r="Y86" s="55" t="str">
        <f aca="false">IF(AND(B86="",C86="",G86=""),"",IF(D86="","⚠ Pick category",IF(F86="","⚠ Enter put-to-use date",IF(G86="","⚠ Enter cost",IF(F86&gt;Setup!$C$6,"Not yet in use",IF(AND(J86&lt;&gt;"",J86&lt;F86),"⚠ Sale before put-to-use",IF(AND(J86&lt;&gt;"",J86&lt;Setup!$C$5),"Sold in an earlier year",IF(N(I86)&gt;G86,"⚠ Opening dep. more than cost",IF(T86&gt;0,"Sold this year",IF(AND(N(L86)&gt;0,W86&lt;=N86+1),"Fully depreciated","✔ OK"))))))))))</f>
        <v/>
      </c>
      <c r="Z86" s="56" t="str">
        <f aca="false">IF(F86="","",DATE(YEAR(F86)+IF(MONTH(F86)&gt;=MONTH(Setup!$C$5),1,0),MONTH(Setup!$C$5),1)-1)</f>
        <v/>
      </c>
      <c r="AA86" s="57" t="str">
        <f aca="false">IF(F86="","",(Z86-F86+1)/(Z86-DATE(YEAR(Z86+1)-1,MONTH(Setup!$C$5),1)+1))</f>
        <v/>
      </c>
      <c r="AB86" s="9" t="str">
        <f aca="false">IF(F86="","",MAX(0,YEAR(Setup!$C$5)-YEAR(Z86+1)))</f>
        <v/>
      </c>
      <c r="AC86" s="9" t="str">
        <f aca="false">IF(D86="","",IFERROR(VLOOKUP(D86,'Rate Chart'!$A$6:$F$23,5,FALSE()),""))</f>
        <v/>
      </c>
      <c r="AD86" s="9" t="str">
        <f aca="false">IF(P86&gt;0,Setup!$C$6-F86+1,"")</f>
        <v/>
      </c>
      <c r="AE86" s="9" t="str">
        <f aca="false">IF(D86="","",IF(H86="",Setup!$C$8,H86))</f>
        <v/>
      </c>
    </row>
    <row r="87" customFormat="false" ht="15" hidden="false" customHeight="false" outlineLevel="0" collapsed="false">
      <c r="A87" s="47" t="str">
        <f aca="false">IF(AND(B87="",C87=""),"",ROW()-6)</f>
        <v/>
      </c>
      <c r="B87" s="89"/>
      <c r="C87" s="86"/>
      <c r="D87" s="86"/>
      <c r="E87" s="86"/>
      <c r="F87" s="90"/>
      <c r="G87" s="91"/>
      <c r="H87" s="89"/>
      <c r="I87" s="91"/>
      <c r="J87" s="90"/>
      <c r="K87" s="91"/>
      <c r="L87" s="51" t="str">
        <f aca="false">IF(D87="","",IFERROR(VLOOKUP(D87,'Rate Chart'!$A$6:$F$23,2,FALSE()),0))</f>
        <v/>
      </c>
      <c r="M87" s="38" t="n">
        <f aca="false">IF(OR(L87="",N(L87)=0),0,IF(AE87="SLM",(1-Setup!$C$7)/L87,1-Setup!$C$7^(1/L87)))</f>
        <v>0</v>
      </c>
      <c r="N87" s="52" t="n">
        <f aca="false">IF(G87="",0,ROUND(G87*Setup!$C$7,0))</f>
        <v>0</v>
      </c>
      <c r="O87" s="52" t="n">
        <f aca="false">IF(OR(G87="",F87=""),0,IF(AND(F87&lt;Setup!$C$5,OR(J87="",J87&gt;=Setup!$C$5)),G87,0))</f>
        <v>0</v>
      </c>
      <c r="P87" s="52" t="n">
        <f aca="false">IF(OR(G87="",F87=""),0,IF(AND(F87&gt;=Setup!$C$5,F87&lt;=Setup!$C$6),G87,0))</f>
        <v>0</v>
      </c>
      <c r="Q87" s="52" t="n">
        <f aca="false">IF(O87=0,0,IF(I87&lt;&gt;"",I87,IF(N(L87)=0,0,ROUND(IF(AE87="SLM",MIN(G87-N87,(G87-N87)/L87*(AA87+AB87)),G87-MAX(N87,G87*(1-M87*AA87)*(1-M87)^AB87)),0))))</f>
        <v>0</v>
      </c>
      <c r="R87" s="51" t="n">
        <f aca="false">IF(OR(F87="",G87=""),0,IF(OR(F87&gt;Setup!$C$6,AND(J87&lt;&gt;"",J87&lt;Setup!$C$5)),0,MAX(0,MIN(Setup!$C$6,IF(J87="",Setup!$C$6,J87))-MAX(Setup!$C$5,F87)+1)))</f>
        <v>0</v>
      </c>
      <c r="S87" s="53" t="n">
        <f aca="false">IF(OR(N(L87)=0,R87=0),0,MAX(0,ROUND(MIN(IF(AE87="SLM",(G87-N87)/L87,(O87+P87-Q87)*M87)*R87/(Setup!$C$6-Setup!$C$5+1),O87+P87-Q87-N87),0)))</f>
        <v>0</v>
      </c>
      <c r="T87" s="52" t="n">
        <f aca="false">IF(AND(J87&lt;&gt;"",G87&lt;&gt;""),IF(AND(J87&gt;=Setup!$C$5,J87&lt;=Setup!$C$6),O87+P87,0),0)</f>
        <v>0</v>
      </c>
      <c r="U87" s="52" t="n">
        <f aca="false">IF(T87&gt;0,Q87+S87,0)</f>
        <v>0</v>
      </c>
      <c r="V87" s="52" t="n">
        <f aca="false">Q87+S87-U87</f>
        <v>0</v>
      </c>
      <c r="W87" s="54" t="n">
        <f aca="false">O87+P87-T87-V87</f>
        <v>0</v>
      </c>
      <c r="X87" s="52" t="str">
        <f aca="false">IF(T87&gt;0,N(K87)-(O87+P87-Q87-S87),"")</f>
        <v/>
      </c>
      <c r="Y87" s="55" t="str">
        <f aca="false">IF(AND(B87="",C87="",G87=""),"",IF(D87="","⚠ Pick category",IF(F87="","⚠ Enter put-to-use date",IF(G87="","⚠ Enter cost",IF(F87&gt;Setup!$C$6,"Not yet in use",IF(AND(J87&lt;&gt;"",J87&lt;F87),"⚠ Sale before put-to-use",IF(AND(J87&lt;&gt;"",J87&lt;Setup!$C$5),"Sold in an earlier year",IF(N(I87)&gt;G87,"⚠ Opening dep. more than cost",IF(T87&gt;0,"Sold this year",IF(AND(N(L87)&gt;0,W87&lt;=N87+1),"Fully depreciated","✔ OK"))))))))))</f>
        <v/>
      </c>
      <c r="Z87" s="56" t="str">
        <f aca="false">IF(F87="","",DATE(YEAR(F87)+IF(MONTH(F87)&gt;=MONTH(Setup!$C$5),1,0),MONTH(Setup!$C$5),1)-1)</f>
        <v/>
      </c>
      <c r="AA87" s="57" t="str">
        <f aca="false">IF(F87="","",(Z87-F87+1)/(Z87-DATE(YEAR(Z87+1)-1,MONTH(Setup!$C$5),1)+1))</f>
        <v/>
      </c>
      <c r="AB87" s="9" t="str">
        <f aca="false">IF(F87="","",MAX(0,YEAR(Setup!$C$5)-YEAR(Z87+1)))</f>
        <v/>
      </c>
      <c r="AC87" s="9" t="str">
        <f aca="false">IF(D87="","",IFERROR(VLOOKUP(D87,'Rate Chart'!$A$6:$F$23,5,FALSE()),""))</f>
        <v/>
      </c>
      <c r="AD87" s="9" t="str">
        <f aca="false">IF(P87&gt;0,Setup!$C$6-F87+1,"")</f>
        <v/>
      </c>
      <c r="AE87" s="9" t="str">
        <f aca="false">IF(D87="","",IF(H87="",Setup!$C$8,H87))</f>
        <v/>
      </c>
    </row>
    <row r="88" customFormat="false" ht="15" hidden="false" customHeight="false" outlineLevel="0" collapsed="false">
      <c r="A88" s="47" t="str">
        <f aca="false">IF(AND(B88="",C88=""),"",ROW()-6)</f>
        <v/>
      </c>
      <c r="B88" s="89"/>
      <c r="C88" s="86"/>
      <c r="D88" s="86"/>
      <c r="E88" s="86"/>
      <c r="F88" s="90"/>
      <c r="G88" s="91"/>
      <c r="H88" s="89"/>
      <c r="I88" s="91"/>
      <c r="J88" s="90"/>
      <c r="K88" s="91"/>
      <c r="L88" s="51" t="str">
        <f aca="false">IF(D88="","",IFERROR(VLOOKUP(D88,'Rate Chart'!$A$6:$F$23,2,FALSE()),0))</f>
        <v/>
      </c>
      <c r="M88" s="38" t="n">
        <f aca="false">IF(OR(L88="",N(L88)=0),0,IF(AE88="SLM",(1-Setup!$C$7)/L88,1-Setup!$C$7^(1/L88)))</f>
        <v>0</v>
      </c>
      <c r="N88" s="52" t="n">
        <f aca="false">IF(G88="",0,ROUND(G88*Setup!$C$7,0))</f>
        <v>0</v>
      </c>
      <c r="O88" s="52" t="n">
        <f aca="false">IF(OR(G88="",F88=""),0,IF(AND(F88&lt;Setup!$C$5,OR(J88="",J88&gt;=Setup!$C$5)),G88,0))</f>
        <v>0</v>
      </c>
      <c r="P88" s="52" t="n">
        <f aca="false">IF(OR(G88="",F88=""),0,IF(AND(F88&gt;=Setup!$C$5,F88&lt;=Setup!$C$6),G88,0))</f>
        <v>0</v>
      </c>
      <c r="Q88" s="52" t="n">
        <f aca="false">IF(O88=0,0,IF(I88&lt;&gt;"",I88,IF(N(L88)=0,0,ROUND(IF(AE88="SLM",MIN(G88-N88,(G88-N88)/L88*(AA88+AB88)),G88-MAX(N88,G88*(1-M88*AA88)*(1-M88)^AB88)),0))))</f>
        <v>0</v>
      </c>
      <c r="R88" s="51" t="n">
        <f aca="false">IF(OR(F88="",G88=""),0,IF(OR(F88&gt;Setup!$C$6,AND(J88&lt;&gt;"",J88&lt;Setup!$C$5)),0,MAX(0,MIN(Setup!$C$6,IF(J88="",Setup!$C$6,J88))-MAX(Setup!$C$5,F88)+1)))</f>
        <v>0</v>
      </c>
      <c r="S88" s="53" t="n">
        <f aca="false">IF(OR(N(L88)=0,R88=0),0,MAX(0,ROUND(MIN(IF(AE88="SLM",(G88-N88)/L88,(O88+P88-Q88)*M88)*R88/(Setup!$C$6-Setup!$C$5+1),O88+P88-Q88-N88),0)))</f>
        <v>0</v>
      </c>
      <c r="T88" s="52" t="n">
        <f aca="false">IF(AND(J88&lt;&gt;"",G88&lt;&gt;""),IF(AND(J88&gt;=Setup!$C$5,J88&lt;=Setup!$C$6),O88+P88,0),0)</f>
        <v>0</v>
      </c>
      <c r="U88" s="52" t="n">
        <f aca="false">IF(T88&gt;0,Q88+S88,0)</f>
        <v>0</v>
      </c>
      <c r="V88" s="52" t="n">
        <f aca="false">Q88+S88-U88</f>
        <v>0</v>
      </c>
      <c r="W88" s="54" t="n">
        <f aca="false">O88+P88-T88-V88</f>
        <v>0</v>
      </c>
      <c r="X88" s="52" t="str">
        <f aca="false">IF(T88&gt;0,N(K88)-(O88+P88-Q88-S88),"")</f>
        <v/>
      </c>
      <c r="Y88" s="55" t="str">
        <f aca="false">IF(AND(B88="",C88="",G88=""),"",IF(D88="","⚠ Pick category",IF(F88="","⚠ Enter put-to-use date",IF(G88="","⚠ Enter cost",IF(F88&gt;Setup!$C$6,"Not yet in use",IF(AND(J88&lt;&gt;"",J88&lt;F88),"⚠ Sale before put-to-use",IF(AND(J88&lt;&gt;"",J88&lt;Setup!$C$5),"Sold in an earlier year",IF(N(I88)&gt;G88,"⚠ Opening dep. more than cost",IF(T88&gt;0,"Sold this year",IF(AND(N(L88)&gt;0,W88&lt;=N88+1),"Fully depreciated","✔ OK"))))))))))</f>
        <v/>
      </c>
      <c r="Z88" s="56" t="str">
        <f aca="false">IF(F88="","",DATE(YEAR(F88)+IF(MONTH(F88)&gt;=MONTH(Setup!$C$5),1,0),MONTH(Setup!$C$5),1)-1)</f>
        <v/>
      </c>
      <c r="AA88" s="57" t="str">
        <f aca="false">IF(F88="","",(Z88-F88+1)/(Z88-DATE(YEAR(Z88+1)-1,MONTH(Setup!$C$5),1)+1))</f>
        <v/>
      </c>
      <c r="AB88" s="9" t="str">
        <f aca="false">IF(F88="","",MAX(0,YEAR(Setup!$C$5)-YEAR(Z88+1)))</f>
        <v/>
      </c>
      <c r="AC88" s="9" t="str">
        <f aca="false">IF(D88="","",IFERROR(VLOOKUP(D88,'Rate Chart'!$A$6:$F$23,5,FALSE()),""))</f>
        <v/>
      </c>
      <c r="AD88" s="9" t="str">
        <f aca="false">IF(P88&gt;0,Setup!$C$6-F88+1,"")</f>
        <v/>
      </c>
      <c r="AE88" s="9" t="str">
        <f aca="false">IF(D88="","",IF(H88="",Setup!$C$8,H88))</f>
        <v/>
      </c>
    </row>
    <row r="89" customFormat="false" ht="15" hidden="false" customHeight="false" outlineLevel="0" collapsed="false">
      <c r="A89" s="47" t="str">
        <f aca="false">IF(AND(B89="",C89=""),"",ROW()-6)</f>
        <v/>
      </c>
      <c r="B89" s="89"/>
      <c r="C89" s="86"/>
      <c r="D89" s="86"/>
      <c r="E89" s="86"/>
      <c r="F89" s="90"/>
      <c r="G89" s="91"/>
      <c r="H89" s="89"/>
      <c r="I89" s="91"/>
      <c r="J89" s="90"/>
      <c r="K89" s="91"/>
      <c r="L89" s="51" t="str">
        <f aca="false">IF(D89="","",IFERROR(VLOOKUP(D89,'Rate Chart'!$A$6:$F$23,2,FALSE()),0))</f>
        <v/>
      </c>
      <c r="M89" s="38" t="n">
        <f aca="false">IF(OR(L89="",N(L89)=0),0,IF(AE89="SLM",(1-Setup!$C$7)/L89,1-Setup!$C$7^(1/L89)))</f>
        <v>0</v>
      </c>
      <c r="N89" s="52" t="n">
        <f aca="false">IF(G89="",0,ROUND(G89*Setup!$C$7,0))</f>
        <v>0</v>
      </c>
      <c r="O89" s="52" t="n">
        <f aca="false">IF(OR(G89="",F89=""),0,IF(AND(F89&lt;Setup!$C$5,OR(J89="",J89&gt;=Setup!$C$5)),G89,0))</f>
        <v>0</v>
      </c>
      <c r="P89" s="52" t="n">
        <f aca="false">IF(OR(G89="",F89=""),0,IF(AND(F89&gt;=Setup!$C$5,F89&lt;=Setup!$C$6),G89,0))</f>
        <v>0</v>
      </c>
      <c r="Q89" s="52" t="n">
        <f aca="false">IF(O89=0,0,IF(I89&lt;&gt;"",I89,IF(N(L89)=0,0,ROUND(IF(AE89="SLM",MIN(G89-N89,(G89-N89)/L89*(AA89+AB89)),G89-MAX(N89,G89*(1-M89*AA89)*(1-M89)^AB89)),0))))</f>
        <v>0</v>
      </c>
      <c r="R89" s="51" t="n">
        <f aca="false">IF(OR(F89="",G89=""),0,IF(OR(F89&gt;Setup!$C$6,AND(J89&lt;&gt;"",J89&lt;Setup!$C$5)),0,MAX(0,MIN(Setup!$C$6,IF(J89="",Setup!$C$6,J89))-MAX(Setup!$C$5,F89)+1)))</f>
        <v>0</v>
      </c>
      <c r="S89" s="53" t="n">
        <f aca="false">IF(OR(N(L89)=0,R89=0),0,MAX(0,ROUND(MIN(IF(AE89="SLM",(G89-N89)/L89,(O89+P89-Q89)*M89)*R89/(Setup!$C$6-Setup!$C$5+1),O89+P89-Q89-N89),0)))</f>
        <v>0</v>
      </c>
      <c r="T89" s="52" t="n">
        <f aca="false">IF(AND(J89&lt;&gt;"",G89&lt;&gt;""),IF(AND(J89&gt;=Setup!$C$5,J89&lt;=Setup!$C$6),O89+P89,0),0)</f>
        <v>0</v>
      </c>
      <c r="U89" s="52" t="n">
        <f aca="false">IF(T89&gt;0,Q89+S89,0)</f>
        <v>0</v>
      </c>
      <c r="V89" s="52" t="n">
        <f aca="false">Q89+S89-U89</f>
        <v>0</v>
      </c>
      <c r="W89" s="54" t="n">
        <f aca="false">O89+P89-T89-V89</f>
        <v>0</v>
      </c>
      <c r="X89" s="52" t="str">
        <f aca="false">IF(T89&gt;0,N(K89)-(O89+P89-Q89-S89),"")</f>
        <v/>
      </c>
      <c r="Y89" s="55" t="str">
        <f aca="false">IF(AND(B89="",C89="",G89=""),"",IF(D89="","⚠ Pick category",IF(F89="","⚠ Enter put-to-use date",IF(G89="","⚠ Enter cost",IF(F89&gt;Setup!$C$6,"Not yet in use",IF(AND(J89&lt;&gt;"",J89&lt;F89),"⚠ Sale before put-to-use",IF(AND(J89&lt;&gt;"",J89&lt;Setup!$C$5),"Sold in an earlier year",IF(N(I89)&gt;G89,"⚠ Opening dep. more than cost",IF(T89&gt;0,"Sold this year",IF(AND(N(L89)&gt;0,W89&lt;=N89+1),"Fully depreciated","✔ OK"))))))))))</f>
        <v/>
      </c>
      <c r="Z89" s="56" t="str">
        <f aca="false">IF(F89="","",DATE(YEAR(F89)+IF(MONTH(F89)&gt;=MONTH(Setup!$C$5),1,0),MONTH(Setup!$C$5),1)-1)</f>
        <v/>
      </c>
      <c r="AA89" s="57" t="str">
        <f aca="false">IF(F89="","",(Z89-F89+1)/(Z89-DATE(YEAR(Z89+1)-1,MONTH(Setup!$C$5),1)+1))</f>
        <v/>
      </c>
      <c r="AB89" s="9" t="str">
        <f aca="false">IF(F89="","",MAX(0,YEAR(Setup!$C$5)-YEAR(Z89+1)))</f>
        <v/>
      </c>
      <c r="AC89" s="9" t="str">
        <f aca="false">IF(D89="","",IFERROR(VLOOKUP(D89,'Rate Chart'!$A$6:$F$23,5,FALSE()),""))</f>
        <v/>
      </c>
      <c r="AD89" s="9" t="str">
        <f aca="false">IF(P89&gt;0,Setup!$C$6-F89+1,"")</f>
        <v/>
      </c>
      <c r="AE89" s="9" t="str">
        <f aca="false">IF(D89="","",IF(H89="",Setup!$C$8,H89))</f>
        <v/>
      </c>
    </row>
    <row r="90" customFormat="false" ht="15" hidden="false" customHeight="false" outlineLevel="0" collapsed="false">
      <c r="A90" s="47" t="str">
        <f aca="false">IF(AND(B90="",C90=""),"",ROW()-6)</f>
        <v/>
      </c>
      <c r="B90" s="89"/>
      <c r="C90" s="86"/>
      <c r="D90" s="86"/>
      <c r="E90" s="86"/>
      <c r="F90" s="90"/>
      <c r="G90" s="91"/>
      <c r="H90" s="89"/>
      <c r="I90" s="91"/>
      <c r="J90" s="90"/>
      <c r="K90" s="91"/>
      <c r="L90" s="51" t="str">
        <f aca="false">IF(D90="","",IFERROR(VLOOKUP(D90,'Rate Chart'!$A$6:$F$23,2,FALSE()),0))</f>
        <v/>
      </c>
      <c r="M90" s="38" t="n">
        <f aca="false">IF(OR(L90="",N(L90)=0),0,IF(AE90="SLM",(1-Setup!$C$7)/L90,1-Setup!$C$7^(1/L90)))</f>
        <v>0</v>
      </c>
      <c r="N90" s="52" t="n">
        <f aca="false">IF(G90="",0,ROUND(G90*Setup!$C$7,0))</f>
        <v>0</v>
      </c>
      <c r="O90" s="52" t="n">
        <f aca="false">IF(OR(G90="",F90=""),0,IF(AND(F90&lt;Setup!$C$5,OR(J90="",J90&gt;=Setup!$C$5)),G90,0))</f>
        <v>0</v>
      </c>
      <c r="P90" s="52" t="n">
        <f aca="false">IF(OR(G90="",F90=""),0,IF(AND(F90&gt;=Setup!$C$5,F90&lt;=Setup!$C$6),G90,0))</f>
        <v>0</v>
      </c>
      <c r="Q90" s="52" t="n">
        <f aca="false">IF(O90=0,0,IF(I90&lt;&gt;"",I90,IF(N(L90)=0,0,ROUND(IF(AE90="SLM",MIN(G90-N90,(G90-N90)/L90*(AA90+AB90)),G90-MAX(N90,G90*(1-M90*AA90)*(1-M90)^AB90)),0))))</f>
        <v>0</v>
      </c>
      <c r="R90" s="51" t="n">
        <f aca="false">IF(OR(F90="",G90=""),0,IF(OR(F90&gt;Setup!$C$6,AND(J90&lt;&gt;"",J90&lt;Setup!$C$5)),0,MAX(0,MIN(Setup!$C$6,IF(J90="",Setup!$C$6,J90))-MAX(Setup!$C$5,F90)+1)))</f>
        <v>0</v>
      </c>
      <c r="S90" s="53" t="n">
        <f aca="false">IF(OR(N(L90)=0,R90=0),0,MAX(0,ROUND(MIN(IF(AE90="SLM",(G90-N90)/L90,(O90+P90-Q90)*M90)*R90/(Setup!$C$6-Setup!$C$5+1),O90+P90-Q90-N90),0)))</f>
        <v>0</v>
      </c>
      <c r="T90" s="52" t="n">
        <f aca="false">IF(AND(J90&lt;&gt;"",G90&lt;&gt;""),IF(AND(J90&gt;=Setup!$C$5,J90&lt;=Setup!$C$6),O90+P90,0),0)</f>
        <v>0</v>
      </c>
      <c r="U90" s="52" t="n">
        <f aca="false">IF(T90&gt;0,Q90+S90,0)</f>
        <v>0</v>
      </c>
      <c r="V90" s="52" t="n">
        <f aca="false">Q90+S90-U90</f>
        <v>0</v>
      </c>
      <c r="W90" s="54" t="n">
        <f aca="false">O90+P90-T90-V90</f>
        <v>0</v>
      </c>
      <c r="X90" s="52" t="str">
        <f aca="false">IF(T90&gt;0,N(K90)-(O90+P90-Q90-S90),"")</f>
        <v/>
      </c>
      <c r="Y90" s="55" t="str">
        <f aca="false">IF(AND(B90="",C90="",G90=""),"",IF(D90="","⚠ Pick category",IF(F90="","⚠ Enter put-to-use date",IF(G90="","⚠ Enter cost",IF(F90&gt;Setup!$C$6,"Not yet in use",IF(AND(J90&lt;&gt;"",J90&lt;F90),"⚠ Sale before put-to-use",IF(AND(J90&lt;&gt;"",J90&lt;Setup!$C$5),"Sold in an earlier year",IF(N(I90)&gt;G90,"⚠ Opening dep. more than cost",IF(T90&gt;0,"Sold this year",IF(AND(N(L90)&gt;0,W90&lt;=N90+1),"Fully depreciated","✔ OK"))))))))))</f>
        <v/>
      </c>
      <c r="Z90" s="56" t="str">
        <f aca="false">IF(F90="","",DATE(YEAR(F90)+IF(MONTH(F90)&gt;=MONTH(Setup!$C$5),1,0),MONTH(Setup!$C$5),1)-1)</f>
        <v/>
      </c>
      <c r="AA90" s="57" t="str">
        <f aca="false">IF(F90="","",(Z90-F90+1)/(Z90-DATE(YEAR(Z90+1)-1,MONTH(Setup!$C$5),1)+1))</f>
        <v/>
      </c>
      <c r="AB90" s="9" t="str">
        <f aca="false">IF(F90="","",MAX(0,YEAR(Setup!$C$5)-YEAR(Z90+1)))</f>
        <v/>
      </c>
      <c r="AC90" s="9" t="str">
        <f aca="false">IF(D90="","",IFERROR(VLOOKUP(D90,'Rate Chart'!$A$6:$F$23,5,FALSE()),""))</f>
        <v/>
      </c>
      <c r="AD90" s="9" t="str">
        <f aca="false">IF(P90&gt;0,Setup!$C$6-F90+1,"")</f>
        <v/>
      </c>
      <c r="AE90" s="9" t="str">
        <f aca="false">IF(D90="","",IF(H90="",Setup!$C$8,H90))</f>
        <v/>
      </c>
    </row>
    <row r="91" customFormat="false" ht="15" hidden="false" customHeight="false" outlineLevel="0" collapsed="false">
      <c r="A91" s="47" t="str">
        <f aca="false">IF(AND(B91="",C91=""),"",ROW()-6)</f>
        <v/>
      </c>
      <c r="B91" s="89"/>
      <c r="C91" s="86"/>
      <c r="D91" s="86"/>
      <c r="E91" s="86"/>
      <c r="F91" s="90"/>
      <c r="G91" s="91"/>
      <c r="H91" s="89"/>
      <c r="I91" s="91"/>
      <c r="J91" s="90"/>
      <c r="K91" s="91"/>
      <c r="L91" s="51" t="str">
        <f aca="false">IF(D91="","",IFERROR(VLOOKUP(D91,'Rate Chart'!$A$6:$F$23,2,FALSE()),0))</f>
        <v/>
      </c>
      <c r="M91" s="38" t="n">
        <f aca="false">IF(OR(L91="",N(L91)=0),0,IF(AE91="SLM",(1-Setup!$C$7)/L91,1-Setup!$C$7^(1/L91)))</f>
        <v>0</v>
      </c>
      <c r="N91" s="52" t="n">
        <f aca="false">IF(G91="",0,ROUND(G91*Setup!$C$7,0))</f>
        <v>0</v>
      </c>
      <c r="O91" s="52" t="n">
        <f aca="false">IF(OR(G91="",F91=""),0,IF(AND(F91&lt;Setup!$C$5,OR(J91="",J91&gt;=Setup!$C$5)),G91,0))</f>
        <v>0</v>
      </c>
      <c r="P91" s="52" t="n">
        <f aca="false">IF(OR(G91="",F91=""),0,IF(AND(F91&gt;=Setup!$C$5,F91&lt;=Setup!$C$6),G91,0))</f>
        <v>0</v>
      </c>
      <c r="Q91" s="52" t="n">
        <f aca="false">IF(O91=0,0,IF(I91&lt;&gt;"",I91,IF(N(L91)=0,0,ROUND(IF(AE91="SLM",MIN(G91-N91,(G91-N91)/L91*(AA91+AB91)),G91-MAX(N91,G91*(1-M91*AA91)*(1-M91)^AB91)),0))))</f>
        <v>0</v>
      </c>
      <c r="R91" s="51" t="n">
        <f aca="false">IF(OR(F91="",G91=""),0,IF(OR(F91&gt;Setup!$C$6,AND(J91&lt;&gt;"",J91&lt;Setup!$C$5)),0,MAX(0,MIN(Setup!$C$6,IF(J91="",Setup!$C$6,J91))-MAX(Setup!$C$5,F91)+1)))</f>
        <v>0</v>
      </c>
      <c r="S91" s="53" t="n">
        <f aca="false">IF(OR(N(L91)=0,R91=0),0,MAX(0,ROUND(MIN(IF(AE91="SLM",(G91-N91)/L91,(O91+P91-Q91)*M91)*R91/(Setup!$C$6-Setup!$C$5+1),O91+P91-Q91-N91),0)))</f>
        <v>0</v>
      </c>
      <c r="T91" s="52" t="n">
        <f aca="false">IF(AND(J91&lt;&gt;"",G91&lt;&gt;""),IF(AND(J91&gt;=Setup!$C$5,J91&lt;=Setup!$C$6),O91+P91,0),0)</f>
        <v>0</v>
      </c>
      <c r="U91" s="52" t="n">
        <f aca="false">IF(T91&gt;0,Q91+S91,0)</f>
        <v>0</v>
      </c>
      <c r="V91" s="52" t="n">
        <f aca="false">Q91+S91-U91</f>
        <v>0</v>
      </c>
      <c r="W91" s="54" t="n">
        <f aca="false">O91+P91-T91-V91</f>
        <v>0</v>
      </c>
      <c r="X91" s="52" t="str">
        <f aca="false">IF(T91&gt;0,N(K91)-(O91+P91-Q91-S91),"")</f>
        <v/>
      </c>
      <c r="Y91" s="55" t="str">
        <f aca="false">IF(AND(B91="",C91="",G91=""),"",IF(D91="","⚠ Pick category",IF(F91="","⚠ Enter put-to-use date",IF(G91="","⚠ Enter cost",IF(F91&gt;Setup!$C$6,"Not yet in use",IF(AND(J91&lt;&gt;"",J91&lt;F91),"⚠ Sale before put-to-use",IF(AND(J91&lt;&gt;"",J91&lt;Setup!$C$5),"Sold in an earlier year",IF(N(I91)&gt;G91,"⚠ Opening dep. more than cost",IF(T91&gt;0,"Sold this year",IF(AND(N(L91)&gt;0,W91&lt;=N91+1),"Fully depreciated","✔ OK"))))))))))</f>
        <v/>
      </c>
      <c r="Z91" s="56" t="str">
        <f aca="false">IF(F91="","",DATE(YEAR(F91)+IF(MONTH(F91)&gt;=MONTH(Setup!$C$5),1,0),MONTH(Setup!$C$5),1)-1)</f>
        <v/>
      </c>
      <c r="AA91" s="57" t="str">
        <f aca="false">IF(F91="","",(Z91-F91+1)/(Z91-DATE(YEAR(Z91+1)-1,MONTH(Setup!$C$5),1)+1))</f>
        <v/>
      </c>
      <c r="AB91" s="9" t="str">
        <f aca="false">IF(F91="","",MAX(0,YEAR(Setup!$C$5)-YEAR(Z91+1)))</f>
        <v/>
      </c>
      <c r="AC91" s="9" t="str">
        <f aca="false">IF(D91="","",IFERROR(VLOOKUP(D91,'Rate Chart'!$A$6:$F$23,5,FALSE()),""))</f>
        <v/>
      </c>
      <c r="AD91" s="9" t="str">
        <f aca="false">IF(P91&gt;0,Setup!$C$6-F91+1,"")</f>
        <v/>
      </c>
      <c r="AE91" s="9" t="str">
        <f aca="false">IF(D91="","",IF(H91="",Setup!$C$8,H91))</f>
        <v/>
      </c>
    </row>
    <row r="92" customFormat="false" ht="15" hidden="false" customHeight="false" outlineLevel="0" collapsed="false">
      <c r="A92" s="47" t="str">
        <f aca="false">IF(AND(B92="",C92=""),"",ROW()-6)</f>
        <v/>
      </c>
      <c r="B92" s="89"/>
      <c r="C92" s="86"/>
      <c r="D92" s="86"/>
      <c r="E92" s="86"/>
      <c r="F92" s="90"/>
      <c r="G92" s="91"/>
      <c r="H92" s="89"/>
      <c r="I92" s="91"/>
      <c r="J92" s="90"/>
      <c r="K92" s="91"/>
      <c r="L92" s="51" t="str">
        <f aca="false">IF(D92="","",IFERROR(VLOOKUP(D92,'Rate Chart'!$A$6:$F$23,2,FALSE()),0))</f>
        <v/>
      </c>
      <c r="M92" s="38" t="n">
        <f aca="false">IF(OR(L92="",N(L92)=0),0,IF(AE92="SLM",(1-Setup!$C$7)/L92,1-Setup!$C$7^(1/L92)))</f>
        <v>0</v>
      </c>
      <c r="N92" s="52" t="n">
        <f aca="false">IF(G92="",0,ROUND(G92*Setup!$C$7,0))</f>
        <v>0</v>
      </c>
      <c r="O92" s="52" t="n">
        <f aca="false">IF(OR(G92="",F92=""),0,IF(AND(F92&lt;Setup!$C$5,OR(J92="",J92&gt;=Setup!$C$5)),G92,0))</f>
        <v>0</v>
      </c>
      <c r="P92" s="52" t="n">
        <f aca="false">IF(OR(G92="",F92=""),0,IF(AND(F92&gt;=Setup!$C$5,F92&lt;=Setup!$C$6),G92,0))</f>
        <v>0</v>
      </c>
      <c r="Q92" s="52" t="n">
        <f aca="false">IF(O92=0,0,IF(I92&lt;&gt;"",I92,IF(N(L92)=0,0,ROUND(IF(AE92="SLM",MIN(G92-N92,(G92-N92)/L92*(AA92+AB92)),G92-MAX(N92,G92*(1-M92*AA92)*(1-M92)^AB92)),0))))</f>
        <v>0</v>
      </c>
      <c r="R92" s="51" t="n">
        <f aca="false">IF(OR(F92="",G92=""),0,IF(OR(F92&gt;Setup!$C$6,AND(J92&lt;&gt;"",J92&lt;Setup!$C$5)),0,MAX(0,MIN(Setup!$C$6,IF(J92="",Setup!$C$6,J92))-MAX(Setup!$C$5,F92)+1)))</f>
        <v>0</v>
      </c>
      <c r="S92" s="53" t="n">
        <f aca="false">IF(OR(N(L92)=0,R92=0),0,MAX(0,ROUND(MIN(IF(AE92="SLM",(G92-N92)/L92,(O92+P92-Q92)*M92)*R92/(Setup!$C$6-Setup!$C$5+1),O92+P92-Q92-N92),0)))</f>
        <v>0</v>
      </c>
      <c r="T92" s="52" t="n">
        <f aca="false">IF(AND(J92&lt;&gt;"",G92&lt;&gt;""),IF(AND(J92&gt;=Setup!$C$5,J92&lt;=Setup!$C$6),O92+P92,0),0)</f>
        <v>0</v>
      </c>
      <c r="U92" s="52" t="n">
        <f aca="false">IF(T92&gt;0,Q92+S92,0)</f>
        <v>0</v>
      </c>
      <c r="V92" s="52" t="n">
        <f aca="false">Q92+S92-U92</f>
        <v>0</v>
      </c>
      <c r="W92" s="54" t="n">
        <f aca="false">O92+P92-T92-V92</f>
        <v>0</v>
      </c>
      <c r="X92" s="52" t="str">
        <f aca="false">IF(T92&gt;0,N(K92)-(O92+P92-Q92-S92),"")</f>
        <v/>
      </c>
      <c r="Y92" s="55" t="str">
        <f aca="false">IF(AND(B92="",C92="",G92=""),"",IF(D92="","⚠ Pick category",IF(F92="","⚠ Enter put-to-use date",IF(G92="","⚠ Enter cost",IF(F92&gt;Setup!$C$6,"Not yet in use",IF(AND(J92&lt;&gt;"",J92&lt;F92),"⚠ Sale before put-to-use",IF(AND(J92&lt;&gt;"",J92&lt;Setup!$C$5),"Sold in an earlier year",IF(N(I92)&gt;G92,"⚠ Opening dep. more than cost",IF(T92&gt;0,"Sold this year",IF(AND(N(L92)&gt;0,W92&lt;=N92+1),"Fully depreciated","✔ OK"))))))))))</f>
        <v/>
      </c>
      <c r="Z92" s="56" t="str">
        <f aca="false">IF(F92="","",DATE(YEAR(F92)+IF(MONTH(F92)&gt;=MONTH(Setup!$C$5),1,0),MONTH(Setup!$C$5),1)-1)</f>
        <v/>
      </c>
      <c r="AA92" s="57" t="str">
        <f aca="false">IF(F92="","",(Z92-F92+1)/(Z92-DATE(YEAR(Z92+1)-1,MONTH(Setup!$C$5),1)+1))</f>
        <v/>
      </c>
      <c r="AB92" s="9" t="str">
        <f aca="false">IF(F92="","",MAX(0,YEAR(Setup!$C$5)-YEAR(Z92+1)))</f>
        <v/>
      </c>
      <c r="AC92" s="9" t="str">
        <f aca="false">IF(D92="","",IFERROR(VLOOKUP(D92,'Rate Chart'!$A$6:$F$23,5,FALSE()),""))</f>
        <v/>
      </c>
      <c r="AD92" s="9" t="str">
        <f aca="false">IF(P92&gt;0,Setup!$C$6-F92+1,"")</f>
        <v/>
      </c>
      <c r="AE92" s="9" t="str">
        <f aca="false">IF(D92="","",IF(H92="",Setup!$C$8,H92))</f>
        <v/>
      </c>
    </row>
    <row r="93" customFormat="false" ht="15" hidden="false" customHeight="false" outlineLevel="0" collapsed="false">
      <c r="A93" s="47" t="str">
        <f aca="false">IF(AND(B93="",C93=""),"",ROW()-6)</f>
        <v/>
      </c>
      <c r="B93" s="89"/>
      <c r="C93" s="86"/>
      <c r="D93" s="86"/>
      <c r="E93" s="86"/>
      <c r="F93" s="90"/>
      <c r="G93" s="91"/>
      <c r="H93" s="89"/>
      <c r="I93" s="91"/>
      <c r="J93" s="90"/>
      <c r="K93" s="91"/>
      <c r="L93" s="51" t="str">
        <f aca="false">IF(D93="","",IFERROR(VLOOKUP(D93,'Rate Chart'!$A$6:$F$23,2,FALSE()),0))</f>
        <v/>
      </c>
      <c r="M93" s="38" t="n">
        <f aca="false">IF(OR(L93="",N(L93)=0),0,IF(AE93="SLM",(1-Setup!$C$7)/L93,1-Setup!$C$7^(1/L93)))</f>
        <v>0</v>
      </c>
      <c r="N93" s="52" t="n">
        <f aca="false">IF(G93="",0,ROUND(G93*Setup!$C$7,0))</f>
        <v>0</v>
      </c>
      <c r="O93" s="52" t="n">
        <f aca="false">IF(OR(G93="",F93=""),0,IF(AND(F93&lt;Setup!$C$5,OR(J93="",J93&gt;=Setup!$C$5)),G93,0))</f>
        <v>0</v>
      </c>
      <c r="P93" s="52" t="n">
        <f aca="false">IF(OR(G93="",F93=""),0,IF(AND(F93&gt;=Setup!$C$5,F93&lt;=Setup!$C$6),G93,0))</f>
        <v>0</v>
      </c>
      <c r="Q93" s="52" t="n">
        <f aca="false">IF(O93=0,0,IF(I93&lt;&gt;"",I93,IF(N(L93)=0,0,ROUND(IF(AE93="SLM",MIN(G93-N93,(G93-N93)/L93*(AA93+AB93)),G93-MAX(N93,G93*(1-M93*AA93)*(1-M93)^AB93)),0))))</f>
        <v>0</v>
      </c>
      <c r="R93" s="51" t="n">
        <f aca="false">IF(OR(F93="",G93=""),0,IF(OR(F93&gt;Setup!$C$6,AND(J93&lt;&gt;"",J93&lt;Setup!$C$5)),0,MAX(0,MIN(Setup!$C$6,IF(J93="",Setup!$C$6,J93))-MAX(Setup!$C$5,F93)+1)))</f>
        <v>0</v>
      </c>
      <c r="S93" s="53" t="n">
        <f aca="false">IF(OR(N(L93)=0,R93=0),0,MAX(0,ROUND(MIN(IF(AE93="SLM",(G93-N93)/L93,(O93+P93-Q93)*M93)*R93/(Setup!$C$6-Setup!$C$5+1),O93+P93-Q93-N93),0)))</f>
        <v>0</v>
      </c>
      <c r="T93" s="52" t="n">
        <f aca="false">IF(AND(J93&lt;&gt;"",G93&lt;&gt;""),IF(AND(J93&gt;=Setup!$C$5,J93&lt;=Setup!$C$6),O93+P93,0),0)</f>
        <v>0</v>
      </c>
      <c r="U93" s="52" t="n">
        <f aca="false">IF(T93&gt;0,Q93+S93,0)</f>
        <v>0</v>
      </c>
      <c r="V93" s="52" t="n">
        <f aca="false">Q93+S93-U93</f>
        <v>0</v>
      </c>
      <c r="W93" s="54" t="n">
        <f aca="false">O93+P93-T93-V93</f>
        <v>0</v>
      </c>
      <c r="X93" s="52" t="str">
        <f aca="false">IF(T93&gt;0,N(K93)-(O93+P93-Q93-S93),"")</f>
        <v/>
      </c>
      <c r="Y93" s="55" t="str">
        <f aca="false">IF(AND(B93="",C93="",G93=""),"",IF(D93="","⚠ Pick category",IF(F93="","⚠ Enter put-to-use date",IF(G93="","⚠ Enter cost",IF(F93&gt;Setup!$C$6,"Not yet in use",IF(AND(J93&lt;&gt;"",J93&lt;F93),"⚠ Sale before put-to-use",IF(AND(J93&lt;&gt;"",J93&lt;Setup!$C$5),"Sold in an earlier year",IF(N(I93)&gt;G93,"⚠ Opening dep. more than cost",IF(T93&gt;0,"Sold this year",IF(AND(N(L93)&gt;0,W93&lt;=N93+1),"Fully depreciated","✔ OK"))))))))))</f>
        <v/>
      </c>
      <c r="Z93" s="56" t="str">
        <f aca="false">IF(F93="","",DATE(YEAR(F93)+IF(MONTH(F93)&gt;=MONTH(Setup!$C$5),1,0),MONTH(Setup!$C$5),1)-1)</f>
        <v/>
      </c>
      <c r="AA93" s="57" t="str">
        <f aca="false">IF(F93="","",(Z93-F93+1)/(Z93-DATE(YEAR(Z93+1)-1,MONTH(Setup!$C$5),1)+1))</f>
        <v/>
      </c>
      <c r="AB93" s="9" t="str">
        <f aca="false">IF(F93="","",MAX(0,YEAR(Setup!$C$5)-YEAR(Z93+1)))</f>
        <v/>
      </c>
      <c r="AC93" s="9" t="str">
        <f aca="false">IF(D93="","",IFERROR(VLOOKUP(D93,'Rate Chart'!$A$6:$F$23,5,FALSE()),""))</f>
        <v/>
      </c>
      <c r="AD93" s="9" t="str">
        <f aca="false">IF(P93&gt;0,Setup!$C$6-F93+1,"")</f>
        <v/>
      </c>
      <c r="AE93" s="9" t="str">
        <f aca="false">IF(D93="","",IF(H93="",Setup!$C$8,H93))</f>
        <v/>
      </c>
    </row>
    <row r="94" customFormat="false" ht="15" hidden="false" customHeight="false" outlineLevel="0" collapsed="false">
      <c r="A94" s="47" t="str">
        <f aca="false">IF(AND(B94="",C94=""),"",ROW()-6)</f>
        <v/>
      </c>
      <c r="B94" s="89"/>
      <c r="C94" s="86"/>
      <c r="D94" s="86"/>
      <c r="E94" s="86"/>
      <c r="F94" s="90"/>
      <c r="G94" s="91"/>
      <c r="H94" s="89"/>
      <c r="I94" s="91"/>
      <c r="J94" s="90"/>
      <c r="K94" s="91"/>
      <c r="L94" s="51" t="str">
        <f aca="false">IF(D94="","",IFERROR(VLOOKUP(D94,'Rate Chart'!$A$6:$F$23,2,FALSE()),0))</f>
        <v/>
      </c>
      <c r="M94" s="38" t="n">
        <f aca="false">IF(OR(L94="",N(L94)=0),0,IF(AE94="SLM",(1-Setup!$C$7)/L94,1-Setup!$C$7^(1/L94)))</f>
        <v>0</v>
      </c>
      <c r="N94" s="52" t="n">
        <f aca="false">IF(G94="",0,ROUND(G94*Setup!$C$7,0))</f>
        <v>0</v>
      </c>
      <c r="O94" s="52" t="n">
        <f aca="false">IF(OR(G94="",F94=""),0,IF(AND(F94&lt;Setup!$C$5,OR(J94="",J94&gt;=Setup!$C$5)),G94,0))</f>
        <v>0</v>
      </c>
      <c r="P94" s="52" t="n">
        <f aca="false">IF(OR(G94="",F94=""),0,IF(AND(F94&gt;=Setup!$C$5,F94&lt;=Setup!$C$6),G94,0))</f>
        <v>0</v>
      </c>
      <c r="Q94" s="52" t="n">
        <f aca="false">IF(O94=0,0,IF(I94&lt;&gt;"",I94,IF(N(L94)=0,0,ROUND(IF(AE94="SLM",MIN(G94-N94,(G94-N94)/L94*(AA94+AB94)),G94-MAX(N94,G94*(1-M94*AA94)*(1-M94)^AB94)),0))))</f>
        <v>0</v>
      </c>
      <c r="R94" s="51" t="n">
        <f aca="false">IF(OR(F94="",G94=""),0,IF(OR(F94&gt;Setup!$C$6,AND(J94&lt;&gt;"",J94&lt;Setup!$C$5)),0,MAX(0,MIN(Setup!$C$6,IF(J94="",Setup!$C$6,J94))-MAX(Setup!$C$5,F94)+1)))</f>
        <v>0</v>
      </c>
      <c r="S94" s="53" t="n">
        <f aca="false">IF(OR(N(L94)=0,R94=0),0,MAX(0,ROUND(MIN(IF(AE94="SLM",(G94-N94)/L94,(O94+P94-Q94)*M94)*R94/(Setup!$C$6-Setup!$C$5+1),O94+P94-Q94-N94),0)))</f>
        <v>0</v>
      </c>
      <c r="T94" s="52" t="n">
        <f aca="false">IF(AND(J94&lt;&gt;"",G94&lt;&gt;""),IF(AND(J94&gt;=Setup!$C$5,J94&lt;=Setup!$C$6),O94+P94,0),0)</f>
        <v>0</v>
      </c>
      <c r="U94" s="52" t="n">
        <f aca="false">IF(T94&gt;0,Q94+S94,0)</f>
        <v>0</v>
      </c>
      <c r="V94" s="52" t="n">
        <f aca="false">Q94+S94-U94</f>
        <v>0</v>
      </c>
      <c r="W94" s="54" t="n">
        <f aca="false">O94+P94-T94-V94</f>
        <v>0</v>
      </c>
      <c r="X94" s="52" t="str">
        <f aca="false">IF(T94&gt;0,N(K94)-(O94+P94-Q94-S94),"")</f>
        <v/>
      </c>
      <c r="Y94" s="55" t="str">
        <f aca="false">IF(AND(B94="",C94="",G94=""),"",IF(D94="","⚠ Pick category",IF(F94="","⚠ Enter put-to-use date",IF(G94="","⚠ Enter cost",IF(F94&gt;Setup!$C$6,"Not yet in use",IF(AND(J94&lt;&gt;"",J94&lt;F94),"⚠ Sale before put-to-use",IF(AND(J94&lt;&gt;"",J94&lt;Setup!$C$5),"Sold in an earlier year",IF(N(I94)&gt;G94,"⚠ Opening dep. more than cost",IF(T94&gt;0,"Sold this year",IF(AND(N(L94)&gt;0,W94&lt;=N94+1),"Fully depreciated","✔ OK"))))))))))</f>
        <v/>
      </c>
      <c r="Z94" s="56" t="str">
        <f aca="false">IF(F94="","",DATE(YEAR(F94)+IF(MONTH(F94)&gt;=MONTH(Setup!$C$5),1,0),MONTH(Setup!$C$5),1)-1)</f>
        <v/>
      </c>
      <c r="AA94" s="57" t="str">
        <f aca="false">IF(F94="","",(Z94-F94+1)/(Z94-DATE(YEAR(Z94+1)-1,MONTH(Setup!$C$5),1)+1))</f>
        <v/>
      </c>
      <c r="AB94" s="9" t="str">
        <f aca="false">IF(F94="","",MAX(0,YEAR(Setup!$C$5)-YEAR(Z94+1)))</f>
        <v/>
      </c>
      <c r="AC94" s="9" t="str">
        <f aca="false">IF(D94="","",IFERROR(VLOOKUP(D94,'Rate Chart'!$A$6:$F$23,5,FALSE()),""))</f>
        <v/>
      </c>
      <c r="AD94" s="9" t="str">
        <f aca="false">IF(P94&gt;0,Setup!$C$6-F94+1,"")</f>
        <v/>
      </c>
      <c r="AE94" s="9" t="str">
        <f aca="false">IF(D94="","",IF(H94="",Setup!$C$8,H94))</f>
        <v/>
      </c>
    </row>
    <row r="95" customFormat="false" ht="15" hidden="false" customHeight="false" outlineLevel="0" collapsed="false">
      <c r="A95" s="47" t="str">
        <f aca="false">IF(AND(B95="",C95=""),"",ROW()-6)</f>
        <v/>
      </c>
      <c r="B95" s="89"/>
      <c r="C95" s="86"/>
      <c r="D95" s="86"/>
      <c r="E95" s="86"/>
      <c r="F95" s="90"/>
      <c r="G95" s="91"/>
      <c r="H95" s="89"/>
      <c r="I95" s="91"/>
      <c r="J95" s="90"/>
      <c r="K95" s="91"/>
      <c r="L95" s="51" t="str">
        <f aca="false">IF(D95="","",IFERROR(VLOOKUP(D95,'Rate Chart'!$A$6:$F$23,2,FALSE()),0))</f>
        <v/>
      </c>
      <c r="M95" s="38" t="n">
        <f aca="false">IF(OR(L95="",N(L95)=0),0,IF(AE95="SLM",(1-Setup!$C$7)/L95,1-Setup!$C$7^(1/L95)))</f>
        <v>0</v>
      </c>
      <c r="N95" s="52" t="n">
        <f aca="false">IF(G95="",0,ROUND(G95*Setup!$C$7,0))</f>
        <v>0</v>
      </c>
      <c r="O95" s="52" t="n">
        <f aca="false">IF(OR(G95="",F95=""),0,IF(AND(F95&lt;Setup!$C$5,OR(J95="",J95&gt;=Setup!$C$5)),G95,0))</f>
        <v>0</v>
      </c>
      <c r="P95" s="52" t="n">
        <f aca="false">IF(OR(G95="",F95=""),0,IF(AND(F95&gt;=Setup!$C$5,F95&lt;=Setup!$C$6),G95,0))</f>
        <v>0</v>
      </c>
      <c r="Q95" s="52" t="n">
        <f aca="false">IF(O95=0,0,IF(I95&lt;&gt;"",I95,IF(N(L95)=0,0,ROUND(IF(AE95="SLM",MIN(G95-N95,(G95-N95)/L95*(AA95+AB95)),G95-MAX(N95,G95*(1-M95*AA95)*(1-M95)^AB95)),0))))</f>
        <v>0</v>
      </c>
      <c r="R95" s="51" t="n">
        <f aca="false">IF(OR(F95="",G95=""),0,IF(OR(F95&gt;Setup!$C$6,AND(J95&lt;&gt;"",J95&lt;Setup!$C$5)),0,MAX(0,MIN(Setup!$C$6,IF(J95="",Setup!$C$6,J95))-MAX(Setup!$C$5,F95)+1)))</f>
        <v>0</v>
      </c>
      <c r="S95" s="53" t="n">
        <f aca="false">IF(OR(N(L95)=0,R95=0),0,MAX(0,ROUND(MIN(IF(AE95="SLM",(G95-N95)/L95,(O95+P95-Q95)*M95)*R95/(Setup!$C$6-Setup!$C$5+1),O95+P95-Q95-N95),0)))</f>
        <v>0</v>
      </c>
      <c r="T95" s="52" t="n">
        <f aca="false">IF(AND(J95&lt;&gt;"",G95&lt;&gt;""),IF(AND(J95&gt;=Setup!$C$5,J95&lt;=Setup!$C$6),O95+P95,0),0)</f>
        <v>0</v>
      </c>
      <c r="U95" s="52" t="n">
        <f aca="false">IF(T95&gt;0,Q95+S95,0)</f>
        <v>0</v>
      </c>
      <c r="V95" s="52" t="n">
        <f aca="false">Q95+S95-U95</f>
        <v>0</v>
      </c>
      <c r="W95" s="54" t="n">
        <f aca="false">O95+P95-T95-V95</f>
        <v>0</v>
      </c>
      <c r="X95" s="52" t="str">
        <f aca="false">IF(T95&gt;0,N(K95)-(O95+P95-Q95-S95),"")</f>
        <v/>
      </c>
      <c r="Y95" s="55" t="str">
        <f aca="false">IF(AND(B95="",C95="",G95=""),"",IF(D95="","⚠ Pick category",IF(F95="","⚠ Enter put-to-use date",IF(G95="","⚠ Enter cost",IF(F95&gt;Setup!$C$6,"Not yet in use",IF(AND(J95&lt;&gt;"",J95&lt;F95),"⚠ Sale before put-to-use",IF(AND(J95&lt;&gt;"",J95&lt;Setup!$C$5),"Sold in an earlier year",IF(N(I95)&gt;G95,"⚠ Opening dep. more than cost",IF(T95&gt;0,"Sold this year",IF(AND(N(L95)&gt;0,W95&lt;=N95+1),"Fully depreciated","✔ OK"))))))))))</f>
        <v/>
      </c>
      <c r="Z95" s="56" t="str">
        <f aca="false">IF(F95="","",DATE(YEAR(F95)+IF(MONTH(F95)&gt;=MONTH(Setup!$C$5),1,0),MONTH(Setup!$C$5),1)-1)</f>
        <v/>
      </c>
      <c r="AA95" s="57" t="str">
        <f aca="false">IF(F95="","",(Z95-F95+1)/(Z95-DATE(YEAR(Z95+1)-1,MONTH(Setup!$C$5),1)+1))</f>
        <v/>
      </c>
      <c r="AB95" s="9" t="str">
        <f aca="false">IF(F95="","",MAX(0,YEAR(Setup!$C$5)-YEAR(Z95+1)))</f>
        <v/>
      </c>
      <c r="AC95" s="9" t="str">
        <f aca="false">IF(D95="","",IFERROR(VLOOKUP(D95,'Rate Chart'!$A$6:$F$23,5,FALSE()),""))</f>
        <v/>
      </c>
      <c r="AD95" s="9" t="str">
        <f aca="false">IF(P95&gt;0,Setup!$C$6-F95+1,"")</f>
        <v/>
      </c>
      <c r="AE95" s="9" t="str">
        <f aca="false">IF(D95="","",IF(H95="",Setup!$C$8,H95))</f>
        <v/>
      </c>
    </row>
    <row r="96" customFormat="false" ht="15" hidden="false" customHeight="false" outlineLevel="0" collapsed="false">
      <c r="A96" s="47" t="str">
        <f aca="false">IF(AND(B96="",C96=""),"",ROW()-6)</f>
        <v/>
      </c>
      <c r="B96" s="89"/>
      <c r="C96" s="86"/>
      <c r="D96" s="86"/>
      <c r="E96" s="86"/>
      <c r="F96" s="90"/>
      <c r="G96" s="91"/>
      <c r="H96" s="89"/>
      <c r="I96" s="91"/>
      <c r="J96" s="90"/>
      <c r="K96" s="91"/>
      <c r="L96" s="51" t="str">
        <f aca="false">IF(D96="","",IFERROR(VLOOKUP(D96,'Rate Chart'!$A$6:$F$23,2,FALSE()),0))</f>
        <v/>
      </c>
      <c r="M96" s="38" t="n">
        <f aca="false">IF(OR(L96="",N(L96)=0),0,IF(AE96="SLM",(1-Setup!$C$7)/L96,1-Setup!$C$7^(1/L96)))</f>
        <v>0</v>
      </c>
      <c r="N96" s="52" t="n">
        <f aca="false">IF(G96="",0,ROUND(G96*Setup!$C$7,0))</f>
        <v>0</v>
      </c>
      <c r="O96" s="52" t="n">
        <f aca="false">IF(OR(G96="",F96=""),0,IF(AND(F96&lt;Setup!$C$5,OR(J96="",J96&gt;=Setup!$C$5)),G96,0))</f>
        <v>0</v>
      </c>
      <c r="P96" s="52" t="n">
        <f aca="false">IF(OR(G96="",F96=""),0,IF(AND(F96&gt;=Setup!$C$5,F96&lt;=Setup!$C$6),G96,0))</f>
        <v>0</v>
      </c>
      <c r="Q96" s="52" t="n">
        <f aca="false">IF(O96=0,0,IF(I96&lt;&gt;"",I96,IF(N(L96)=0,0,ROUND(IF(AE96="SLM",MIN(G96-N96,(G96-N96)/L96*(AA96+AB96)),G96-MAX(N96,G96*(1-M96*AA96)*(1-M96)^AB96)),0))))</f>
        <v>0</v>
      </c>
      <c r="R96" s="51" t="n">
        <f aca="false">IF(OR(F96="",G96=""),0,IF(OR(F96&gt;Setup!$C$6,AND(J96&lt;&gt;"",J96&lt;Setup!$C$5)),0,MAX(0,MIN(Setup!$C$6,IF(J96="",Setup!$C$6,J96))-MAX(Setup!$C$5,F96)+1)))</f>
        <v>0</v>
      </c>
      <c r="S96" s="53" t="n">
        <f aca="false">IF(OR(N(L96)=0,R96=0),0,MAX(0,ROUND(MIN(IF(AE96="SLM",(G96-N96)/L96,(O96+P96-Q96)*M96)*R96/(Setup!$C$6-Setup!$C$5+1),O96+P96-Q96-N96),0)))</f>
        <v>0</v>
      </c>
      <c r="T96" s="52" t="n">
        <f aca="false">IF(AND(J96&lt;&gt;"",G96&lt;&gt;""),IF(AND(J96&gt;=Setup!$C$5,J96&lt;=Setup!$C$6),O96+P96,0),0)</f>
        <v>0</v>
      </c>
      <c r="U96" s="52" t="n">
        <f aca="false">IF(T96&gt;0,Q96+S96,0)</f>
        <v>0</v>
      </c>
      <c r="V96" s="52" t="n">
        <f aca="false">Q96+S96-U96</f>
        <v>0</v>
      </c>
      <c r="W96" s="54" t="n">
        <f aca="false">O96+P96-T96-V96</f>
        <v>0</v>
      </c>
      <c r="X96" s="52" t="str">
        <f aca="false">IF(T96&gt;0,N(K96)-(O96+P96-Q96-S96),"")</f>
        <v/>
      </c>
      <c r="Y96" s="55" t="str">
        <f aca="false">IF(AND(B96="",C96="",G96=""),"",IF(D96="","⚠ Pick category",IF(F96="","⚠ Enter put-to-use date",IF(G96="","⚠ Enter cost",IF(F96&gt;Setup!$C$6,"Not yet in use",IF(AND(J96&lt;&gt;"",J96&lt;F96),"⚠ Sale before put-to-use",IF(AND(J96&lt;&gt;"",J96&lt;Setup!$C$5),"Sold in an earlier year",IF(N(I96)&gt;G96,"⚠ Opening dep. more than cost",IF(T96&gt;0,"Sold this year",IF(AND(N(L96)&gt;0,W96&lt;=N96+1),"Fully depreciated","✔ OK"))))))))))</f>
        <v/>
      </c>
      <c r="Z96" s="56" t="str">
        <f aca="false">IF(F96="","",DATE(YEAR(F96)+IF(MONTH(F96)&gt;=MONTH(Setup!$C$5),1,0),MONTH(Setup!$C$5),1)-1)</f>
        <v/>
      </c>
      <c r="AA96" s="57" t="str">
        <f aca="false">IF(F96="","",(Z96-F96+1)/(Z96-DATE(YEAR(Z96+1)-1,MONTH(Setup!$C$5),1)+1))</f>
        <v/>
      </c>
      <c r="AB96" s="9" t="str">
        <f aca="false">IF(F96="","",MAX(0,YEAR(Setup!$C$5)-YEAR(Z96+1)))</f>
        <v/>
      </c>
      <c r="AC96" s="9" t="str">
        <f aca="false">IF(D96="","",IFERROR(VLOOKUP(D96,'Rate Chart'!$A$6:$F$23,5,FALSE()),""))</f>
        <v/>
      </c>
      <c r="AD96" s="9" t="str">
        <f aca="false">IF(P96&gt;0,Setup!$C$6-F96+1,"")</f>
        <v/>
      </c>
      <c r="AE96" s="9" t="str">
        <f aca="false">IF(D96="","",IF(H96="",Setup!$C$8,H96))</f>
        <v/>
      </c>
    </row>
    <row r="97" customFormat="false" ht="15" hidden="false" customHeight="false" outlineLevel="0" collapsed="false">
      <c r="A97" s="47" t="str">
        <f aca="false">IF(AND(B97="",C97=""),"",ROW()-6)</f>
        <v/>
      </c>
      <c r="B97" s="89"/>
      <c r="C97" s="86"/>
      <c r="D97" s="86"/>
      <c r="E97" s="86"/>
      <c r="F97" s="90"/>
      <c r="G97" s="91"/>
      <c r="H97" s="89"/>
      <c r="I97" s="91"/>
      <c r="J97" s="90"/>
      <c r="K97" s="91"/>
      <c r="L97" s="51" t="str">
        <f aca="false">IF(D97="","",IFERROR(VLOOKUP(D97,'Rate Chart'!$A$6:$F$23,2,FALSE()),0))</f>
        <v/>
      </c>
      <c r="M97" s="38" t="n">
        <f aca="false">IF(OR(L97="",N(L97)=0),0,IF(AE97="SLM",(1-Setup!$C$7)/L97,1-Setup!$C$7^(1/L97)))</f>
        <v>0</v>
      </c>
      <c r="N97" s="52" t="n">
        <f aca="false">IF(G97="",0,ROUND(G97*Setup!$C$7,0))</f>
        <v>0</v>
      </c>
      <c r="O97" s="52" t="n">
        <f aca="false">IF(OR(G97="",F97=""),0,IF(AND(F97&lt;Setup!$C$5,OR(J97="",J97&gt;=Setup!$C$5)),G97,0))</f>
        <v>0</v>
      </c>
      <c r="P97" s="52" t="n">
        <f aca="false">IF(OR(G97="",F97=""),0,IF(AND(F97&gt;=Setup!$C$5,F97&lt;=Setup!$C$6),G97,0))</f>
        <v>0</v>
      </c>
      <c r="Q97" s="52" t="n">
        <f aca="false">IF(O97=0,0,IF(I97&lt;&gt;"",I97,IF(N(L97)=0,0,ROUND(IF(AE97="SLM",MIN(G97-N97,(G97-N97)/L97*(AA97+AB97)),G97-MAX(N97,G97*(1-M97*AA97)*(1-M97)^AB97)),0))))</f>
        <v>0</v>
      </c>
      <c r="R97" s="51" t="n">
        <f aca="false">IF(OR(F97="",G97=""),0,IF(OR(F97&gt;Setup!$C$6,AND(J97&lt;&gt;"",J97&lt;Setup!$C$5)),0,MAX(0,MIN(Setup!$C$6,IF(J97="",Setup!$C$6,J97))-MAX(Setup!$C$5,F97)+1)))</f>
        <v>0</v>
      </c>
      <c r="S97" s="53" t="n">
        <f aca="false">IF(OR(N(L97)=0,R97=0),0,MAX(0,ROUND(MIN(IF(AE97="SLM",(G97-N97)/L97,(O97+P97-Q97)*M97)*R97/(Setup!$C$6-Setup!$C$5+1),O97+P97-Q97-N97),0)))</f>
        <v>0</v>
      </c>
      <c r="T97" s="52" t="n">
        <f aca="false">IF(AND(J97&lt;&gt;"",G97&lt;&gt;""),IF(AND(J97&gt;=Setup!$C$5,J97&lt;=Setup!$C$6),O97+P97,0),0)</f>
        <v>0</v>
      </c>
      <c r="U97" s="52" t="n">
        <f aca="false">IF(T97&gt;0,Q97+S97,0)</f>
        <v>0</v>
      </c>
      <c r="V97" s="52" t="n">
        <f aca="false">Q97+S97-U97</f>
        <v>0</v>
      </c>
      <c r="W97" s="54" t="n">
        <f aca="false">O97+P97-T97-V97</f>
        <v>0</v>
      </c>
      <c r="X97" s="52" t="str">
        <f aca="false">IF(T97&gt;0,N(K97)-(O97+P97-Q97-S97),"")</f>
        <v/>
      </c>
      <c r="Y97" s="55" t="str">
        <f aca="false">IF(AND(B97="",C97="",G97=""),"",IF(D97="","⚠ Pick category",IF(F97="","⚠ Enter put-to-use date",IF(G97="","⚠ Enter cost",IF(F97&gt;Setup!$C$6,"Not yet in use",IF(AND(J97&lt;&gt;"",J97&lt;F97),"⚠ Sale before put-to-use",IF(AND(J97&lt;&gt;"",J97&lt;Setup!$C$5),"Sold in an earlier year",IF(N(I97)&gt;G97,"⚠ Opening dep. more than cost",IF(T97&gt;0,"Sold this year",IF(AND(N(L97)&gt;0,W97&lt;=N97+1),"Fully depreciated","✔ OK"))))))))))</f>
        <v/>
      </c>
      <c r="Z97" s="56" t="str">
        <f aca="false">IF(F97="","",DATE(YEAR(F97)+IF(MONTH(F97)&gt;=MONTH(Setup!$C$5),1,0),MONTH(Setup!$C$5),1)-1)</f>
        <v/>
      </c>
      <c r="AA97" s="57" t="str">
        <f aca="false">IF(F97="","",(Z97-F97+1)/(Z97-DATE(YEAR(Z97+1)-1,MONTH(Setup!$C$5),1)+1))</f>
        <v/>
      </c>
      <c r="AB97" s="9" t="str">
        <f aca="false">IF(F97="","",MAX(0,YEAR(Setup!$C$5)-YEAR(Z97+1)))</f>
        <v/>
      </c>
      <c r="AC97" s="9" t="str">
        <f aca="false">IF(D97="","",IFERROR(VLOOKUP(D97,'Rate Chart'!$A$6:$F$23,5,FALSE()),""))</f>
        <v/>
      </c>
      <c r="AD97" s="9" t="str">
        <f aca="false">IF(P97&gt;0,Setup!$C$6-F97+1,"")</f>
        <v/>
      </c>
      <c r="AE97" s="9" t="str">
        <f aca="false">IF(D97="","",IF(H97="",Setup!$C$8,H97))</f>
        <v/>
      </c>
    </row>
    <row r="98" customFormat="false" ht="15" hidden="false" customHeight="false" outlineLevel="0" collapsed="false">
      <c r="A98" s="47" t="str">
        <f aca="false">IF(AND(B98="",C98=""),"",ROW()-6)</f>
        <v/>
      </c>
      <c r="B98" s="89"/>
      <c r="C98" s="86"/>
      <c r="D98" s="86"/>
      <c r="E98" s="86"/>
      <c r="F98" s="90"/>
      <c r="G98" s="91"/>
      <c r="H98" s="89"/>
      <c r="I98" s="91"/>
      <c r="J98" s="90"/>
      <c r="K98" s="91"/>
      <c r="L98" s="51" t="str">
        <f aca="false">IF(D98="","",IFERROR(VLOOKUP(D98,'Rate Chart'!$A$6:$F$23,2,FALSE()),0))</f>
        <v/>
      </c>
      <c r="M98" s="38" t="n">
        <f aca="false">IF(OR(L98="",N(L98)=0),0,IF(AE98="SLM",(1-Setup!$C$7)/L98,1-Setup!$C$7^(1/L98)))</f>
        <v>0</v>
      </c>
      <c r="N98" s="52" t="n">
        <f aca="false">IF(G98="",0,ROUND(G98*Setup!$C$7,0))</f>
        <v>0</v>
      </c>
      <c r="O98" s="52" t="n">
        <f aca="false">IF(OR(G98="",F98=""),0,IF(AND(F98&lt;Setup!$C$5,OR(J98="",J98&gt;=Setup!$C$5)),G98,0))</f>
        <v>0</v>
      </c>
      <c r="P98" s="52" t="n">
        <f aca="false">IF(OR(G98="",F98=""),0,IF(AND(F98&gt;=Setup!$C$5,F98&lt;=Setup!$C$6),G98,0))</f>
        <v>0</v>
      </c>
      <c r="Q98" s="52" t="n">
        <f aca="false">IF(O98=0,0,IF(I98&lt;&gt;"",I98,IF(N(L98)=0,0,ROUND(IF(AE98="SLM",MIN(G98-N98,(G98-N98)/L98*(AA98+AB98)),G98-MAX(N98,G98*(1-M98*AA98)*(1-M98)^AB98)),0))))</f>
        <v>0</v>
      </c>
      <c r="R98" s="51" t="n">
        <f aca="false">IF(OR(F98="",G98=""),0,IF(OR(F98&gt;Setup!$C$6,AND(J98&lt;&gt;"",J98&lt;Setup!$C$5)),0,MAX(0,MIN(Setup!$C$6,IF(J98="",Setup!$C$6,J98))-MAX(Setup!$C$5,F98)+1)))</f>
        <v>0</v>
      </c>
      <c r="S98" s="53" t="n">
        <f aca="false">IF(OR(N(L98)=0,R98=0),0,MAX(0,ROUND(MIN(IF(AE98="SLM",(G98-N98)/L98,(O98+P98-Q98)*M98)*R98/(Setup!$C$6-Setup!$C$5+1),O98+P98-Q98-N98),0)))</f>
        <v>0</v>
      </c>
      <c r="T98" s="52" t="n">
        <f aca="false">IF(AND(J98&lt;&gt;"",G98&lt;&gt;""),IF(AND(J98&gt;=Setup!$C$5,J98&lt;=Setup!$C$6),O98+P98,0),0)</f>
        <v>0</v>
      </c>
      <c r="U98" s="52" t="n">
        <f aca="false">IF(T98&gt;0,Q98+S98,0)</f>
        <v>0</v>
      </c>
      <c r="V98" s="52" t="n">
        <f aca="false">Q98+S98-U98</f>
        <v>0</v>
      </c>
      <c r="W98" s="54" t="n">
        <f aca="false">O98+P98-T98-V98</f>
        <v>0</v>
      </c>
      <c r="X98" s="52" t="str">
        <f aca="false">IF(T98&gt;0,N(K98)-(O98+P98-Q98-S98),"")</f>
        <v/>
      </c>
      <c r="Y98" s="55" t="str">
        <f aca="false">IF(AND(B98="",C98="",G98=""),"",IF(D98="","⚠ Pick category",IF(F98="","⚠ Enter put-to-use date",IF(G98="","⚠ Enter cost",IF(F98&gt;Setup!$C$6,"Not yet in use",IF(AND(J98&lt;&gt;"",J98&lt;F98),"⚠ Sale before put-to-use",IF(AND(J98&lt;&gt;"",J98&lt;Setup!$C$5),"Sold in an earlier year",IF(N(I98)&gt;G98,"⚠ Opening dep. more than cost",IF(T98&gt;0,"Sold this year",IF(AND(N(L98)&gt;0,W98&lt;=N98+1),"Fully depreciated","✔ OK"))))))))))</f>
        <v/>
      </c>
      <c r="Z98" s="56" t="str">
        <f aca="false">IF(F98="","",DATE(YEAR(F98)+IF(MONTH(F98)&gt;=MONTH(Setup!$C$5),1,0),MONTH(Setup!$C$5),1)-1)</f>
        <v/>
      </c>
      <c r="AA98" s="57" t="str">
        <f aca="false">IF(F98="","",(Z98-F98+1)/(Z98-DATE(YEAR(Z98+1)-1,MONTH(Setup!$C$5),1)+1))</f>
        <v/>
      </c>
      <c r="AB98" s="9" t="str">
        <f aca="false">IF(F98="","",MAX(0,YEAR(Setup!$C$5)-YEAR(Z98+1)))</f>
        <v/>
      </c>
      <c r="AC98" s="9" t="str">
        <f aca="false">IF(D98="","",IFERROR(VLOOKUP(D98,'Rate Chart'!$A$6:$F$23,5,FALSE()),""))</f>
        <v/>
      </c>
      <c r="AD98" s="9" t="str">
        <f aca="false">IF(P98&gt;0,Setup!$C$6-F98+1,"")</f>
        <v/>
      </c>
      <c r="AE98" s="9" t="str">
        <f aca="false">IF(D98="","",IF(H98="",Setup!$C$8,H98))</f>
        <v/>
      </c>
    </row>
    <row r="99" customFormat="false" ht="15" hidden="false" customHeight="false" outlineLevel="0" collapsed="false">
      <c r="A99" s="47" t="str">
        <f aca="false">IF(AND(B99="",C99=""),"",ROW()-6)</f>
        <v/>
      </c>
      <c r="B99" s="89"/>
      <c r="C99" s="86"/>
      <c r="D99" s="86"/>
      <c r="E99" s="86"/>
      <c r="F99" s="90"/>
      <c r="G99" s="91"/>
      <c r="H99" s="89"/>
      <c r="I99" s="91"/>
      <c r="J99" s="90"/>
      <c r="K99" s="91"/>
      <c r="L99" s="51" t="str">
        <f aca="false">IF(D99="","",IFERROR(VLOOKUP(D99,'Rate Chart'!$A$6:$F$23,2,FALSE()),0))</f>
        <v/>
      </c>
      <c r="M99" s="38" t="n">
        <f aca="false">IF(OR(L99="",N(L99)=0),0,IF(AE99="SLM",(1-Setup!$C$7)/L99,1-Setup!$C$7^(1/L99)))</f>
        <v>0</v>
      </c>
      <c r="N99" s="52" t="n">
        <f aca="false">IF(G99="",0,ROUND(G99*Setup!$C$7,0))</f>
        <v>0</v>
      </c>
      <c r="O99" s="52" t="n">
        <f aca="false">IF(OR(G99="",F99=""),0,IF(AND(F99&lt;Setup!$C$5,OR(J99="",J99&gt;=Setup!$C$5)),G99,0))</f>
        <v>0</v>
      </c>
      <c r="P99" s="52" t="n">
        <f aca="false">IF(OR(G99="",F99=""),0,IF(AND(F99&gt;=Setup!$C$5,F99&lt;=Setup!$C$6),G99,0))</f>
        <v>0</v>
      </c>
      <c r="Q99" s="52" t="n">
        <f aca="false">IF(O99=0,0,IF(I99&lt;&gt;"",I99,IF(N(L99)=0,0,ROUND(IF(AE99="SLM",MIN(G99-N99,(G99-N99)/L99*(AA99+AB99)),G99-MAX(N99,G99*(1-M99*AA99)*(1-M99)^AB99)),0))))</f>
        <v>0</v>
      </c>
      <c r="R99" s="51" t="n">
        <f aca="false">IF(OR(F99="",G99=""),0,IF(OR(F99&gt;Setup!$C$6,AND(J99&lt;&gt;"",J99&lt;Setup!$C$5)),0,MAX(0,MIN(Setup!$C$6,IF(J99="",Setup!$C$6,J99))-MAX(Setup!$C$5,F99)+1)))</f>
        <v>0</v>
      </c>
      <c r="S99" s="53" t="n">
        <f aca="false">IF(OR(N(L99)=0,R99=0),0,MAX(0,ROUND(MIN(IF(AE99="SLM",(G99-N99)/L99,(O99+P99-Q99)*M99)*R99/(Setup!$C$6-Setup!$C$5+1),O99+P99-Q99-N99),0)))</f>
        <v>0</v>
      </c>
      <c r="T99" s="52" t="n">
        <f aca="false">IF(AND(J99&lt;&gt;"",G99&lt;&gt;""),IF(AND(J99&gt;=Setup!$C$5,J99&lt;=Setup!$C$6),O99+P99,0),0)</f>
        <v>0</v>
      </c>
      <c r="U99" s="52" t="n">
        <f aca="false">IF(T99&gt;0,Q99+S99,0)</f>
        <v>0</v>
      </c>
      <c r="V99" s="52" t="n">
        <f aca="false">Q99+S99-U99</f>
        <v>0</v>
      </c>
      <c r="W99" s="54" t="n">
        <f aca="false">O99+P99-T99-V99</f>
        <v>0</v>
      </c>
      <c r="X99" s="52" t="str">
        <f aca="false">IF(T99&gt;0,N(K99)-(O99+P99-Q99-S99),"")</f>
        <v/>
      </c>
      <c r="Y99" s="55" t="str">
        <f aca="false">IF(AND(B99="",C99="",G99=""),"",IF(D99="","⚠ Pick category",IF(F99="","⚠ Enter put-to-use date",IF(G99="","⚠ Enter cost",IF(F99&gt;Setup!$C$6,"Not yet in use",IF(AND(J99&lt;&gt;"",J99&lt;F99),"⚠ Sale before put-to-use",IF(AND(J99&lt;&gt;"",J99&lt;Setup!$C$5),"Sold in an earlier year",IF(N(I99)&gt;G99,"⚠ Opening dep. more than cost",IF(T99&gt;0,"Sold this year",IF(AND(N(L99)&gt;0,W99&lt;=N99+1),"Fully depreciated","✔ OK"))))))))))</f>
        <v/>
      </c>
      <c r="Z99" s="56" t="str">
        <f aca="false">IF(F99="","",DATE(YEAR(F99)+IF(MONTH(F99)&gt;=MONTH(Setup!$C$5),1,0),MONTH(Setup!$C$5),1)-1)</f>
        <v/>
      </c>
      <c r="AA99" s="57" t="str">
        <f aca="false">IF(F99="","",(Z99-F99+1)/(Z99-DATE(YEAR(Z99+1)-1,MONTH(Setup!$C$5),1)+1))</f>
        <v/>
      </c>
      <c r="AB99" s="9" t="str">
        <f aca="false">IF(F99="","",MAX(0,YEAR(Setup!$C$5)-YEAR(Z99+1)))</f>
        <v/>
      </c>
      <c r="AC99" s="9" t="str">
        <f aca="false">IF(D99="","",IFERROR(VLOOKUP(D99,'Rate Chart'!$A$6:$F$23,5,FALSE()),""))</f>
        <v/>
      </c>
      <c r="AD99" s="9" t="str">
        <f aca="false">IF(P99&gt;0,Setup!$C$6-F99+1,"")</f>
        <v/>
      </c>
      <c r="AE99" s="9" t="str">
        <f aca="false">IF(D99="","",IF(H99="",Setup!$C$8,H99))</f>
        <v/>
      </c>
    </row>
    <row r="100" customFormat="false" ht="15" hidden="false" customHeight="false" outlineLevel="0" collapsed="false">
      <c r="A100" s="47" t="str">
        <f aca="false">IF(AND(B100="",C100=""),"",ROW()-6)</f>
        <v/>
      </c>
      <c r="B100" s="89"/>
      <c r="C100" s="86"/>
      <c r="D100" s="86"/>
      <c r="E100" s="86"/>
      <c r="F100" s="90"/>
      <c r="G100" s="91"/>
      <c r="H100" s="89"/>
      <c r="I100" s="91"/>
      <c r="J100" s="90"/>
      <c r="K100" s="91"/>
      <c r="L100" s="51" t="str">
        <f aca="false">IF(D100="","",IFERROR(VLOOKUP(D100,'Rate Chart'!$A$6:$F$23,2,FALSE()),0))</f>
        <v/>
      </c>
      <c r="M100" s="38" t="n">
        <f aca="false">IF(OR(L100="",N(L100)=0),0,IF(AE100="SLM",(1-Setup!$C$7)/L100,1-Setup!$C$7^(1/L100)))</f>
        <v>0</v>
      </c>
      <c r="N100" s="52" t="n">
        <f aca="false">IF(G100="",0,ROUND(G100*Setup!$C$7,0))</f>
        <v>0</v>
      </c>
      <c r="O100" s="52" t="n">
        <f aca="false">IF(OR(G100="",F100=""),0,IF(AND(F100&lt;Setup!$C$5,OR(J100="",J100&gt;=Setup!$C$5)),G100,0))</f>
        <v>0</v>
      </c>
      <c r="P100" s="52" t="n">
        <f aca="false">IF(OR(G100="",F100=""),0,IF(AND(F100&gt;=Setup!$C$5,F100&lt;=Setup!$C$6),G100,0))</f>
        <v>0</v>
      </c>
      <c r="Q100" s="52" t="n">
        <f aca="false">IF(O100=0,0,IF(I100&lt;&gt;"",I100,IF(N(L100)=0,0,ROUND(IF(AE100="SLM",MIN(G100-N100,(G100-N100)/L100*(AA100+AB100)),G100-MAX(N100,G100*(1-M100*AA100)*(1-M100)^AB100)),0))))</f>
        <v>0</v>
      </c>
      <c r="R100" s="51" t="n">
        <f aca="false">IF(OR(F100="",G100=""),0,IF(OR(F100&gt;Setup!$C$6,AND(J100&lt;&gt;"",J100&lt;Setup!$C$5)),0,MAX(0,MIN(Setup!$C$6,IF(J100="",Setup!$C$6,J100))-MAX(Setup!$C$5,F100)+1)))</f>
        <v>0</v>
      </c>
      <c r="S100" s="53" t="n">
        <f aca="false">IF(OR(N(L100)=0,R100=0),0,MAX(0,ROUND(MIN(IF(AE100="SLM",(G100-N100)/L100,(O100+P100-Q100)*M100)*R100/(Setup!$C$6-Setup!$C$5+1),O100+P100-Q100-N100),0)))</f>
        <v>0</v>
      </c>
      <c r="T100" s="52" t="n">
        <f aca="false">IF(AND(J100&lt;&gt;"",G100&lt;&gt;""),IF(AND(J100&gt;=Setup!$C$5,J100&lt;=Setup!$C$6),O100+P100,0),0)</f>
        <v>0</v>
      </c>
      <c r="U100" s="52" t="n">
        <f aca="false">IF(T100&gt;0,Q100+S100,0)</f>
        <v>0</v>
      </c>
      <c r="V100" s="52" t="n">
        <f aca="false">Q100+S100-U100</f>
        <v>0</v>
      </c>
      <c r="W100" s="54" t="n">
        <f aca="false">O100+P100-T100-V100</f>
        <v>0</v>
      </c>
      <c r="X100" s="52" t="str">
        <f aca="false">IF(T100&gt;0,N(K100)-(O100+P100-Q100-S100),"")</f>
        <v/>
      </c>
      <c r="Y100" s="55" t="str">
        <f aca="false">IF(AND(B100="",C100="",G100=""),"",IF(D100="","⚠ Pick category",IF(F100="","⚠ Enter put-to-use date",IF(G100="","⚠ Enter cost",IF(F100&gt;Setup!$C$6,"Not yet in use",IF(AND(J100&lt;&gt;"",J100&lt;F100),"⚠ Sale before put-to-use",IF(AND(J100&lt;&gt;"",J100&lt;Setup!$C$5),"Sold in an earlier year",IF(N(I100)&gt;G100,"⚠ Opening dep. more than cost",IF(T100&gt;0,"Sold this year",IF(AND(N(L100)&gt;0,W100&lt;=N100+1),"Fully depreciated","✔ OK"))))))))))</f>
        <v/>
      </c>
      <c r="Z100" s="56" t="str">
        <f aca="false">IF(F100="","",DATE(YEAR(F100)+IF(MONTH(F100)&gt;=MONTH(Setup!$C$5),1,0),MONTH(Setup!$C$5),1)-1)</f>
        <v/>
      </c>
      <c r="AA100" s="57" t="str">
        <f aca="false">IF(F100="","",(Z100-F100+1)/(Z100-DATE(YEAR(Z100+1)-1,MONTH(Setup!$C$5),1)+1))</f>
        <v/>
      </c>
      <c r="AB100" s="9" t="str">
        <f aca="false">IF(F100="","",MAX(0,YEAR(Setup!$C$5)-YEAR(Z100+1)))</f>
        <v/>
      </c>
      <c r="AC100" s="9" t="str">
        <f aca="false">IF(D100="","",IFERROR(VLOOKUP(D100,'Rate Chart'!$A$6:$F$23,5,FALSE()),""))</f>
        <v/>
      </c>
      <c r="AD100" s="9" t="str">
        <f aca="false">IF(P100&gt;0,Setup!$C$6-F100+1,"")</f>
        <v/>
      </c>
      <c r="AE100" s="9" t="str">
        <f aca="false">IF(D100="","",IF(H100="",Setup!$C$8,H100))</f>
        <v/>
      </c>
    </row>
    <row r="101" customFormat="false" ht="15" hidden="false" customHeight="false" outlineLevel="0" collapsed="false">
      <c r="A101" s="47" t="str">
        <f aca="false">IF(AND(B101="",C101=""),"",ROW()-6)</f>
        <v/>
      </c>
      <c r="B101" s="89"/>
      <c r="C101" s="86"/>
      <c r="D101" s="86"/>
      <c r="E101" s="86"/>
      <c r="F101" s="90"/>
      <c r="G101" s="91"/>
      <c r="H101" s="89"/>
      <c r="I101" s="91"/>
      <c r="J101" s="90"/>
      <c r="K101" s="91"/>
      <c r="L101" s="51" t="str">
        <f aca="false">IF(D101="","",IFERROR(VLOOKUP(D101,'Rate Chart'!$A$6:$F$23,2,FALSE()),0))</f>
        <v/>
      </c>
      <c r="M101" s="38" t="n">
        <f aca="false">IF(OR(L101="",N(L101)=0),0,IF(AE101="SLM",(1-Setup!$C$7)/L101,1-Setup!$C$7^(1/L101)))</f>
        <v>0</v>
      </c>
      <c r="N101" s="52" t="n">
        <f aca="false">IF(G101="",0,ROUND(G101*Setup!$C$7,0))</f>
        <v>0</v>
      </c>
      <c r="O101" s="52" t="n">
        <f aca="false">IF(OR(G101="",F101=""),0,IF(AND(F101&lt;Setup!$C$5,OR(J101="",J101&gt;=Setup!$C$5)),G101,0))</f>
        <v>0</v>
      </c>
      <c r="P101" s="52" t="n">
        <f aca="false">IF(OR(G101="",F101=""),0,IF(AND(F101&gt;=Setup!$C$5,F101&lt;=Setup!$C$6),G101,0))</f>
        <v>0</v>
      </c>
      <c r="Q101" s="52" t="n">
        <f aca="false">IF(O101=0,0,IF(I101&lt;&gt;"",I101,IF(N(L101)=0,0,ROUND(IF(AE101="SLM",MIN(G101-N101,(G101-N101)/L101*(AA101+AB101)),G101-MAX(N101,G101*(1-M101*AA101)*(1-M101)^AB101)),0))))</f>
        <v>0</v>
      </c>
      <c r="R101" s="51" t="n">
        <f aca="false">IF(OR(F101="",G101=""),0,IF(OR(F101&gt;Setup!$C$6,AND(J101&lt;&gt;"",J101&lt;Setup!$C$5)),0,MAX(0,MIN(Setup!$C$6,IF(J101="",Setup!$C$6,J101))-MAX(Setup!$C$5,F101)+1)))</f>
        <v>0</v>
      </c>
      <c r="S101" s="53" t="n">
        <f aca="false">IF(OR(N(L101)=0,R101=0),0,MAX(0,ROUND(MIN(IF(AE101="SLM",(G101-N101)/L101,(O101+P101-Q101)*M101)*R101/(Setup!$C$6-Setup!$C$5+1),O101+P101-Q101-N101),0)))</f>
        <v>0</v>
      </c>
      <c r="T101" s="52" t="n">
        <f aca="false">IF(AND(J101&lt;&gt;"",G101&lt;&gt;""),IF(AND(J101&gt;=Setup!$C$5,J101&lt;=Setup!$C$6),O101+P101,0),0)</f>
        <v>0</v>
      </c>
      <c r="U101" s="52" t="n">
        <f aca="false">IF(T101&gt;0,Q101+S101,0)</f>
        <v>0</v>
      </c>
      <c r="V101" s="52" t="n">
        <f aca="false">Q101+S101-U101</f>
        <v>0</v>
      </c>
      <c r="W101" s="54" t="n">
        <f aca="false">O101+P101-T101-V101</f>
        <v>0</v>
      </c>
      <c r="X101" s="52" t="str">
        <f aca="false">IF(T101&gt;0,N(K101)-(O101+P101-Q101-S101),"")</f>
        <v/>
      </c>
      <c r="Y101" s="55" t="str">
        <f aca="false">IF(AND(B101="",C101="",G101=""),"",IF(D101="","⚠ Pick category",IF(F101="","⚠ Enter put-to-use date",IF(G101="","⚠ Enter cost",IF(F101&gt;Setup!$C$6,"Not yet in use",IF(AND(J101&lt;&gt;"",J101&lt;F101),"⚠ Sale before put-to-use",IF(AND(J101&lt;&gt;"",J101&lt;Setup!$C$5),"Sold in an earlier year",IF(N(I101)&gt;G101,"⚠ Opening dep. more than cost",IF(T101&gt;0,"Sold this year",IF(AND(N(L101)&gt;0,W101&lt;=N101+1),"Fully depreciated","✔ OK"))))))))))</f>
        <v/>
      </c>
      <c r="Z101" s="56" t="str">
        <f aca="false">IF(F101="","",DATE(YEAR(F101)+IF(MONTH(F101)&gt;=MONTH(Setup!$C$5),1,0),MONTH(Setup!$C$5),1)-1)</f>
        <v/>
      </c>
      <c r="AA101" s="57" t="str">
        <f aca="false">IF(F101="","",(Z101-F101+1)/(Z101-DATE(YEAR(Z101+1)-1,MONTH(Setup!$C$5),1)+1))</f>
        <v/>
      </c>
      <c r="AB101" s="9" t="str">
        <f aca="false">IF(F101="","",MAX(0,YEAR(Setup!$C$5)-YEAR(Z101+1)))</f>
        <v/>
      </c>
      <c r="AC101" s="9" t="str">
        <f aca="false">IF(D101="","",IFERROR(VLOOKUP(D101,'Rate Chart'!$A$6:$F$23,5,FALSE()),""))</f>
        <v/>
      </c>
      <c r="AD101" s="9" t="str">
        <f aca="false">IF(P101&gt;0,Setup!$C$6-F101+1,"")</f>
        <v/>
      </c>
      <c r="AE101" s="9" t="str">
        <f aca="false">IF(D101="","",IF(H101="",Setup!$C$8,H101))</f>
        <v/>
      </c>
    </row>
    <row r="102" customFormat="false" ht="15" hidden="false" customHeight="false" outlineLevel="0" collapsed="false">
      <c r="A102" s="47" t="str">
        <f aca="false">IF(AND(B102="",C102=""),"",ROW()-6)</f>
        <v/>
      </c>
      <c r="B102" s="89"/>
      <c r="C102" s="86"/>
      <c r="D102" s="86"/>
      <c r="E102" s="86"/>
      <c r="F102" s="90"/>
      <c r="G102" s="91"/>
      <c r="H102" s="89"/>
      <c r="I102" s="91"/>
      <c r="J102" s="90"/>
      <c r="K102" s="91"/>
      <c r="L102" s="51" t="str">
        <f aca="false">IF(D102="","",IFERROR(VLOOKUP(D102,'Rate Chart'!$A$6:$F$23,2,FALSE()),0))</f>
        <v/>
      </c>
      <c r="M102" s="38" t="n">
        <f aca="false">IF(OR(L102="",N(L102)=0),0,IF(AE102="SLM",(1-Setup!$C$7)/L102,1-Setup!$C$7^(1/L102)))</f>
        <v>0</v>
      </c>
      <c r="N102" s="52" t="n">
        <f aca="false">IF(G102="",0,ROUND(G102*Setup!$C$7,0))</f>
        <v>0</v>
      </c>
      <c r="O102" s="52" t="n">
        <f aca="false">IF(OR(G102="",F102=""),0,IF(AND(F102&lt;Setup!$C$5,OR(J102="",J102&gt;=Setup!$C$5)),G102,0))</f>
        <v>0</v>
      </c>
      <c r="P102" s="52" t="n">
        <f aca="false">IF(OR(G102="",F102=""),0,IF(AND(F102&gt;=Setup!$C$5,F102&lt;=Setup!$C$6),G102,0))</f>
        <v>0</v>
      </c>
      <c r="Q102" s="52" t="n">
        <f aca="false">IF(O102=0,0,IF(I102&lt;&gt;"",I102,IF(N(L102)=0,0,ROUND(IF(AE102="SLM",MIN(G102-N102,(G102-N102)/L102*(AA102+AB102)),G102-MAX(N102,G102*(1-M102*AA102)*(1-M102)^AB102)),0))))</f>
        <v>0</v>
      </c>
      <c r="R102" s="51" t="n">
        <f aca="false">IF(OR(F102="",G102=""),0,IF(OR(F102&gt;Setup!$C$6,AND(J102&lt;&gt;"",J102&lt;Setup!$C$5)),0,MAX(0,MIN(Setup!$C$6,IF(J102="",Setup!$C$6,J102))-MAX(Setup!$C$5,F102)+1)))</f>
        <v>0</v>
      </c>
      <c r="S102" s="53" t="n">
        <f aca="false">IF(OR(N(L102)=0,R102=0),0,MAX(0,ROUND(MIN(IF(AE102="SLM",(G102-N102)/L102,(O102+P102-Q102)*M102)*R102/(Setup!$C$6-Setup!$C$5+1),O102+P102-Q102-N102),0)))</f>
        <v>0</v>
      </c>
      <c r="T102" s="52" t="n">
        <f aca="false">IF(AND(J102&lt;&gt;"",G102&lt;&gt;""),IF(AND(J102&gt;=Setup!$C$5,J102&lt;=Setup!$C$6),O102+P102,0),0)</f>
        <v>0</v>
      </c>
      <c r="U102" s="52" t="n">
        <f aca="false">IF(T102&gt;0,Q102+S102,0)</f>
        <v>0</v>
      </c>
      <c r="V102" s="52" t="n">
        <f aca="false">Q102+S102-U102</f>
        <v>0</v>
      </c>
      <c r="W102" s="54" t="n">
        <f aca="false">O102+P102-T102-V102</f>
        <v>0</v>
      </c>
      <c r="X102" s="52" t="str">
        <f aca="false">IF(T102&gt;0,N(K102)-(O102+P102-Q102-S102),"")</f>
        <v/>
      </c>
      <c r="Y102" s="55" t="str">
        <f aca="false">IF(AND(B102="",C102="",G102=""),"",IF(D102="","⚠ Pick category",IF(F102="","⚠ Enter put-to-use date",IF(G102="","⚠ Enter cost",IF(F102&gt;Setup!$C$6,"Not yet in use",IF(AND(J102&lt;&gt;"",J102&lt;F102),"⚠ Sale before put-to-use",IF(AND(J102&lt;&gt;"",J102&lt;Setup!$C$5),"Sold in an earlier year",IF(N(I102)&gt;G102,"⚠ Opening dep. more than cost",IF(T102&gt;0,"Sold this year",IF(AND(N(L102)&gt;0,W102&lt;=N102+1),"Fully depreciated","✔ OK"))))))))))</f>
        <v/>
      </c>
      <c r="Z102" s="56" t="str">
        <f aca="false">IF(F102="","",DATE(YEAR(F102)+IF(MONTH(F102)&gt;=MONTH(Setup!$C$5),1,0),MONTH(Setup!$C$5),1)-1)</f>
        <v/>
      </c>
      <c r="AA102" s="57" t="str">
        <f aca="false">IF(F102="","",(Z102-F102+1)/(Z102-DATE(YEAR(Z102+1)-1,MONTH(Setup!$C$5),1)+1))</f>
        <v/>
      </c>
      <c r="AB102" s="9" t="str">
        <f aca="false">IF(F102="","",MAX(0,YEAR(Setup!$C$5)-YEAR(Z102+1)))</f>
        <v/>
      </c>
      <c r="AC102" s="9" t="str">
        <f aca="false">IF(D102="","",IFERROR(VLOOKUP(D102,'Rate Chart'!$A$6:$F$23,5,FALSE()),""))</f>
        <v/>
      </c>
      <c r="AD102" s="9" t="str">
        <f aca="false">IF(P102&gt;0,Setup!$C$6-F102+1,"")</f>
        <v/>
      </c>
      <c r="AE102" s="9" t="str">
        <f aca="false">IF(D102="","",IF(H102="",Setup!$C$8,H102))</f>
        <v/>
      </c>
    </row>
    <row r="103" customFormat="false" ht="15" hidden="false" customHeight="false" outlineLevel="0" collapsed="false">
      <c r="A103" s="47" t="str">
        <f aca="false">IF(AND(B103="",C103=""),"",ROW()-6)</f>
        <v/>
      </c>
      <c r="B103" s="89"/>
      <c r="C103" s="86"/>
      <c r="D103" s="86"/>
      <c r="E103" s="86"/>
      <c r="F103" s="90"/>
      <c r="G103" s="91"/>
      <c r="H103" s="89"/>
      <c r="I103" s="91"/>
      <c r="J103" s="90"/>
      <c r="K103" s="91"/>
      <c r="L103" s="51" t="str">
        <f aca="false">IF(D103="","",IFERROR(VLOOKUP(D103,'Rate Chart'!$A$6:$F$23,2,FALSE()),0))</f>
        <v/>
      </c>
      <c r="M103" s="38" t="n">
        <f aca="false">IF(OR(L103="",N(L103)=0),0,IF(AE103="SLM",(1-Setup!$C$7)/L103,1-Setup!$C$7^(1/L103)))</f>
        <v>0</v>
      </c>
      <c r="N103" s="52" t="n">
        <f aca="false">IF(G103="",0,ROUND(G103*Setup!$C$7,0))</f>
        <v>0</v>
      </c>
      <c r="O103" s="52" t="n">
        <f aca="false">IF(OR(G103="",F103=""),0,IF(AND(F103&lt;Setup!$C$5,OR(J103="",J103&gt;=Setup!$C$5)),G103,0))</f>
        <v>0</v>
      </c>
      <c r="P103" s="52" t="n">
        <f aca="false">IF(OR(G103="",F103=""),0,IF(AND(F103&gt;=Setup!$C$5,F103&lt;=Setup!$C$6),G103,0))</f>
        <v>0</v>
      </c>
      <c r="Q103" s="52" t="n">
        <f aca="false">IF(O103=0,0,IF(I103&lt;&gt;"",I103,IF(N(L103)=0,0,ROUND(IF(AE103="SLM",MIN(G103-N103,(G103-N103)/L103*(AA103+AB103)),G103-MAX(N103,G103*(1-M103*AA103)*(1-M103)^AB103)),0))))</f>
        <v>0</v>
      </c>
      <c r="R103" s="51" t="n">
        <f aca="false">IF(OR(F103="",G103=""),0,IF(OR(F103&gt;Setup!$C$6,AND(J103&lt;&gt;"",J103&lt;Setup!$C$5)),0,MAX(0,MIN(Setup!$C$6,IF(J103="",Setup!$C$6,J103))-MAX(Setup!$C$5,F103)+1)))</f>
        <v>0</v>
      </c>
      <c r="S103" s="53" t="n">
        <f aca="false">IF(OR(N(L103)=0,R103=0),0,MAX(0,ROUND(MIN(IF(AE103="SLM",(G103-N103)/L103,(O103+P103-Q103)*M103)*R103/(Setup!$C$6-Setup!$C$5+1),O103+P103-Q103-N103),0)))</f>
        <v>0</v>
      </c>
      <c r="T103" s="52" t="n">
        <f aca="false">IF(AND(J103&lt;&gt;"",G103&lt;&gt;""),IF(AND(J103&gt;=Setup!$C$5,J103&lt;=Setup!$C$6),O103+P103,0),0)</f>
        <v>0</v>
      </c>
      <c r="U103" s="52" t="n">
        <f aca="false">IF(T103&gt;0,Q103+S103,0)</f>
        <v>0</v>
      </c>
      <c r="V103" s="52" t="n">
        <f aca="false">Q103+S103-U103</f>
        <v>0</v>
      </c>
      <c r="W103" s="54" t="n">
        <f aca="false">O103+P103-T103-V103</f>
        <v>0</v>
      </c>
      <c r="X103" s="52" t="str">
        <f aca="false">IF(T103&gt;0,N(K103)-(O103+P103-Q103-S103),"")</f>
        <v/>
      </c>
      <c r="Y103" s="55" t="str">
        <f aca="false">IF(AND(B103="",C103="",G103=""),"",IF(D103="","⚠ Pick category",IF(F103="","⚠ Enter put-to-use date",IF(G103="","⚠ Enter cost",IF(F103&gt;Setup!$C$6,"Not yet in use",IF(AND(J103&lt;&gt;"",J103&lt;F103),"⚠ Sale before put-to-use",IF(AND(J103&lt;&gt;"",J103&lt;Setup!$C$5),"Sold in an earlier year",IF(N(I103)&gt;G103,"⚠ Opening dep. more than cost",IF(T103&gt;0,"Sold this year",IF(AND(N(L103)&gt;0,W103&lt;=N103+1),"Fully depreciated","✔ OK"))))))))))</f>
        <v/>
      </c>
      <c r="Z103" s="56" t="str">
        <f aca="false">IF(F103="","",DATE(YEAR(F103)+IF(MONTH(F103)&gt;=MONTH(Setup!$C$5),1,0),MONTH(Setup!$C$5),1)-1)</f>
        <v/>
      </c>
      <c r="AA103" s="57" t="str">
        <f aca="false">IF(F103="","",(Z103-F103+1)/(Z103-DATE(YEAR(Z103+1)-1,MONTH(Setup!$C$5),1)+1))</f>
        <v/>
      </c>
      <c r="AB103" s="9" t="str">
        <f aca="false">IF(F103="","",MAX(0,YEAR(Setup!$C$5)-YEAR(Z103+1)))</f>
        <v/>
      </c>
      <c r="AC103" s="9" t="str">
        <f aca="false">IF(D103="","",IFERROR(VLOOKUP(D103,'Rate Chart'!$A$6:$F$23,5,FALSE()),""))</f>
        <v/>
      </c>
      <c r="AD103" s="9" t="str">
        <f aca="false">IF(P103&gt;0,Setup!$C$6-F103+1,"")</f>
        <v/>
      </c>
      <c r="AE103" s="9" t="str">
        <f aca="false">IF(D103="","",IF(H103="",Setup!$C$8,H103))</f>
        <v/>
      </c>
    </row>
    <row r="104" customFormat="false" ht="15" hidden="false" customHeight="false" outlineLevel="0" collapsed="false">
      <c r="A104" s="47" t="str">
        <f aca="false">IF(AND(B104="",C104=""),"",ROW()-6)</f>
        <v/>
      </c>
      <c r="B104" s="89"/>
      <c r="C104" s="86"/>
      <c r="D104" s="86"/>
      <c r="E104" s="86"/>
      <c r="F104" s="90"/>
      <c r="G104" s="91"/>
      <c r="H104" s="89"/>
      <c r="I104" s="91"/>
      <c r="J104" s="90"/>
      <c r="K104" s="91"/>
      <c r="L104" s="51" t="str">
        <f aca="false">IF(D104="","",IFERROR(VLOOKUP(D104,'Rate Chart'!$A$6:$F$23,2,FALSE()),0))</f>
        <v/>
      </c>
      <c r="M104" s="38" t="n">
        <f aca="false">IF(OR(L104="",N(L104)=0),0,IF(AE104="SLM",(1-Setup!$C$7)/L104,1-Setup!$C$7^(1/L104)))</f>
        <v>0</v>
      </c>
      <c r="N104" s="52" t="n">
        <f aca="false">IF(G104="",0,ROUND(G104*Setup!$C$7,0))</f>
        <v>0</v>
      </c>
      <c r="O104" s="52" t="n">
        <f aca="false">IF(OR(G104="",F104=""),0,IF(AND(F104&lt;Setup!$C$5,OR(J104="",J104&gt;=Setup!$C$5)),G104,0))</f>
        <v>0</v>
      </c>
      <c r="P104" s="52" t="n">
        <f aca="false">IF(OR(G104="",F104=""),0,IF(AND(F104&gt;=Setup!$C$5,F104&lt;=Setup!$C$6),G104,0))</f>
        <v>0</v>
      </c>
      <c r="Q104" s="52" t="n">
        <f aca="false">IF(O104=0,0,IF(I104&lt;&gt;"",I104,IF(N(L104)=0,0,ROUND(IF(AE104="SLM",MIN(G104-N104,(G104-N104)/L104*(AA104+AB104)),G104-MAX(N104,G104*(1-M104*AA104)*(1-M104)^AB104)),0))))</f>
        <v>0</v>
      </c>
      <c r="R104" s="51" t="n">
        <f aca="false">IF(OR(F104="",G104=""),0,IF(OR(F104&gt;Setup!$C$6,AND(J104&lt;&gt;"",J104&lt;Setup!$C$5)),0,MAX(0,MIN(Setup!$C$6,IF(J104="",Setup!$C$6,J104))-MAX(Setup!$C$5,F104)+1)))</f>
        <v>0</v>
      </c>
      <c r="S104" s="53" t="n">
        <f aca="false">IF(OR(N(L104)=0,R104=0),0,MAX(0,ROUND(MIN(IF(AE104="SLM",(G104-N104)/L104,(O104+P104-Q104)*M104)*R104/(Setup!$C$6-Setup!$C$5+1),O104+P104-Q104-N104),0)))</f>
        <v>0</v>
      </c>
      <c r="T104" s="52" t="n">
        <f aca="false">IF(AND(J104&lt;&gt;"",G104&lt;&gt;""),IF(AND(J104&gt;=Setup!$C$5,J104&lt;=Setup!$C$6),O104+P104,0),0)</f>
        <v>0</v>
      </c>
      <c r="U104" s="52" t="n">
        <f aca="false">IF(T104&gt;0,Q104+S104,0)</f>
        <v>0</v>
      </c>
      <c r="V104" s="52" t="n">
        <f aca="false">Q104+S104-U104</f>
        <v>0</v>
      </c>
      <c r="W104" s="54" t="n">
        <f aca="false">O104+P104-T104-V104</f>
        <v>0</v>
      </c>
      <c r="X104" s="52" t="str">
        <f aca="false">IF(T104&gt;0,N(K104)-(O104+P104-Q104-S104),"")</f>
        <v/>
      </c>
      <c r="Y104" s="55" t="str">
        <f aca="false">IF(AND(B104="",C104="",G104=""),"",IF(D104="","⚠ Pick category",IF(F104="","⚠ Enter put-to-use date",IF(G104="","⚠ Enter cost",IF(F104&gt;Setup!$C$6,"Not yet in use",IF(AND(J104&lt;&gt;"",J104&lt;F104),"⚠ Sale before put-to-use",IF(AND(J104&lt;&gt;"",J104&lt;Setup!$C$5),"Sold in an earlier year",IF(N(I104)&gt;G104,"⚠ Opening dep. more than cost",IF(T104&gt;0,"Sold this year",IF(AND(N(L104)&gt;0,W104&lt;=N104+1),"Fully depreciated","✔ OK"))))))))))</f>
        <v/>
      </c>
      <c r="Z104" s="56" t="str">
        <f aca="false">IF(F104="","",DATE(YEAR(F104)+IF(MONTH(F104)&gt;=MONTH(Setup!$C$5),1,0),MONTH(Setup!$C$5),1)-1)</f>
        <v/>
      </c>
      <c r="AA104" s="57" t="str">
        <f aca="false">IF(F104="","",(Z104-F104+1)/(Z104-DATE(YEAR(Z104+1)-1,MONTH(Setup!$C$5),1)+1))</f>
        <v/>
      </c>
      <c r="AB104" s="9" t="str">
        <f aca="false">IF(F104="","",MAX(0,YEAR(Setup!$C$5)-YEAR(Z104+1)))</f>
        <v/>
      </c>
      <c r="AC104" s="9" t="str">
        <f aca="false">IF(D104="","",IFERROR(VLOOKUP(D104,'Rate Chart'!$A$6:$F$23,5,FALSE()),""))</f>
        <v/>
      </c>
      <c r="AD104" s="9" t="str">
        <f aca="false">IF(P104&gt;0,Setup!$C$6-F104+1,"")</f>
        <v/>
      </c>
      <c r="AE104" s="9" t="str">
        <f aca="false">IF(D104="","",IF(H104="",Setup!$C$8,H104))</f>
        <v/>
      </c>
    </row>
    <row r="105" customFormat="false" ht="15" hidden="false" customHeight="false" outlineLevel="0" collapsed="false">
      <c r="A105" s="47" t="str">
        <f aca="false">IF(AND(B105="",C105=""),"",ROW()-6)</f>
        <v/>
      </c>
      <c r="B105" s="89"/>
      <c r="C105" s="86"/>
      <c r="D105" s="86"/>
      <c r="E105" s="86"/>
      <c r="F105" s="90"/>
      <c r="G105" s="91"/>
      <c r="H105" s="89"/>
      <c r="I105" s="91"/>
      <c r="J105" s="90"/>
      <c r="K105" s="91"/>
      <c r="L105" s="51" t="str">
        <f aca="false">IF(D105="","",IFERROR(VLOOKUP(D105,'Rate Chart'!$A$6:$F$23,2,FALSE()),0))</f>
        <v/>
      </c>
      <c r="M105" s="38" t="n">
        <f aca="false">IF(OR(L105="",N(L105)=0),0,IF(AE105="SLM",(1-Setup!$C$7)/L105,1-Setup!$C$7^(1/L105)))</f>
        <v>0</v>
      </c>
      <c r="N105" s="52" t="n">
        <f aca="false">IF(G105="",0,ROUND(G105*Setup!$C$7,0))</f>
        <v>0</v>
      </c>
      <c r="O105" s="52" t="n">
        <f aca="false">IF(OR(G105="",F105=""),0,IF(AND(F105&lt;Setup!$C$5,OR(J105="",J105&gt;=Setup!$C$5)),G105,0))</f>
        <v>0</v>
      </c>
      <c r="P105" s="52" t="n">
        <f aca="false">IF(OR(G105="",F105=""),0,IF(AND(F105&gt;=Setup!$C$5,F105&lt;=Setup!$C$6),G105,0))</f>
        <v>0</v>
      </c>
      <c r="Q105" s="52" t="n">
        <f aca="false">IF(O105=0,0,IF(I105&lt;&gt;"",I105,IF(N(L105)=0,0,ROUND(IF(AE105="SLM",MIN(G105-N105,(G105-N105)/L105*(AA105+AB105)),G105-MAX(N105,G105*(1-M105*AA105)*(1-M105)^AB105)),0))))</f>
        <v>0</v>
      </c>
      <c r="R105" s="51" t="n">
        <f aca="false">IF(OR(F105="",G105=""),0,IF(OR(F105&gt;Setup!$C$6,AND(J105&lt;&gt;"",J105&lt;Setup!$C$5)),0,MAX(0,MIN(Setup!$C$6,IF(J105="",Setup!$C$6,J105))-MAX(Setup!$C$5,F105)+1)))</f>
        <v>0</v>
      </c>
      <c r="S105" s="53" t="n">
        <f aca="false">IF(OR(N(L105)=0,R105=0),0,MAX(0,ROUND(MIN(IF(AE105="SLM",(G105-N105)/L105,(O105+P105-Q105)*M105)*R105/(Setup!$C$6-Setup!$C$5+1),O105+P105-Q105-N105),0)))</f>
        <v>0</v>
      </c>
      <c r="T105" s="52" t="n">
        <f aca="false">IF(AND(J105&lt;&gt;"",G105&lt;&gt;""),IF(AND(J105&gt;=Setup!$C$5,J105&lt;=Setup!$C$6),O105+P105,0),0)</f>
        <v>0</v>
      </c>
      <c r="U105" s="52" t="n">
        <f aca="false">IF(T105&gt;0,Q105+S105,0)</f>
        <v>0</v>
      </c>
      <c r="V105" s="52" t="n">
        <f aca="false">Q105+S105-U105</f>
        <v>0</v>
      </c>
      <c r="W105" s="54" t="n">
        <f aca="false">O105+P105-T105-V105</f>
        <v>0</v>
      </c>
      <c r="X105" s="52" t="str">
        <f aca="false">IF(T105&gt;0,N(K105)-(O105+P105-Q105-S105),"")</f>
        <v/>
      </c>
      <c r="Y105" s="55" t="str">
        <f aca="false">IF(AND(B105="",C105="",G105=""),"",IF(D105="","⚠ Pick category",IF(F105="","⚠ Enter put-to-use date",IF(G105="","⚠ Enter cost",IF(F105&gt;Setup!$C$6,"Not yet in use",IF(AND(J105&lt;&gt;"",J105&lt;F105),"⚠ Sale before put-to-use",IF(AND(J105&lt;&gt;"",J105&lt;Setup!$C$5),"Sold in an earlier year",IF(N(I105)&gt;G105,"⚠ Opening dep. more than cost",IF(T105&gt;0,"Sold this year",IF(AND(N(L105)&gt;0,W105&lt;=N105+1),"Fully depreciated","✔ OK"))))))))))</f>
        <v/>
      </c>
      <c r="Z105" s="56" t="str">
        <f aca="false">IF(F105="","",DATE(YEAR(F105)+IF(MONTH(F105)&gt;=MONTH(Setup!$C$5),1,0),MONTH(Setup!$C$5),1)-1)</f>
        <v/>
      </c>
      <c r="AA105" s="57" t="str">
        <f aca="false">IF(F105="","",(Z105-F105+1)/(Z105-DATE(YEAR(Z105+1)-1,MONTH(Setup!$C$5),1)+1))</f>
        <v/>
      </c>
      <c r="AB105" s="9" t="str">
        <f aca="false">IF(F105="","",MAX(0,YEAR(Setup!$C$5)-YEAR(Z105+1)))</f>
        <v/>
      </c>
      <c r="AC105" s="9" t="str">
        <f aca="false">IF(D105="","",IFERROR(VLOOKUP(D105,'Rate Chart'!$A$6:$F$23,5,FALSE()),""))</f>
        <v/>
      </c>
      <c r="AD105" s="9" t="str">
        <f aca="false">IF(P105&gt;0,Setup!$C$6-F105+1,"")</f>
        <v/>
      </c>
      <c r="AE105" s="9" t="str">
        <f aca="false">IF(D105="","",IF(H105="",Setup!$C$8,H105))</f>
        <v/>
      </c>
    </row>
    <row r="106" customFormat="false" ht="15" hidden="false" customHeight="false" outlineLevel="0" collapsed="false">
      <c r="A106" s="47" t="str">
        <f aca="false">IF(AND(B106="",C106=""),"",ROW()-6)</f>
        <v/>
      </c>
      <c r="B106" s="89"/>
      <c r="C106" s="86"/>
      <c r="D106" s="86"/>
      <c r="E106" s="86"/>
      <c r="F106" s="90"/>
      <c r="G106" s="91"/>
      <c r="H106" s="89"/>
      <c r="I106" s="91"/>
      <c r="J106" s="90"/>
      <c r="K106" s="91"/>
      <c r="L106" s="51" t="str">
        <f aca="false">IF(D106="","",IFERROR(VLOOKUP(D106,'Rate Chart'!$A$6:$F$23,2,FALSE()),0))</f>
        <v/>
      </c>
      <c r="M106" s="38" t="n">
        <f aca="false">IF(OR(L106="",N(L106)=0),0,IF(AE106="SLM",(1-Setup!$C$7)/L106,1-Setup!$C$7^(1/L106)))</f>
        <v>0</v>
      </c>
      <c r="N106" s="52" t="n">
        <f aca="false">IF(G106="",0,ROUND(G106*Setup!$C$7,0))</f>
        <v>0</v>
      </c>
      <c r="O106" s="52" t="n">
        <f aca="false">IF(OR(G106="",F106=""),0,IF(AND(F106&lt;Setup!$C$5,OR(J106="",J106&gt;=Setup!$C$5)),G106,0))</f>
        <v>0</v>
      </c>
      <c r="P106" s="52" t="n">
        <f aca="false">IF(OR(G106="",F106=""),0,IF(AND(F106&gt;=Setup!$C$5,F106&lt;=Setup!$C$6),G106,0))</f>
        <v>0</v>
      </c>
      <c r="Q106" s="52" t="n">
        <f aca="false">IF(O106=0,0,IF(I106&lt;&gt;"",I106,IF(N(L106)=0,0,ROUND(IF(AE106="SLM",MIN(G106-N106,(G106-N106)/L106*(AA106+AB106)),G106-MAX(N106,G106*(1-M106*AA106)*(1-M106)^AB106)),0))))</f>
        <v>0</v>
      </c>
      <c r="R106" s="51" t="n">
        <f aca="false">IF(OR(F106="",G106=""),0,IF(OR(F106&gt;Setup!$C$6,AND(J106&lt;&gt;"",J106&lt;Setup!$C$5)),0,MAX(0,MIN(Setup!$C$6,IF(J106="",Setup!$C$6,J106))-MAX(Setup!$C$5,F106)+1)))</f>
        <v>0</v>
      </c>
      <c r="S106" s="53" t="n">
        <f aca="false">IF(OR(N(L106)=0,R106=0),0,MAX(0,ROUND(MIN(IF(AE106="SLM",(G106-N106)/L106,(O106+P106-Q106)*M106)*R106/(Setup!$C$6-Setup!$C$5+1),O106+P106-Q106-N106),0)))</f>
        <v>0</v>
      </c>
      <c r="T106" s="52" t="n">
        <f aca="false">IF(AND(J106&lt;&gt;"",G106&lt;&gt;""),IF(AND(J106&gt;=Setup!$C$5,J106&lt;=Setup!$C$6),O106+P106,0),0)</f>
        <v>0</v>
      </c>
      <c r="U106" s="52" t="n">
        <f aca="false">IF(T106&gt;0,Q106+S106,0)</f>
        <v>0</v>
      </c>
      <c r="V106" s="52" t="n">
        <f aca="false">Q106+S106-U106</f>
        <v>0</v>
      </c>
      <c r="W106" s="54" t="n">
        <f aca="false">O106+P106-T106-V106</f>
        <v>0</v>
      </c>
      <c r="X106" s="52" t="str">
        <f aca="false">IF(T106&gt;0,N(K106)-(O106+P106-Q106-S106),"")</f>
        <v/>
      </c>
      <c r="Y106" s="55" t="str">
        <f aca="false">IF(AND(B106="",C106="",G106=""),"",IF(D106="","⚠ Pick category",IF(F106="","⚠ Enter put-to-use date",IF(G106="","⚠ Enter cost",IF(F106&gt;Setup!$C$6,"Not yet in use",IF(AND(J106&lt;&gt;"",J106&lt;F106),"⚠ Sale before put-to-use",IF(AND(J106&lt;&gt;"",J106&lt;Setup!$C$5),"Sold in an earlier year",IF(N(I106)&gt;G106,"⚠ Opening dep. more than cost",IF(T106&gt;0,"Sold this year",IF(AND(N(L106)&gt;0,W106&lt;=N106+1),"Fully depreciated","✔ OK"))))))))))</f>
        <v/>
      </c>
      <c r="Z106" s="56" t="str">
        <f aca="false">IF(F106="","",DATE(YEAR(F106)+IF(MONTH(F106)&gt;=MONTH(Setup!$C$5),1,0),MONTH(Setup!$C$5),1)-1)</f>
        <v/>
      </c>
      <c r="AA106" s="57" t="str">
        <f aca="false">IF(F106="","",(Z106-F106+1)/(Z106-DATE(YEAR(Z106+1)-1,MONTH(Setup!$C$5),1)+1))</f>
        <v/>
      </c>
      <c r="AB106" s="9" t="str">
        <f aca="false">IF(F106="","",MAX(0,YEAR(Setup!$C$5)-YEAR(Z106+1)))</f>
        <v/>
      </c>
      <c r="AC106" s="9" t="str">
        <f aca="false">IF(D106="","",IFERROR(VLOOKUP(D106,'Rate Chart'!$A$6:$F$23,5,FALSE()),""))</f>
        <v/>
      </c>
      <c r="AD106" s="9" t="str">
        <f aca="false">IF(P106&gt;0,Setup!$C$6-F106+1,"")</f>
        <v/>
      </c>
      <c r="AE106" s="9" t="str">
        <f aca="false">IF(D106="","",IF(H106="",Setup!$C$8,H106))</f>
        <v/>
      </c>
    </row>
    <row r="107" customFormat="false" ht="15" hidden="false" customHeight="false" outlineLevel="0" collapsed="false">
      <c r="A107" s="58"/>
      <c r="B107" s="58"/>
      <c r="C107" s="59" t="s">
        <v>151</v>
      </c>
      <c r="D107" s="58"/>
      <c r="E107" s="58"/>
      <c r="F107" s="58"/>
      <c r="G107" s="60" t="n">
        <f aca="false">SUM(G7:G106)</f>
        <v>11845000</v>
      </c>
      <c r="H107" s="58"/>
      <c r="I107" s="58"/>
      <c r="J107" s="58"/>
      <c r="K107" s="58"/>
      <c r="L107" s="58"/>
      <c r="M107" s="58"/>
      <c r="N107" s="58"/>
      <c r="O107" s="60" t="n">
        <f aca="false">SUM(O7:O106)</f>
        <v>8870000</v>
      </c>
      <c r="P107" s="60" t="n">
        <f aca="false">SUM(P7:P106)</f>
        <v>2975000</v>
      </c>
      <c r="Q107" s="60" t="n">
        <f aca="false">SUM(Q7:Q106)</f>
        <v>2447862</v>
      </c>
      <c r="R107" s="58"/>
      <c r="S107" s="60" t="n">
        <f aca="false">SUM(S7:S106)</f>
        <v>1066477</v>
      </c>
      <c r="T107" s="60" t="n">
        <f aca="false">SUM(T7:T106)</f>
        <v>200000</v>
      </c>
      <c r="U107" s="60" t="n">
        <f aca="false">SUM(U7:U106)</f>
        <v>190000</v>
      </c>
      <c r="V107" s="60" t="n">
        <f aca="false">SUM(V7:V106)</f>
        <v>3324339</v>
      </c>
      <c r="W107" s="60" t="n">
        <f aca="false">SUM(W7:W106)</f>
        <v>8320661</v>
      </c>
      <c r="X107" s="60" t="n">
        <f aca="false">SUM(X7:X106)</f>
        <v>5000</v>
      </c>
      <c r="Y107" s="58"/>
    </row>
  </sheetData>
  <sheetProtection sheet="1" objects="1" scenarios="1" formatColumns="0" formatRows="0" algorithmName="SHA-512" hashValue="YZpQ6NULRXqhovSCNHcT1d2JydplYZDpwPB7PsbrUSvAvqD88GhdEpCrvNe1ZjHlYiTWUFukxdTM025rsrWMcA==" saltValue="q8dtW4wnJOHfi5h09pf74w==" spinCount="100000"/>
  <mergeCells count="7">
    <mergeCell ref="A2:Y2"/>
    <mergeCell ref="A3:Y3"/>
    <mergeCell ref="B5:K5"/>
    <mergeCell ref="L5:N5"/>
    <mergeCell ref="O5:P5"/>
    <mergeCell ref="Q5:S5"/>
    <mergeCell ref="T5:X5"/>
  </mergeCells>
  <conditionalFormatting sqref="L7:X106">
    <cfRule type="expression" priority="2" aboveAverage="0" equalAverage="0" bottom="0" percent="0" rank="0" text="" dxfId="0">
      <formula>$G7=""</formula>
    </cfRule>
  </conditionalFormatting>
  <conditionalFormatting sqref="Y7:Y106">
    <cfRule type="expression" priority="3" aboveAverage="0" equalAverage="0" bottom="0" percent="0" rank="0" text="" dxfId="1">
      <formula>LEFT($Y7,1)="⚠"</formula>
    </cfRule>
    <cfRule type="expression" priority="4" aboveAverage="0" equalAverage="0" bottom="0" percent="0" rank="0" text="" dxfId="2">
      <formula>$Y7="✔ OK"</formula>
    </cfRule>
  </conditionalFormatting>
  <conditionalFormatting sqref="X7:X106">
    <cfRule type="expression" priority="5" aboveAverage="0" equalAverage="0" bottom="0" percent="0" rank="0" text="" dxfId="3">
      <formula>AND(ISNUMBER($X7),$X7&lt;0)</formula>
    </cfRule>
  </conditionalFormatting>
  <dataValidations count="2">
    <dataValidation allowBlank="true" errorStyle="stop" operator="between" showDropDown="false" showErrorMessage="false" showInputMessage="false" sqref="D7:D106" type="list">
      <formula1>'Rate Chart'!$A$6:$A$23</formula1>
      <formula2>0</formula2>
    </dataValidation>
    <dataValidation allowBlank="true" errorStyle="stop" operator="between" showDropDown="false" showErrorMessage="false" showInputMessage="false" sqref="H7:H106" type="list">
      <formula1>Lists!$A$2:$A$3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L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6" min="5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11" min="9" style="0" width="14"/>
    <col collapsed="false" customWidth="true" hidden="true" outlineLevel="0" max="12" min="12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43" t="str">
        <f aca="false">"Property, Plant &amp; Equipment – "&amp;Setup!$C$4&amp;" – year ended "&amp;TEXT(Setup!$C$6,"dd mmmm yyyy")</f>
        <v>Property, Plant &amp; Equipment – M/s Xplore Industries – year ended 31 March 2027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customFormat="false" ht="15" hidden="false" customHeight="false" outlineLevel="0" collapsed="false">
      <c r="A3" s="33" t="s">
        <v>152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customFormat="false" ht="15" hidden="false" customHeight="true" outlineLevel="0" collapsed="false">
      <c r="B5" s="45" t="s">
        <v>96</v>
      </c>
      <c r="C5" s="45"/>
      <c r="D5" s="45"/>
      <c r="E5" s="45"/>
      <c r="F5" s="45" t="s">
        <v>153</v>
      </c>
      <c r="G5" s="45"/>
      <c r="H5" s="45"/>
      <c r="I5" s="45"/>
      <c r="J5" s="45" t="s">
        <v>154</v>
      </c>
      <c r="K5" s="45"/>
    </row>
    <row r="6" customFormat="false" ht="36" hidden="false" customHeight="true" outlineLevel="0" collapsed="false">
      <c r="A6" s="34" t="s">
        <v>102</v>
      </c>
      <c r="B6" s="34" t="s">
        <v>155</v>
      </c>
      <c r="C6" s="34" t="s">
        <v>156</v>
      </c>
      <c r="D6" s="34" t="s">
        <v>157</v>
      </c>
      <c r="E6" s="34" t="s">
        <v>158</v>
      </c>
      <c r="F6" s="34" t="s">
        <v>159</v>
      </c>
      <c r="G6" s="34" t="s">
        <v>160</v>
      </c>
      <c r="H6" s="34" t="s">
        <v>161</v>
      </c>
      <c r="I6" s="34" t="s">
        <v>162</v>
      </c>
      <c r="J6" s="34" t="s">
        <v>158</v>
      </c>
      <c r="K6" s="34" t="s">
        <v>155</v>
      </c>
    </row>
    <row r="7" customFormat="false" ht="15" hidden="false" customHeight="false" outlineLevel="0" collapsed="false">
      <c r="A7" s="61" t="str">
        <f aca="false">IF('Rate Chart'!A6="","",'Rate Chart'!A6)</f>
        <v>Land (freehold)</v>
      </c>
      <c r="B7" s="52" t="n">
        <f aca="false">IF(A7="",0,SUMIF('Asset Register'!$D$7:$D$106,A7,'Asset Register'!$O$7:$O$106))</f>
        <v>1500000</v>
      </c>
      <c r="C7" s="52" t="n">
        <f aca="false">IF(A7="",0,SUMIF('Asset Register'!$D$7:$D$106,A7,'Asset Register'!$P$7:$P$106))</f>
        <v>0</v>
      </c>
      <c r="D7" s="52" t="n">
        <f aca="false">IF(A7="",0,SUMIF('Asset Register'!$D$7:$D$106,A7,'Asset Register'!$T$7:$T$106))</f>
        <v>0</v>
      </c>
      <c r="E7" s="52" t="n">
        <f aca="false">B7+C7-D7</f>
        <v>1500000</v>
      </c>
      <c r="F7" s="52" t="n">
        <f aca="false">IF(A7="",0,SUMIF('Asset Register'!$D$7:$D$106,A7,'Asset Register'!$Q$7:$Q$106))</f>
        <v>0</v>
      </c>
      <c r="G7" s="52" t="n">
        <f aca="false">IF(A7="",0,SUMIF('Asset Register'!$D$7:$D$106,A7,'Asset Register'!$S$7:$S$106))</f>
        <v>0</v>
      </c>
      <c r="H7" s="52" t="n">
        <f aca="false">IF(A7="",0,SUMIF('Asset Register'!$D$7:$D$106,A7,'Asset Register'!$U$7:$U$106))</f>
        <v>0</v>
      </c>
      <c r="I7" s="52" t="n">
        <f aca="false">F7+G7-H7</f>
        <v>0</v>
      </c>
      <c r="J7" s="54" t="n">
        <f aca="false">E7-I7</f>
        <v>1500000</v>
      </c>
      <c r="K7" s="52" t="n">
        <f aca="false">B7-F7</f>
        <v>1500000</v>
      </c>
      <c r="L7" s="8" t="n">
        <f aca="false">IF(E7&gt;0,COUNTIF($E$7:E7,"&gt;0"),"")</f>
        <v>1</v>
      </c>
    </row>
    <row r="8" customFormat="false" ht="15" hidden="false" customHeight="false" outlineLevel="0" collapsed="false">
      <c r="A8" s="61" t="str">
        <f aca="false">IF('Rate Chart'!A7="","",'Rate Chart'!A7)</f>
        <v>Buildings – RCC (other than factory)</v>
      </c>
      <c r="B8" s="52" t="n">
        <f aca="false">IF(A8="",0,SUMIF('Asset Register'!$D$7:$D$106,A8,'Asset Register'!$O$7:$O$106))</f>
        <v>2500000</v>
      </c>
      <c r="C8" s="52" t="n">
        <f aca="false">IF(A8="",0,SUMIF('Asset Register'!$D$7:$D$106,A8,'Asset Register'!$P$7:$P$106))</f>
        <v>0</v>
      </c>
      <c r="D8" s="52" t="n">
        <f aca="false">IF(A8="",0,SUMIF('Asset Register'!$D$7:$D$106,A8,'Asset Register'!$T$7:$T$106))</f>
        <v>0</v>
      </c>
      <c r="E8" s="52" t="n">
        <f aca="false">B8+C8-D8</f>
        <v>2500000</v>
      </c>
      <c r="F8" s="52" t="n">
        <f aca="false">IF(A8="",0,SUMIF('Asset Register'!$D$7:$D$106,A8,'Asset Register'!$Q$7:$Q$106))</f>
        <v>237500</v>
      </c>
      <c r="G8" s="52" t="n">
        <f aca="false">IF(A8="",0,SUMIF('Asset Register'!$D$7:$D$106,A8,'Asset Register'!$S$7:$S$106))</f>
        <v>39583</v>
      </c>
      <c r="H8" s="52" t="n">
        <f aca="false">IF(A8="",0,SUMIF('Asset Register'!$D$7:$D$106,A8,'Asset Register'!$U$7:$U$106))</f>
        <v>0</v>
      </c>
      <c r="I8" s="52" t="n">
        <f aca="false">F8+G8-H8</f>
        <v>277083</v>
      </c>
      <c r="J8" s="54" t="n">
        <f aca="false">E8-I8</f>
        <v>2222917</v>
      </c>
      <c r="K8" s="52" t="n">
        <f aca="false">B8-F8</f>
        <v>2262500</v>
      </c>
      <c r="L8" s="8" t="n">
        <f aca="false">IF(E8&gt;0,COUNTIF($E$7:E8,"&gt;0"),"")</f>
        <v>2</v>
      </c>
    </row>
    <row r="9" customFormat="false" ht="15" hidden="false" customHeight="false" outlineLevel="0" collapsed="false">
      <c r="A9" s="61" t="str">
        <f aca="false">IF('Rate Chart'!A8="","",'Rate Chart'!A8)</f>
        <v>Factory Buildings</v>
      </c>
      <c r="B9" s="52" t="n">
        <f aca="false">IF(A9="",0,SUMIF('Asset Register'!$D$7:$D$106,A9,'Asset Register'!$O$7:$O$106))</f>
        <v>1800000</v>
      </c>
      <c r="C9" s="52" t="n">
        <f aca="false">IF(A9="",0,SUMIF('Asset Register'!$D$7:$D$106,A9,'Asset Register'!$P$7:$P$106))</f>
        <v>0</v>
      </c>
      <c r="D9" s="52" t="n">
        <f aca="false">IF(A9="",0,SUMIF('Asset Register'!$D$7:$D$106,A9,'Asset Register'!$T$7:$T$106))</f>
        <v>0</v>
      </c>
      <c r="E9" s="52" t="n">
        <f aca="false">B9+C9-D9</f>
        <v>1800000</v>
      </c>
      <c r="F9" s="52" t="n">
        <f aca="false">IF(A9="",0,SUMIF('Asset Register'!$D$7:$D$106,A9,'Asset Register'!$Q$7:$Q$106))</f>
        <v>674463</v>
      </c>
      <c r="G9" s="52" t="n">
        <f aca="false">IF(A9="",0,SUMIF('Asset Register'!$D$7:$D$106,A9,'Asset Register'!$S$7:$S$106))</f>
        <v>106964</v>
      </c>
      <c r="H9" s="52" t="n">
        <f aca="false">IF(A9="",0,SUMIF('Asset Register'!$D$7:$D$106,A9,'Asset Register'!$U$7:$U$106))</f>
        <v>0</v>
      </c>
      <c r="I9" s="52" t="n">
        <f aca="false">F9+G9-H9</f>
        <v>781427</v>
      </c>
      <c r="J9" s="54" t="n">
        <f aca="false">E9-I9</f>
        <v>1018573</v>
      </c>
      <c r="K9" s="52" t="n">
        <f aca="false">B9-F9</f>
        <v>1125537</v>
      </c>
      <c r="L9" s="8" t="n">
        <f aca="false">IF(E9&gt;0,COUNTIF($E$7:E9,"&gt;0"),"")</f>
        <v>3</v>
      </c>
    </row>
    <row r="10" customFormat="false" ht="15" hidden="false" customHeight="false" outlineLevel="0" collapsed="false">
      <c r="A10" s="61" t="str">
        <f aca="false">IF('Rate Chart'!A9="","",'Rate Chart'!A9)</f>
        <v>Residential Buildings</v>
      </c>
      <c r="B10" s="52" t="n">
        <f aca="false">IF(A10="",0,SUMIF('Asset Register'!$D$7:$D$106,A10,'Asset Register'!$O$7:$O$106))</f>
        <v>0</v>
      </c>
      <c r="C10" s="52" t="n">
        <f aca="false">IF(A10="",0,SUMIF('Asset Register'!$D$7:$D$106,A10,'Asset Register'!$P$7:$P$106))</f>
        <v>0</v>
      </c>
      <c r="D10" s="52" t="n">
        <f aca="false">IF(A10="",0,SUMIF('Asset Register'!$D$7:$D$106,A10,'Asset Register'!$T$7:$T$106))</f>
        <v>0</v>
      </c>
      <c r="E10" s="52" t="n">
        <f aca="false">B10+C10-D10</f>
        <v>0</v>
      </c>
      <c r="F10" s="52" t="n">
        <f aca="false">IF(A10="",0,SUMIF('Asset Register'!$D$7:$D$106,A10,'Asset Register'!$Q$7:$Q$106))</f>
        <v>0</v>
      </c>
      <c r="G10" s="52" t="n">
        <f aca="false">IF(A10="",0,SUMIF('Asset Register'!$D$7:$D$106,A10,'Asset Register'!$S$7:$S$106))</f>
        <v>0</v>
      </c>
      <c r="H10" s="52" t="n">
        <f aca="false">IF(A10="",0,SUMIF('Asset Register'!$D$7:$D$106,A10,'Asset Register'!$U$7:$U$106))</f>
        <v>0</v>
      </c>
      <c r="I10" s="52" t="n">
        <f aca="false">F10+G10-H10</f>
        <v>0</v>
      </c>
      <c r="J10" s="54" t="n">
        <f aca="false">E10-I10</f>
        <v>0</v>
      </c>
      <c r="K10" s="52" t="n">
        <f aca="false">B10-F10</f>
        <v>0</v>
      </c>
      <c r="L10" s="8" t="str">
        <f aca="false">IF(E10&gt;0,COUNTIF($E$7:E10,"&gt;0"),"")</f>
        <v/>
      </c>
    </row>
    <row r="11" customFormat="false" ht="15" hidden="false" customHeight="false" outlineLevel="0" collapsed="false">
      <c r="A11" s="61" t="str">
        <f aca="false">IF('Rate Chart'!A10="","",'Rate Chart'!A10)</f>
        <v>Plant &amp; Machinery (general)</v>
      </c>
      <c r="B11" s="52" t="n">
        <f aca="false">IF(A11="",0,SUMIF('Asset Register'!$D$7:$D$106,A11,'Asset Register'!$O$7:$O$106))</f>
        <v>1200000</v>
      </c>
      <c r="C11" s="52" t="n">
        <f aca="false">IF(A11="",0,SUMIF('Asset Register'!$D$7:$D$106,A11,'Asset Register'!$P$7:$P$106))</f>
        <v>450000</v>
      </c>
      <c r="D11" s="52" t="n">
        <f aca="false">IF(A11="",0,SUMIF('Asset Register'!$D$7:$D$106,A11,'Asset Register'!$T$7:$T$106))</f>
        <v>0</v>
      </c>
      <c r="E11" s="52" t="n">
        <f aca="false">B11+C11-D11</f>
        <v>1650000</v>
      </c>
      <c r="F11" s="52" t="n">
        <f aca="false">IF(A11="",0,SUMIF('Asset Register'!$D$7:$D$106,A11,'Asset Register'!$Q$7:$Q$106))</f>
        <v>597422</v>
      </c>
      <c r="G11" s="52" t="n">
        <f aca="false">IF(A11="",0,SUMIF('Asset Register'!$D$7:$D$106,A11,'Asset Register'!$S$7:$S$106))</f>
        <v>172699</v>
      </c>
      <c r="H11" s="52" t="n">
        <f aca="false">IF(A11="",0,SUMIF('Asset Register'!$D$7:$D$106,A11,'Asset Register'!$U$7:$U$106))</f>
        <v>0</v>
      </c>
      <c r="I11" s="52" t="n">
        <f aca="false">F11+G11-H11</f>
        <v>770121</v>
      </c>
      <c r="J11" s="54" t="n">
        <f aca="false">E11-I11</f>
        <v>879879</v>
      </c>
      <c r="K11" s="52" t="n">
        <f aca="false">B11-F11</f>
        <v>602578</v>
      </c>
      <c r="L11" s="8" t="n">
        <f aca="false">IF(E11&gt;0,COUNTIF($E$7:E11,"&gt;0"),"")</f>
        <v>4</v>
      </c>
    </row>
    <row r="12" customFormat="false" ht="15" hidden="false" customHeight="false" outlineLevel="0" collapsed="false">
      <c r="A12" s="61" t="str">
        <f aca="false">IF('Rate Chart'!A11="","",'Rate Chart'!A11)</f>
        <v>Furniture &amp; Fittings</v>
      </c>
      <c r="B12" s="52" t="n">
        <f aca="false">IF(A12="",0,SUMIF('Asset Register'!$D$7:$D$106,A12,'Asset Register'!$O$7:$O$106))</f>
        <v>300000</v>
      </c>
      <c r="C12" s="52" t="n">
        <f aca="false">IF(A12="",0,SUMIF('Asset Register'!$D$7:$D$106,A12,'Asset Register'!$P$7:$P$106))</f>
        <v>0</v>
      </c>
      <c r="D12" s="52" t="n">
        <f aca="false">IF(A12="",0,SUMIF('Asset Register'!$D$7:$D$106,A12,'Asset Register'!$T$7:$T$106))</f>
        <v>0</v>
      </c>
      <c r="E12" s="52" t="n">
        <f aca="false">B12+C12-D12</f>
        <v>300000</v>
      </c>
      <c r="F12" s="52" t="n">
        <f aca="false">IF(A12="",0,SUMIF('Asset Register'!$D$7:$D$106,A12,'Asset Register'!$Q$7:$Q$106))</f>
        <v>163654</v>
      </c>
      <c r="G12" s="52" t="n">
        <f aca="false">IF(A12="",0,SUMIF('Asset Register'!$D$7:$D$106,A12,'Asset Register'!$S$7:$S$106))</f>
        <v>35295</v>
      </c>
      <c r="H12" s="52" t="n">
        <f aca="false">IF(A12="",0,SUMIF('Asset Register'!$D$7:$D$106,A12,'Asset Register'!$U$7:$U$106))</f>
        <v>0</v>
      </c>
      <c r="I12" s="52" t="n">
        <f aca="false">F12+G12-H12</f>
        <v>198949</v>
      </c>
      <c r="J12" s="54" t="n">
        <f aca="false">E12-I12</f>
        <v>101051</v>
      </c>
      <c r="K12" s="52" t="n">
        <f aca="false">B12-F12</f>
        <v>136346</v>
      </c>
      <c r="L12" s="8" t="n">
        <f aca="false">IF(E12&gt;0,COUNTIF($E$7:E12,"&gt;0"),"")</f>
        <v>5</v>
      </c>
    </row>
    <row r="13" customFormat="false" ht="15" hidden="false" customHeight="false" outlineLevel="0" collapsed="false">
      <c r="A13" s="61" t="str">
        <f aca="false">IF('Rate Chart'!A12="","",'Rate Chart'!A12)</f>
        <v>Electrical Installations</v>
      </c>
      <c r="B13" s="52" t="n">
        <f aca="false">IF(A13="",0,SUMIF('Asset Register'!$D$7:$D$106,A13,'Asset Register'!$O$7:$O$106))</f>
        <v>180000</v>
      </c>
      <c r="C13" s="52" t="n">
        <f aca="false">IF(A13="",0,SUMIF('Asset Register'!$D$7:$D$106,A13,'Asset Register'!$P$7:$P$106))</f>
        <v>0</v>
      </c>
      <c r="D13" s="52" t="n">
        <f aca="false">IF(A13="",0,SUMIF('Asset Register'!$D$7:$D$106,A13,'Asset Register'!$T$7:$T$106))</f>
        <v>0</v>
      </c>
      <c r="E13" s="52" t="n">
        <f aca="false">B13+C13-D13</f>
        <v>180000</v>
      </c>
      <c r="F13" s="52" t="n">
        <f aca="false">IF(A13="",0,SUMIF('Asset Register'!$D$7:$D$106,A13,'Asset Register'!$Q$7:$Q$106))</f>
        <v>51300</v>
      </c>
      <c r="G13" s="52" t="n">
        <f aca="false">IF(A13="",0,SUMIF('Asset Register'!$D$7:$D$106,A13,'Asset Register'!$S$7:$S$106))</f>
        <v>17100</v>
      </c>
      <c r="H13" s="52" t="n">
        <f aca="false">IF(A13="",0,SUMIF('Asset Register'!$D$7:$D$106,A13,'Asset Register'!$U$7:$U$106))</f>
        <v>0</v>
      </c>
      <c r="I13" s="52" t="n">
        <f aca="false">F13+G13-H13</f>
        <v>68400</v>
      </c>
      <c r="J13" s="54" t="n">
        <f aca="false">E13-I13</f>
        <v>111600</v>
      </c>
      <c r="K13" s="52" t="n">
        <f aca="false">B13-F13</f>
        <v>128700</v>
      </c>
      <c r="L13" s="8" t="n">
        <f aca="false">IF(E13&gt;0,COUNTIF($E$7:E13,"&gt;0"),"")</f>
        <v>6</v>
      </c>
    </row>
    <row r="14" customFormat="false" ht="15" hidden="false" customHeight="false" outlineLevel="0" collapsed="false">
      <c r="A14" s="61" t="str">
        <f aca="false">IF('Rate Chart'!A13="","",'Rate Chart'!A13)</f>
        <v>Office Equipment</v>
      </c>
      <c r="B14" s="52" t="n">
        <f aca="false">IF(A14="",0,SUMIF('Asset Register'!$D$7:$D$106,A14,'Asset Register'!$O$7:$O$106))</f>
        <v>240000</v>
      </c>
      <c r="C14" s="52" t="n">
        <f aca="false">IF(A14="",0,SUMIF('Asset Register'!$D$7:$D$106,A14,'Asset Register'!$P$7:$P$106))</f>
        <v>0</v>
      </c>
      <c r="D14" s="52" t="n">
        <f aca="false">IF(A14="",0,SUMIF('Asset Register'!$D$7:$D$106,A14,'Asset Register'!$T$7:$T$106))</f>
        <v>0</v>
      </c>
      <c r="E14" s="52" t="n">
        <f aca="false">B14+C14-D14</f>
        <v>240000</v>
      </c>
      <c r="F14" s="52" t="n">
        <f aca="false">IF(A14="",0,SUMIF('Asset Register'!$D$7:$D$106,A14,'Asset Register'!$Q$7:$Q$106))</f>
        <v>165799</v>
      </c>
      <c r="G14" s="52" t="n">
        <f aca="false">IF(A14="",0,SUMIF('Asset Register'!$D$7:$D$106,A14,'Asset Register'!$S$7:$S$106))</f>
        <v>33444</v>
      </c>
      <c r="H14" s="52" t="n">
        <f aca="false">IF(A14="",0,SUMIF('Asset Register'!$D$7:$D$106,A14,'Asset Register'!$U$7:$U$106))</f>
        <v>0</v>
      </c>
      <c r="I14" s="52" t="n">
        <f aca="false">F14+G14-H14</f>
        <v>199243</v>
      </c>
      <c r="J14" s="54" t="n">
        <f aca="false">E14-I14</f>
        <v>40757</v>
      </c>
      <c r="K14" s="52" t="n">
        <f aca="false">B14-F14</f>
        <v>74201</v>
      </c>
      <c r="L14" s="8" t="n">
        <f aca="false">IF(E14&gt;0,COUNTIF($E$7:E14,"&gt;0"),"")</f>
        <v>7</v>
      </c>
    </row>
    <row r="15" customFormat="false" ht="15" hidden="false" customHeight="false" outlineLevel="0" collapsed="false">
      <c r="A15" s="61" t="str">
        <f aca="false">IF('Rate Chart'!A14="","",'Rate Chart'!A14)</f>
        <v>Computers &amp; Laptops</v>
      </c>
      <c r="B15" s="52" t="n">
        <f aca="false">IF(A15="",0,SUMIF('Asset Register'!$D$7:$D$106,A15,'Asset Register'!$O$7:$O$106))</f>
        <v>200000</v>
      </c>
      <c r="C15" s="52" t="n">
        <f aca="false">IF(A15="",0,SUMIF('Asset Register'!$D$7:$D$106,A15,'Asset Register'!$P$7:$P$106))</f>
        <v>325000</v>
      </c>
      <c r="D15" s="52" t="n">
        <f aca="false">IF(A15="",0,SUMIF('Asset Register'!$D$7:$D$106,A15,'Asset Register'!$T$7:$T$106))</f>
        <v>200000</v>
      </c>
      <c r="E15" s="52" t="n">
        <f aca="false">B15+C15-D15</f>
        <v>325000</v>
      </c>
      <c r="F15" s="52" t="n">
        <f aca="false">IF(A15="",0,SUMIF('Asset Register'!$D$7:$D$106,A15,'Asset Register'!$Q$7:$Q$106))</f>
        <v>190000</v>
      </c>
      <c r="G15" s="52" t="n">
        <f aca="false">IF(A15="",0,SUMIF('Asset Register'!$D$7:$D$106,A15,'Asset Register'!$S$7:$S$106))</f>
        <v>48365</v>
      </c>
      <c r="H15" s="52" t="n">
        <f aca="false">IF(A15="",0,SUMIF('Asset Register'!$D$7:$D$106,A15,'Asset Register'!$U$7:$U$106))</f>
        <v>190000</v>
      </c>
      <c r="I15" s="52" t="n">
        <f aca="false">F15+G15-H15</f>
        <v>48365</v>
      </c>
      <c r="J15" s="54" t="n">
        <f aca="false">E15-I15</f>
        <v>276635</v>
      </c>
      <c r="K15" s="52" t="n">
        <f aca="false">B15-F15</f>
        <v>10000</v>
      </c>
      <c r="L15" s="8" t="n">
        <f aca="false">IF(E15&gt;0,COUNTIF($E$7:E15,"&gt;0"),"")</f>
        <v>8</v>
      </c>
    </row>
    <row r="16" customFormat="false" ht="15" hidden="false" customHeight="false" outlineLevel="0" collapsed="false">
      <c r="A16" s="61" t="str">
        <f aca="false">IF('Rate Chart'!A15="","",'Rate Chart'!A15)</f>
        <v>Servers &amp; Networks</v>
      </c>
      <c r="B16" s="52" t="n">
        <f aca="false">IF(A16="",0,SUMIF('Asset Register'!$D$7:$D$106,A16,'Asset Register'!$O$7:$O$106))</f>
        <v>0</v>
      </c>
      <c r="C16" s="52" t="n">
        <f aca="false">IF(A16="",0,SUMIF('Asset Register'!$D$7:$D$106,A16,'Asset Register'!$P$7:$P$106))</f>
        <v>0</v>
      </c>
      <c r="D16" s="52" t="n">
        <f aca="false">IF(A16="",0,SUMIF('Asset Register'!$D$7:$D$106,A16,'Asset Register'!$T$7:$T$106))</f>
        <v>0</v>
      </c>
      <c r="E16" s="52" t="n">
        <f aca="false">B16+C16-D16</f>
        <v>0</v>
      </c>
      <c r="F16" s="52" t="n">
        <f aca="false">IF(A16="",0,SUMIF('Asset Register'!$D$7:$D$106,A16,'Asset Register'!$Q$7:$Q$106))</f>
        <v>0</v>
      </c>
      <c r="G16" s="52" t="n">
        <f aca="false">IF(A16="",0,SUMIF('Asset Register'!$D$7:$D$106,A16,'Asset Register'!$S$7:$S$106))</f>
        <v>0</v>
      </c>
      <c r="H16" s="52" t="n">
        <f aca="false">IF(A16="",0,SUMIF('Asset Register'!$D$7:$D$106,A16,'Asset Register'!$U$7:$U$106))</f>
        <v>0</v>
      </c>
      <c r="I16" s="52" t="n">
        <f aca="false">F16+G16-H16</f>
        <v>0</v>
      </c>
      <c r="J16" s="54" t="n">
        <f aca="false">E16-I16</f>
        <v>0</v>
      </c>
      <c r="K16" s="52" t="n">
        <f aca="false">B16-F16</f>
        <v>0</v>
      </c>
      <c r="L16" s="8" t="str">
        <f aca="false">IF(E16&gt;0,COUNTIF($E$7:E16,"&gt;0"),"")</f>
        <v/>
      </c>
    </row>
    <row r="17" customFormat="false" ht="15" hidden="false" customHeight="false" outlineLevel="0" collapsed="false">
      <c r="A17" s="61" t="str">
        <f aca="false">IF('Rate Chart'!A16="","",'Rate Chart'!A16)</f>
        <v>Motor Cars (not on hire)</v>
      </c>
      <c r="B17" s="52" t="n">
        <f aca="false">IF(A17="",0,SUMIF('Asset Register'!$D$7:$D$106,A17,'Asset Register'!$O$7:$O$106))</f>
        <v>950000</v>
      </c>
      <c r="C17" s="52" t="n">
        <f aca="false">IF(A17="",0,SUMIF('Asset Register'!$D$7:$D$106,A17,'Asset Register'!$P$7:$P$106))</f>
        <v>0</v>
      </c>
      <c r="D17" s="52" t="n">
        <f aca="false">IF(A17="",0,SUMIF('Asset Register'!$D$7:$D$106,A17,'Asset Register'!$T$7:$T$106))</f>
        <v>0</v>
      </c>
      <c r="E17" s="52" t="n">
        <f aca="false">B17+C17-D17</f>
        <v>950000</v>
      </c>
      <c r="F17" s="52" t="n">
        <f aca="false">IF(A17="",0,SUMIF('Asset Register'!$D$7:$D$106,A17,'Asset Register'!$Q$7:$Q$106))</f>
        <v>367724</v>
      </c>
      <c r="G17" s="52" t="n">
        <f aca="false">IF(A17="",0,SUMIF('Asset Register'!$D$7:$D$106,A17,'Asset Register'!$S$7:$S$106))</f>
        <v>181870</v>
      </c>
      <c r="H17" s="52" t="n">
        <f aca="false">IF(A17="",0,SUMIF('Asset Register'!$D$7:$D$106,A17,'Asset Register'!$U$7:$U$106))</f>
        <v>0</v>
      </c>
      <c r="I17" s="52" t="n">
        <f aca="false">F17+G17-H17</f>
        <v>549594</v>
      </c>
      <c r="J17" s="54" t="n">
        <f aca="false">E17-I17</f>
        <v>400406</v>
      </c>
      <c r="K17" s="52" t="n">
        <f aca="false">B17-F17</f>
        <v>582276</v>
      </c>
      <c r="L17" s="8" t="n">
        <f aca="false">IF(E17&gt;0,COUNTIF($E$7:E17,"&gt;0"),"")</f>
        <v>9</v>
      </c>
    </row>
    <row r="18" customFormat="false" ht="15" hidden="false" customHeight="false" outlineLevel="0" collapsed="false">
      <c r="A18" s="61" t="str">
        <f aca="false">IF('Rate Chart'!A17="","",'Rate Chart'!A17)</f>
        <v>Motor Cycles &amp; Scooters</v>
      </c>
      <c r="B18" s="52" t="n">
        <f aca="false">IF(A18="",0,SUMIF('Asset Register'!$D$7:$D$106,A18,'Asset Register'!$O$7:$O$106))</f>
        <v>0</v>
      </c>
      <c r="C18" s="52" t="n">
        <f aca="false">IF(A18="",0,SUMIF('Asset Register'!$D$7:$D$106,A18,'Asset Register'!$P$7:$P$106))</f>
        <v>0</v>
      </c>
      <c r="D18" s="52" t="n">
        <f aca="false">IF(A18="",0,SUMIF('Asset Register'!$D$7:$D$106,A18,'Asset Register'!$T$7:$T$106))</f>
        <v>0</v>
      </c>
      <c r="E18" s="52" t="n">
        <f aca="false">B18+C18-D18</f>
        <v>0</v>
      </c>
      <c r="F18" s="52" t="n">
        <f aca="false">IF(A18="",0,SUMIF('Asset Register'!$D$7:$D$106,A18,'Asset Register'!$Q$7:$Q$106))</f>
        <v>0</v>
      </c>
      <c r="G18" s="52" t="n">
        <f aca="false">IF(A18="",0,SUMIF('Asset Register'!$D$7:$D$106,A18,'Asset Register'!$S$7:$S$106))</f>
        <v>0</v>
      </c>
      <c r="H18" s="52" t="n">
        <f aca="false">IF(A18="",0,SUMIF('Asset Register'!$D$7:$D$106,A18,'Asset Register'!$U$7:$U$106))</f>
        <v>0</v>
      </c>
      <c r="I18" s="52" t="n">
        <f aca="false">F18+G18-H18</f>
        <v>0</v>
      </c>
      <c r="J18" s="54" t="n">
        <f aca="false">E18-I18</f>
        <v>0</v>
      </c>
      <c r="K18" s="52" t="n">
        <f aca="false">B18-F18</f>
        <v>0</v>
      </c>
      <c r="L18" s="8" t="str">
        <f aca="false">IF(E18&gt;0,COUNTIF($E$7:E18,"&gt;0"),"")</f>
        <v/>
      </c>
    </row>
    <row r="19" customFormat="false" ht="15" hidden="false" customHeight="false" outlineLevel="0" collapsed="false">
      <c r="A19" s="61" t="str">
        <f aca="false">IF('Rate Chart'!A18="","",'Rate Chart'!A18)</f>
        <v>Commercial Vehicles (on hire)</v>
      </c>
      <c r="B19" s="52" t="n">
        <f aca="false">IF(A19="",0,SUMIF('Asset Register'!$D$7:$D$106,A19,'Asset Register'!$O$7:$O$106))</f>
        <v>0</v>
      </c>
      <c r="C19" s="52" t="n">
        <f aca="false">IF(A19="",0,SUMIF('Asset Register'!$D$7:$D$106,A19,'Asset Register'!$P$7:$P$106))</f>
        <v>2200000</v>
      </c>
      <c r="D19" s="52" t="n">
        <f aca="false">IF(A19="",0,SUMIF('Asset Register'!$D$7:$D$106,A19,'Asset Register'!$T$7:$T$106))</f>
        <v>0</v>
      </c>
      <c r="E19" s="52" t="n">
        <f aca="false">B19+C19-D19</f>
        <v>2200000</v>
      </c>
      <c r="F19" s="52" t="n">
        <f aca="false">IF(A19="",0,SUMIF('Asset Register'!$D$7:$D$106,A19,'Asset Register'!$Q$7:$Q$106))</f>
        <v>0</v>
      </c>
      <c r="G19" s="52" t="n">
        <f aca="false">IF(A19="",0,SUMIF('Asset Register'!$D$7:$D$106,A19,'Asset Register'!$S$7:$S$106))</f>
        <v>431157</v>
      </c>
      <c r="H19" s="52" t="n">
        <f aca="false">IF(A19="",0,SUMIF('Asset Register'!$D$7:$D$106,A19,'Asset Register'!$U$7:$U$106))</f>
        <v>0</v>
      </c>
      <c r="I19" s="52" t="n">
        <f aca="false">F19+G19-H19</f>
        <v>431157</v>
      </c>
      <c r="J19" s="54" t="n">
        <f aca="false">E19-I19</f>
        <v>1768843</v>
      </c>
      <c r="K19" s="52" t="n">
        <f aca="false">B19-F19</f>
        <v>0</v>
      </c>
      <c r="L19" s="8" t="n">
        <f aca="false">IF(E19&gt;0,COUNTIF($E$7:E19,"&gt;0"),"")</f>
        <v>10</v>
      </c>
    </row>
    <row r="20" customFormat="false" ht="15" hidden="false" customHeight="false" outlineLevel="0" collapsed="false">
      <c r="A20" s="61" t="str">
        <f aca="false">IF('Rate Chart'!A19="","",'Rate Chart'!A19)</f>
        <v/>
      </c>
      <c r="B20" s="52" t="n">
        <f aca="false">IF(A20="",0,SUMIF('Asset Register'!$D$7:$D$106,A20,'Asset Register'!$O$7:$O$106))</f>
        <v>0</v>
      </c>
      <c r="C20" s="52" t="n">
        <f aca="false">IF(A20="",0,SUMIF('Asset Register'!$D$7:$D$106,A20,'Asset Register'!$P$7:$P$106))</f>
        <v>0</v>
      </c>
      <c r="D20" s="52" t="n">
        <f aca="false">IF(A20="",0,SUMIF('Asset Register'!$D$7:$D$106,A20,'Asset Register'!$T$7:$T$106))</f>
        <v>0</v>
      </c>
      <c r="E20" s="52" t="n">
        <f aca="false">B20+C20-D20</f>
        <v>0</v>
      </c>
      <c r="F20" s="52" t="n">
        <f aca="false">IF(A20="",0,SUMIF('Asset Register'!$D$7:$D$106,A20,'Asset Register'!$Q$7:$Q$106))</f>
        <v>0</v>
      </c>
      <c r="G20" s="52" t="n">
        <f aca="false">IF(A20="",0,SUMIF('Asset Register'!$D$7:$D$106,A20,'Asset Register'!$S$7:$S$106))</f>
        <v>0</v>
      </c>
      <c r="H20" s="52" t="n">
        <f aca="false">IF(A20="",0,SUMIF('Asset Register'!$D$7:$D$106,A20,'Asset Register'!$U$7:$U$106))</f>
        <v>0</v>
      </c>
      <c r="I20" s="52" t="n">
        <f aca="false">F20+G20-H20</f>
        <v>0</v>
      </c>
      <c r="J20" s="54" t="n">
        <f aca="false">E20-I20</f>
        <v>0</v>
      </c>
      <c r="K20" s="52" t="n">
        <f aca="false">B20-F20</f>
        <v>0</v>
      </c>
      <c r="L20" s="8" t="str">
        <f aca="false">IF(E20&gt;0,COUNTIF($E$7:E20,"&gt;0"),"")</f>
        <v/>
      </c>
    </row>
    <row r="21" customFormat="false" ht="15" hidden="false" customHeight="false" outlineLevel="0" collapsed="false">
      <c r="A21" s="61" t="str">
        <f aca="false">IF('Rate Chart'!A20="","",'Rate Chart'!A20)</f>
        <v/>
      </c>
      <c r="B21" s="52" t="n">
        <f aca="false">IF(A21="",0,SUMIF('Asset Register'!$D$7:$D$106,A21,'Asset Register'!$O$7:$O$106))</f>
        <v>0</v>
      </c>
      <c r="C21" s="52" t="n">
        <f aca="false">IF(A21="",0,SUMIF('Asset Register'!$D$7:$D$106,A21,'Asset Register'!$P$7:$P$106))</f>
        <v>0</v>
      </c>
      <c r="D21" s="52" t="n">
        <f aca="false">IF(A21="",0,SUMIF('Asset Register'!$D$7:$D$106,A21,'Asset Register'!$T$7:$T$106))</f>
        <v>0</v>
      </c>
      <c r="E21" s="52" t="n">
        <f aca="false">B21+C21-D21</f>
        <v>0</v>
      </c>
      <c r="F21" s="52" t="n">
        <f aca="false">IF(A21="",0,SUMIF('Asset Register'!$D$7:$D$106,A21,'Asset Register'!$Q$7:$Q$106))</f>
        <v>0</v>
      </c>
      <c r="G21" s="52" t="n">
        <f aca="false">IF(A21="",0,SUMIF('Asset Register'!$D$7:$D$106,A21,'Asset Register'!$S$7:$S$106))</f>
        <v>0</v>
      </c>
      <c r="H21" s="52" t="n">
        <f aca="false">IF(A21="",0,SUMIF('Asset Register'!$D$7:$D$106,A21,'Asset Register'!$U$7:$U$106))</f>
        <v>0</v>
      </c>
      <c r="I21" s="52" t="n">
        <f aca="false">F21+G21-H21</f>
        <v>0</v>
      </c>
      <c r="J21" s="54" t="n">
        <f aca="false">E21-I21</f>
        <v>0</v>
      </c>
      <c r="K21" s="52" t="n">
        <f aca="false">B21-F21</f>
        <v>0</v>
      </c>
      <c r="L21" s="8" t="str">
        <f aca="false">IF(E21&gt;0,COUNTIF($E$7:E21,"&gt;0"),"")</f>
        <v/>
      </c>
    </row>
    <row r="22" customFormat="false" ht="15" hidden="false" customHeight="false" outlineLevel="0" collapsed="false">
      <c r="A22" s="61" t="str">
        <f aca="false">IF('Rate Chart'!A21="","",'Rate Chart'!A21)</f>
        <v/>
      </c>
      <c r="B22" s="52" t="n">
        <f aca="false">IF(A22="",0,SUMIF('Asset Register'!$D$7:$D$106,A22,'Asset Register'!$O$7:$O$106))</f>
        <v>0</v>
      </c>
      <c r="C22" s="52" t="n">
        <f aca="false">IF(A22="",0,SUMIF('Asset Register'!$D$7:$D$106,A22,'Asset Register'!$P$7:$P$106))</f>
        <v>0</v>
      </c>
      <c r="D22" s="52" t="n">
        <f aca="false">IF(A22="",0,SUMIF('Asset Register'!$D$7:$D$106,A22,'Asset Register'!$T$7:$T$106))</f>
        <v>0</v>
      </c>
      <c r="E22" s="52" t="n">
        <f aca="false">B22+C22-D22</f>
        <v>0</v>
      </c>
      <c r="F22" s="52" t="n">
        <f aca="false">IF(A22="",0,SUMIF('Asset Register'!$D$7:$D$106,A22,'Asset Register'!$Q$7:$Q$106))</f>
        <v>0</v>
      </c>
      <c r="G22" s="52" t="n">
        <f aca="false">IF(A22="",0,SUMIF('Asset Register'!$D$7:$D$106,A22,'Asset Register'!$S$7:$S$106))</f>
        <v>0</v>
      </c>
      <c r="H22" s="52" t="n">
        <f aca="false">IF(A22="",0,SUMIF('Asset Register'!$D$7:$D$106,A22,'Asset Register'!$U$7:$U$106))</f>
        <v>0</v>
      </c>
      <c r="I22" s="52" t="n">
        <f aca="false">F22+G22-H22</f>
        <v>0</v>
      </c>
      <c r="J22" s="54" t="n">
        <f aca="false">E22-I22</f>
        <v>0</v>
      </c>
      <c r="K22" s="52" t="n">
        <f aca="false">B22-F22</f>
        <v>0</v>
      </c>
      <c r="L22" s="8" t="str">
        <f aca="false">IF(E22&gt;0,COUNTIF($E$7:E22,"&gt;0"),"")</f>
        <v/>
      </c>
    </row>
    <row r="23" customFormat="false" ht="15" hidden="false" customHeight="false" outlineLevel="0" collapsed="false">
      <c r="A23" s="61" t="str">
        <f aca="false">IF('Rate Chart'!A22="","",'Rate Chart'!A22)</f>
        <v/>
      </c>
      <c r="B23" s="52" t="n">
        <f aca="false">IF(A23="",0,SUMIF('Asset Register'!$D$7:$D$106,A23,'Asset Register'!$O$7:$O$106))</f>
        <v>0</v>
      </c>
      <c r="C23" s="52" t="n">
        <f aca="false">IF(A23="",0,SUMIF('Asset Register'!$D$7:$D$106,A23,'Asset Register'!$P$7:$P$106))</f>
        <v>0</v>
      </c>
      <c r="D23" s="52" t="n">
        <f aca="false">IF(A23="",0,SUMIF('Asset Register'!$D$7:$D$106,A23,'Asset Register'!$T$7:$T$106))</f>
        <v>0</v>
      </c>
      <c r="E23" s="52" t="n">
        <f aca="false">B23+C23-D23</f>
        <v>0</v>
      </c>
      <c r="F23" s="52" t="n">
        <f aca="false">IF(A23="",0,SUMIF('Asset Register'!$D$7:$D$106,A23,'Asset Register'!$Q$7:$Q$106))</f>
        <v>0</v>
      </c>
      <c r="G23" s="52" t="n">
        <f aca="false">IF(A23="",0,SUMIF('Asset Register'!$D$7:$D$106,A23,'Asset Register'!$S$7:$S$106))</f>
        <v>0</v>
      </c>
      <c r="H23" s="52" t="n">
        <f aca="false">IF(A23="",0,SUMIF('Asset Register'!$D$7:$D$106,A23,'Asset Register'!$U$7:$U$106))</f>
        <v>0</v>
      </c>
      <c r="I23" s="52" t="n">
        <f aca="false">F23+G23-H23</f>
        <v>0</v>
      </c>
      <c r="J23" s="54" t="n">
        <f aca="false">E23-I23</f>
        <v>0</v>
      </c>
      <c r="K23" s="52" t="n">
        <f aca="false">B23-F23</f>
        <v>0</v>
      </c>
      <c r="L23" s="8" t="str">
        <f aca="false">IF(E23&gt;0,COUNTIF($E$7:E23,"&gt;0"),"")</f>
        <v/>
      </c>
    </row>
    <row r="24" customFormat="false" ht="15" hidden="false" customHeight="false" outlineLevel="0" collapsed="false">
      <c r="A24" s="61" t="str">
        <f aca="false">IF('Rate Chart'!A23="","",'Rate Chart'!A23)</f>
        <v/>
      </c>
      <c r="B24" s="52" t="n">
        <f aca="false">IF(A24="",0,SUMIF('Asset Register'!$D$7:$D$106,A24,'Asset Register'!$O$7:$O$106))</f>
        <v>0</v>
      </c>
      <c r="C24" s="52" t="n">
        <f aca="false">IF(A24="",0,SUMIF('Asset Register'!$D$7:$D$106,A24,'Asset Register'!$P$7:$P$106))</f>
        <v>0</v>
      </c>
      <c r="D24" s="52" t="n">
        <f aca="false">IF(A24="",0,SUMIF('Asset Register'!$D$7:$D$106,A24,'Asset Register'!$T$7:$T$106))</f>
        <v>0</v>
      </c>
      <c r="E24" s="52" t="n">
        <f aca="false">B24+C24-D24</f>
        <v>0</v>
      </c>
      <c r="F24" s="52" t="n">
        <f aca="false">IF(A24="",0,SUMIF('Asset Register'!$D$7:$D$106,A24,'Asset Register'!$Q$7:$Q$106))</f>
        <v>0</v>
      </c>
      <c r="G24" s="52" t="n">
        <f aca="false">IF(A24="",0,SUMIF('Asset Register'!$D$7:$D$106,A24,'Asset Register'!$S$7:$S$106))</f>
        <v>0</v>
      </c>
      <c r="H24" s="52" t="n">
        <f aca="false">IF(A24="",0,SUMIF('Asset Register'!$D$7:$D$106,A24,'Asset Register'!$U$7:$U$106))</f>
        <v>0</v>
      </c>
      <c r="I24" s="52" t="n">
        <f aca="false">F24+G24-H24</f>
        <v>0</v>
      </c>
      <c r="J24" s="54" t="n">
        <f aca="false">E24-I24</f>
        <v>0</v>
      </c>
      <c r="K24" s="52" t="n">
        <f aca="false">B24-F24</f>
        <v>0</v>
      </c>
      <c r="L24" s="8" t="str">
        <f aca="false">IF(E24&gt;0,COUNTIF($E$7:E24,"&gt;0"),"")</f>
        <v/>
      </c>
    </row>
    <row r="25" customFormat="false" ht="15" hidden="false" customHeight="false" outlineLevel="0" collapsed="false">
      <c r="A25" s="59" t="s">
        <v>151</v>
      </c>
      <c r="B25" s="60" t="n">
        <f aca="false">SUM(B7:B24)</f>
        <v>8870000</v>
      </c>
      <c r="C25" s="60" t="n">
        <f aca="false">SUM(C7:C24)</f>
        <v>2975000</v>
      </c>
      <c r="D25" s="60" t="n">
        <f aca="false">SUM(D7:D24)</f>
        <v>200000</v>
      </c>
      <c r="E25" s="60" t="n">
        <f aca="false">SUM(E7:E24)</f>
        <v>11645000</v>
      </c>
      <c r="F25" s="60" t="n">
        <f aca="false">SUM(F7:F24)</f>
        <v>2447862</v>
      </c>
      <c r="G25" s="60" t="n">
        <f aca="false">SUM(G7:G24)</f>
        <v>1066477</v>
      </c>
      <c r="H25" s="60" t="n">
        <f aca="false">SUM(H7:H24)</f>
        <v>190000</v>
      </c>
      <c r="I25" s="60" t="n">
        <f aca="false">SUM(I7:I24)</f>
        <v>3324339</v>
      </c>
      <c r="J25" s="60" t="n">
        <f aca="false">SUM(J7:J24)</f>
        <v>8320661</v>
      </c>
      <c r="K25" s="60" t="n">
        <f aca="false">SUM(K7:K24)</f>
        <v>6422138</v>
      </c>
    </row>
    <row r="26" customFormat="false" ht="15" hidden="false" customHeight="false" outlineLevel="0" collapsed="false">
      <c r="A26" s="62" t="str">
        <f aca="false">IF(ROUND(J25-'Asset Register'!W107,0)=0,"✔ Net block agrees with the Asset Register.","⚠ Net block differs from the Asset Register – check categories on the Rate Chart.")</f>
        <v>✔ Net block agrees with the Asset Register.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</sheetData>
  <sheetProtection sheet="1" objects="1" scenarios="1" formatColumns="0" formatRows="0" algorithmName="SHA-512" hashValue="+50hqAeynKtjJP7TgyOWGz5Cs5D1RWy7GavjQs9Q/b3sPCIBgz1RAF0vpUgHRaA9tpItlAtzIAoJJt5tJJ4qLg==" saltValue="PObtBbIxQMYmbJk9JAZALQ==" spinCount="100000"/>
  <mergeCells count="6">
    <mergeCell ref="A2:K2"/>
    <mergeCell ref="A3:K3"/>
    <mergeCell ref="B5:E5"/>
    <mergeCell ref="F5:I5"/>
    <mergeCell ref="J5:K5"/>
    <mergeCell ref="A26:K26"/>
  </mergeCells>
  <conditionalFormatting sqref="A7:K24">
    <cfRule type="expression" priority="2" aboveAverage="0" equalAverage="0" bottom="0" percent="0" rank="0" text="" dxfId="4">
      <formula>AND($A7&lt;&gt;"",$B7+$C7=0)</formula>
    </cfRule>
  </conditionalFormatting>
  <conditionalFormatting sqref="B7:K24">
    <cfRule type="expression" priority="3" aboveAverage="0" equalAverage="0" bottom="0" percent="0" rank="0" text="" dxfId="0">
      <formula>$A7=""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9" min="8" style="0" width="14"/>
    <col collapsed="false" customWidth="true" hidden="false" outlineLevel="0" max="10" min="10" style="0" width="34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43" t="str">
        <f aca="false">"Depreciation as per Income Tax (block of assets) – "&amp;Setup!$C$4&amp;" – year ended "&amp;TEXT(Setup!$C$6,"dd mmm yyyy")</f>
        <v>Depreciation as per Income Tax (block of assets) – M/s Xplore Industries – year ended 31 Mar 2027</v>
      </c>
      <c r="B2" s="43"/>
      <c r="C2" s="43"/>
      <c r="D2" s="43"/>
      <c r="E2" s="43"/>
      <c r="F2" s="43"/>
      <c r="G2" s="43"/>
      <c r="H2" s="43"/>
      <c r="I2" s="43"/>
      <c r="J2" s="43"/>
    </row>
    <row r="3" customFormat="false" ht="15" hidden="false" customHeight="false" outlineLevel="0" collapsed="false">
      <c r="A3" s="33" t="s">
        <v>163</v>
      </c>
      <c r="B3" s="33"/>
      <c r="C3" s="33"/>
      <c r="D3" s="33"/>
      <c r="E3" s="33"/>
      <c r="F3" s="33"/>
      <c r="G3" s="33"/>
      <c r="H3" s="33"/>
      <c r="I3" s="33"/>
      <c r="J3" s="33"/>
    </row>
    <row r="6" customFormat="false" ht="51.75" hidden="false" customHeight="true" outlineLevel="0" collapsed="false">
      <c r="A6" s="34" t="s">
        <v>164</v>
      </c>
      <c r="B6" s="34" t="s">
        <v>67</v>
      </c>
      <c r="C6" s="46" t="s">
        <v>165</v>
      </c>
      <c r="D6" s="34" t="s">
        <v>166</v>
      </c>
      <c r="E6" s="34" t="s">
        <v>167</v>
      </c>
      <c r="F6" s="34" t="s">
        <v>168</v>
      </c>
      <c r="G6" s="34" t="s">
        <v>169</v>
      </c>
      <c r="H6" s="34" t="s">
        <v>116</v>
      </c>
      <c r="I6" s="34" t="s">
        <v>170</v>
      </c>
      <c r="J6" s="34" t="s">
        <v>171</v>
      </c>
    </row>
    <row r="7" customFormat="false" ht="15" hidden="false" customHeight="false" outlineLevel="0" collapsed="false">
      <c r="A7" s="63" t="str">
        <f aca="false">'Rate Chart'!H6</f>
        <v>Building – Residential (5%)</v>
      </c>
      <c r="B7" s="39" t="n">
        <f aca="false">'Rate Chart'!I6</f>
        <v>0.05</v>
      </c>
      <c r="C7" s="91" t="n">
        <v>0</v>
      </c>
      <c r="D7" s="52" t="n">
        <f aca="false">SUMIFS('Asset Register'!$G$7:$G$106,'Asset Register'!$AC$7:$AC$106,A7,'Asset Register'!$P$7:$P$106,"&gt;0",'Asset Register'!$AD$7:$AD$106,"&gt;=180")</f>
        <v>0</v>
      </c>
      <c r="E7" s="52" t="n">
        <f aca="false">SUMIFS('Asset Register'!$G$7:$G$106,'Asset Register'!$AC$7:$AC$106,A7,'Asset Register'!$P$7:$P$106,"&gt;0",'Asset Register'!$AD$7:$AD$106,"&lt;180")</f>
        <v>0</v>
      </c>
      <c r="F7" s="52" t="n">
        <f aca="false">SUMIFS('Asset Register'!$K$7:$K$106,'Asset Register'!$AC$7:$AC$106,A7,'Asset Register'!$T$7:$T$106,"&gt;0")</f>
        <v>0</v>
      </c>
      <c r="G7" s="52" t="n">
        <f aca="false">C7+D7+E7-F7</f>
        <v>0</v>
      </c>
      <c r="H7" s="53" t="n">
        <f aca="false">IF(G7&lt;=0,0,ROUND(IF(C7+D7-F7&gt;=0,(C7+D7-F7)*B7+E7*B7/2,(E7+C7+D7-F7)*B7/2),0))</f>
        <v>0</v>
      </c>
      <c r="I7" s="54" t="n">
        <f aca="false">IF(G7&lt;=0,0,G7-H7)</f>
        <v>0</v>
      </c>
      <c r="J7" s="64" t="str">
        <f aca="false">IF(G7&lt;0,"Sale exceeds block: short-term capital gain ₹"&amp;TEXT(-G7,"#,##,##0"),"")</f>
        <v/>
      </c>
    </row>
    <row r="8" customFormat="false" ht="15" hidden="false" customHeight="false" outlineLevel="0" collapsed="false">
      <c r="A8" s="63" t="str">
        <f aca="false">'Rate Chart'!H7</f>
        <v>Building – Others (10%)</v>
      </c>
      <c r="B8" s="39" t="n">
        <f aca="false">'Rate Chart'!I7</f>
        <v>0.1</v>
      </c>
      <c r="C8" s="91" t="n">
        <v>3400000</v>
      </c>
      <c r="D8" s="52" t="n">
        <f aca="false">SUMIFS('Asset Register'!$G$7:$G$106,'Asset Register'!$AC$7:$AC$106,A8,'Asset Register'!$P$7:$P$106,"&gt;0",'Asset Register'!$AD$7:$AD$106,"&gt;=180")</f>
        <v>0</v>
      </c>
      <c r="E8" s="52" t="n">
        <f aca="false">SUMIFS('Asset Register'!$G$7:$G$106,'Asset Register'!$AC$7:$AC$106,A8,'Asset Register'!$P$7:$P$106,"&gt;0",'Asset Register'!$AD$7:$AD$106,"&lt;180")</f>
        <v>0</v>
      </c>
      <c r="F8" s="52" t="n">
        <f aca="false">SUMIFS('Asset Register'!$K$7:$K$106,'Asset Register'!$AC$7:$AC$106,A8,'Asset Register'!$T$7:$T$106,"&gt;0")</f>
        <v>0</v>
      </c>
      <c r="G8" s="52" t="n">
        <f aca="false">C8+D8+E8-F8</f>
        <v>3400000</v>
      </c>
      <c r="H8" s="53" t="n">
        <f aca="false">IF(G8&lt;=0,0,ROUND(IF(C8+D8-F8&gt;=0,(C8+D8-F8)*B8+E8*B8/2,(E8+C8+D8-F8)*B8/2),0))</f>
        <v>340000</v>
      </c>
      <c r="I8" s="54" t="n">
        <f aca="false">IF(G8&lt;=0,0,G8-H8)</f>
        <v>3060000</v>
      </c>
      <c r="J8" s="64" t="str">
        <f aca="false">IF(G8&lt;0,"Sale exceeds block: short-term capital gain ₹"&amp;TEXT(-G8,"#,##,##0"),"")</f>
        <v/>
      </c>
    </row>
    <row r="9" customFormat="false" ht="15" hidden="false" customHeight="false" outlineLevel="0" collapsed="false">
      <c r="A9" s="63" t="str">
        <f aca="false">'Rate Chart'!H8</f>
        <v>Furniture &amp; Fittings (10%)</v>
      </c>
      <c r="B9" s="39" t="n">
        <f aca="false">'Rate Chart'!I8</f>
        <v>0.1</v>
      </c>
      <c r="C9" s="91" t="n">
        <v>390000</v>
      </c>
      <c r="D9" s="52" t="n">
        <f aca="false">SUMIFS('Asset Register'!$G$7:$G$106,'Asset Register'!$AC$7:$AC$106,A9,'Asset Register'!$P$7:$P$106,"&gt;0",'Asset Register'!$AD$7:$AD$106,"&gt;=180")</f>
        <v>0</v>
      </c>
      <c r="E9" s="52" t="n">
        <f aca="false">SUMIFS('Asset Register'!$G$7:$G$106,'Asset Register'!$AC$7:$AC$106,A9,'Asset Register'!$P$7:$P$106,"&gt;0",'Asset Register'!$AD$7:$AD$106,"&lt;180")</f>
        <v>0</v>
      </c>
      <c r="F9" s="52" t="n">
        <f aca="false">SUMIFS('Asset Register'!$K$7:$K$106,'Asset Register'!$AC$7:$AC$106,A9,'Asset Register'!$T$7:$T$106,"&gt;0")</f>
        <v>0</v>
      </c>
      <c r="G9" s="52" t="n">
        <f aca="false">C9+D9+E9-F9</f>
        <v>390000</v>
      </c>
      <c r="H9" s="53" t="n">
        <f aca="false">IF(G9&lt;=0,0,ROUND(IF(C9+D9-F9&gt;=0,(C9+D9-F9)*B9+E9*B9/2,(E9+C9+D9-F9)*B9/2),0))</f>
        <v>39000</v>
      </c>
      <c r="I9" s="54" t="n">
        <f aca="false">IF(G9&lt;=0,0,G9-H9)</f>
        <v>351000</v>
      </c>
      <c r="J9" s="64" t="str">
        <f aca="false">IF(G9&lt;0,"Sale exceeds block: short-term capital gain ₹"&amp;TEXT(-G9,"#,##,##0"),"")</f>
        <v/>
      </c>
    </row>
    <row r="10" customFormat="false" ht="15" hidden="false" customHeight="false" outlineLevel="0" collapsed="false">
      <c r="A10" s="63" t="str">
        <f aca="false">'Rate Chart'!H9</f>
        <v>Plant &amp; Machinery (15%)</v>
      </c>
      <c r="B10" s="39" t="n">
        <f aca="false">'Rate Chart'!I9</f>
        <v>0.15</v>
      </c>
      <c r="C10" s="91" t="n">
        <v>1850000</v>
      </c>
      <c r="D10" s="52" t="n">
        <f aca="false">SUMIFS('Asset Register'!$G$7:$G$106,'Asset Register'!$AC$7:$AC$106,A10,'Asset Register'!$P$7:$P$106,"&gt;0",'Asset Register'!$AD$7:$AD$106,"&gt;=180")</f>
        <v>450000</v>
      </c>
      <c r="E10" s="52" t="n">
        <f aca="false">SUMIFS('Asset Register'!$G$7:$G$106,'Asset Register'!$AC$7:$AC$106,A10,'Asset Register'!$P$7:$P$106,"&gt;0",'Asset Register'!$AD$7:$AD$106,"&lt;180")</f>
        <v>0</v>
      </c>
      <c r="F10" s="52" t="n">
        <f aca="false">SUMIFS('Asset Register'!$K$7:$K$106,'Asset Register'!$AC$7:$AC$106,A10,'Asset Register'!$T$7:$T$106,"&gt;0")</f>
        <v>0</v>
      </c>
      <c r="G10" s="52" t="n">
        <f aca="false">C10+D10+E10-F10</f>
        <v>2300000</v>
      </c>
      <c r="H10" s="53" t="n">
        <f aca="false">IF(G10&lt;=0,0,ROUND(IF(C10+D10-F10&gt;=0,(C10+D10-F10)*B10+E10*B10/2,(E10+C10+D10-F10)*B10/2),0))</f>
        <v>345000</v>
      </c>
      <c r="I10" s="54" t="n">
        <f aca="false">IF(G10&lt;=0,0,G10-H10)</f>
        <v>1955000</v>
      </c>
      <c r="J10" s="64" t="str">
        <f aca="false">IF(G10&lt;0,"Sale exceeds block: short-term capital gain ₹"&amp;TEXT(-G10,"#,##,##0"),"")</f>
        <v/>
      </c>
    </row>
    <row r="11" customFormat="false" ht="15" hidden="false" customHeight="false" outlineLevel="0" collapsed="false">
      <c r="A11" s="63" t="str">
        <f aca="false">'Rate Chart'!H10</f>
        <v>Vehicles on Hire (30%)</v>
      </c>
      <c r="B11" s="39" t="n">
        <f aca="false">'Rate Chart'!I10</f>
        <v>0.3</v>
      </c>
      <c r="C11" s="91" t="n">
        <v>0</v>
      </c>
      <c r="D11" s="52" t="n">
        <f aca="false">SUMIFS('Asset Register'!$G$7:$G$106,'Asset Register'!$AC$7:$AC$106,A11,'Asset Register'!$P$7:$P$106,"&gt;0",'Asset Register'!$AD$7:$AD$106,"&gt;=180")</f>
        <v>2200000</v>
      </c>
      <c r="E11" s="52" t="n">
        <f aca="false">SUMIFS('Asset Register'!$G$7:$G$106,'Asset Register'!$AC$7:$AC$106,A11,'Asset Register'!$P$7:$P$106,"&gt;0",'Asset Register'!$AD$7:$AD$106,"&lt;180")</f>
        <v>0</v>
      </c>
      <c r="F11" s="52" t="n">
        <f aca="false">SUMIFS('Asset Register'!$K$7:$K$106,'Asset Register'!$AC$7:$AC$106,A11,'Asset Register'!$T$7:$T$106,"&gt;0")</f>
        <v>0</v>
      </c>
      <c r="G11" s="52" t="n">
        <f aca="false">C11+D11+E11-F11</f>
        <v>2200000</v>
      </c>
      <c r="H11" s="53" t="n">
        <f aca="false">IF(G11&lt;=0,0,ROUND(IF(C11+D11-F11&gt;=0,(C11+D11-F11)*B11+E11*B11/2,(E11+C11+D11-F11)*B11/2),0))</f>
        <v>660000</v>
      </c>
      <c r="I11" s="54" t="n">
        <f aca="false">IF(G11&lt;=0,0,G11-H11)</f>
        <v>1540000</v>
      </c>
      <c r="J11" s="64" t="str">
        <f aca="false">IF(G11&lt;0,"Sale exceeds block: short-term capital gain ₹"&amp;TEXT(-G11,"#,##,##0"),"")</f>
        <v/>
      </c>
    </row>
    <row r="12" customFormat="false" ht="15" hidden="false" customHeight="false" outlineLevel="0" collapsed="false">
      <c r="A12" s="63" t="str">
        <f aca="false">'Rate Chart'!H11</f>
        <v>Computers &amp; Software (40%)</v>
      </c>
      <c r="B12" s="39" t="n">
        <f aca="false">'Rate Chart'!I11</f>
        <v>0.4</v>
      </c>
      <c r="C12" s="91" t="n">
        <v>60000</v>
      </c>
      <c r="D12" s="52" t="n">
        <f aca="false">SUMIFS('Asset Register'!$G$7:$G$106,'Asset Register'!$AC$7:$AC$106,A12,'Asset Register'!$P$7:$P$106,"&gt;0",'Asset Register'!$AD$7:$AD$106,"&gt;=180")</f>
        <v>0</v>
      </c>
      <c r="E12" s="52" t="n">
        <f aca="false">SUMIFS('Asset Register'!$G$7:$G$106,'Asset Register'!$AC$7:$AC$106,A12,'Asset Register'!$P$7:$P$106,"&gt;0",'Asset Register'!$AD$7:$AD$106,"&lt;180")</f>
        <v>325000</v>
      </c>
      <c r="F12" s="52" t="n">
        <f aca="false">SUMIFS('Asset Register'!$K$7:$K$106,'Asset Register'!$AC$7:$AC$106,A12,'Asset Register'!$T$7:$T$106,"&gt;0")</f>
        <v>15000</v>
      </c>
      <c r="G12" s="52" t="n">
        <f aca="false">C12+D12+E12-F12</f>
        <v>370000</v>
      </c>
      <c r="H12" s="53" t="n">
        <f aca="false">IF(G12&lt;=0,0,ROUND(IF(C12+D12-F12&gt;=0,(C12+D12-F12)*B12+E12*B12/2,(E12+C12+D12-F12)*B12/2),0))</f>
        <v>83000</v>
      </c>
      <c r="I12" s="54" t="n">
        <f aca="false">IF(G12&lt;=0,0,G12-H12)</f>
        <v>287000</v>
      </c>
      <c r="J12" s="64" t="str">
        <f aca="false">IF(G12&lt;0,"Sale exceeds block: short-term capital gain ₹"&amp;TEXT(-G12,"#,##,##0"),"")</f>
        <v/>
      </c>
    </row>
    <row r="13" customFormat="false" ht="15" hidden="false" customHeight="false" outlineLevel="0" collapsed="false">
      <c r="A13" s="59" t="s">
        <v>151</v>
      </c>
      <c r="B13" s="65"/>
      <c r="C13" s="60" t="n">
        <f aca="false">SUM(C7:C12)</f>
        <v>5700000</v>
      </c>
      <c r="D13" s="60" t="n">
        <f aca="false">SUM(D7:D12)</f>
        <v>2650000</v>
      </c>
      <c r="E13" s="60" t="n">
        <f aca="false">SUM(E7:E12)</f>
        <v>325000</v>
      </c>
      <c r="F13" s="60" t="n">
        <f aca="false">SUM(F7:F12)</f>
        <v>15000</v>
      </c>
      <c r="G13" s="60" t="n">
        <f aca="false">SUM(G7:G12)</f>
        <v>8660000</v>
      </c>
      <c r="H13" s="60" t="n">
        <f aca="false">SUM(H7:H12)</f>
        <v>1467000</v>
      </c>
      <c r="I13" s="60" t="n">
        <f aca="false">SUM(I7:I12)</f>
        <v>7193000</v>
      </c>
      <c r="J13" s="65"/>
    </row>
    <row r="15" customFormat="false" ht="15" hidden="false" customHeight="true" outlineLevel="0" collapsed="false">
      <c r="A15" s="66" t="s">
        <v>172</v>
      </c>
      <c r="B15" s="66"/>
      <c r="C15" s="66"/>
    </row>
    <row r="16" customFormat="false" ht="15" hidden="false" customHeight="true" outlineLevel="0" collapsed="false">
      <c r="A16" s="67" t="s">
        <v>173</v>
      </c>
      <c r="B16" s="67"/>
      <c r="C16" s="68" t="n">
        <f aca="false">'Asset Register'!S107</f>
        <v>1066477</v>
      </c>
    </row>
    <row r="17" customFormat="false" ht="15" hidden="false" customHeight="true" outlineLevel="0" collapsed="false">
      <c r="A17" s="67" t="s">
        <v>174</v>
      </c>
      <c r="B17" s="67"/>
      <c r="C17" s="68" t="n">
        <f aca="false">H13</f>
        <v>1467000</v>
      </c>
    </row>
    <row r="18" customFormat="false" ht="15" hidden="false" customHeight="true" outlineLevel="0" collapsed="false">
      <c r="A18" s="67" t="s">
        <v>175</v>
      </c>
      <c r="B18" s="67"/>
      <c r="C18" s="69" t="n">
        <f aca="false">C17-C16</f>
        <v>400523</v>
      </c>
      <c r="D18" s="70" t="s">
        <v>176</v>
      </c>
      <c r="E18" s="70"/>
      <c r="F18" s="70"/>
      <c r="G18" s="70"/>
      <c r="H18" s="70"/>
    </row>
    <row r="20" customFormat="false" ht="27.75" hidden="false" customHeight="true" outlineLevel="0" collapsed="false">
      <c r="A20" s="42" t="s">
        <v>177</v>
      </c>
      <c r="B20" s="42"/>
      <c r="C20" s="42"/>
      <c r="D20" s="42"/>
      <c r="E20" s="42"/>
      <c r="F20" s="42"/>
      <c r="G20" s="42"/>
      <c r="H20" s="42"/>
      <c r="I20" s="42"/>
      <c r="J20" s="42"/>
    </row>
  </sheetData>
  <sheetProtection sheet="1" objects="1" scenarios="1" formatColumns="0" formatRows="0" algorithmName="SHA-512" hashValue="bS/uGSkksdYdF2ggeZmXxgV1DL7DBZKKHmQWwkBm3AkZAAw8cRc427YtYyycu5WpxBgCNqwBokeVV/eW9KvQtw==" saltValue="xTD7R0LZpdSMvzhtAVRBew==" spinCount="100000"/>
  <mergeCells count="8">
    <mergeCell ref="A2:J2"/>
    <mergeCell ref="A3:J3"/>
    <mergeCell ref="A15:C15"/>
    <mergeCell ref="A16:B16"/>
    <mergeCell ref="A17:B17"/>
    <mergeCell ref="A18:B18"/>
    <mergeCell ref="D18:H18"/>
    <mergeCell ref="A20:J20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M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8" min="4" style="0" width="15"/>
    <col collapsed="false" customWidth="true" hidden="false" outlineLevel="0" max="9" min="9" style="0" width="9"/>
    <col collapsed="false" customWidth="true" hidden="true" outlineLevel="0" max="13" min="11" style="0" width="13"/>
  </cols>
  <sheetData>
    <row r="1" customFormat="false" ht="15" hidden="false" customHeight="false" outlineLevel="0" collapsed="false">
      <c r="A1" s="16" t="s">
        <v>20</v>
      </c>
    </row>
    <row r="2" customFormat="false" ht="30" hidden="false" customHeight="true" outlineLevel="0" collapsed="false">
      <c r="A2" s="32" t="s">
        <v>178</v>
      </c>
      <c r="B2" s="32"/>
      <c r="C2" s="32"/>
      <c r="D2" s="32"/>
      <c r="E2" s="32"/>
      <c r="F2" s="32"/>
      <c r="G2" s="32"/>
      <c r="H2" s="32"/>
      <c r="I2" s="32"/>
    </row>
    <row r="4" customFormat="false" ht="15" hidden="false" customHeight="false" outlineLevel="0" collapsed="false">
      <c r="A4" s="71" t="s">
        <v>179</v>
      </c>
      <c r="B4" s="71"/>
      <c r="C4" s="83" t="s">
        <v>132</v>
      </c>
    </row>
    <row r="5" customFormat="false" ht="15" hidden="false" customHeight="true" outlineLevel="0" collapsed="false">
      <c r="A5" s="72" t="s">
        <v>180</v>
      </c>
      <c r="B5" s="72"/>
      <c r="C5" s="73" t="str">
        <f aca="false">IFERROR(INDEX('Asset Register'!$C$7:$C$106,MATCH($C$4,'Asset Register'!$B$7:$B$106,0)),"")</f>
        <v>CNC machine</v>
      </c>
    </row>
    <row r="6" customFormat="false" ht="15" hidden="false" customHeight="true" outlineLevel="0" collapsed="false">
      <c r="A6" s="72" t="s">
        <v>102</v>
      </c>
      <c r="B6" s="72"/>
      <c r="C6" s="73" t="str">
        <f aca="false">IFERROR(INDEX('Asset Register'!$D$7:$D$106,MATCH($C$4,'Asset Register'!$B$7:$B$106,0)),"")</f>
        <v>Plant &amp; Machinery (general)</v>
      </c>
    </row>
    <row r="7" customFormat="false" ht="15" hidden="false" customHeight="true" outlineLevel="0" collapsed="false">
      <c r="A7" s="72" t="s">
        <v>104</v>
      </c>
      <c r="B7" s="72"/>
      <c r="C7" s="74" t="n">
        <f aca="false">IFERROR(INDEX('Asset Register'!$F$7:$F$106,MATCH($C$4,'Asset Register'!$B$7:$B$106,0)),"")</f>
        <v>44844</v>
      </c>
    </row>
    <row r="8" customFormat="false" ht="15" hidden="false" customHeight="true" outlineLevel="0" collapsed="false">
      <c r="A8" s="72" t="s">
        <v>105</v>
      </c>
      <c r="B8" s="72"/>
      <c r="C8" s="75" t="n">
        <f aca="false">IFERROR(INDEX('Asset Register'!$G$7:$G$106,MATCH($C$4,'Asset Register'!$B$7:$B$106,0)),0)</f>
        <v>1200000</v>
      </c>
    </row>
    <row r="9" customFormat="false" ht="15" hidden="false" customHeight="true" outlineLevel="0" collapsed="false">
      <c r="A9" s="72" t="s">
        <v>181</v>
      </c>
      <c r="B9" s="72"/>
      <c r="C9" s="76" t="n">
        <f aca="false">IFERROR(N(INDEX('Asset Register'!$L$7:$L$106,MATCH($C$4,'Asset Register'!$B$7:$B$106,0))),0)</f>
        <v>15</v>
      </c>
      <c r="D9" s="77" t="str">
        <f aca="false">IF(AND($C$4&lt;&gt;"",C9=0),"Not depreciated (e.g. land)","")</f>
        <v/>
      </c>
    </row>
    <row r="10" customFormat="false" ht="15" hidden="false" customHeight="true" outlineLevel="0" collapsed="false">
      <c r="A10" s="72" t="s">
        <v>111</v>
      </c>
      <c r="B10" s="72"/>
      <c r="C10" s="75" t="n">
        <f aca="false">ROUND(C8*Setup!$C$7,0)</f>
        <v>60000</v>
      </c>
    </row>
    <row r="11" customFormat="false" ht="15" hidden="false" customHeight="true" outlineLevel="0" collapsed="false">
      <c r="A11" s="72" t="s">
        <v>63</v>
      </c>
      <c r="B11" s="72"/>
      <c r="C11" s="78" t="n">
        <f aca="false">IF(C9=0,0,(1-Setup!$C$7)/C9)</f>
        <v>0.0633333333333333</v>
      </c>
    </row>
    <row r="12" customFormat="false" ht="15" hidden="false" customHeight="true" outlineLevel="0" collapsed="false">
      <c r="A12" s="72" t="s">
        <v>64</v>
      </c>
      <c r="B12" s="72"/>
      <c r="C12" s="78" t="n">
        <f aca="false">IF(C9=0,0,1-Setup!$C$7^(1/C9))</f>
        <v>0.181036272522085</v>
      </c>
    </row>
    <row r="13" customFormat="false" ht="15" hidden="false" customHeight="true" outlineLevel="0" collapsed="false">
      <c r="A13" s="72" t="s">
        <v>182</v>
      </c>
      <c r="B13" s="72"/>
      <c r="C13" s="74" t="n">
        <f aca="false">IF(C7="","",DATE(YEAR(C7)+IF(MONTH(C7)&gt;=MONTH(Setup!$C$5),1,0),MONTH(Setup!$C$5),1)-1)</f>
        <v>45016</v>
      </c>
    </row>
    <row r="14" customFormat="false" ht="15" hidden="false" customHeight="true" outlineLevel="0" collapsed="false">
      <c r="A14" s="72" t="s">
        <v>183</v>
      </c>
      <c r="B14" s="72"/>
      <c r="C14" s="79" t="n">
        <f aca="false">IF(C7="",0,(C13-C7+1)/(C13-DATE(YEAR(C13+1)-1,MONTH(Setup!$C$5),1)+1))</f>
        <v>0.473972602739726</v>
      </c>
    </row>
    <row r="16" customFormat="false" ht="21.75" hidden="false" customHeight="true" outlineLevel="0" collapsed="false">
      <c r="A16" s="34" t="s">
        <v>184</v>
      </c>
      <c r="B16" s="34" t="s">
        <v>185</v>
      </c>
      <c r="C16" s="34" t="s">
        <v>186</v>
      </c>
      <c r="D16" s="34"/>
      <c r="E16" s="34"/>
      <c r="F16" s="34" t="s">
        <v>187</v>
      </c>
      <c r="G16" s="34"/>
      <c r="H16" s="34"/>
      <c r="I16" s="34" t="s">
        <v>188</v>
      </c>
      <c r="K16" s="8" t="s">
        <v>189</v>
      </c>
      <c r="L16" s="80" t="s">
        <v>126</v>
      </c>
      <c r="M16" s="80" t="s">
        <v>52</v>
      </c>
    </row>
    <row r="17" customFormat="false" ht="21.75" hidden="false" customHeight="true" outlineLevel="0" collapsed="false">
      <c r="A17" s="34"/>
      <c r="B17" s="34"/>
      <c r="C17" s="34" t="s">
        <v>190</v>
      </c>
      <c r="D17" s="34" t="s">
        <v>116</v>
      </c>
      <c r="E17" s="34" t="s">
        <v>191</v>
      </c>
      <c r="F17" s="34" t="s">
        <v>190</v>
      </c>
      <c r="G17" s="34" t="s">
        <v>116</v>
      </c>
      <c r="H17" s="34" t="s">
        <v>191</v>
      </c>
      <c r="I17" s="34" t="s">
        <v>192</v>
      </c>
      <c r="K17" s="8" t="s">
        <v>193</v>
      </c>
      <c r="L17" s="9" t="n">
        <f aca="false">$C$8</f>
        <v>1200000</v>
      </c>
      <c r="M17" s="9" t="n">
        <f aca="false">$C$8</f>
        <v>1200000</v>
      </c>
    </row>
    <row r="18" customFormat="false" ht="15" hidden="false" customHeight="false" outlineLevel="0" collapsed="false">
      <c r="A18" s="81" t="n">
        <f aca="false">IF(OR($C$9=0,1&gt;$C$9+1),"",1)</f>
        <v>1</v>
      </c>
      <c r="B18" s="81" t="str">
        <f aca="false">IF(A18="","","FY "&amp;(YEAR($C$13)+A18-2)&amp;"-"&amp;RIGHT(YEAR($C$13)+A18-1,2))</f>
        <v>FY 2022-23</v>
      </c>
      <c r="C18" s="52" t="n">
        <f aca="false">IF(A18="","",$C$8)</f>
        <v>1200000</v>
      </c>
      <c r="D18" s="54" t="n">
        <f aca="false">IF(A18="","",ROUND(MAX(0,MIN(($C$8-$C$10)/$C$9*I18,C18-$C$10)),0))</f>
        <v>36022</v>
      </c>
      <c r="E18" s="52" t="n">
        <f aca="false">IF(A18="","",C18-D18)</f>
        <v>1163978</v>
      </c>
      <c r="F18" s="52" t="n">
        <f aca="false">IF(A18="","",$C$8)</f>
        <v>1200000</v>
      </c>
      <c r="G18" s="54" t="n">
        <f aca="false">IF(A18="","",ROUND(MAX(0,MIN(F18*$C$12*I18,F18-$C$10)),0))</f>
        <v>102967</v>
      </c>
      <c r="H18" s="52" t="n">
        <f aca="false">IF(A18="","",F18-G18)</f>
        <v>1097033</v>
      </c>
      <c r="I18" s="82" t="n">
        <f aca="false">IF(A18="","",IF(A18=1,$C$14,1))</f>
        <v>0.473972602739726</v>
      </c>
      <c r="K18" s="8" t="str">
        <f aca="false">IF($C$9=0,"Yr 1","Yr "&amp;MAX(1,ROUND(1*($C$9+1)/10,0)))</f>
        <v>Yr 2</v>
      </c>
      <c r="L18" s="8" t="n">
        <f aca="false">IF($C$9=0,$C$8,N(INDEX($E$18:$E$78,MAX(1,ROUND(1*($C$9+1)/10,0)))))</f>
        <v>1087978</v>
      </c>
      <c r="M18" s="8" t="n">
        <f aca="false">IF($C$9=0,$C$8,N(INDEX($H$18:$H$78,MAX(1,ROUND(1*($C$9+1)/10,0)))))</f>
        <v>898430</v>
      </c>
    </row>
    <row r="19" customFormat="false" ht="15" hidden="false" customHeight="false" outlineLevel="0" collapsed="false">
      <c r="A19" s="81" t="n">
        <f aca="false">IF(OR($C$9=0,2&gt;$C$9+1),"",2)</f>
        <v>2</v>
      </c>
      <c r="B19" s="81" t="str">
        <f aca="false">IF(A19="","","FY "&amp;(YEAR($C$13)+A19-2)&amp;"-"&amp;RIGHT(YEAR($C$13)+A19-1,2))</f>
        <v>FY 2023-24</v>
      </c>
      <c r="C19" s="52" t="n">
        <f aca="false">IF(A19="","",E18)</f>
        <v>1163978</v>
      </c>
      <c r="D19" s="54" t="n">
        <f aca="false">IF(A19="","",ROUND(MAX(0,MIN(($C$8-$C$10)/$C$9*I19,C19-$C$10)),0))</f>
        <v>76000</v>
      </c>
      <c r="E19" s="52" t="n">
        <f aca="false">IF(A19="","",C19-D19)</f>
        <v>1087978</v>
      </c>
      <c r="F19" s="52" t="n">
        <f aca="false">IF(A19="","",H18)</f>
        <v>1097033</v>
      </c>
      <c r="G19" s="54" t="n">
        <f aca="false">IF(A19="","",ROUND(MAX(0,MIN(F19*$C$12*I19,F19-$C$10)),0))</f>
        <v>198603</v>
      </c>
      <c r="H19" s="52" t="n">
        <f aca="false">IF(A19="","",F19-G19)</f>
        <v>898430</v>
      </c>
      <c r="I19" s="82" t="n">
        <f aca="false">IF(A19="","",IF(A19=1,$C$14,1))</f>
        <v>1</v>
      </c>
      <c r="K19" s="8" t="str">
        <f aca="false">IF($C$9=0,"Yr 2","Yr "&amp;MAX(1,ROUND(2*($C$9+1)/10,0)))</f>
        <v>Yr 3</v>
      </c>
      <c r="L19" s="8" t="n">
        <f aca="false">IF($C$9=0,$C$8,N(INDEX($E$18:$E$78,MAX(1,ROUND(2*($C$9+1)/10,0)))))</f>
        <v>1011978</v>
      </c>
      <c r="M19" s="8" t="n">
        <f aca="false">IF($C$9=0,$C$8,N(INDEX($H$18:$H$78,MAX(1,ROUND(2*($C$9+1)/10,0)))))</f>
        <v>735782</v>
      </c>
    </row>
    <row r="20" customFormat="false" ht="15" hidden="false" customHeight="false" outlineLevel="0" collapsed="false">
      <c r="A20" s="81" t="n">
        <f aca="false">IF(OR($C$9=0,3&gt;$C$9+1),"",3)</f>
        <v>3</v>
      </c>
      <c r="B20" s="81" t="str">
        <f aca="false">IF(A20="","","FY "&amp;(YEAR($C$13)+A20-2)&amp;"-"&amp;RIGHT(YEAR($C$13)+A20-1,2))</f>
        <v>FY 2024-25</v>
      </c>
      <c r="C20" s="52" t="n">
        <f aca="false">IF(A20="","",E19)</f>
        <v>1087978</v>
      </c>
      <c r="D20" s="54" t="n">
        <f aca="false">IF(A20="","",ROUND(MAX(0,MIN(($C$8-$C$10)/$C$9*I20,C20-$C$10)),0))</f>
        <v>76000</v>
      </c>
      <c r="E20" s="52" t="n">
        <f aca="false">IF(A20="","",C20-D20)</f>
        <v>1011978</v>
      </c>
      <c r="F20" s="52" t="n">
        <f aca="false">IF(A20="","",H19)</f>
        <v>898430</v>
      </c>
      <c r="G20" s="54" t="n">
        <f aca="false">IF(A20="","",ROUND(MAX(0,MIN(F20*$C$12*I20,F20-$C$10)),0))</f>
        <v>162648</v>
      </c>
      <c r="H20" s="52" t="n">
        <f aca="false">IF(A20="","",F20-G20)</f>
        <v>735782</v>
      </c>
      <c r="I20" s="82" t="n">
        <f aca="false">IF(A20="","",IF(A20=1,$C$14,1))</f>
        <v>1</v>
      </c>
      <c r="K20" s="8" t="str">
        <f aca="false">IF($C$9=0,"Yr 3","Yr "&amp;MAX(1,ROUND(3*($C$9+1)/10,0)))</f>
        <v>Yr 5</v>
      </c>
      <c r="L20" s="8" t="n">
        <f aca="false">IF($C$9=0,$C$8,N(INDEX($E$18:$E$78,MAX(1,ROUND(3*($C$9+1)/10,0)))))</f>
        <v>859978</v>
      </c>
      <c r="M20" s="8" t="n">
        <f aca="false">IF($C$9=0,$C$8,N(INDEX($H$18:$H$78,MAX(1,ROUND(3*($C$9+1)/10,0)))))</f>
        <v>493490</v>
      </c>
    </row>
    <row r="21" customFormat="false" ht="15" hidden="false" customHeight="false" outlineLevel="0" collapsed="false">
      <c r="A21" s="81" t="n">
        <f aca="false">IF(OR($C$9=0,4&gt;$C$9+1),"",4)</f>
        <v>4</v>
      </c>
      <c r="B21" s="81" t="str">
        <f aca="false">IF(A21="","","FY "&amp;(YEAR($C$13)+A21-2)&amp;"-"&amp;RIGHT(YEAR($C$13)+A21-1,2))</f>
        <v>FY 2025-26</v>
      </c>
      <c r="C21" s="52" t="n">
        <f aca="false">IF(A21="","",E20)</f>
        <v>1011978</v>
      </c>
      <c r="D21" s="54" t="n">
        <f aca="false">IF(A21="","",ROUND(MAX(0,MIN(($C$8-$C$10)/$C$9*I21,C21-$C$10)),0))</f>
        <v>76000</v>
      </c>
      <c r="E21" s="52" t="n">
        <f aca="false">IF(A21="","",C21-D21)</f>
        <v>935978</v>
      </c>
      <c r="F21" s="52" t="n">
        <f aca="false">IF(A21="","",H20)</f>
        <v>735782</v>
      </c>
      <c r="G21" s="54" t="n">
        <f aca="false">IF(A21="","",ROUND(MAX(0,MIN(F21*$C$12*I21,F21-$C$10)),0))</f>
        <v>133203</v>
      </c>
      <c r="H21" s="52" t="n">
        <f aca="false">IF(A21="","",F21-G21)</f>
        <v>602579</v>
      </c>
      <c r="I21" s="82" t="n">
        <f aca="false">IF(A21="","",IF(A21=1,$C$14,1))</f>
        <v>1</v>
      </c>
      <c r="K21" s="8" t="str">
        <f aca="false">IF($C$9=0,"Yr 4","Yr "&amp;MAX(1,ROUND(4*($C$9+1)/10,0)))</f>
        <v>Yr 6</v>
      </c>
      <c r="L21" s="8" t="n">
        <f aca="false">IF($C$9=0,$C$8,N(INDEX($E$18:$E$78,MAX(1,ROUND(4*($C$9+1)/10,0)))))</f>
        <v>783978</v>
      </c>
      <c r="M21" s="8" t="n">
        <f aca="false">IF($C$9=0,$C$8,N(INDEX($H$18:$H$78,MAX(1,ROUND(4*($C$9+1)/10,0)))))</f>
        <v>404150</v>
      </c>
    </row>
    <row r="22" customFormat="false" ht="15" hidden="false" customHeight="false" outlineLevel="0" collapsed="false">
      <c r="A22" s="81" t="n">
        <f aca="false">IF(OR($C$9=0,5&gt;$C$9+1),"",5)</f>
        <v>5</v>
      </c>
      <c r="B22" s="81" t="str">
        <f aca="false">IF(A22="","","FY "&amp;(YEAR($C$13)+A22-2)&amp;"-"&amp;RIGHT(YEAR($C$13)+A22-1,2))</f>
        <v>FY 2026-27</v>
      </c>
      <c r="C22" s="52" t="n">
        <f aca="false">IF(A22="","",E21)</f>
        <v>935978</v>
      </c>
      <c r="D22" s="54" t="n">
        <f aca="false">IF(A22="","",ROUND(MAX(0,MIN(($C$8-$C$10)/$C$9*I22,C22-$C$10)),0))</f>
        <v>76000</v>
      </c>
      <c r="E22" s="52" t="n">
        <f aca="false">IF(A22="","",C22-D22)</f>
        <v>859978</v>
      </c>
      <c r="F22" s="52" t="n">
        <f aca="false">IF(A22="","",H21)</f>
        <v>602579</v>
      </c>
      <c r="G22" s="54" t="n">
        <f aca="false">IF(A22="","",ROUND(MAX(0,MIN(F22*$C$12*I22,F22-$C$10)),0))</f>
        <v>109089</v>
      </c>
      <c r="H22" s="52" t="n">
        <f aca="false">IF(A22="","",F22-G22)</f>
        <v>493490</v>
      </c>
      <c r="I22" s="82" t="n">
        <f aca="false">IF(A22="","",IF(A22=1,$C$14,1))</f>
        <v>1</v>
      </c>
      <c r="K22" s="8" t="str">
        <f aca="false">IF($C$9=0,"Yr 5","Yr "&amp;MAX(1,ROUND(5*($C$9+1)/10,0)))</f>
        <v>Yr 8</v>
      </c>
      <c r="L22" s="8" t="n">
        <f aca="false">IF($C$9=0,$C$8,N(INDEX($E$18:$E$78,MAX(1,ROUND(5*($C$9+1)/10,0)))))</f>
        <v>631978</v>
      </c>
      <c r="M22" s="8" t="n">
        <f aca="false">IF($C$9=0,$C$8,N(INDEX($H$18:$H$78,MAX(1,ROUND(5*($C$9+1)/10,0)))))</f>
        <v>271064</v>
      </c>
    </row>
    <row r="23" customFormat="false" ht="15" hidden="false" customHeight="false" outlineLevel="0" collapsed="false">
      <c r="A23" s="81" t="n">
        <f aca="false">IF(OR($C$9=0,6&gt;$C$9+1),"",6)</f>
        <v>6</v>
      </c>
      <c r="B23" s="81" t="str">
        <f aca="false">IF(A23="","","FY "&amp;(YEAR($C$13)+A23-2)&amp;"-"&amp;RIGHT(YEAR($C$13)+A23-1,2))</f>
        <v>FY 2027-28</v>
      </c>
      <c r="C23" s="52" t="n">
        <f aca="false">IF(A23="","",E22)</f>
        <v>859978</v>
      </c>
      <c r="D23" s="54" t="n">
        <f aca="false">IF(A23="","",ROUND(MAX(0,MIN(($C$8-$C$10)/$C$9*I23,C23-$C$10)),0))</f>
        <v>76000</v>
      </c>
      <c r="E23" s="52" t="n">
        <f aca="false">IF(A23="","",C23-D23)</f>
        <v>783978</v>
      </c>
      <c r="F23" s="52" t="n">
        <f aca="false">IF(A23="","",H22)</f>
        <v>493490</v>
      </c>
      <c r="G23" s="54" t="n">
        <f aca="false">IF(A23="","",ROUND(MAX(0,MIN(F23*$C$12*I23,F23-$C$10)),0))</f>
        <v>89340</v>
      </c>
      <c r="H23" s="52" t="n">
        <f aca="false">IF(A23="","",F23-G23)</f>
        <v>404150</v>
      </c>
      <c r="I23" s="82" t="n">
        <f aca="false">IF(A23="","",IF(A23=1,$C$14,1))</f>
        <v>1</v>
      </c>
      <c r="K23" s="8" t="str">
        <f aca="false">IF($C$9=0,"Yr 6","Yr "&amp;MAX(1,ROUND(6*($C$9+1)/10,0)))</f>
        <v>Yr 10</v>
      </c>
      <c r="L23" s="8" t="n">
        <f aca="false">IF($C$9=0,$C$8,N(INDEX($E$18:$E$78,MAX(1,ROUND(6*($C$9+1)/10,0)))))</f>
        <v>479978</v>
      </c>
      <c r="M23" s="8" t="n">
        <f aca="false">IF($C$9=0,$C$8,N(INDEX($H$18:$H$78,MAX(1,ROUND(6*($C$9+1)/10,0)))))</f>
        <v>181803</v>
      </c>
    </row>
    <row r="24" customFormat="false" ht="15" hidden="false" customHeight="false" outlineLevel="0" collapsed="false">
      <c r="A24" s="81" t="n">
        <f aca="false">IF(OR($C$9=0,7&gt;$C$9+1),"",7)</f>
        <v>7</v>
      </c>
      <c r="B24" s="81" t="str">
        <f aca="false">IF(A24="","","FY "&amp;(YEAR($C$13)+A24-2)&amp;"-"&amp;RIGHT(YEAR($C$13)+A24-1,2))</f>
        <v>FY 2028-29</v>
      </c>
      <c r="C24" s="52" t="n">
        <f aca="false">IF(A24="","",E23)</f>
        <v>783978</v>
      </c>
      <c r="D24" s="54" t="n">
        <f aca="false">IF(A24="","",ROUND(MAX(0,MIN(($C$8-$C$10)/$C$9*I24,C24-$C$10)),0))</f>
        <v>76000</v>
      </c>
      <c r="E24" s="52" t="n">
        <f aca="false">IF(A24="","",C24-D24)</f>
        <v>707978</v>
      </c>
      <c r="F24" s="52" t="n">
        <f aca="false">IF(A24="","",H23)</f>
        <v>404150</v>
      </c>
      <c r="G24" s="54" t="n">
        <f aca="false">IF(A24="","",ROUND(MAX(0,MIN(F24*$C$12*I24,F24-$C$10)),0))</f>
        <v>73166</v>
      </c>
      <c r="H24" s="52" t="n">
        <f aca="false">IF(A24="","",F24-G24)</f>
        <v>330984</v>
      </c>
      <c r="I24" s="82" t="n">
        <f aca="false">IF(A24="","",IF(A24=1,$C$14,1))</f>
        <v>1</v>
      </c>
      <c r="K24" s="8" t="str">
        <f aca="false">IF($C$9=0,"Yr 7","Yr "&amp;MAX(1,ROUND(7*($C$9+1)/10,0)))</f>
        <v>Yr 11</v>
      </c>
      <c r="L24" s="8" t="n">
        <f aca="false">IF($C$9=0,$C$8,N(INDEX($E$18:$E$78,MAX(1,ROUND(7*($C$9+1)/10,0)))))</f>
        <v>403978</v>
      </c>
      <c r="M24" s="8" t="n">
        <f aca="false">IF($C$9=0,$C$8,N(INDEX($H$18:$H$78,MAX(1,ROUND(7*($C$9+1)/10,0)))))</f>
        <v>148890</v>
      </c>
    </row>
    <row r="25" customFormat="false" ht="15" hidden="false" customHeight="false" outlineLevel="0" collapsed="false">
      <c r="A25" s="81" t="n">
        <f aca="false">IF(OR($C$9=0,8&gt;$C$9+1),"",8)</f>
        <v>8</v>
      </c>
      <c r="B25" s="81" t="str">
        <f aca="false">IF(A25="","","FY "&amp;(YEAR($C$13)+A25-2)&amp;"-"&amp;RIGHT(YEAR($C$13)+A25-1,2))</f>
        <v>FY 2029-30</v>
      </c>
      <c r="C25" s="52" t="n">
        <f aca="false">IF(A25="","",E24)</f>
        <v>707978</v>
      </c>
      <c r="D25" s="54" t="n">
        <f aca="false">IF(A25="","",ROUND(MAX(0,MIN(($C$8-$C$10)/$C$9*I25,C25-$C$10)),0))</f>
        <v>76000</v>
      </c>
      <c r="E25" s="52" t="n">
        <f aca="false">IF(A25="","",C25-D25)</f>
        <v>631978</v>
      </c>
      <c r="F25" s="52" t="n">
        <f aca="false">IF(A25="","",H24)</f>
        <v>330984</v>
      </c>
      <c r="G25" s="54" t="n">
        <f aca="false">IF(A25="","",ROUND(MAX(0,MIN(F25*$C$12*I25,F25-$C$10)),0))</f>
        <v>59920</v>
      </c>
      <c r="H25" s="52" t="n">
        <f aca="false">IF(A25="","",F25-G25)</f>
        <v>271064</v>
      </c>
      <c r="I25" s="82" t="n">
        <f aca="false">IF(A25="","",IF(A25=1,$C$14,1))</f>
        <v>1</v>
      </c>
      <c r="K25" s="8" t="str">
        <f aca="false">IF($C$9=0,"Yr 8","Yr "&amp;MAX(1,ROUND(8*($C$9+1)/10,0)))</f>
        <v>Yr 13</v>
      </c>
      <c r="L25" s="8" t="n">
        <f aca="false">IF($C$9=0,$C$8,N(INDEX($E$18:$E$78,MAX(1,ROUND(8*($C$9+1)/10,0)))))</f>
        <v>251978</v>
      </c>
      <c r="M25" s="8" t="n">
        <f aca="false">IF($C$9=0,$C$8,N(INDEX($H$18:$H$78,MAX(1,ROUND(8*($C$9+1)/10,0)))))</f>
        <v>99861</v>
      </c>
    </row>
    <row r="26" customFormat="false" ht="15" hidden="false" customHeight="false" outlineLevel="0" collapsed="false">
      <c r="A26" s="81" t="n">
        <f aca="false">IF(OR($C$9=0,9&gt;$C$9+1),"",9)</f>
        <v>9</v>
      </c>
      <c r="B26" s="81" t="str">
        <f aca="false">IF(A26="","","FY "&amp;(YEAR($C$13)+A26-2)&amp;"-"&amp;RIGHT(YEAR($C$13)+A26-1,2))</f>
        <v>FY 2030-31</v>
      </c>
      <c r="C26" s="52" t="n">
        <f aca="false">IF(A26="","",E25)</f>
        <v>631978</v>
      </c>
      <c r="D26" s="54" t="n">
        <f aca="false">IF(A26="","",ROUND(MAX(0,MIN(($C$8-$C$10)/$C$9*I26,C26-$C$10)),0))</f>
        <v>76000</v>
      </c>
      <c r="E26" s="52" t="n">
        <f aca="false">IF(A26="","",C26-D26)</f>
        <v>555978</v>
      </c>
      <c r="F26" s="52" t="n">
        <f aca="false">IF(A26="","",H25)</f>
        <v>271064</v>
      </c>
      <c r="G26" s="54" t="n">
        <f aca="false">IF(A26="","",ROUND(MAX(0,MIN(F26*$C$12*I26,F26-$C$10)),0))</f>
        <v>49072</v>
      </c>
      <c r="H26" s="52" t="n">
        <f aca="false">IF(A26="","",F26-G26)</f>
        <v>221992</v>
      </c>
      <c r="I26" s="82" t="n">
        <f aca="false">IF(A26="","",IF(A26=1,$C$14,1))</f>
        <v>1</v>
      </c>
      <c r="K26" s="8" t="str">
        <f aca="false">IF($C$9=0,"Yr 9","Yr "&amp;MAX(1,ROUND(9*($C$9+1)/10,0)))</f>
        <v>Yr 14</v>
      </c>
      <c r="L26" s="8" t="n">
        <f aca="false">IF($C$9=0,$C$8,N(INDEX($E$18:$E$78,MAX(1,ROUND(9*($C$9+1)/10,0)))))</f>
        <v>175978</v>
      </c>
      <c r="M26" s="8" t="n">
        <f aca="false">IF($C$9=0,$C$8,N(INDEX($H$18:$H$78,MAX(1,ROUND(9*($C$9+1)/10,0)))))</f>
        <v>81783</v>
      </c>
    </row>
    <row r="27" customFormat="false" ht="15" hidden="false" customHeight="false" outlineLevel="0" collapsed="false">
      <c r="A27" s="81" t="n">
        <f aca="false">IF(OR($C$9=0,10&gt;$C$9+1),"",10)</f>
        <v>10</v>
      </c>
      <c r="B27" s="81" t="str">
        <f aca="false">IF(A27="","","FY "&amp;(YEAR($C$13)+A27-2)&amp;"-"&amp;RIGHT(YEAR($C$13)+A27-1,2))</f>
        <v>FY 2031-32</v>
      </c>
      <c r="C27" s="52" t="n">
        <f aca="false">IF(A27="","",E26)</f>
        <v>555978</v>
      </c>
      <c r="D27" s="54" t="n">
        <f aca="false">IF(A27="","",ROUND(MAX(0,MIN(($C$8-$C$10)/$C$9*I27,C27-$C$10)),0))</f>
        <v>76000</v>
      </c>
      <c r="E27" s="52" t="n">
        <f aca="false">IF(A27="","",C27-D27)</f>
        <v>479978</v>
      </c>
      <c r="F27" s="52" t="n">
        <f aca="false">IF(A27="","",H26)</f>
        <v>221992</v>
      </c>
      <c r="G27" s="54" t="n">
        <f aca="false">IF(A27="","",ROUND(MAX(0,MIN(F27*$C$12*I27,F27-$C$10)),0))</f>
        <v>40189</v>
      </c>
      <c r="H27" s="52" t="n">
        <f aca="false">IF(A27="","",F27-G27)</f>
        <v>181803</v>
      </c>
      <c r="I27" s="82" t="n">
        <f aca="false">IF(A27="","",IF(A27=1,$C$14,1))</f>
        <v>1</v>
      </c>
      <c r="K27" s="8" t="str">
        <f aca="false">IF($C$9=0,"Yr 10","Yr "&amp;MAX(1,ROUND(10*($C$9+1)/10,0)))</f>
        <v>Yr 16</v>
      </c>
      <c r="L27" s="8" t="n">
        <f aca="false">IF($C$9=0,$C$8,N(INDEX($E$18:$E$78,MAX(1,ROUND(10*($C$9+1)/10,0)))))</f>
        <v>60000</v>
      </c>
      <c r="M27" s="8" t="n">
        <f aca="false">IF($C$9=0,$C$8,N(INDEX($H$18:$H$78,MAX(1,ROUND(10*($C$9+1)/10,0)))))</f>
        <v>60000</v>
      </c>
    </row>
    <row r="28" customFormat="false" ht="15" hidden="false" customHeight="false" outlineLevel="0" collapsed="false">
      <c r="A28" s="81" t="n">
        <f aca="false">IF(OR($C$9=0,11&gt;$C$9+1),"",11)</f>
        <v>11</v>
      </c>
      <c r="B28" s="81" t="str">
        <f aca="false">IF(A28="","","FY "&amp;(YEAR($C$13)+A28-2)&amp;"-"&amp;RIGHT(YEAR($C$13)+A28-1,2))</f>
        <v>FY 2032-33</v>
      </c>
      <c r="C28" s="52" t="n">
        <f aca="false">IF(A28="","",E27)</f>
        <v>479978</v>
      </c>
      <c r="D28" s="54" t="n">
        <f aca="false">IF(A28="","",ROUND(MAX(0,MIN(($C$8-$C$10)/$C$9*I28,C28-$C$10)),0))</f>
        <v>76000</v>
      </c>
      <c r="E28" s="52" t="n">
        <f aca="false">IF(A28="","",C28-D28)</f>
        <v>403978</v>
      </c>
      <c r="F28" s="52" t="n">
        <f aca="false">IF(A28="","",H27)</f>
        <v>181803</v>
      </c>
      <c r="G28" s="54" t="n">
        <f aca="false">IF(A28="","",ROUND(MAX(0,MIN(F28*$C$12*I28,F28-$C$10)),0))</f>
        <v>32913</v>
      </c>
      <c r="H28" s="52" t="n">
        <f aca="false">IF(A28="","",F28-G28)</f>
        <v>148890</v>
      </c>
      <c r="I28" s="82" t="n">
        <f aca="false">IF(A28="","",IF(A28=1,$C$14,1))</f>
        <v>1</v>
      </c>
    </row>
    <row r="29" customFormat="false" ht="15" hidden="false" customHeight="false" outlineLevel="0" collapsed="false">
      <c r="A29" s="81" t="n">
        <f aca="false">IF(OR($C$9=0,12&gt;$C$9+1),"",12)</f>
        <v>12</v>
      </c>
      <c r="B29" s="81" t="str">
        <f aca="false">IF(A29="","","FY "&amp;(YEAR($C$13)+A29-2)&amp;"-"&amp;RIGHT(YEAR($C$13)+A29-1,2))</f>
        <v>FY 2033-34</v>
      </c>
      <c r="C29" s="52" t="n">
        <f aca="false">IF(A29="","",E28)</f>
        <v>403978</v>
      </c>
      <c r="D29" s="54" t="n">
        <f aca="false">IF(A29="","",ROUND(MAX(0,MIN(($C$8-$C$10)/$C$9*I29,C29-$C$10)),0))</f>
        <v>76000</v>
      </c>
      <c r="E29" s="52" t="n">
        <f aca="false">IF(A29="","",C29-D29)</f>
        <v>327978</v>
      </c>
      <c r="F29" s="52" t="n">
        <f aca="false">IF(A29="","",H28)</f>
        <v>148890</v>
      </c>
      <c r="G29" s="54" t="n">
        <f aca="false">IF(A29="","",ROUND(MAX(0,MIN(F29*$C$12*I29,F29-$C$10)),0))</f>
        <v>26954</v>
      </c>
      <c r="H29" s="52" t="n">
        <f aca="false">IF(A29="","",F29-G29)</f>
        <v>121936</v>
      </c>
      <c r="I29" s="82" t="n">
        <f aca="false">IF(A29="","",IF(A29=1,$C$14,1))</f>
        <v>1</v>
      </c>
    </row>
    <row r="30" customFormat="false" ht="15" hidden="false" customHeight="false" outlineLevel="0" collapsed="false">
      <c r="A30" s="81" t="n">
        <f aca="false">IF(OR($C$9=0,13&gt;$C$9+1),"",13)</f>
        <v>13</v>
      </c>
      <c r="B30" s="81" t="str">
        <f aca="false">IF(A30="","","FY "&amp;(YEAR($C$13)+A30-2)&amp;"-"&amp;RIGHT(YEAR($C$13)+A30-1,2))</f>
        <v>FY 2034-35</v>
      </c>
      <c r="C30" s="52" t="n">
        <f aca="false">IF(A30="","",E29)</f>
        <v>327978</v>
      </c>
      <c r="D30" s="54" t="n">
        <f aca="false">IF(A30="","",ROUND(MAX(0,MIN(($C$8-$C$10)/$C$9*I30,C30-$C$10)),0))</f>
        <v>76000</v>
      </c>
      <c r="E30" s="52" t="n">
        <f aca="false">IF(A30="","",C30-D30)</f>
        <v>251978</v>
      </c>
      <c r="F30" s="52" t="n">
        <f aca="false">IF(A30="","",H29)</f>
        <v>121936</v>
      </c>
      <c r="G30" s="54" t="n">
        <f aca="false">IF(A30="","",ROUND(MAX(0,MIN(F30*$C$12*I30,F30-$C$10)),0))</f>
        <v>22075</v>
      </c>
      <c r="H30" s="52" t="n">
        <f aca="false">IF(A30="","",F30-G30)</f>
        <v>99861</v>
      </c>
      <c r="I30" s="82" t="n">
        <f aca="false">IF(A30="","",IF(A30=1,$C$14,1))</f>
        <v>1</v>
      </c>
    </row>
    <row r="31" customFormat="false" ht="15" hidden="false" customHeight="false" outlineLevel="0" collapsed="false">
      <c r="A31" s="81" t="n">
        <f aca="false">IF(OR($C$9=0,14&gt;$C$9+1),"",14)</f>
        <v>14</v>
      </c>
      <c r="B31" s="81" t="str">
        <f aca="false">IF(A31="","","FY "&amp;(YEAR($C$13)+A31-2)&amp;"-"&amp;RIGHT(YEAR($C$13)+A31-1,2))</f>
        <v>FY 2035-36</v>
      </c>
      <c r="C31" s="52" t="n">
        <f aca="false">IF(A31="","",E30)</f>
        <v>251978</v>
      </c>
      <c r="D31" s="54" t="n">
        <f aca="false">IF(A31="","",ROUND(MAX(0,MIN(($C$8-$C$10)/$C$9*I31,C31-$C$10)),0))</f>
        <v>76000</v>
      </c>
      <c r="E31" s="52" t="n">
        <f aca="false">IF(A31="","",C31-D31)</f>
        <v>175978</v>
      </c>
      <c r="F31" s="52" t="n">
        <f aca="false">IF(A31="","",H30)</f>
        <v>99861</v>
      </c>
      <c r="G31" s="54" t="n">
        <f aca="false">IF(A31="","",ROUND(MAX(0,MIN(F31*$C$12*I31,F31-$C$10)),0))</f>
        <v>18078</v>
      </c>
      <c r="H31" s="52" t="n">
        <f aca="false">IF(A31="","",F31-G31)</f>
        <v>81783</v>
      </c>
      <c r="I31" s="82" t="n">
        <f aca="false">IF(A31="","",IF(A31=1,$C$14,1))</f>
        <v>1</v>
      </c>
    </row>
    <row r="32" customFormat="false" ht="15" hidden="false" customHeight="false" outlineLevel="0" collapsed="false">
      <c r="A32" s="81" t="n">
        <f aca="false">IF(OR($C$9=0,15&gt;$C$9+1),"",15)</f>
        <v>15</v>
      </c>
      <c r="B32" s="81" t="str">
        <f aca="false">IF(A32="","","FY "&amp;(YEAR($C$13)+A32-2)&amp;"-"&amp;RIGHT(YEAR($C$13)+A32-1,2))</f>
        <v>FY 2036-37</v>
      </c>
      <c r="C32" s="52" t="n">
        <f aca="false">IF(A32="","",E31)</f>
        <v>175978</v>
      </c>
      <c r="D32" s="54" t="n">
        <f aca="false">IF(A32="","",ROUND(MAX(0,MIN(($C$8-$C$10)/$C$9*I32,C32-$C$10)),0))</f>
        <v>76000</v>
      </c>
      <c r="E32" s="52" t="n">
        <f aca="false">IF(A32="","",C32-D32)</f>
        <v>99978</v>
      </c>
      <c r="F32" s="52" t="n">
        <f aca="false">IF(A32="","",H31)</f>
        <v>81783</v>
      </c>
      <c r="G32" s="54" t="n">
        <f aca="false">IF(A32="","",ROUND(MAX(0,MIN(F32*$C$12*I32,F32-$C$10)),0))</f>
        <v>14806</v>
      </c>
      <c r="H32" s="52" t="n">
        <f aca="false">IF(A32="","",F32-G32)</f>
        <v>66977</v>
      </c>
      <c r="I32" s="82" t="n">
        <f aca="false">IF(A32="","",IF(A32=1,$C$14,1))</f>
        <v>1</v>
      </c>
    </row>
    <row r="33" customFormat="false" ht="15" hidden="false" customHeight="false" outlineLevel="0" collapsed="false">
      <c r="A33" s="81" t="n">
        <f aca="false">IF(OR($C$9=0,16&gt;$C$9+1),"",16)</f>
        <v>16</v>
      </c>
      <c r="B33" s="81" t="str">
        <f aca="false">IF(A33="","","FY "&amp;(YEAR($C$13)+A33-2)&amp;"-"&amp;RIGHT(YEAR($C$13)+A33-1,2))</f>
        <v>FY 2037-38</v>
      </c>
      <c r="C33" s="52" t="n">
        <f aca="false">IF(A33="","",E32)</f>
        <v>99978</v>
      </c>
      <c r="D33" s="54" t="n">
        <f aca="false">IF(A33="","",ROUND(MAX(0,MIN(($C$8-$C$10)/$C$9*I33,C33-$C$10)),0))</f>
        <v>39978</v>
      </c>
      <c r="E33" s="52" t="n">
        <f aca="false">IF(A33="","",C33-D33)</f>
        <v>60000</v>
      </c>
      <c r="F33" s="52" t="n">
        <f aca="false">IF(A33="","",H32)</f>
        <v>66977</v>
      </c>
      <c r="G33" s="54" t="n">
        <f aca="false">IF(A33="","",ROUND(MAX(0,MIN(F33*$C$12*I33,F33-$C$10)),0))</f>
        <v>6977</v>
      </c>
      <c r="H33" s="52" t="n">
        <f aca="false">IF(A33="","",F33-G33)</f>
        <v>60000</v>
      </c>
      <c r="I33" s="82" t="n">
        <f aca="false">IF(A33="","",IF(A33=1,$C$14,1))</f>
        <v>1</v>
      </c>
    </row>
    <row r="34" customFormat="false" ht="15" hidden="false" customHeight="false" outlineLevel="0" collapsed="false">
      <c r="A34" s="81" t="str">
        <f aca="false">IF(OR($C$9=0,17&gt;$C$9+1),"",17)</f>
        <v/>
      </c>
      <c r="B34" s="81" t="str">
        <f aca="false">IF(A34="","","FY "&amp;(YEAR($C$13)+A34-2)&amp;"-"&amp;RIGHT(YEAR($C$13)+A34-1,2))</f>
        <v/>
      </c>
      <c r="C34" s="52" t="str">
        <f aca="false">IF(A34="","",E33)</f>
        <v/>
      </c>
      <c r="D34" s="54" t="str">
        <f aca="false">IF(A34="","",ROUND(MAX(0,MIN(($C$8-$C$10)/$C$9*I34,C34-$C$10)),0))</f>
        <v/>
      </c>
      <c r="E34" s="52" t="str">
        <f aca="false">IF(A34="","",C34-D34)</f>
        <v/>
      </c>
      <c r="F34" s="52" t="str">
        <f aca="false">IF(A34="","",H33)</f>
        <v/>
      </c>
      <c r="G34" s="54" t="str">
        <f aca="false">IF(A34="","",ROUND(MAX(0,MIN(F34*$C$12*I34,F34-$C$10)),0))</f>
        <v/>
      </c>
      <c r="H34" s="52" t="str">
        <f aca="false">IF(A34="","",F34-G34)</f>
        <v/>
      </c>
      <c r="I34" s="82" t="str">
        <f aca="false">IF(A34="","",IF(A34=1,$C$14,1))</f>
        <v/>
      </c>
    </row>
    <row r="35" customFormat="false" ht="15" hidden="false" customHeight="false" outlineLevel="0" collapsed="false">
      <c r="A35" s="81" t="str">
        <f aca="false">IF(OR($C$9=0,18&gt;$C$9+1),"",18)</f>
        <v/>
      </c>
      <c r="B35" s="81" t="str">
        <f aca="false">IF(A35="","","FY "&amp;(YEAR($C$13)+A35-2)&amp;"-"&amp;RIGHT(YEAR($C$13)+A35-1,2))</f>
        <v/>
      </c>
      <c r="C35" s="52" t="str">
        <f aca="false">IF(A35="","",E34)</f>
        <v/>
      </c>
      <c r="D35" s="54" t="str">
        <f aca="false">IF(A35="","",ROUND(MAX(0,MIN(($C$8-$C$10)/$C$9*I35,C35-$C$10)),0))</f>
        <v/>
      </c>
      <c r="E35" s="52" t="str">
        <f aca="false">IF(A35="","",C35-D35)</f>
        <v/>
      </c>
      <c r="F35" s="52" t="str">
        <f aca="false">IF(A35="","",H34)</f>
        <v/>
      </c>
      <c r="G35" s="54" t="str">
        <f aca="false">IF(A35="","",ROUND(MAX(0,MIN(F35*$C$12*I35,F35-$C$10)),0))</f>
        <v/>
      </c>
      <c r="H35" s="52" t="str">
        <f aca="false">IF(A35="","",F35-G35)</f>
        <v/>
      </c>
      <c r="I35" s="82" t="str">
        <f aca="false">IF(A35="","",IF(A35=1,$C$14,1))</f>
        <v/>
      </c>
    </row>
    <row r="36" customFormat="false" ht="15" hidden="false" customHeight="false" outlineLevel="0" collapsed="false">
      <c r="A36" s="81" t="str">
        <f aca="false">IF(OR($C$9=0,19&gt;$C$9+1),"",19)</f>
        <v/>
      </c>
      <c r="B36" s="81" t="str">
        <f aca="false">IF(A36="","","FY "&amp;(YEAR($C$13)+A36-2)&amp;"-"&amp;RIGHT(YEAR($C$13)+A36-1,2))</f>
        <v/>
      </c>
      <c r="C36" s="52" t="str">
        <f aca="false">IF(A36="","",E35)</f>
        <v/>
      </c>
      <c r="D36" s="54" t="str">
        <f aca="false">IF(A36="","",ROUND(MAX(0,MIN(($C$8-$C$10)/$C$9*I36,C36-$C$10)),0))</f>
        <v/>
      </c>
      <c r="E36" s="52" t="str">
        <f aca="false">IF(A36="","",C36-D36)</f>
        <v/>
      </c>
      <c r="F36" s="52" t="str">
        <f aca="false">IF(A36="","",H35)</f>
        <v/>
      </c>
      <c r="G36" s="54" t="str">
        <f aca="false">IF(A36="","",ROUND(MAX(0,MIN(F36*$C$12*I36,F36-$C$10)),0))</f>
        <v/>
      </c>
      <c r="H36" s="52" t="str">
        <f aca="false">IF(A36="","",F36-G36)</f>
        <v/>
      </c>
      <c r="I36" s="82" t="str">
        <f aca="false">IF(A36="","",IF(A36=1,$C$14,1))</f>
        <v/>
      </c>
    </row>
    <row r="37" customFormat="false" ht="15" hidden="false" customHeight="false" outlineLevel="0" collapsed="false">
      <c r="A37" s="81" t="str">
        <f aca="false">IF(OR($C$9=0,20&gt;$C$9+1),"",20)</f>
        <v/>
      </c>
      <c r="B37" s="81" t="str">
        <f aca="false">IF(A37="","","FY "&amp;(YEAR($C$13)+A37-2)&amp;"-"&amp;RIGHT(YEAR($C$13)+A37-1,2))</f>
        <v/>
      </c>
      <c r="C37" s="52" t="str">
        <f aca="false">IF(A37="","",E36)</f>
        <v/>
      </c>
      <c r="D37" s="54" t="str">
        <f aca="false">IF(A37="","",ROUND(MAX(0,MIN(($C$8-$C$10)/$C$9*I37,C37-$C$10)),0))</f>
        <v/>
      </c>
      <c r="E37" s="52" t="str">
        <f aca="false">IF(A37="","",C37-D37)</f>
        <v/>
      </c>
      <c r="F37" s="52" t="str">
        <f aca="false">IF(A37="","",H36)</f>
        <v/>
      </c>
      <c r="G37" s="54" t="str">
        <f aca="false">IF(A37="","",ROUND(MAX(0,MIN(F37*$C$12*I37,F37-$C$10)),0))</f>
        <v/>
      </c>
      <c r="H37" s="52" t="str">
        <f aca="false">IF(A37="","",F37-G37)</f>
        <v/>
      </c>
      <c r="I37" s="82" t="str">
        <f aca="false">IF(A37="","",IF(A37=1,$C$14,1))</f>
        <v/>
      </c>
    </row>
    <row r="38" customFormat="false" ht="15" hidden="false" customHeight="false" outlineLevel="0" collapsed="false">
      <c r="A38" s="81" t="str">
        <f aca="false">IF(OR($C$9=0,21&gt;$C$9+1),"",21)</f>
        <v/>
      </c>
      <c r="B38" s="81" t="str">
        <f aca="false">IF(A38="","","FY "&amp;(YEAR($C$13)+A38-2)&amp;"-"&amp;RIGHT(YEAR($C$13)+A38-1,2))</f>
        <v/>
      </c>
      <c r="C38" s="52" t="str">
        <f aca="false">IF(A38="","",E37)</f>
        <v/>
      </c>
      <c r="D38" s="54" t="str">
        <f aca="false">IF(A38="","",ROUND(MAX(0,MIN(($C$8-$C$10)/$C$9*I38,C38-$C$10)),0))</f>
        <v/>
      </c>
      <c r="E38" s="52" t="str">
        <f aca="false">IF(A38="","",C38-D38)</f>
        <v/>
      </c>
      <c r="F38" s="52" t="str">
        <f aca="false">IF(A38="","",H37)</f>
        <v/>
      </c>
      <c r="G38" s="54" t="str">
        <f aca="false">IF(A38="","",ROUND(MAX(0,MIN(F38*$C$12*I38,F38-$C$10)),0))</f>
        <v/>
      </c>
      <c r="H38" s="52" t="str">
        <f aca="false">IF(A38="","",F38-G38)</f>
        <v/>
      </c>
      <c r="I38" s="82" t="str">
        <f aca="false">IF(A38="","",IF(A38=1,$C$14,1))</f>
        <v/>
      </c>
    </row>
    <row r="39" customFormat="false" ht="15" hidden="false" customHeight="false" outlineLevel="0" collapsed="false">
      <c r="A39" s="81" t="str">
        <f aca="false">IF(OR($C$9=0,22&gt;$C$9+1),"",22)</f>
        <v/>
      </c>
      <c r="B39" s="81" t="str">
        <f aca="false">IF(A39="","","FY "&amp;(YEAR($C$13)+A39-2)&amp;"-"&amp;RIGHT(YEAR($C$13)+A39-1,2))</f>
        <v/>
      </c>
      <c r="C39" s="52" t="str">
        <f aca="false">IF(A39="","",E38)</f>
        <v/>
      </c>
      <c r="D39" s="54" t="str">
        <f aca="false">IF(A39="","",ROUND(MAX(0,MIN(($C$8-$C$10)/$C$9*I39,C39-$C$10)),0))</f>
        <v/>
      </c>
      <c r="E39" s="52" t="str">
        <f aca="false">IF(A39="","",C39-D39)</f>
        <v/>
      </c>
      <c r="F39" s="52" t="str">
        <f aca="false">IF(A39="","",H38)</f>
        <v/>
      </c>
      <c r="G39" s="54" t="str">
        <f aca="false">IF(A39="","",ROUND(MAX(0,MIN(F39*$C$12*I39,F39-$C$10)),0))</f>
        <v/>
      </c>
      <c r="H39" s="52" t="str">
        <f aca="false">IF(A39="","",F39-G39)</f>
        <v/>
      </c>
      <c r="I39" s="82" t="str">
        <f aca="false">IF(A39="","",IF(A39=1,$C$14,1))</f>
        <v/>
      </c>
    </row>
    <row r="40" customFormat="false" ht="15" hidden="false" customHeight="false" outlineLevel="0" collapsed="false">
      <c r="A40" s="81" t="str">
        <f aca="false">IF(OR($C$9=0,23&gt;$C$9+1),"",23)</f>
        <v/>
      </c>
      <c r="B40" s="81" t="str">
        <f aca="false">IF(A40="","","FY "&amp;(YEAR($C$13)+A40-2)&amp;"-"&amp;RIGHT(YEAR($C$13)+A40-1,2))</f>
        <v/>
      </c>
      <c r="C40" s="52" t="str">
        <f aca="false">IF(A40="","",E39)</f>
        <v/>
      </c>
      <c r="D40" s="54" t="str">
        <f aca="false">IF(A40="","",ROUND(MAX(0,MIN(($C$8-$C$10)/$C$9*I40,C40-$C$10)),0))</f>
        <v/>
      </c>
      <c r="E40" s="52" t="str">
        <f aca="false">IF(A40="","",C40-D40)</f>
        <v/>
      </c>
      <c r="F40" s="52" t="str">
        <f aca="false">IF(A40="","",H39)</f>
        <v/>
      </c>
      <c r="G40" s="54" t="str">
        <f aca="false">IF(A40="","",ROUND(MAX(0,MIN(F40*$C$12*I40,F40-$C$10)),0))</f>
        <v/>
      </c>
      <c r="H40" s="52" t="str">
        <f aca="false">IF(A40="","",F40-G40)</f>
        <v/>
      </c>
      <c r="I40" s="82" t="str">
        <f aca="false">IF(A40="","",IF(A40=1,$C$14,1))</f>
        <v/>
      </c>
    </row>
    <row r="41" customFormat="false" ht="15" hidden="false" customHeight="false" outlineLevel="0" collapsed="false">
      <c r="A41" s="81" t="str">
        <f aca="false">IF(OR($C$9=0,24&gt;$C$9+1),"",24)</f>
        <v/>
      </c>
      <c r="B41" s="81" t="str">
        <f aca="false">IF(A41="","","FY "&amp;(YEAR($C$13)+A41-2)&amp;"-"&amp;RIGHT(YEAR($C$13)+A41-1,2))</f>
        <v/>
      </c>
      <c r="C41" s="52" t="str">
        <f aca="false">IF(A41="","",E40)</f>
        <v/>
      </c>
      <c r="D41" s="54" t="str">
        <f aca="false">IF(A41="","",ROUND(MAX(0,MIN(($C$8-$C$10)/$C$9*I41,C41-$C$10)),0))</f>
        <v/>
      </c>
      <c r="E41" s="52" t="str">
        <f aca="false">IF(A41="","",C41-D41)</f>
        <v/>
      </c>
      <c r="F41" s="52" t="str">
        <f aca="false">IF(A41="","",H40)</f>
        <v/>
      </c>
      <c r="G41" s="54" t="str">
        <f aca="false">IF(A41="","",ROUND(MAX(0,MIN(F41*$C$12*I41,F41-$C$10)),0))</f>
        <v/>
      </c>
      <c r="H41" s="52" t="str">
        <f aca="false">IF(A41="","",F41-G41)</f>
        <v/>
      </c>
      <c r="I41" s="82" t="str">
        <f aca="false">IF(A41="","",IF(A41=1,$C$14,1))</f>
        <v/>
      </c>
    </row>
    <row r="42" customFormat="false" ht="15" hidden="false" customHeight="false" outlineLevel="0" collapsed="false">
      <c r="A42" s="81" t="str">
        <f aca="false">IF(OR($C$9=0,25&gt;$C$9+1),"",25)</f>
        <v/>
      </c>
      <c r="B42" s="81" t="str">
        <f aca="false">IF(A42="","","FY "&amp;(YEAR($C$13)+A42-2)&amp;"-"&amp;RIGHT(YEAR($C$13)+A42-1,2))</f>
        <v/>
      </c>
      <c r="C42" s="52" t="str">
        <f aca="false">IF(A42="","",E41)</f>
        <v/>
      </c>
      <c r="D42" s="54" t="str">
        <f aca="false">IF(A42="","",ROUND(MAX(0,MIN(($C$8-$C$10)/$C$9*I42,C42-$C$10)),0))</f>
        <v/>
      </c>
      <c r="E42" s="52" t="str">
        <f aca="false">IF(A42="","",C42-D42)</f>
        <v/>
      </c>
      <c r="F42" s="52" t="str">
        <f aca="false">IF(A42="","",H41)</f>
        <v/>
      </c>
      <c r="G42" s="54" t="str">
        <f aca="false">IF(A42="","",ROUND(MAX(0,MIN(F42*$C$12*I42,F42-$C$10)),0))</f>
        <v/>
      </c>
      <c r="H42" s="52" t="str">
        <f aca="false">IF(A42="","",F42-G42)</f>
        <v/>
      </c>
      <c r="I42" s="82" t="str">
        <f aca="false">IF(A42="","",IF(A42=1,$C$14,1))</f>
        <v/>
      </c>
    </row>
    <row r="43" customFormat="false" ht="15" hidden="false" customHeight="false" outlineLevel="0" collapsed="false">
      <c r="A43" s="81" t="str">
        <f aca="false">IF(OR($C$9=0,26&gt;$C$9+1),"",26)</f>
        <v/>
      </c>
      <c r="B43" s="81" t="str">
        <f aca="false">IF(A43="","","FY "&amp;(YEAR($C$13)+A43-2)&amp;"-"&amp;RIGHT(YEAR($C$13)+A43-1,2))</f>
        <v/>
      </c>
      <c r="C43" s="52" t="str">
        <f aca="false">IF(A43="","",E42)</f>
        <v/>
      </c>
      <c r="D43" s="54" t="str">
        <f aca="false">IF(A43="","",ROUND(MAX(0,MIN(($C$8-$C$10)/$C$9*I43,C43-$C$10)),0))</f>
        <v/>
      </c>
      <c r="E43" s="52" t="str">
        <f aca="false">IF(A43="","",C43-D43)</f>
        <v/>
      </c>
      <c r="F43" s="52" t="str">
        <f aca="false">IF(A43="","",H42)</f>
        <v/>
      </c>
      <c r="G43" s="54" t="str">
        <f aca="false">IF(A43="","",ROUND(MAX(0,MIN(F43*$C$12*I43,F43-$C$10)),0))</f>
        <v/>
      </c>
      <c r="H43" s="52" t="str">
        <f aca="false">IF(A43="","",F43-G43)</f>
        <v/>
      </c>
      <c r="I43" s="82" t="str">
        <f aca="false">IF(A43="","",IF(A43=1,$C$14,1))</f>
        <v/>
      </c>
    </row>
    <row r="44" customFormat="false" ht="15" hidden="false" customHeight="false" outlineLevel="0" collapsed="false">
      <c r="A44" s="81" t="str">
        <f aca="false">IF(OR($C$9=0,27&gt;$C$9+1),"",27)</f>
        <v/>
      </c>
      <c r="B44" s="81" t="str">
        <f aca="false">IF(A44="","","FY "&amp;(YEAR($C$13)+A44-2)&amp;"-"&amp;RIGHT(YEAR($C$13)+A44-1,2))</f>
        <v/>
      </c>
      <c r="C44" s="52" t="str">
        <f aca="false">IF(A44="","",E43)</f>
        <v/>
      </c>
      <c r="D44" s="54" t="str">
        <f aca="false">IF(A44="","",ROUND(MAX(0,MIN(($C$8-$C$10)/$C$9*I44,C44-$C$10)),0))</f>
        <v/>
      </c>
      <c r="E44" s="52" t="str">
        <f aca="false">IF(A44="","",C44-D44)</f>
        <v/>
      </c>
      <c r="F44" s="52" t="str">
        <f aca="false">IF(A44="","",H43)</f>
        <v/>
      </c>
      <c r="G44" s="54" t="str">
        <f aca="false">IF(A44="","",ROUND(MAX(0,MIN(F44*$C$12*I44,F44-$C$10)),0))</f>
        <v/>
      </c>
      <c r="H44" s="52" t="str">
        <f aca="false">IF(A44="","",F44-G44)</f>
        <v/>
      </c>
      <c r="I44" s="82" t="str">
        <f aca="false">IF(A44="","",IF(A44=1,$C$14,1))</f>
        <v/>
      </c>
    </row>
    <row r="45" customFormat="false" ht="15" hidden="false" customHeight="false" outlineLevel="0" collapsed="false">
      <c r="A45" s="81" t="str">
        <f aca="false">IF(OR($C$9=0,28&gt;$C$9+1),"",28)</f>
        <v/>
      </c>
      <c r="B45" s="81" t="str">
        <f aca="false">IF(A45="","","FY "&amp;(YEAR($C$13)+A45-2)&amp;"-"&amp;RIGHT(YEAR($C$13)+A45-1,2))</f>
        <v/>
      </c>
      <c r="C45" s="52" t="str">
        <f aca="false">IF(A45="","",E44)</f>
        <v/>
      </c>
      <c r="D45" s="54" t="str">
        <f aca="false">IF(A45="","",ROUND(MAX(0,MIN(($C$8-$C$10)/$C$9*I45,C45-$C$10)),0))</f>
        <v/>
      </c>
      <c r="E45" s="52" t="str">
        <f aca="false">IF(A45="","",C45-D45)</f>
        <v/>
      </c>
      <c r="F45" s="52" t="str">
        <f aca="false">IF(A45="","",H44)</f>
        <v/>
      </c>
      <c r="G45" s="54" t="str">
        <f aca="false">IF(A45="","",ROUND(MAX(0,MIN(F45*$C$12*I45,F45-$C$10)),0))</f>
        <v/>
      </c>
      <c r="H45" s="52" t="str">
        <f aca="false">IF(A45="","",F45-G45)</f>
        <v/>
      </c>
      <c r="I45" s="82" t="str">
        <f aca="false">IF(A45="","",IF(A45=1,$C$14,1))</f>
        <v/>
      </c>
    </row>
    <row r="46" customFormat="false" ht="15" hidden="false" customHeight="false" outlineLevel="0" collapsed="false">
      <c r="A46" s="81" t="str">
        <f aca="false">IF(OR($C$9=0,29&gt;$C$9+1),"",29)</f>
        <v/>
      </c>
      <c r="B46" s="81" t="str">
        <f aca="false">IF(A46="","","FY "&amp;(YEAR($C$13)+A46-2)&amp;"-"&amp;RIGHT(YEAR($C$13)+A46-1,2))</f>
        <v/>
      </c>
      <c r="C46" s="52" t="str">
        <f aca="false">IF(A46="","",E45)</f>
        <v/>
      </c>
      <c r="D46" s="54" t="str">
        <f aca="false">IF(A46="","",ROUND(MAX(0,MIN(($C$8-$C$10)/$C$9*I46,C46-$C$10)),0))</f>
        <v/>
      </c>
      <c r="E46" s="52" t="str">
        <f aca="false">IF(A46="","",C46-D46)</f>
        <v/>
      </c>
      <c r="F46" s="52" t="str">
        <f aca="false">IF(A46="","",H45)</f>
        <v/>
      </c>
      <c r="G46" s="54" t="str">
        <f aca="false">IF(A46="","",ROUND(MAX(0,MIN(F46*$C$12*I46,F46-$C$10)),0))</f>
        <v/>
      </c>
      <c r="H46" s="52" t="str">
        <f aca="false">IF(A46="","",F46-G46)</f>
        <v/>
      </c>
      <c r="I46" s="82" t="str">
        <f aca="false">IF(A46="","",IF(A46=1,$C$14,1))</f>
        <v/>
      </c>
    </row>
    <row r="47" customFormat="false" ht="15" hidden="false" customHeight="false" outlineLevel="0" collapsed="false">
      <c r="A47" s="81" t="str">
        <f aca="false">IF(OR($C$9=0,30&gt;$C$9+1),"",30)</f>
        <v/>
      </c>
      <c r="B47" s="81" t="str">
        <f aca="false">IF(A47="","","FY "&amp;(YEAR($C$13)+A47-2)&amp;"-"&amp;RIGHT(YEAR($C$13)+A47-1,2))</f>
        <v/>
      </c>
      <c r="C47" s="52" t="str">
        <f aca="false">IF(A47="","",E46)</f>
        <v/>
      </c>
      <c r="D47" s="54" t="str">
        <f aca="false">IF(A47="","",ROUND(MAX(0,MIN(($C$8-$C$10)/$C$9*I47,C47-$C$10)),0))</f>
        <v/>
      </c>
      <c r="E47" s="52" t="str">
        <f aca="false">IF(A47="","",C47-D47)</f>
        <v/>
      </c>
      <c r="F47" s="52" t="str">
        <f aca="false">IF(A47="","",H46)</f>
        <v/>
      </c>
      <c r="G47" s="54" t="str">
        <f aca="false">IF(A47="","",ROUND(MAX(0,MIN(F47*$C$12*I47,F47-$C$10)),0))</f>
        <v/>
      </c>
      <c r="H47" s="52" t="str">
        <f aca="false">IF(A47="","",F47-G47)</f>
        <v/>
      </c>
      <c r="I47" s="82" t="str">
        <f aca="false">IF(A47="","",IF(A47=1,$C$14,1))</f>
        <v/>
      </c>
    </row>
    <row r="48" customFormat="false" ht="15" hidden="false" customHeight="false" outlineLevel="0" collapsed="false">
      <c r="A48" s="81" t="str">
        <f aca="false">IF(OR($C$9=0,31&gt;$C$9+1),"",31)</f>
        <v/>
      </c>
      <c r="B48" s="81" t="str">
        <f aca="false">IF(A48="","","FY "&amp;(YEAR($C$13)+A48-2)&amp;"-"&amp;RIGHT(YEAR($C$13)+A48-1,2))</f>
        <v/>
      </c>
      <c r="C48" s="52" t="str">
        <f aca="false">IF(A48="","",E47)</f>
        <v/>
      </c>
      <c r="D48" s="54" t="str">
        <f aca="false">IF(A48="","",ROUND(MAX(0,MIN(($C$8-$C$10)/$C$9*I48,C48-$C$10)),0))</f>
        <v/>
      </c>
      <c r="E48" s="52" t="str">
        <f aca="false">IF(A48="","",C48-D48)</f>
        <v/>
      </c>
      <c r="F48" s="52" t="str">
        <f aca="false">IF(A48="","",H47)</f>
        <v/>
      </c>
      <c r="G48" s="54" t="str">
        <f aca="false">IF(A48="","",ROUND(MAX(0,MIN(F48*$C$12*I48,F48-$C$10)),0))</f>
        <v/>
      </c>
      <c r="H48" s="52" t="str">
        <f aca="false">IF(A48="","",F48-G48)</f>
        <v/>
      </c>
      <c r="I48" s="82" t="str">
        <f aca="false">IF(A48="","",IF(A48=1,$C$14,1))</f>
        <v/>
      </c>
    </row>
    <row r="49" customFormat="false" ht="15" hidden="false" customHeight="false" outlineLevel="0" collapsed="false">
      <c r="A49" s="81" t="str">
        <f aca="false">IF(OR($C$9=0,32&gt;$C$9+1),"",32)</f>
        <v/>
      </c>
      <c r="B49" s="81" t="str">
        <f aca="false">IF(A49="","","FY "&amp;(YEAR($C$13)+A49-2)&amp;"-"&amp;RIGHT(YEAR($C$13)+A49-1,2))</f>
        <v/>
      </c>
      <c r="C49" s="52" t="str">
        <f aca="false">IF(A49="","",E48)</f>
        <v/>
      </c>
      <c r="D49" s="54" t="str">
        <f aca="false">IF(A49="","",ROUND(MAX(0,MIN(($C$8-$C$10)/$C$9*I49,C49-$C$10)),0))</f>
        <v/>
      </c>
      <c r="E49" s="52" t="str">
        <f aca="false">IF(A49="","",C49-D49)</f>
        <v/>
      </c>
      <c r="F49" s="52" t="str">
        <f aca="false">IF(A49="","",H48)</f>
        <v/>
      </c>
      <c r="G49" s="54" t="str">
        <f aca="false">IF(A49="","",ROUND(MAX(0,MIN(F49*$C$12*I49,F49-$C$10)),0))</f>
        <v/>
      </c>
      <c r="H49" s="52" t="str">
        <f aca="false">IF(A49="","",F49-G49)</f>
        <v/>
      </c>
      <c r="I49" s="82" t="str">
        <f aca="false">IF(A49="","",IF(A49=1,$C$14,1))</f>
        <v/>
      </c>
    </row>
    <row r="50" customFormat="false" ht="15" hidden="false" customHeight="false" outlineLevel="0" collapsed="false">
      <c r="A50" s="81" t="str">
        <f aca="false">IF(OR($C$9=0,33&gt;$C$9+1),"",33)</f>
        <v/>
      </c>
      <c r="B50" s="81" t="str">
        <f aca="false">IF(A50="","","FY "&amp;(YEAR($C$13)+A50-2)&amp;"-"&amp;RIGHT(YEAR($C$13)+A50-1,2))</f>
        <v/>
      </c>
      <c r="C50" s="52" t="str">
        <f aca="false">IF(A50="","",E49)</f>
        <v/>
      </c>
      <c r="D50" s="54" t="str">
        <f aca="false">IF(A50="","",ROUND(MAX(0,MIN(($C$8-$C$10)/$C$9*I50,C50-$C$10)),0))</f>
        <v/>
      </c>
      <c r="E50" s="52" t="str">
        <f aca="false">IF(A50="","",C50-D50)</f>
        <v/>
      </c>
      <c r="F50" s="52" t="str">
        <f aca="false">IF(A50="","",H49)</f>
        <v/>
      </c>
      <c r="G50" s="54" t="str">
        <f aca="false">IF(A50="","",ROUND(MAX(0,MIN(F50*$C$12*I50,F50-$C$10)),0))</f>
        <v/>
      </c>
      <c r="H50" s="52" t="str">
        <f aca="false">IF(A50="","",F50-G50)</f>
        <v/>
      </c>
      <c r="I50" s="82" t="str">
        <f aca="false">IF(A50="","",IF(A50=1,$C$14,1))</f>
        <v/>
      </c>
    </row>
    <row r="51" customFormat="false" ht="15" hidden="false" customHeight="false" outlineLevel="0" collapsed="false">
      <c r="A51" s="81" t="str">
        <f aca="false">IF(OR($C$9=0,34&gt;$C$9+1),"",34)</f>
        <v/>
      </c>
      <c r="B51" s="81" t="str">
        <f aca="false">IF(A51="","","FY "&amp;(YEAR($C$13)+A51-2)&amp;"-"&amp;RIGHT(YEAR($C$13)+A51-1,2))</f>
        <v/>
      </c>
      <c r="C51" s="52" t="str">
        <f aca="false">IF(A51="","",E50)</f>
        <v/>
      </c>
      <c r="D51" s="54" t="str">
        <f aca="false">IF(A51="","",ROUND(MAX(0,MIN(($C$8-$C$10)/$C$9*I51,C51-$C$10)),0))</f>
        <v/>
      </c>
      <c r="E51" s="52" t="str">
        <f aca="false">IF(A51="","",C51-D51)</f>
        <v/>
      </c>
      <c r="F51" s="52" t="str">
        <f aca="false">IF(A51="","",H50)</f>
        <v/>
      </c>
      <c r="G51" s="54" t="str">
        <f aca="false">IF(A51="","",ROUND(MAX(0,MIN(F51*$C$12*I51,F51-$C$10)),0))</f>
        <v/>
      </c>
      <c r="H51" s="52" t="str">
        <f aca="false">IF(A51="","",F51-G51)</f>
        <v/>
      </c>
      <c r="I51" s="82" t="str">
        <f aca="false">IF(A51="","",IF(A51=1,$C$14,1))</f>
        <v/>
      </c>
    </row>
    <row r="52" customFormat="false" ht="15" hidden="false" customHeight="false" outlineLevel="0" collapsed="false">
      <c r="A52" s="81" t="str">
        <f aca="false">IF(OR($C$9=0,35&gt;$C$9+1),"",35)</f>
        <v/>
      </c>
      <c r="B52" s="81" t="str">
        <f aca="false">IF(A52="","","FY "&amp;(YEAR($C$13)+A52-2)&amp;"-"&amp;RIGHT(YEAR($C$13)+A52-1,2))</f>
        <v/>
      </c>
      <c r="C52" s="52" t="str">
        <f aca="false">IF(A52="","",E51)</f>
        <v/>
      </c>
      <c r="D52" s="54" t="str">
        <f aca="false">IF(A52="","",ROUND(MAX(0,MIN(($C$8-$C$10)/$C$9*I52,C52-$C$10)),0))</f>
        <v/>
      </c>
      <c r="E52" s="52" t="str">
        <f aca="false">IF(A52="","",C52-D52)</f>
        <v/>
      </c>
      <c r="F52" s="52" t="str">
        <f aca="false">IF(A52="","",H51)</f>
        <v/>
      </c>
      <c r="G52" s="54" t="str">
        <f aca="false">IF(A52="","",ROUND(MAX(0,MIN(F52*$C$12*I52,F52-$C$10)),0))</f>
        <v/>
      </c>
      <c r="H52" s="52" t="str">
        <f aca="false">IF(A52="","",F52-G52)</f>
        <v/>
      </c>
      <c r="I52" s="82" t="str">
        <f aca="false">IF(A52="","",IF(A52=1,$C$14,1))</f>
        <v/>
      </c>
    </row>
    <row r="53" customFormat="false" ht="15" hidden="false" customHeight="false" outlineLevel="0" collapsed="false">
      <c r="A53" s="81" t="str">
        <f aca="false">IF(OR($C$9=0,36&gt;$C$9+1),"",36)</f>
        <v/>
      </c>
      <c r="B53" s="81" t="str">
        <f aca="false">IF(A53="","","FY "&amp;(YEAR($C$13)+A53-2)&amp;"-"&amp;RIGHT(YEAR($C$13)+A53-1,2))</f>
        <v/>
      </c>
      <c r="C53" s="52" t="str">
        <f aca="false">IF(A53="","",E52)</f>
        <v/>
      </c>
      <c r="D53" s="54" t="str">
        <f aca="false">IF(A53="","",ROUND(MAX(0,MIN(($C$8-$C$10)/$C$9*I53,C53-$C$10)),0))</f>
        <v/>
      </c>
      <c r="E53" s="52" t="str">
        <f aca="false">IF(A53="","",C53-D53)</f>
        <v/>
      </c>
      <c r="F53" s="52" t="str">
        <f aca="false">IF(A53="","",H52)</f>
        <v/>
      </c>
      <c r="G53" s="54" t="str">
        <f aca="false">IF(A53="","",ROUND(MAX(0,MIN(F53*$C$12*I53,F53-$C$10)),0))</f>
        <v/>
      </c>
      <c r="H53" s="52" t="str">
        <f aca="false">IF(A53="","",F53-G53)</f>
        <v/>
      </c>
      <c r="I53" s="82" t="str">
        <f aca="false">IF(A53="","",IF(A53=1,$C$14,1))</f>
        <v/>
      </c>
    </row>
    <row r="54" customFormat="false" ht="15" hidden="false" customHeight="false" outlineLevel="0" collapsed="false">
      <c r="A54" s="81" t="str">
        <f aca="false">IF(OR($C$9=0,37&gt;$C$9+1),"",37)</f>
        <v/>
      </c>
      <c r="B54" s="81" t="str">
        <f aca="false">IF(A54="","","FY "&amp;(YEAR($C$13)+A54-2)&amp;"-"&amp;RIGHT(YEAR($C$13)+A54-1,2))</f>
        <v/>
      </c>
      <c r="C54" s="52" t="str">
        <f aca="false">IF(A54="","",E53)</f>
        <v/>
      </c>
      <c r="D54" s="54" t="str">
        <f aca="false">IF(A54="","",ROUND(MAX(0,MIN(($C$8-$C$10)/$C$9*I54,C54-$C$10)),0))</f>
        <v/>
      </c>
      <c r="E54" s="52" t="str">
        <f aca="false">IF(A54="","",C54-D54)</f>
        <v/>
      </c>
      <c r="F54" s="52" t="str">
        <f aca="false">IF(A54="","",H53)</f>
        <v/>
      </c>
      <c r="G54" s="54" t="str">
        <f aca="false">IF(A54="","",ROUND(MAX(0,MIN(F54*$C$12*I54,F54-$C$10)),0))</f>
        <v/>
      </c>
      <c r="H54" s="52" t="str">
        <f aca="false">IF(A54="","",F54-G54)</f>
        <v/>
      </c>
      <c r="I54" s="82" t="str">
        <f aca="false">IF(A54="","",IF(A54=1,$C$14,1))</f>
        <v/>
      </c>
    </row>
    <row r="55" customFormat="false" ht="15" hidden="false" customHeight="false" outlineLevel="0" collapsed="false">
      <c r="A55" s="81" t="str">
        <f aca="false">IF(OR($C$9=0,38&gt;$C$9+1),"",38)</f>
        <v/>
      </c>
      <c r="B55" s="81" t="str">
        <f aca="false">IF(A55="","","FY "&amp;(YEAR($C$13)+A55-2)&amp;"-"&amp;RIGHT(YEAR($C$13)+A55-1,2))</f>
        <v/>
      </c>
      <c r="C55" s="52" t="str">
        <f aca="false">IF(A55="","",E54)</f>
        <v/>
      </c>
      <c r="D55" s="54" t="str">
        <f aca="false">IF(A55="","",ROUND(MAX(0,MIN(($C$8-$C$10)/$C$9*I55,C55-$C$10)),0))</f>
        <v/>
      </c>
      <c r="E55" s="52" t="str">
        <f aca="false">IF(A55="","",C55-D55)</f>
        <v/>
      </c>
      <c r="F55" s="52" t="str">
        <f aca="false">IF(A55="","",H54)</f>
        <v/>
      </c>
      <c r="G55" s="54" t="str">
        <f aca="false">IF(A55="","",ROUND(MAX(0,MIN(F55*$C$12*I55,F55-$C$10)),0))</f>
        <v/>
      </c>
      <c r="H55" s="52" t="str">
        <f aca="false">IF(A55="","",F55-G55)</f>
        <v/>
      </c>
      <c r="I55" s="82" t="str">
        <f aca="false">IF(A55="","",IF(A55=1,$C$14,1))</f>
        <v/>
      </c>
    </row>
    <row r="56" customFormat="false" ht="15" hidden="false" customHeight="false" outlineLevel="0" collapsed="false">
      <c r="A56" s="81" t="str">
        <f aca="false">IF(OR($C$9=0,39&gt;$C$9+1),"",39)</f>
        <v/>
      </c>
      <c r="B56" s="81" t="str">
        <f aca="false">IF(A56="","","FY "&amp;(YEAR($C$13)+A56-2)&amp;"-"&amp;RIGHT(YEAR($C$13)+A56-1,2))</f>
        <v/>
      </c>
      <c r="C56" s="52" t="str">
        <f aca="false">IF(A56="","",E55)</f>
        <v/>
      </c>
      <c r="D56" s="54" t="str">
        <f aca="false">IF(A56="","",ROUND(MAX(0,MIN(($C$8-$C$10)/$C$9*I56,C56-$C$10)),0))</f>
        <v/>
      </c>
      <c r="E56" s="52" t="str">
        <f aca="false">IF(A56="","",C56-D56)</f>
        <v/>
      </c>
      <c r="F56" s="52" t="str">
        <f aca="false">IF(A56="","",H55)</f>
        <v/>
      </c>
      <c r="G56" s="54" t="str">
        <f aca="false">IF(A56="","",ROUND(MAX(0,MIN(F56*$C$12*I56,F56-$C$10)),0))</f>
        <v/>
      </c>
      <c r="H56" s="52" t="str">
        <f aca="false">IF(A56="","",F56-G56)</f>
        <v/>
      </c>
      <c r="I56" s="82" t="str">
        <f aca="false">IF(A56="","",IF(A56=1,$C$14,1))</f>
        <v/>
      </c>
    </row>
    <row r="57" customFormat="false" ht="15" hidden="false" customHeight="false" outlineLevel="0" collapsed="false">
      <c r="A57" s="81" t="str">
        <f aca="false">IF(OR($C$9=0,40&gt;$C$9+1),"",40)</f>
        <v/>
      </c>
      <c r="B57" s="81" t="str">
        <f aca="false">IF(A57="","","FY "&amp;(YEAR($C$13)+A57-2)&amp;"-"&amp;RIGHT(YEAR($C$13)+A57-1,2))</f>
        <v/>
      </c>
      <c r="C57" s="52" t="str">
        <f aca="false">IF(A57="","",E56)</f>
        <v/>
      </c>
      <c r="D57" s="54" t="str">
        <f aca="false">IF(A57="","",ROUND(MAX(0,MIN(($C$8-$C$10)/$C$9*I57,C57-$C$10)),0))</f>
        <v/>
      </c>
      <c r="E57" s="52" t="str">
        <f aca="false">IF(A57="","",C57-D57)</f>
        <v/>
      </c>
      <c r="F57" s="52" t="str">
        <f aca="false">IF(A57="","",H56)</f>
        <v/>
      </c>
      <c r="G57" s="54" t="str">
        <f aca="false">IF(A57="","",ROUND(MAX(0,MIN(F57*$C$12*I57,F57-$C$10)),0))</f>
        <v/>
      </c>
      <c r="H57" s="52" t="str">
        <f aca="false">IF(A57="","",F57-G57)</f>
        <v/>
      </c>
      <c r="I57" s="82" t="str">
        <f aca="false">IF(A57="","",IF(A57=1,$C$14,1))</f>
        <v/>
      </c>
    </row>
    <row r="58" customFormat="false" ht="15" hidden="false" customHeight="false" outlineLevel="0" collapsed="false">
      <c r="A58" s="81" t="str">
        <f aca="false">IF(OR($C$9=0,41&gt;$C$9+1),"",41)</f>
        <v/>
      </c>
      <c r="B58" s="81" t="str">
        <f aca="false">IF(A58="","","FY "&amp;(YEAR($C$13)+A58-2)&amp;"-"&amp;RIGHT(YEAR($C$13)+A58-1,2))</f>
        <v/>
      </c>
      <c r="C58" s="52" t="str">
        <f aca="false">IF(A58="","",E57)</f>
        <v/>
      </c>
      <c r="D58" s="54" t="str">
        <f aca="false">IF(A58="","",ROUND(MAX(0,MIN(($C$8-$C$10)/$C$9*I58,C58-$C$10)),0))</f>
        <v/>
      </c>
      <c r="E58" s="52" t="str">
        <f aca="false">IF(A58="","",C58-D58)</f>
        <v/>
      </c>
      <c r="F58" s="52" t="str">
        <f aca="false">IF(A58="","",H57)</f>
        <v/>
      </c>
      <c r="G58" s="54" t="str">
        <f aca="false">IF(A58="","",ROUND(MAX(0,MIN(F58*$C$12*I58,F58-$C$10)),0))</f>
        <v/>
      </c>
      <c r="H58" s="52" t="str">
        <f aca="false">IF(A58="","",F58-G58)</f>
        <v/>
      </c>
      <c r="I58" s="82" t="str">
        <f aca="false">IF(A58="","",IF(A58=1,$C$14,1))</f>
        <v/>
      </c>
    </row>
    <row r="59" customFormat="false" ht="15" hidden="false" customHeight="false" outlineLevel="0" collapsed="false">
      <c r="A59" s="81" t="str">
        <f aca="false">IF(OR($C$9=0,42&gt;$C$9+1),"",42)</f>
        <v/>
      </c>
      <c r="B59" s="81" t="str">
        <f aca="false">IF(A59="","","FY "&amp;(YEAR($C$13)+A59-2)&amp;"-"&amp;RIGHT(YEAR($C$13)+A59-1,2))</f>
        <v/>
      </c>
      <c r="C59" s="52" t="str">
        <f aca="false">IF(A59="","",E58)</f>
        <v/>
      </c>
      <c r="D59" s="54" t="str">
        <f aca="false">IF(A59="","",ROUND(MAX(0,MIN(($C$8-$C$10)/$C$9*I59,C59-$C$10)),0))</f>
        <v/>
      </c>
      <c r="E59" s="52" t="str">
        <f aca="false">IF(A59="","",C59-D59)</f>
        <v/>
      </c>
      <c r="F59" s="52" t="str">
        <f aca="false">IF(A59="","",H58)</f>
        <v/>
      </c>
      <c r="G59" s="54" t="str">
        <f aca="false">IF(A59="","",ROUND(MAX(0,MIN(F59*$C$12*I59,F59-$C$10)),0))</f>
        <v/>
      </c>
      <c r="H59" s="52" t="str">
        <f aca="false">IF(A59="","",F59-G59)</f>
        <v/>
      </c>
      <c r="I59" s="82" t="str">
        <f aca="false">IF(A59="","",IF(A59=1,$C$14,1))</f>
        <v/>
      </c>
    </row>
    <row r="60" customFormat="false" ht="15" hidden="false" customHeight="false" outlineLevel="0" collapsed="false">
      <c r="A60" s="81" t="str">
        <f aca="false">IF(OR($C$9=0,43&gt;$C$9+1),"",43)</f>
        <v/>
      </c>
      <c r="B60" s="81" t="str">
        <f aca="false">IF(A60="","","FY "&amp;(YEAR($C$13)+A60-2)&amp;"-"&amp;RIGHT(YEAR($C$13)+A60-1,2))</f>
        <v/>
      </c>
      <c r="C60" s="52" t="str">
        <f aca="false">IF(A60="","",E59)</f>
        <v/>
      </c>
      <c r="D60" s="54" t="str">
        <f aca="false">IF(A60="","",ROUND(MAX(0,MIN(($C$8-$C$10)/$C$9*I60,C60-$C$10)),0))</f>
        <v/>
      </c>
      <c r="E60" s="52" t="str">
        <f aca="false">IF(A60="","",C60-D60)</f>
        <v/>
      </c>
      <c r="F60" s="52" t="str">
        <f aca="false">IF(A60="","",H59)</f>
        <v/>
      </c>
      <c r="G60" s="54" t="str">
        <f aca="false">IF(A60="","",ROUND(MAX(0,MIN(F60*$C$12*I60,F60-$C$10)),0))</f>
        <v/>
      </c>
      <c r="H60" s="52" t="str">
        <f aca="false">IF(A60="","",F60-G60)</f>
        <v/>
      </c>
      <c r="I60" s="82" t="str">
        <f aca="false">IF(A60="","",IF(A60=1,$C$14,1))</f>
        <v/>
      </c>
    </row>
    <row r="61" customFormat="false" ht="15" hidden="false" customHeight="false" outlineLevel="0" collapsed="false">
      <c r="A61" s="81" t="str">
        <f aca="false">IF(OR($C$9=0,44&gt;$C$9+1),"",44)</f>
        <v/>
      </c>
      <c r="B61" s="81" t="str">
        <f aca="false">IF(A61="","","FY "&amp;(YEAR($C$13)+A61-2)&amp;"-"&amp;RIGHT(YEAR($C$13)+A61-1,2))</f>
        <v/>
      </c>
      <c r="C61" s="52" t="str">
        <f aca="false">IF(A61="","",E60)</f>
        <v/>
      </c>
      <c r="D61" s="54" t="str">
        <f aca="false">IF(A61="","",ROUND(MAX(0,MIN(($C$8-$C$10)/$C$9*I61,C61-$C$10)),0))</f>
        <v/>
      </c>
      <c r="E61" s="52" t="str">
        <f aca="false">IF(A61="","",C61-D61)</f>
        <v/>
      </c>
      <c r="F61" s="52" t="str">
        <f aca="false">IF(A61="","",H60)</f>
        <v/>
      </c>
      <c r="G61" s="54" t="str">
        <f aca="false">IF(A61="","",ROUND(MAX(0,MIN(F61*$C$12*I61,F61-$C$10)),0))</f>
        <v/>
      </c>
      <c r="H61" s="52" t="str">
        <f aca="false">IF(A61="","",F61-G61)</f>
        <v/>
      </c>
      <c r="I61" s="82" t="str">
        <f aca="false">IF(A61="","",IF(A61=1,$C$14,1))</f>
        <v/>
      </c>
    </row>
    <row r="62" customFormat="false" ht="15" hidden="false" customHeight="false" outlineLevel="0" collapsed="false">
      <c r="A62" s="81" t="str">
        <f aca="false">IF(OR($C$9=0,45&gt;$C$9+1),"",45)</f>
        <v/>
      </c>
      <c r="B62" s="81" t="str">
        <f aca="false">IF(A62="","","FY "&amp;(YEAR($C$13)+A62-2)&amp;"-"&amp;RIGHT(YEAR($C$13)+A62-1,2))</f>
        <v/>
      </c>
      <c r="C62" s="52" t="str">
        <f aca="false">IF(A62="","",E61)</f>
        <v/>
      </c>
      <c r="D62" s="54" t="str">
        <f aca="false">IF(A62="","",ROUND(MAX(0,MIN(($C$8-$C$10)/$C$9*I62,C62-$C$10)),0))</f>
        <v/>
      </c>
      <c r="E62" s="52" t="str">
        <f aca="false">IF(A62="","",C62-D62)</f>
        <v/>
      </c>
      <c r="F62" s="52" t="str">
        <f aca="false">IF(A62="","",H61)</f>
        <v/>
      </c>
      <c r="G62" s="54" t="str">
        <f aca="false">IF(A62="","",ROUND(MAX(0,MIN(F62*$C$12*I62,F62-$C$10)),0))</f>
        <v/>
      </c>
      <c r="H62" s="52" t="str">
        <f aca="false">IF(A62="","",F62-G62)</f>
        <v/>
      </c>
      <c r="I62" s="82" t="str">
        <f aca="false">IF(A62="","",IF(A62=1,$C$14,1))</f>
        <v/>
      </c>
    </row>
    <row r="63" customFormat="false" ht="15" hidden="false" customHeight="false" outlineLevel="0" collapsed="false">
      <c r="A63" s="81" t="str">
        <f aca="false">IF(OR($C$9=0,46&gt;$C$9+1),"",46)</f>
        <v/>
      </c>
      <c r="B63" s="81" t="str">
        <f aca="false">IF(A63="","","FY "&amp;(YEAR($C$13)+A63-2)&amp;"-"&amp;RIGHT(YEAR($C$13)+A63-1,2))</f>
        <v/>
      </c>
      <c r="C63" s="52" t="str">
        <f aca="false">IF(A63="","",E62)</f>
        <v/>
      </c>
      <c r="D63" s="54" t="str">
        <f aca="false">IF(A63="","",ROUND(MAX(0,MIN(($C$8-$C$10)/$C$9*I63,C63-$C$10)),0))</f>
        <v/>
      </c>
      <c r="E63" s="52" t="str">
        <f aca="false">IF(A63="","",C63-D63)</f>
        <v/>
      </c>
      <c r="F63" s="52" t="str">
        <f aca="false">IF(A63="","",H62)</f>
        <v/>
      </c>
      <c r="G63" s="54" t="str">
        <f aca="false">IF(A63="","",ROUND(MAX(0,MIN(F63*$C$12*I63,F63-$C$10)),0))</f>
        <v/>
      </c>
      <c r="H63" s="52" t="str">
        <f aca="false">IF(A63="","",F63-G63)</f>
        <v/>
      </c>
      <c r="I63" s="82" t="str">
        <f aca="false">IF(A63="","",IF(A63=1,$C$14,1))</f>
        <v/>
      </c>
    </row>
    <row r="64" customFormat="false" ht="15" hidden="false" customHeight="false" outlineLevel="0" collapsed="false">
      <c r="A64" s="81" t="str">
        <f aca="false">IF(OR($C$9=0,47&gt;$C$9+1),"",47)</f>
        <v/>
      </c>
      <c r="B64" s="81" t="str">
        <f aca="false">IF(A64="","","FY "&amp;(YEAR($C$13)+A64-2)&amp;"-"&amp;RIGHT(YEAR($C$13)+A64-1,2))</f>
        <v/>
      </c>
      <c r="C64" s="52" t="str">
        <f aca="false">IF(A64="","",E63)</f>
        <v/>
      </c>
      <c r="D64" s="54" t="str">
        <f aca="false">IF(A64="","",ROUND(MAX(0,MIN(($C$8-$C$10)/$C$9*I64,C64-$C$10)),0))</f>
        <v/>
      </c>
      <c r="E64" s="52" t="str">
        <f aca="false">IF(A64="","",C64-D64)</f>
        <v/>
      </c>
      <c r="F64" s="52" t="str">
        <f aca="false">IF(A64="","",H63)</f>
        <v/>
      </c>
      <c r="G64" s="54" t="str">
        <f aca="false">IF(A64="","",ROUND(MAX(0,MIN(F64*$C$12*I64,F64-$C$10)),0))</f>
        <v/>
      </c>
      <c r="H64" s="52" t="str">
        <f aca="false">IF(A64="","",F64-G64)</f>
        <v/>
      </c>
      <c r="I64" s="82" t="str">
        <f aca="false">IF(A64="","",IF(A64=1,$C$14,1))</f>
        <v/>
      </c>
    </row>
    <row r="65" customFormat="false" ht="15" hidden="false" customHeight="false" outlineLevel="0" collapsed="false">
      <c r="A65" s="81" t="str">
        <f aca="false">IF(OR($C$9=0,48&gt;$C$9+1),"",48)</f>
        <v/>
      </c>
      <c r="B65" s="81" t="str">
        <f aca="false">IF(A65="","","FY "&amp;(YEAR($C$13)+A65-2)&amp;"-"&amp;RIGHT(YEAR($C$13)+A65-1,2))</f>
        <v/>
      </c>
      <c r="C65" s="52" t="str">
        <f aca="false">IF(A65="","",E64)</f>
        <v/>
      </c>
      <c r="D65" s="54" t="str">
        <f aca="false">IF(A65="","",ROUND(MAX(0,MIN(($C$8-$C$10)/$C$9*I65,C65-$C$10)),0))</f>
        <v/>
      </c>
      <c r="E65" s="52" t="str">
        <f aca="false">IF(A65="","",C65-D65)</f>
        <v/>
      </c>
      <c r="F65" s="52" t="str">
        <f aca="false">IF(A65="","",H64)</f>
        <v/>
      </c>
      <c r="G65" s="54" t="str">
        <f aca="false">IF(A65="","",ROUND(MAX(0,MIN(F65*$C$12*I65,F65-$C$10)),0))</f>
        <v/>
      </c>
      <c r="H65" s="52" t="str">
        <f aca="false">IF(A65="","",F65-G65)</f>
        <v/>
      </c>
      <c r="I65" s="82" t="str">
        <f aca="false">IF(A65="","",IF(A65=1,$C$14,1))</f>
        <v/>
      </c>
    </row>
    <row r="66" customFormat="false" ht="15" hidden="false" customHeight="false" outlineLevel="0" collapsed="false">
      <c r="A66" s="81" t="str">
        <f aca="false">IF(OR($C$9=0,49&gt;$C$9+1),"",49)</f>
        <v/>
      </c>
      <c r="B66" s="81" t="str">
        <f aca="false">IF(A66="","","FY "&amp;(YEAR($C$13)+A66-2)&amp;"-"&amp;RIGHT(YEAR($C$13)+A66-1,2))</f>
        <v/>
      </c>
      <c r="C66" s="52" t="str">
        <f aca="false">IF(A66="","",E65)</f>
        <v/>
      </c>
      <c r="D66" s="54" t="str">
        <f aca="false">IF(A66="","",ROUND(MAX(0,MIN(($C$8-$C$10)/$C$9*I66,C66-$C$10)),0))</f>
        <v/>
      </c>
      <c r="E66" s="52" t="str">
        <f aca="false">IF(A66="","",C66-D66)</f>
        <v/>
      </c>
      <c r="F66" s="52" t="str">
        <f aca="false">IF(A66="","",H65)</f>
        <v/>
      </c>
      <c r="G66" s="54" t="str">
        <f aca="false">IF(A66="","",ROUND(MAX(0,MIN(F66*$C$12*I66,F66-$C$10)),0))</f>
        <v/>
      </c>
      <c r="H66" s="52" t="str">
        <f aca="false">IF(A66="","",F66-G66)</f>
        <v/>
      </c>
      <c r="I66" s="82" t="str">
        <f aca="false">IF(A66="","",IF(A66=1,$C$14,1))</f>
        <v/>
      </c>
    </row>
    <row r="67" customFormat="false" ht="15" hidden="false" customHeight="false" outlineLevel="0" collapsed="false">
      <c r="A67" s="81" t="str">
        <f aca="false">IF(OR($C$9=0,50&gt;$C$9+1),"",50)</f>
        <v/>
      </c>
      <c r="B67" s="81" t="str">
        <f aca="false">IF(A67="","","FY "&amp;(YEAR($C$13)+A67-2)&amp;"-"&amp;RIGHT(YEAR($C$13)+A67-1,2))</f>
        <v/>
      </c>
      <c r="C67" s="52" t="str">
        <f aca="false">IF(A67="","",E66)</f>
        <v/>
      </c>
      <c r="D67" s="54" t="str">
        <f aca="false">IF(A67="","",ROUND(MAX(0,MIN(($C$8-$C$10)/$C$9*I67,C67-$C$10)),0))</f>
        <v/>
      </c>
      <c r="E67" s="52" t="str">
        <f aca="false">IF(A67="","",C67-D67)</f>
        <v/>
      </c>
      <c r="F67" s="52" t="str">
        <f aca="false">IF(A67="","",H66)</f>
        <v/>
      </c>
      <c r="G67" s="54" t="str">
        <f aca="false">IF(A67="","",ROUND(MAX(0,MIN(F67*$C$12*I67,F67-$C$10)),0))</f>
        <v/>
      </c>
      <c r="H67" s="52" t="str">
        <f aca="false">IF(A67="","",F67-G67)</f>
        <v/>
      </c>
      <c r="I67" s="82" t="str">
        <f aca="false">IF(A67="","",IF(A67=1,$C$14,1))</f>
        <v/>
      </c>
    </row>
    <row r="68" customFormat="false" ht="15" hidden="false" customHeight="false" outlineLevel="0" collapsed="false">
      <c r="A68" s="81" t="str">
        <f aca="false">IF(OR($C$9=0,51&gt;$C$9+1),"",51)</f>
        <v/>
      </c>
      <c r="B68" s="81" t="str">
        <f aca="false">IF(A68="","","FY "&amp;(YEAR($C$13)+A68-2)&amp;"-"&amp;RIGHT(YEAR($C$13)+A68-1,2))</f>
        <v/>
      </c>
      <c r="C68" s="52" t="str">
        <f aca="false">IF(A68="","",E67)</f>
        <v/>
      </c>
      <c r="D68" s="54" t="str">
        <f aca="false">IF(A68="","",ROUND(MAX(0,MIN(($C$8-$C$10)/$C$9*I68,C68-$C$10)),0))</f>
        <v/>
      </c>
      <c r="E68" s="52" t="str">
        <f aca="false">IF(A68="","",C68-D68)</f>
        <v/>
      </c>
      <c r="F68" s="52" t="str">
        <f aca="false">IF(A68="","",H67)</f>
        <v/>
      </c>
      <c r="G68" s="54" t="str">
        <f aca="false">IF(A68="","",ROUND(MAX(0,MIN(F68*$C$12*I68,F68-$C$10)),0))</f>
        <v/>
      </c>
      <c r="H68" s="52" t="str">
        <f aca="false">IF(A68="","",F68-G68)</f>
        <v/>
      </c>
      <c r="I68" s="82" t="str">
        <f aca="false">IF(A68="","",IF(A68=1,$C$14,1))</f>
        <v/>
      </c>
    </row>
    <row r="69" customFormat="false" ht="15" hidden="false" customHeight="false" outlineLevel="0" collapsed="false">
      <c r="A69" s="81" t="str">
        <f aca="false">IF(OR($C$9=0,52&gt;$C$9+1),"",52)</f>
        <v/>
      </c>
      <c r="B69" s="81" t="str">
        <f aca="false">IF(A69="","","FY "&amp;(YEAR($C$13)+A69-2)&amp;"-"&amp;RIGHT(YEAR($C$13)+A69-1,2))</f>
        <v/>
      </c>
      <c r="C69" s="52" t="str">
        <f aca="false">IF(A69="","",E68)</f>
        <v/>
      </c>
      <c r="D69" s="54" t="str">
        <f aca="false">IF(A69="","",ROUND(MAX(0,MIN(($C$8-$C$10)/$C$9*I69,C69-$C$10)),0))</f>
        <v/>
      </c>
      <c r="E69" s="52" t="str">
        <f aca="false">IF(A69="","",C69-D69)</f>
        <v/>
      </c>
      <c r="F69" s="52" t="str">
        <f aca="false">IF(A69="","",H68)</f>
        <v/>
      </c>
      <c r="G69" s="54" t="str">
        <f aca="false">IF(A69="","",ROUND(MAX(0,MIN(F69*$C$12*I69,F69-$C$10)),0))</f>
        <v/>
      </c>
      <c r="H69" s="52" t="str">
        <f aca="false">IF(A69="","",F69-G69)</f>
        <v/>
      </c>
      <c r="I69" s="82" t="str">
        <f aca="false">IF(A69="","",IF(A69=1,$C$14,1))</f>
        <v/>
      </c>
    </row>
    <row r="70" customFormat="false" ht="15" hidden="false" customHeight="false" outlineLevel="0" collapsed="false">
      <c r="A70" s="81" t="str">
        <f aca="false">IF(OR($C$9=0,53&gt;$C$9+1),"",53)</f>
        <v/>
      </c>
      <c r="B70" s="81" t="str">
        <f aca="false">IF(A70="","","FY "&amp;(YEAR($C$13)+A70-2)&amp;"-"&amp;RIGHT(YEAR($C$13)+A70-1,2))</f>
        <v/>
      </c>
      <c r="C70" s="52" t="str">
        <f aca="false">IF(A70="","",E69)</f>
        <v/>
      </c>
      <c r="D70" s="54" t="str">
        <f aca="false">IF(A70="","",ROUND(MAX(0,MIN(($C$8-$C$10)/$C$9*I70,C70-$C$10)),0))</f>
        <v/>
      </c>
      <c r="E70" s="52" t="str">
        <f aca="false">IF(A70="","",C70-D70)</f>
        <v/>
      </c>
      <c r="F70" s="52" t="str">
        <f aca="false">IF(A70="","",H69)</f>
        <v/>
      </c>
      <c r="G70" s="54" t="str">
        <f aca="false">IF(A70="","",ROUND(MAX(0,MIN(F70*$C$12*I70,F70-$C$10)),0))</f>
        <v/>
      </c>
      <c r="H70" s="52" t="str">
        <f aca="false">IF(A70="","",F70-G70)</f>
        <v/>
      </c>
      <c r="I70" s="82" t="str">
        <f aca="false">IF(A70="","",IF(A70=1,$C$14,1))</f>
        <v/>
      </c>
    </row>
    <row r="71" customFormat="false" ht="15" hidden="false" customHeight="false" outlineLevel="0" collapsed="false">
      <c r="A71" s="81" t="str">
        <f aca="false">IF(OR($C$9=0,54&gt;$C$9+1),"",54)</f>
        <v/>
      </c>
      <c r="B71" s="81" t="str">
        <f aca="false">IF(A71="","","FY "&amp;(YEAR($C$13)+A71-2)&amp;"-"&amp;RIGHT(YEAR($C$13)+A71-1,2))</f>
        <v/>
      </c>
      <c r="C71" s="52" t="str">
        <f aca="false">IF(A71="","",E70)</f>
        <v/>
      </c>
      <c r="D71" s="54" t="str">
        <f aca="false">IF(A71="","",ROUND(MAX(0,MIN(($C$8-$C$10)/$C$9*I71,C71-$C$10)),0))</f>
        <v/>
      </c>
      <c r="E71" s="52" t="str">
        <f aca="false">IF(A71="","",C71-D71)</f>
        <v/>
      </c>
      <c r="F71" s="52" t="str">
        <f aca="false">IF(A71="","",H70)</f>
        <v/>
      </c>
      <c r="G71" s="54" t="str">
        <f aca="false">IF(A71="","",ROUND(MAX(0,MIN(F71*$C$12*I71,F71-$C$10)),0))</f>
        <v/>
      </c>
      <c r="H71" s="52" t="str">
        <f aca="false">IF(A71="","",F71-G71)</f>
        <v/>
      </c>
      <c r="I71" s="82" t="str">
        <f aca="false">IF(A71="","",IF(A71=1,$C$14,1))</f>
        <v/>
      </c>
    </row>
    <row r="72" customFormat="false" ht="15" hidden="false" customHeight="false" outlineLevel="0" collapsed="false">
      <c r="A72" s="81" t="str">
        <f aca="false">IF(OR($C$9=0,55&gt;$C$9+1),"",55)</f>
        <v/>
      </c>
      <c r="B72" s="81" t="str">
        <f aca="false">IF(A72="","","FY "&amp;(YEAR($C$13)+A72-2)&amp;"-"&amp;RIGHT(YEAR($C$13)+A72-1,2))</f>
        <v/>
      </c>
      <c r="C72" s="52" t="str">
        <f aca="false">IF(A72="","",E71)</f>
        <v/>
      </c>
      <c r="D72" s="54" t="str">
        <f aca="false">IF(A72="","",ROUND(MAX(0,MIN(($C$8-$C$10)/$C$9*I72,C72-$C$10)),0))</f>
        <v/>
      </c>
      <c r="E72" s="52" t="str">
        <f aca="false">IF(A72="","",C72-D72)</f>
        <v/>
      </c>
      <c r="F72" s="52" t="str">
        <f aca="false">IF(A72="","",H71)</f>
        <v/>
      </c>
      <c r="G72" s="54" t="str">
        <f aca="false">IF(A72="","",ROUND(MAX(0,MIN(F72*$C$12*I72,F72-$C$10)),0))</f>
        <v/>
      </c>
      <c r="H72" s="52" t="str">
        <f aca="false">IF(A72="","",F72-G72)</f>
        <v/>
      </c>
      <c r="I72" s="82" t="str">
        <f aca="false">IF(A72="","",IF(A72=1,$C$14,1))</f>
        <v/>
      </c>
    </row>
    <row r="73" customFormat="false" ht="15" hidden="false" customHeight="false" outlineLevel="0" collapsed="false">
      <c r="A73" s="81" t="str">
        <f aca="false">IF(OR($C$9=0,56&gt;$C$9+1),"",56)</f>
        <v/>
      </c>
      <c r="B73" s="81" t="str">
        <f aca="false">IF(A73="","","FY "&amp;(YEAR($C$13)+A73-2)&amp;"-"&amp;RIGHT(YEAR($C$13)+A73-1,2))</f>
        <v/>
      </c>
      <c r="C73" s="52" t="str">
        <f aca="false">IF(A73="","",E72)</f>
        <v/>
      </c>
      <c r="D73" s="54" t="str">
        <f aca="false">IF(A73="","",ROUND(MAX(0,MIN(($C$8-$C$10)/$C$9*I73,C73-$C$10)),0))</f>
        <v/>
      </c>
      <c r="E73" s="52" t="str">
        <f aca="false">IF(A73="","",C73-D73)</f>
        <v/>
      </c>
      <c r="F73" s="52" t="str">
        <f aca="false">IF(A73="","",H72)</f>
        <v/>
      </c>
      <c r="G73" s="54" t="str">
        <f aca="false">IF(A73="","",ROUND(MAX(0,MIN(F73*$C$12*I73,F73-$C$10)),0))</f>
        <v/>
      </c>
      <c r="H73" s="52" t="str">
        <f aca="false">IF(A73="","",F73-G73)</f>
        <v/>
      </c>
      <c r="I73" s="82" t="str">
        <f aca="false">IF(A73="","",IF(A73=1,$C$14,1))</f>
        <v/>
      </c>
    </row>
    <row r="74" customFormat="false" ht="15" hidden="false" customHeight="false" outlineLevel="0" collapsed="false">
      <c r="A74" s="81" t="str">
        <f aca="false">IF(OR($C$9=0,57&gt;$C$9+1),"",57)</f>
        <v/>
      </c>
      <c r="B74" s="81" t="str">
        <f aca="false">IF(A74="","","FY "&amp;(YEAR($C$13)+A74-2)&amp;"-"&amp;RIGHT(YEAR($C$13)+A74-1,2))</f>
        <v/>
      </c>
      <c r="C74" s="52" t="str">
        <f aca="false">IF(A74="","",E73)</f>
        <v/>
      </c>
      <c r="D74" s="54" t="str">
        <f aca="false">IF(A74="","",ROUND(MAX(0,MIN(($C$8-$C$10)/$C$9*I74,C74-$C$10)),0))</f>
        <v/>
      </c>
      <c r="E74" s="52" t="str">
        <f aca="false">IF(A74="","",C74-D74)</f>
        <v/>
      </c>
      <c r="F74" s="52" t="str">
        <f aca="false">IF(A74="","",H73)</f>
        <v/>
      </c>
      <c r="G74" s="54" t="str">
        <f aca="false">IF(A74="","",ROUND(MAX(0,MIN(F74*$C$12*I74,F74-$C$10)),0))</f>
        <v/>
      </c>
      <c r="H74" s="52" t="str">
        <f aca="false">IF(A74="","",F74-G74)</f>
        <v/>
      </c>
      <c r="I74" s="82" t="str">
        <f aca="false">IF(A74="","",IF(A74=1,$C$14,1))</f>
        <v/>
      </c>
    </row>
    <row r="75" customFormat="false" ht="15" hidden="false" customHeight="false" outlineLevel="0" collapsed="false">
      <c r="A75" s="81" t="str">
        <f aca="false">IF(OR($C$9=0,58&gt;$C$9+1),"",58)</f>
        <v/>
      </c>
      <c r="B75" s="81" t="str">
        <f aca="false">IF(A75="","","FY "&amp;(YEAR($C$13)+A75-2)&amp;"-"&amp;RIGHT(YEAR($C$13)+A75-1,2))</f>
        <v/>
      </c>
      <c r="C75" s="52" t="str">
        <f aca="false">IF(A75="","",E74)</f>
        <v/>
      </c>
      <c r="D75" s="54" t="str">
        <f aca="false">IF(A75="","",ROUND(MAX(0,MIN(($C$8-$C$10)/$C$9*I75,C75-$C$10)),0))</f>
        <v/>
      </c>
      <c r="E75" s="52" t="str">
        <f aca="false">IF(A75="","",C75-D75)</f>
        <v/>
      </c>
      <c r="F75" s="52" t="str">
        <f aca="false">IF(A75="","",H74)</f>
        <v/>
      </c>
      <c r="G75" s="54" t="str">
        <f aca="false">IF(A75="","",ROUND(MAX(0,MIN(F75*$C$12*I75,F75-$C$10)),0))</f>
        <v/>
      </c>
      <c r="H75" s="52" t="str">
        <f aca="false">IF(A75="","",F75-G75)</f>
        <v/>
      </c>
      <c r="I75" s="82" t="str">
        <f aca="false">IF(A75="","",IF(A75=1,$C$14,1))</f>
        <v/>
      </c>
    </row>
    <row r="76" customFormat="false" ht="15" hidden="false" customHeight="false" outlineLevel="0" collapsed="false">
      <c r="A76" s="81" t="str">
        <f aca="false">IF(OR($C$9=0,59&gt;$C$9+1),"",59)</f>
        <v/>
      </c>
      <c r="B76" s="81" t="str">
        <f aca="false">IF(A76="","","FY "&amp;(YEAR($C$13)+A76-2)&amp;"-"&amp;RIGHT(YEAR($C$13)+A76-1,2))</f>
        <v/>
      </c>
      <c r="C76" s="52" t="str">
        <f aca="false">IF(A76="","",E75)</f>
        <v/>
      </c>
      <c r="D76" s="54" t="str">
        <f aca="false">IF(A76="","",ROUND(MAX(0,MIN(($C$8-$C$10)/$C$9*I76,C76-$C$10)),0))</f>
        <v/>
      </c>
      <c r="E76" s="52" t="str">
        <f aca="false">IF(A76="","",C76-D76)</f>
        <v/>
      </c>
      <c r="F76" s="52" t="str">
        <f aca="false">IF(A76="","",H75)</f>
        <v/>
      </c>
      <c r="G76" s="54" t="str">
        <f aca="false">IF(A76="","",ROUND(MAX(0,MIN(F76*$C$12*I76,F76-$C$10)),0))</f>
        <v/>
      </c>
      <c r="H76" s="52" t="str">
        <f aca="false">IF(A76="","",F76-G76)</f>
        <v/>
      </c>
      <c r="I76" s="82" t="str">
        <f aca="false">IF(A76="","",IF(A76=1,$C$14,1))</f>
        <v/>
      </c>
    </row>
    <row r="77" customFormat="false" ht="15" hidden="false" customHeight="false" outlineLevel="0" collapsed="false">
      <c r="A77" s="81" t="str">
        <f aca="false">IF(OR($C$9=0,60&gt;$C$9+1),"",60)</f>
        <v/>
      </c>
      <c r="B77" s="81" t="str">
        <f aca="false">IF(A77="","","FY "&amp;(YEAR($C$13)+A77-2)&amp;"-"&amp;RIGHT(YEAR($C$13)+A77-1,2))</f>
        <v/>
      </c>
      <c r="C77" s="52" t="str">
        <f aca="false">IF(A77="","",E76)</f>
        <v/>
      </c>
      <c r="D77" s="54" t="str">
        <f aca="false">IF(A77="","",ROUND(MAX(0,MIN(($C$8-$C$10)/$C$9*I77,C77-$C$10)),0))</f>
        <v/>
      </c>
      <c r="E77" s="52" t="str">
        <f aca="false">IF(A77="","",C77-D77)</f>
        <v/>
      </c>
      <c r="F77" s="52" t="str">
        <f aca="false">IF(A77="","",H76)</f>
        <v/>
      </c>
      <c r="G77" s="54" t="str">
        <f aca="false">IF(A77="","",ROUND(MAX(0,MIN(F77*$C$12*I77,F77-$C$10)),0))</f>
        <v/>
      </c>
      <c r="H77" s="52" t="str">
        <f aca="false">IF(A77="","",F77-G77)</f>
        <v/>
      </c>
      <c r="I77" s="82" t="str">
        <f aca="false">IF(A77="","",IF(A77=1,$C$14,1))</f>
        <v/>
      </c>
    </row>
    <row r="78" customFormat="false" ht="15" hidden="false" customHeight="false" outlineLevel="0" collapsed="false">
      <c r="A78" s="81" t="str">
        <f aca="false">IF(OR($C$9=0,61&gt;$C$9+1),"",61)</f>
        <v/>
      </c>
      <c r="B78" s="81" t="str">
        <f aca="false">IF(A78="","","FY "&amp;(YEAR($C$13)+A78-2)&amp;"-"&amp;RIGHT(YEAR($C$13)+A78-1,2))</f>
        <v/>
      </c>
      <c r="C78" s="52" t="str">
        <f aca="false">IF(A78="","",E77)</f>
        <v/>
      </c>
      <c r="D78" s="54" t="str">
        <f aca="false">IF(A78="","",ROUND(MAX(0,MIN(($C$8-$C$10)/$C$9*I78,C78-$C$10)),0))</f>
        <v/>
      </c>
      <c r="E78" s="52" t="str">
        <f aca="false">IF(A78="","",C78-D78)</f>
        <v/>
      </c>
      <c r="F78" s="52" t="str">
        <f aca="false">IF(A78="","",H77)</f>
        <v/>
      </c>
      <c r="G78" s="54" t="str">
        <f aca="false">IF(A78="","",ROUND(MAX(0,MIN(F78*$C$12*I78,F78-$C$10)),0))</f>
        <v/>
      </c>
      <c r="H78" s="52" t="str">
        <f aca="false">IF(A78="","",F78-G78)</f>
        <v/>
      </c>
      <c r="I78" s="82" t="str">
        <f aca="false">IF(A78="","",IF(A78=1,$C$14,1))</f>
        <v/>
      </c>
    </row>
  </sheetData>
  <sheetProtection sheet="1" objects="1" scenarios="1" formatColumns="0" formatRows="0" algorithmName="SHA-512" hashValue="6TSzJGom2/zMttzU4/lcVAdoVu4/8eBFVV2VxrDtKE2G6S0By8DT/KfAbCFF2qXwjNXo1vu0N8fTiCJG+PV24Q==" saltValue="m97u1g9XU5qyaj+kmguqeA==" spinCount="100000"/>
  <mergeCells count="14">
    <mergeCell ref="A2:I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C16:E16"/>
    <mergeCell ref="F16:H16"/>
  </mergeCells>
  <conditionalFormatting sqref="A18:I78">
    <cfRule type="expression" priority="2" aboveAverage="0" equalAverage="0" bottom="0" percent="0" rank="0" text="" dxfId="5">
      <formula>AND($B18&lt;&gt;"",$B18="FY "&amp;YEAR(Setup!$C$5)&amp;"-"&amp;RIGHT(YEAR(Setup!$C$6),2))</formula>
    </cfRule>
  </conditionalFormatting>
  <dataValidations count="1">
    <dataValidation allowBlank="true" errorStyle="stop" operator="between" showDropDown="false" showErrorMessage="false" showInputMessage="false" sqref="C4" type="list">
      <formula1>'Asset Register'!$B$7:$B$106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194</v>
      </c>
    </row>
    <row r="2" customFormat="false" ht="15" hidden="false" customHeight="false" outlineLevel="0" collapsed="false">
      <c r="A2" s="0" t="s">
        <v>126</v>
      </c>
    </row>
    <row r="3" customFormat="false" ht="15" hidden="false" customHeight="false" outlineLevel="0" collapsed="false">
      <c r="A3" s="0" t="s">
        <v>52</v>
      </c>
    </row>
  </sheetData>
  <sheetProtection sheet="1" objects="1" scenarios="1" formatColumns="0" formatRows="0" algorithmName="SHA-512" hashValue="vvmKCYo+Wfe3L/WzzPxuhNDhT49jgl6q62kwqMI5wnZz1FxuGqRjHl8JUQa875M5BjGeAawCIXAUYyDOb7K2Qg==" saltValue="UYE/+SwbBKRk8/eG8vJkpw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2026-10-08T16:31:14Z</dcterms:created>
  <dc:creator>Xplorexcel.com</dc:creator>
  <dc:description/>
  <dc:language>en-US</dc:language>
  <cp:lastModifiedBy/>
  <dcterms:modified xsi:type="dcterms:W3CDTF">2026-10-08T16:31:16Z</dcterms:modified>
  <cp:revision>1</cp:revision>
  <dc:subject/>
  <dc:title>Fixed Asset Register &amp; Depreciation Calculator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