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i5xfaaV8//C6l9egrKNUmdWZCkOZzUQX0LGWL5Azm+DM2MYit9HJfOkp4WxkAelVwDMVqrOYGLuYQ0cWhr88BA==" workbookSaltValue="Sz0wjKgoWXYi90vCctduKA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Gratuity Calculator" sheetId="1" state="visible" r:id="rId3"/>
    <sheet name="Staff Gratuity Liability" sheetId="2" state="visible" r:id="rId4"/>
    <sheet name="Lists" sheetId="3" state="hidden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<sst xmlns="http://schemas.openxmlformats.org/spreadsheetml/2006/main" count="170" uniqueCount="159">
  <si>
    <t xml:space="preserve">Gratuity Calculator 2026 – as per new Labour Codes</t>
  </si>
  <si>
    <t xml:space="preserve">Fill the yellow cells. Formula: 15 × last month's wages × years of service ÷ 26.</t>
  </si>
  <si>
    <t xml:space="preserve">Employee name</t>
  </si>
  <si>
    <t xml:space="preserve">Ravinder Kumar</t>
  </si>
  <si>
    <t xml:space="preserve">Date of joining</t>
  </si>
  <si>
    <t xml:space="preserve">Date of leaving (or calculate as on)</t>
  </si>
  <si>
    <t xml:space="preserve">Type of employment</t>
  </si>
  <si>
    <t xml:space="preserve">Permanent</t>
  </si>
  <si>
    <t xml:space="preserve">Reason for leaving</t>
  </si>
  <si>
    <t xml:space="preserve">Resignation</t>
  </si>
  <si>
    <t xml:space="preserve">Employer</t>
  </si>
  <si>
    <t xml:space="preserve">Private sector</t>
  </si>
  <si>
    <t xml:space="preserve">Last month's Basic pay (₹)</t>
  </si>
  <si>
    <t xml:space="preserve">Last month's DA (₹)</t>
  </si>
  <si>
    <t xml:space="preserve">Total monthly pay incl. all allowances (₹)</t>
  </si>
  <si>
    <t xml:space="preserve">Gratuity already exempted earlier in career (₹)</t>
  </si>
  <si>
    <t xml:space="preserve">RESULT</t>
  </si>
  <si>
    <t xml:space="preserve">Service</t>
  </si>
  <si>
    <t xml:space="preserve">Completed years</t>
  </si>
  <si>
    <t xml:space="preserve">Years counted (more than 6 months in the last year = 1 more year)</t>
  </si>
  <si>
    <t xml:space="preserve">Eligible?</t>
  </si>
  <si>
    <t xml:space="preserve">Wages (Basic + DA)</t>
  </si>
  <si>
    <t xml:space="preserve">Added back – 50% rule (allowances above half of total pay)</t>
  </si>
  <si>
    <t xml:space="preserve">Wages for gratuity</t>
  </si>
  <si>
    <t xml:space="preserve">GRATUITY PAYABLE</t>
  </si>
  <si>
    <t xml:space="preserve">Tax-free limit available</t>
  </si>
  <si>
    <t xml:space="preserve">Tax-free gratuity</t>
  </si>
  <si>
    <t xml:space="preserve">Taxable gratuity</t>
  </si>
  <si>
    <t xml:space="preserve">Rules used (Oct 2026): Code on Social Security 2020 (in force 21 Nov 2025) – 5 years' service for permanent staff, 1 year for fixed-term staff, none on death / disablement; wages = Basic + DA, raised so that they are at least 50% of total pay; 15 days' wages (÷ 26) for each year, part year over 6 months counted as a full year; maximum gratuity payable ₹20 lakh. Income-tax exemption for private-sector employees up to ₹20 lakh in a lifetime. Seasonal establishments and special cases differ – check with your employer or CA.</t>
  </si>
  <si>
    <t xml:space="preserve">Employer? XplorePay works out gratuity provision and liability for up to 100 employees along with PF, ESI and payslips – xplorexcel.com store.</t>
  </si>
  <si>
    <t xml:space="preserve">◄ BACK TO CALCULATOR</t>
  </si>
  <si>
    <t xml:space="preserve">Gratuity liability – all staff</t>
  </si>
  <si>
    <t xml:space="preserve">For employers: list every employee to see the gratuity payable if they left on the date below.</t>
  </si>
  <si>
    <t xml:space="preserve">Calculate as on</t>
  </si>
  <si>
    <t xml:space="preserve">#</t>
  </si>
  <si>
    <t xml:space="preserve">Employee</t>
  </si>
  <si>
    <t xml:space="preserve">Type</t>
  </si>
  <si>
    <t xml:space="preserve">Basic + DA (₹)</t>
  </si>
  <si>
    <t xml:space="preserve">Total pay (₹)</t>
  </si>
  <si>
    <t xml:space="preserve">Years counted</t>
  </si>
  <si>
    <t xml:space="preserve">Gratuity (₹)</t>
  </si>
  <si>
    <t xml:space="preserve">Liability (accrued) (₹)</t>
  </si>
  <si>
    <t xml:space="preserve">Neha Arora</t>
  </si>
  <si>
    <t xml:space="preserve">Simran Kaur</t>
  </si>
  <si>
    <t xml:space="preserve">Fixed-term</t>
  </si>
  <si>
    <t xml:space="preserve">Manoj Thakur</t>
  </si>
  <si>
    <t xml:space="preserve">Arjun Mehta</t>
  </si>
  <si>
    <t xml:space="preserve">TOTAL</t>
  </si>
  <si>
    <t xml:space="preserve">UPI</t>
  </si>
  <si>
    <t xml:space="preserve">Per sq ft</t>
  </si>
  <si>
    <t xml:space="preserve">One</t>
  </si>
  <si>
    <t xml:space="preserve">Cash</t>
  </si>
  <si>
    <t xml:space="preserve">Fixed</t>
  </si>
  <si>
    <t xml:space="preserve">Retirement / superannuation</t>
  </si>
  <si>
    <t xml:space="preserve">Government</t>
  </si>
  <si>
    <t xml:space="preserve">Two</t>
  </si>
  <si>
    <t xml:space="preserve">Cheque</t>
  </si>
  <si>
    <t xml:space="preserve">Termination</t>
  </si>
  <si>
    <t xml:space="preserve">Three</t>
  </si>
  <si>
    <t xml:space="preserve">Bank transfer</t>
  </si>
  <si>
    <t xml:space="preserve">Death</t>
  </si>
  <si>
    <t xml:space="preserve">Four</t>
  </si>
  <si>
    <t xml:space="preserve">Card</t>
  </si>
  <si>
    <t xml:space="preserve">Disablement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</si>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</sst>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yy"/>
    <numFmt numFmtId="166" formatCode="###,##0;\(###,##0\);\-"/>
    <numFmt numFmtId="167" formatCode="0"/>
    <numFmt numFmtId="168" formatCode="General"/>
    <numFmt numFmtId="169" formatCode="dd\-mmm\-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3"/>
      <color rgb="FFFFFFFF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0"/>
      <color rgb="FFC0000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9"/>
      <color rgb="FF7F7F7F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002060"/>
        <bgColor rgb="FF000080"/>
      </patternFill>
    </fill>
    <fill>
      <patternFill patternType="solid">
        <fgColor rgb="FFE2EFDA"/>
        <bgColor rgb="FFF2F2F2"/>
      </patternFill>
    </fill>
    <fill>
      <patternFill patternType="solid">
        <fgColor rgb="FFBF8F00"/>
        <bgColor rgb="FF808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1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1428480</xdr:colOff>
      <xdr:row>2</xdr:row>
      <xdr:rowOff>95040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42848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006838"/>
    <pageSetUpPr fitToPage="true"/>
  </sheetPr>
  <dimension ref="B5:E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8"/>
    <col collapsed="false" customWidth="true" hidden="false" outlineLevel="0" max="3" min="3" style="0" width="20"/>
    <col collapsed="false" customWidth="true" hidden="false" outlineLevel="0" max="5" min="4" style="0" width="16"/>
    <col collapsed="false" customWidth="true" hidden="false" outlineLevel="0" max="6" min="6" style="0" width="2"/>
  </cols>
  <sheetData>
    <row r="5" customFormat="false" ht="30" hidden="false" customHeight="true" outlineLevel="0" collapsed="false">
      <c r="B5" s="1" t="s">
        <v>0</v>
      </c>
      <c r="C5" s="1"/>
      <c r="D5" s="1"/>
      <c r="E5" s="1"/>
    </row>
    <row r="6" customFormat="false" ht="15" hidden="false" customHeight="true" outlineLevel="0" collapsed="false">
      <c r="B6" s="2" t="s">
        <v>1</v>
      </c>
      <c r="C6" s="2"/>
      <c r="D6" s="2"/>
      <c r="E6" s="2"/>
    </row>
    <row r="8" customFormat="false" ht="15" hidden="false" customHeight="false" outlineLevel="0" collapsed="false">
      <c r="B8" s="3" t="s">
        <v>2</v>
      </c>
      <c r="C8" s="4" t="s">
        <v>3</v>
      </c>
    </row>
    <row r="9" customFormat="false" ht="15" hidden="false" customHeight="false" outlineLevel="0" collapsed="false">
      <c r="B9" s="3" t="s">
        <v>4</v>
      </c>
      <c r="C9" s="5" t="n">
        <v>43535</v>
      </c>
    </row>
    <row r="10" customFormat="false" ht="15" hidden="false" customHeight="false" outlineLevel="0" collapsed="false">
      <c r="B10" s="3" t="s">
        <v>5</v>
      </c>
      <c r="C10" s="5" t="n">
        <v>46356</v>
      </c>
    </row>
    <row r="11" customFormat="false" ht="15" hidden="false" customHeight="false" outlineLevel="0" collapsed="false">
      <c r="B11" s="3" t="s">
        <v>6</v>
      </c>
      <c r="C11" s="4" t="s">
        <v>7</v>
      </c>
    </row>
    <row r="12" customFormat="false" ht="15" hidden="false" customHeight="false" outlineLevel="0" collapsed="false">
      <c r="B12" s="3" t="s">
        <v>8</v>
      </c>
      <c r="C12" s="4" t="s">
        <v>9</v>
      </c>
    </row>
    <row r="13" customFormat="false" ht="15" hidden="false" customHeight="false" outlineLevel="0" collapsed="false">
      <c r="B13" s="3" t="s">
        <v>10</v>
      </c>
      <c r="C13" s="4" t="s">
        <v>11</v>
      </c>
    </row>
    <row r="14" customFormat="false" ht="15" hidden="false" customHeight="false" outlineLevel="0" collapsed="false">
      <c r="B14" s="3" t="s">
        <v>12</v>
      </c>
      <c r="C14" s="6" t="n">
        <v>28000</v>
      </c>
    </row>
    <row r="15" customFormat="false" ht="15" hidden="false" customHeight="false" outlineLevel="0" collapsed="false">
      <c r="B15" s="3" t="s">
        <v>13</v>
      </c>
      <c r="C15" s="6" t="n">
        <v>0</v>
      </c>
    </row>
    <row r="16" customFormat="false" ht="15" hidden="false" customHeight="false" outlineLevel="0" collapsed="false">
      <c r="B16" s="3" t="s">
        <v>14</v>
      </c>
      <c r="C16" s="6" t="n">
        <v>70000</v>
      </c>
    </row>
    <row r="17" customFormat="false" ht="15" hidden="false" customHeight="false" outlineLevel="0" collapsed="false">
      <c r="B17" s="3" t="s">
        <v>15</v>
      </c>
      <c r="C17" s="6" t="n">
        <v>0</v>
      </c>
    </row>
    <row r="19" customFormat="false" ht="15" hidden="false" customHeight="true" outlineLevel="0" collapsed="false">
      <c r="B19" s="7" t="s">
        <v>16</v>
      </c>
      <c r="C19" s="7"/>
      <c r="D19" s="7"/>
      <c r="E19" s="7"/>
    </row>
    <row r="20" customFormat="false" ht="21.75" hidden="false" customHeight="true" outlineLevel="0" collapsed="false">
      <c r="B20" s="3" t="s">
        <v>17</v>
      </c>
      <c r="C20" s="8" t="str">
        <f aca="false">IF(OR(C9="",C10="",C10&lt;C9),"",DATEDIF(C9,C10,"y")&amp;" years "&amp;DATEDIF(C9,C10,"ym")&amp;" months "&amp;DATEDIF(C9,C10,"md")&amp;" days")</f>
        <v>7 years 8 months 19 days</v>
      </c>
      <c r="D20" s="8"/>
      <c r="E20" s="8"/>
    </row>
    <row r="21" customFormat="false" ht="21.75" hidden="false" customHeight="true" outlineLevel="0" collapsed="false">
      <c r="B21" s="3" t="s">
        <v>18</v>
      </c>
      <c r="C21" s="9" t="n">
        <f aca="false">IF(OR(C9="",C10="",C10&lt;C9),0,DATEDIF(C9,C10,"y"))</f>
        <v>7</v>
      </c>
      <c r="D21" s="9"/>
      <c r="E21" s="9"/>
    </row>
    <row r="22" customFormat="false" ht="30" hidden="false" customHeight="true" outlineLevel="0" collapsed="false">
      <c r="B22" s="3" t="s">
        <v>19</v>
      </c>
      <c r="C22" s="9" t="n">
        <f aca="false">C21+IF(IFERROR(DATEDIF(C9,C10,"ym")*31+DATEDIF(C9,C10,"md"),0)&gt;186,1,0)</f>
        <v>8</v>
      </c>
      <c r="D22" s="9"/>
      <c r="E22" s="9"/>
    </row>
    <row r="23" customFormat="false" ht="21.75" hidden="false" customHeight="true" outlineLevel="0" collapsed="false">
      <c r="B23" s="3" t="s">
        <v>20</v>
      </c>
      <c r="C23" s="8" t="str">
        <f aca="false">IF(OR(C12="Death",C12="Disablement"),"Yes – no minimum service on death / disablement",IF(C11="Fixed-term",IF(C21&gt;=1,"Yes – fixed-term, 1 year completed","Not yet – fixed-term needs 1 year"),IF(C21&gt;=5,"Yes – 5 years completed","Not yet – needs 5 years of continuous service")))</f>
        <v>Yes – 5 years completed</v>
      </c>
      <c r="D23" s="8"/>
      <c r="E23" s="8"/>
    </row>
    <row r="24" customFormat="false" ht="21.75" hidden="false" customHeight="true" outlineLevel="0" collapsed="false">
      <c r="B24" s="3" t="s">
        <v>21</v>
      </c>
      <c r="C24" s="10" t="n">
        <f aca="false">N(C14)+N(C15)</f>
        <v>28000</v>
      </c>
      <c r="D24" s="10"/>
      <c r="E24" s="10"/>
    </row>
    <row r="25" customFormat="false" ht="21.75" hidden="false" customHeight="true" outlineLevel="0" collapsed="false">
      <c r="B25" s="3" t="s">
        <v>22</v>
      </c>
      <c r="C25" s="10" t="n">
        <f aca="false">MAX(0,ROUND(N(C16)*0.5-C24,0))</f>
        <v>7000</v>
      </c>
      <c r="D25" s="10"/>
      <c r="E25" s="10"/>
    </row>
    <row r="26" customFormat="false" ht="21.75" hidden="false" customHeight="true" outlineLevel="0" collapsed="false">
      <c r="B26" s="3" t="s">
        <v>23</v>
      </c>
      <c r="C26" s="10" t="n">
        <f aca="false">C24+C25</f>
        <v>35000</v>
      </c>
      <c r="D26" s="10"/>
      <c r="E26" s="10"/>
    </row>
    <row r="27" customFormat="false" ht="21.75" hidden="false" customHeight="true" outlineLevel="0" collapsed="false">
      <c r="B27" s="11" t="s">
        <v>24</v>
      </c>
      <c r="C27" s="12" t="n">
        <f aca="false">IF(LEFT(C23,3)&lt;&gt;"Yes",0,MIN(2000000,ROUND(15*C26*C22/26,0)))</f>
        <v>161538</v>
      </c>
      <c r="D27" s="12"/>
      <c r="E27" s="12"/>
    </row>
    <row r="28" customFormat="false" ht="21.75" hidden="false" customHeight="true" outlineLevel="0" collapsed="false">
      <c r="B28" s="3" t="s">
        <v>25</v>
      </c>
      <c r="C28" s="10" t="n">
        <f aca="false">IF(C13="Government",C27,MAX(0,2000000-N(C17)))</f>
        <v>2000000</v>
      </c>
      <c r="D28" s="10"/>
      <c r="E28" s="10"/>
    </row>
    <row r="29" customFormat="false" ht="21.75" hidden="false" customHeight="true" outlineLevel="0" collapsed="false">
      <c r="B29" s="3" t="s">
        <v>26</v>
      </c>
      <c r="C29" s="10" t="n">
        <f aca="false">MIN(C27,C28)</f>
        <v>161538</v>
      </c>
      <c r="D29" s="10"/>
      <c r="E29" s="10"/>
    </row>
    <row r="30" customFormat="false" ht="21.75" hidden="false" customHeight="true" outlineLevel="0" collapsed="false">
      <c r="B30" s="3" t="s">
        <v>27</v>
      </c>
      <c r="C30" s="10" t="n">
        <f aca="false">C27-C29</f>
        <v>0</v>
      </c>
      <c r="D30" s="10"/>
      <c r="E30" s="10"/>
    </row>
    <row r="32" customFormat="false" ht="15" hidden="false" customHeight="true" outlineLevel="0" collapsed="false">
      <c r="B32" s="13" t="s">
        <v>28</v>
      </c>
      <c r="C32" s="13"/>
      <c r="D32" s="13"/>
      <c r="E32" s="13"/>
    </row>
    <row r="33" customFormat="false" ht="15" hidden="false" customHeight="false" outlineLevel="0" collapsed="false">
      <c r="B33" s="13"/>
      <c r="C33" s="13"/>
      <c r="D33" s="13"/>
      <c r="E33" s="13"/>
    </row>
    <row r="34" customFormat="false" ht="15" hidden="false" customHeight="false" outlineLevel="0" collapsed="false">
      <c r="B34" s="13"/>
      <c r="C34" s="13"/>
      <c r="D34" s="13"/>
      <c r="E34" s="13"/>
    </row>
    <row r="35" customFormat="false" ht="15" hidden="false" customHeight="false" outlineLevel="0" collapsed="false">
      <c r="B35" s="13"/>
      <c r="C35" s="13"/>
      <c r="D35" s="13"/>
      <c r="E35" s="13"/>
    </row>
    <row r="37" customFormat="false" ht="15" hidden="false" customHeight="true" outlineLevel="0" collapsed="false">
      <c r="B37" s="14" t="s">
        <v>29</v>
      </c>
      <c r="C37" s="14"/>
      <c r="D37" s="14"/>
      <c r="E37" s="14"/>
    </row>
    <row r="38" customFormat="false" ht="15" hidden="false" customHeight="false" outlineLevel="0" collapsed="false">
      <c r="B38" s="14"/>
      <c r="C38" s="14"/>
      <c r="D38" s="14"/>
      <c r="E38" s="14"/>
    </row>
  </sheetData>
  <sheetProtection sheet="true" formatCells="false" formatColumns="false" formatRows="false" sort="false" autoFilter="false" algorithmName="SHA-512" hashValue="oDV4s1TF9E/KhwKzJhloUo0MdW1faFBW9wMz9PFk3BzDio4wafuSZ+J6J3E8Yq4HQFFF+mpnbtQati0ZJyrwEQ==" saltValue="YMKxpIA6YO30h2Q5GkLnxg==" spinCount="100000"/>
  <mergeCells count="16">
    <mergeCell ref="B5:E5"/>
    <mergeCell ref="B6:E6"/>
    <mergeCell ref="B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B32:E35"/>
    <mergeCell ref="B37:E38"/>
  </mergeCells>
  <dataValidations count="3">
    <dataValidation allowBlank="true" errorStyle="stop" operator="between" showDropDown="false" showErrorMessage="false" showInputMessage="false" sqref="C11" type="list">
      <formula1>Lists!$C$1:$C$2</formula1>
      <formula2>0</formula2>
    </dataValidation>
    <dataValidation allowBlank="true" errorStyle="stop" operator="between" showDropDown="false" showErrorMessage="false" showInputMessage="false" sqref="C12" type="list">
      <formula1>Lists!$D$1:$D$5</formula1>
      <formula2>0</formula2>
    </dataValidation>
    <dataValidation allowBlank="true" errorStyle="stop" operator="between" showDropDown="false" showErrorMessage="false" showInputMessage="false" sqref="C13" type="list">
      <formula1>Lists!$E$1:$E$2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BF8F00"/>
    <pageSetUpPr fitToPage="true"/>
  </sheetPr>
  <dimension ref="A1:J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6" min="5" style="0" width="12"/>
    <col collapsed="false" customWidth="true" hidden="false" outlineLevel="0" max="8" min="7" style="0" width="9"/>
    <col collapsed="false" customWidth="true" hidden="false" outlineLevel="0" max="9" min="9" style="0" width="13"/>
    <col collapsed="false" customWidth="true" hidden="false" outlineLevel="0" max="10" min="10" style="0" width="15"/>
  </cols>
  <sheetData>
    <row r="1" customFormat="false" ht="15" hidden="false" customHeight="false" outlineLevel="0" collapsed="false">
      <c r="A1" s="15" t="s">
        <v>30</v>
      </c>
    </row>
    <row r="2" customFormat="false" ht="30" hidden="false" customHeight="true" outlineLevel="0" collapsed="false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</row>
    <row r="3" customFormat="false" ht="30" hidden="false" customHeight="true" outlineLevel="0" collapsed="false">
      <c r="A3" s="2" t="s">
        <v>32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5" hidden="false" customHeight="false" outlineLevel="0" collapsed="false">
      <c r="B4" s="17" t="s">
        <v>33</v>
      </c>
      <c r="C4" s="5" t="n">
        <v>46477</v>
      </c>
    </row>
    <row r="6" customFormat="false" ht="36" hidden="false" customHeight="true" outlineLevel="0" collapsed="false">
      <c r="A6" s="18" t="s">
        <v>34</v>
      </c>
      <c r="B6" s="19" t="s">
        <v>35</v>
      </c>
      <c r="C6" s="19" t="s">
        <v>4</v>
      </c>
      <c r="D6" s="19" t="s">
        <v>36</v>
      </c>
      <c r="E6" s="19" t="s">
        <v>37</v>
      </c>
      <c r="F6" s="19" t="s">
        <v>38</v>
      </c>
      <c r="G6" s="18" t="s">
        <v>39</v>
      </c>
      <c r="H6" s="18" t="s">
        <v>20</v>
      </c>
      <c r="I6" s="18" t="s">
        <v>40</v>
      </c>
      <c r="J6" s="18" t="s">
        <v>41</v>
      </c>
    </row>
    <row r="7" customFormat="false" ht="15" hidden="false" customHeight="false" outlineLevel="0" collapsed="false">
      <c r="A7" s="20" t="n">
        <f aca="false">IF(B7="","",1)</f>
        <v>1</v>
      </c>
      <c r="B7" s="21" t="s">
        <v>3</v>
      </c>
      <c r="C7" s="22" t="n">
        <v>43535</v>
      </c>
      <c r="D7" s="23" t="s">
        <v>7</v>
      </c>
      <c r="E7" s="24" t="n">
        <v>28000</v>
      </c>
      <c r="F7" s="24" t="n">
        <v>70000</v>
      </c>
      <c r="G7" s="25" t="n">
        <f aca="false">IF(OR(B7="",C7="",C7&gt;$C$4),"",DATEDIF(C7,$C$4,"y")+IF(DATEDIF(C7,$C$4,"ym")*31+DATEDIF(C7,$C$4,"md")&gt;186,1,0))</f>
        <v>8</v>
      </c>
      <c r="H7" s="26" t="str">
        <f aca="false">IF(G7="","",IF(DATEDIF(C7,$C$4,"y")&gt;=IF(D7="Fixed-term",1,5),"Yes","Not yet"))</f>
        <v>Yes</v>
      </c>
      <c r="I7" s="27" t="n">
        <f aca="false">IF(G7="","",IF(H7="Yes",J7,0))</f>
        <v>161538</v>
      </c>
      <c r="J7" s="28" t="n">
        <f aca="false">IF(G7="","",MIN(2000000,ROUND(15*MAX(N(E7),ROUND(N(F7)*0.5,0))*G7/26,0)))</f>
        <v>161538</v>
      </c>
    </row>
    <row r="8" customFormat="false" ht="15" hidden="false" customHeight="false" outlineLevel="0" collapsed="false">
      <c r="A8" s="20" t="n">
        <f aca="false">IF(B8="","",2)</f>
        <v>2</v>
      </c>
      <c r="B8" s="21" t="s">
        <v>42</v>
      </c>
      <c r="C8" s="22" t="n">
        <v>42552</v>
      </c>
      <c r="D8" s="23" t="s">
        <v>7</v>
      </c>
      <c r="E8" s="24" t="n">
        <v>42000</v>
      </c>
      <c r="F8" s="24" t="n">
        <v>75000</v>
      </c>
      <c r="G8" s="25" t="n">
        <f aca="false">IF(OR(B8="",C8="",C8&gt;$C$4),"",DATEDIF(C8,$C$4,"y")+IF(DATEDIF(C8,$C$4,"ym")*31+DATEDIF(C8,$C$4,"md")&gt;186,1,0))</f>
        <v>11</v>
      </c>
      <c r="H8" s="26" t="str">
        <f aca="false">IF(G8="","",IF(DATEDIF(C8,$C$4,"y")&gt;=IF(D8="Fixed-term",1,5),"Yes","Not yet"))</f>
        <v>Yes</v>
      </c>
      <c r="I8" s="27" t="n">
        <f aca="false">IF(G8="","",IF(H8="Yes",J8,0))</f>
        <v>266538</v>
      </c>
      <c r="J8" s="28" t="n">
        <f aca="false">IF(G8="","",MIN(2000000,ROUND(15*MAX(N(E8),ROUND(N(F8)*0.5,0))*G8/26,0)))</f>
        <v>266538</v>
      </c>
    </row>
    <row r="9" customFormat="false" ht="15" hidden="false" customHeight="false" outlineLevel="0" collapsed="false">
      <c r="A9" s="20" t="n">
        <f aca="false">IF(B9="","",3)</f>
        <v>3</v>
      </c>
      <c r="B9" s="21" t="s">
        <v>43</v>
      </c>
      <c r="C9" s="22" t="n">
        <v>45537</v>
      </c>
      <c r="D9" s="23" t="s">
        <v>44</v>
      </c>
      <c r="E9" s="24" t="n">
        <v>18000</v>
      </c>
      <c r="F9" s="24" t="n">
        <v>30000</v>
      </c>
      <c r="G9" s="25" t="n">
        <f aca="false">IF(OR(B9="",C9="",C9&gt;$C$4),"",DATEDIF(C9,$C$4,"y")+IF(DATEDIF(C9,$C$4,"ym")*31+DATEDIF(C9,$C$4,"md")&gt;186,1,0))</f>
        <v>3</v>
      </c>
      <c r="H9" s="26" t="str">
        <f aca="false">IF(G9="","",IF(DATEDIF(C9,$C$4,"y")&gt;=IF(D9="Fixed-term",1,5),"Yes","Not yet"))</f>
        <v>Yes</v>
      </c>
      <c r="I9" s="27" t="n">
        <f aca="false">IF(G9="","",IF(H9="Yes",J9,0))</f>
        <v>31154</v>
      </c>
      <c r="J9" s="28" t="n">
        <f aca="false">IF(G9="","",MIN(2000000,ROUND(15*MAX(N(E9),ROUND(N(F9)*0.5,0))*G9/26,0)))</f>
        <v>31154</v>
      </c>
    </row>
    <row r="10" customFormat="false" ht="15" hidden="false" customHeight="false" outlineLevel="0" collapsed="false">
      <c r="A10" s="20" t="n">
        <f aca="false">IF(B10="","",4)</f>
        <v>4</v>
      </c>
      <c r="B10" s="21" t="s">
        <v>45</v>
      </c>
      <c r="C10" s="22" t="n">
        <v>44578</v>
      </c>
      <c r="D10" s="23" t="s">
        <v>7</v>
      </c>
      <c r="E10" s="24" t="n">
        <v>15000</v>
      </c>
      <c r="F10" s="24" t="n">
        <v>26000</v>
      </c>
      <c r="G10" s="25" t="n">
        <f aca="false">IF(OR(B10="",C10="",C10&gt;$C$4),"",DATEDIF(C10,$C$4,"y")+IF(DATEDIF(C10,$C$4,"ym")*31+DATEDIF(C10,$C$4,"md")&gt;186,1,0))</f>
        <v>5</v>
      </c>
      <c r="H10" s="26" t="str">
        <f aca="false">IF(G10="","",IF(DATEDIF(C10,$C$4,"y")&gt;=IF(D10="Fixed-term",1,5),"Yes","Not yet"))</f>
        <v>Yes</v>
      </c>
      <c r="I10" s="27" t="n">
        <f aca="false">IF(G10="","",IF(H10="Yes",J10,0))</f>
        <v>43269</v>
      </c>
      <c r="J10" s="28" t="n">
        <f aca="false">IF(G10="","",MIN(2000000,ROUND(15*MAX(N(E10),ROUND(N(F10)*0.5,0))*G10/26,0)))</f>
        <v>43269</v>
      </c>
    </row>
    <row r="11" customFormat="false" ht="15" hidden="false" customHeight="false" outlineLevel="0" collapsed="false">
      <c r="A11" s="20" t="n">
        <f aca="false">IF(B11="","",5)</f>
        <v>5</v>
      </c>
      <c r="B11" s="21" t="s">
        <v>46</v>
      </c>
      <c r="C11" s="22" t="n">
        <v>40637</v>
      </c>
      <c r="D11" s="23" t="s">
        <v>7</v>
      </c>
      <c r="E11" s="24" t="n">
        <v>60000</v>
      </c>
      <c r="F11" s="24" t="n">
        <v>110000</v>
      </c>
      <c r="G11" s="25" t="n">
        <f aca="false">IF(OR(B11="",C11="",C11&gt;$C$4),"",DATEDIF(C11,$C$4,"y")+IF(DATEDIF(C11,$C$4,"ym")*31+DATEDIF(C11,$C$4,"md")&gt;186,1,0))</f>
        <v>16</v>
      </c>
      <c r="H11" s="26" t="str">
        <f aca="false">IF(G11="","",IF(DATEDIF(C11,$C$4,"y")&gt;=IF(D11="Fixed-term",1,5),"Yes","Not yet"))</f>
        <v>Yes</v>
      </c>
      <c r="I11" s="27" t="n">
        <f aca="false">IF(G11="","",IF(H11="Yes",J11,0))</f>
        <v>553846</v>
      </c>
      <c r="J11" s="28" t="n">
        <f aca="false">IF(G11="","",MIN(2000000,ROUND(15*MAX(N(E11),ROUND(N(F11)*0.5,0))*G11/26,0)))</f>
        <v>553846</v>
      </c>
    </row>
    <row r="12" customFormat="false" ht="15" hidden="false" customHeight="false" outlineLevel="0" collapsed="false">
      <c r="A12" s="20" t="str">
        <f aca="false">IF(B12="","",6)</f>
        <v/>
      </c>
      <c r="B12" s="21"/>
      <c r="C12" s="22"/>
      <c r="D12" s="23"/>
      <c r="E12" s="24"/>
      <c r="F12" s="24"/>
      <c r="G12" s="25" t="str">
        <f aca="false">IF(OR(B12="",C12="",C12&gt;$C$4),"",DATEDIF(C12,$C$4,"y")+IF(DATEDIF(C12,$C$4,"ym")*31+DATEDIF(C12,$C$4,"md")&gt;186,1,0))</f>
        <v/>
      </c>
      <c r="H12" s="26" t="str">
        <f aca="false">IF(G12="","",IF(DATEDIF(C12,$C$4,"y")&gt;=IF(D12="Fixed-term",1,5),"Yes","Not yet"))</f>
        <v/>
      </c>
      <c r="I12" s="27" t="str">
        <f aca="false">IF(G12="","",IF(H12="Yes",J12,0))</f>
        <v/>
      </c>
      <c r="J12" s="28" t="str">
        <f aca="false">IF(G12="","",MIN(2000000,ROUND(15*MAX(N(E12),ROUND(N(F12)*0.5,0))*G12/26,0)))</f>
        <v/>
      </c>
    </row>
    <row r="13" customFormat="false" ht="15" hidden="false" customHeight="false" outlineLevel="0" collapsed="false">
      <c r="A13" s="20" t="str">
        <f aca="false">IF(B13="","",7)</f>
        <v/>
      </c>
      <c r="B13" s="21"/>
      <c r="C13" s="22"/>
      <c r="D13" s="23"/>
      <c r="E13" s="24"/>
      <c r="F13" s="24"/>
      <c r="G13" s="25" t="str">
        <f aca="false">IF(OR(B13="",C13="",C13&gt;$C$4),"",DATEDIF(C13,$C$4,"y")+IF(DATEDIF(C13,$C$4,"ym")*31+DATEDIF(C13,$C$4,"md")&gt;186,1,0))</f>
        <v/>
      </c>
      <c r="H13" s="26" t="str">
        <f aca="false">IF(G13="","",IF(DATEDIF(C13,$C$4,"y")&gt;=IF(D13="Fixed-term",1,5),"Yes","Not yet"))</f>
        <v/>
      </c>
      <c r="I13" s="27" t="str">
        <f aca="false">IF(G13="","",IF(H13="Yes",J13,0))</f>
        <v/>
      </c>
      <c r="J13" s="28" t="str">
        <f aca="false">IF(G13="","",MIN(2000000,ROUND(15*MAX(N(E13),ROUND(N(F13)*0.5,0))*G13/26,0)))</f>
        <v/>
      </c>
    </row>
    <row r="14" customFormat="false" ht="15" hidden="false" customHeight="false" outlineLevel="0" collapsed="false">
      <c r="A14" s="20" t="str">
        <f aca="false">IF(B14="","",8)</f>
        <v/>
      </c>
      <c r="B14" s="21"/>
      <c r="C14" s="22"/>
      <c r="D14" s="23"/>
      <c r="E14" s="24"/>
      <c r="F14" s="24"/>
      <c r="G14" s="25" t="str">
        <f aca="false">IF(OR(B14="",C14="",C14&gt;$C$4),"",DATEDIF(C14,$C$4,"y")+IF(DATEDIF(C14,$C$4,"ym")*31+DATEDIF(C14,$C$4,"md")&gt;186,1,0))</f>
        <v/>
      </c>
      <c r="H14" s="26" t="str">
        <f aca="false">IF(G14="","",IF(DATEDIF(C14,$C$4,"y")&gt;=IF(D14="Fixed-term",1,5),"Yes","Not yet"))</f>
        <v/>
      </c>
      <c r="I14" s="27" t="str">
        <f aca="false">IF(G14="","",IF(H14="Yes",J14,0))</f>
        <v/>
      </c>
      <c r="J14" s="28" t="str">
        <f aca="false">IF(G14="","",MIN(2000000,ROUND(15*MAX(N(E14),ROUND(N(F14)*0.5,0))*G14/26,0)))</f>
        <v/>
      </c>
    </row>
    <row r="15" customFormat="false" ht="15" hidden="false" customHeight="false" outlineLevel="0" collapsed="false">
      <c r="A15" s="20" t="str">
        <f aca="false">IF(B15="","",9)</f>
        <v/>
      </c>
      <c r="B15" s="21"/>
      <c r="C15" s="22"/>
      <c r="D15" s="23"/>
      <c r="E15" s="24"/>
      <c r="F15" s="24"/>
      <c r="G15" s="25" t="str">
        <f aca="false">IF(OR(B15="",C15="",C15&gt;$C$4),"",DATEDIF(C15,$C$4,"y")+IF(DATEDIF(C15,$C$4,"ym")*31+DATEDIF(C15,$C$4,"md")&gt;186,1,0))</f>
        <v/>
      </c>
      <c r="H15" s="26" t="str">
        <f aca="false">IF(G15="","",IF(DATEDIF(C15,$C$4,"y")&gt;=IF(D15="Fixed-term",1,5),"Yes","Not yet"))</f>
        <v/>
      </c>
      <c r="I15" s="27" t="str">
        <f aca="false">IF(G15="","",IF(H15="Yes",J15,0))</f>
        <v/>
      </c>
      <c r="J15" s="28" t="str">
        <f aca="false">IF(G15="","",MIN(2000000,ROUND(15*MAX(N(E15),ROUND(N(F15)*0.5,0))*G15/26,0)))</f>
        <v/>
      </c>
    </row>
    <row r="16" customFormat="false" ht="15" hidden="false" customHeight="false" outlineLevel="0" collapsed="false">
      <c r="A16" s="20" t="str">
        <f aca="false">IF(B16="","",10)</f>
        <v/>
      </c>
      <c r="B16" s="21"/>
      <c r="C16" s="22"/>
      <c r="D16" s="23"/>
      <c r="E16" s="24"/>
      <c r="F16" s="24"/>
      <c r="G16" s="25" t="str">
        <f aca="false">IF(OR(B16="",C16="",C16&gt;$C$4),"",DATEDIF(C16,$C$4,"y")+IF(DATEDIF(C16,$C$4,"ym")*31+DATEDIF(C16,$C$4,"md")&gt;186,1,0))</f>
        <v/>
      </c>
      <c r="H16" s="26" t="str">
        <f aca="false">IF(G16="","",IF(DATEDIF(C16,$C$4,"y")&gt;=IF(D16="Fixed-term",1,5),"Yes","Not yet"))</f>
        <v/>
      </c>
      <c r="I16" s="27" t="str">
        <f aca="false">IF(G16="","",IF(H16="Yes",J16,0))</f>
        <v/>
      </c>
      <c r="J16" s="28" t="str">
        <f aca="false">IF(G16="","",MIN(2000000,ROUND(15*MAX(N(E16),ROUND(N(F16)*0.5,0))*G16/26,0)))</f>
        <v/>
      </c>
    </row>
    <row r="17" customFormat="false" ht="15" hidden="false" customHeight="false" outlineLevel="0" collapsed="false">
      <c r="A17" s="20" t="str">
        <f aca="false">IF(B17="","",11)</f>
        <v/>
      </c>
      <c r="B17" s="21"/>
      <c r="C17" s="22"/>
      <c r="D17" s="23"/>
      <c r="E17" s="24"/>
      <c r="F17" s="24"/>
      <c r="G17" s="25" t="str">
        <f aca="false">IF(OR(B17="",C17="",C17&gt;$C$4),"",DATEDIF(C17,$C$4,"y")+IF(DATEDIF(C17,$C$4,"ym")*31+DATEDIF(C17,$C$4,"md")&gt;186,1,0))</f>
        <v/>
      </c>
      <c r="H17" s="26" t="str">
        <f aca="false">IF(G17="","",IF(DATEDIF(C17,$C$4,"y")&gt;=IF(D17="Fixed-term",1,5),"Yes","Not yet"))</f>
        <v/>
      </c>
      <c r="I17" s="27" t="str">
        <f aca="false">IF(G17="","",IF(H17="Yes",J17,0))</f>
        <v/>
      </c>
      <c r="J17" s="28" t="str">
        <f aca="false">IF(G17="","",MIN(2000000,ROUND(15*MAX(N(E17),ROUND(N(F17)*0.5,0))*G17/26,0)))</f>
        <v/>
      </c>
    </row>
    <row r="18" customFormat="false" ht="15" hidden="false" customHeight="false" outlineLevel="0" collapsed="false">
      <c r="A18" s="20" t="str">
        <f aca="false">IF(B18="","",12)</f>
        <v/>
      </c>
      <c r="B18" s="21"/>
      <c r="C18" s="22"/>
      <c r="D18" s="23"/>
      <c r="E18" s="24"/>
      <c r="F18" s="24"/>
      <c r="G18" s="25" t="str">
        <f aca="false">IF(OR(B18="",C18="",C18&gt;$C$4),"",DATEDIF(C18,$C$4,"y")+IF(DATEDIF(C18,$C$4,"ym")*31+DATEDIF(C18,$C$4,"md")&gt;186,1,0))</f>
        <v/>
      </c>
      <c r="H18" s="26" t="str">
        <f aca="false">IF(G18="","",IF(DATEDIF(C18,$C$4,"y")&gt;=IF(D18="Fixed-term",1,5),"Yes","Not yet"))</f>
        <v/>
      </c>
      <c r="I18" s="27" t="str">
        <f aca="false">IF(G18="","",IF(H18="Yes",J18,0))</f>
        <v/>
      </c>
      <c r="J18" s="28" t="str">
        <f aca="false">IF(G18="","",MIN(2000000,ROUND(15*MAX(N(E18),ROUND(N(F18)*0.5,0))*G18/26,0)))</f>
        <v/>
      </c>
    </row>
    <row r="19" customFormat="false" ht="15" hidden="false" customHeight="false" outlineLevel="0" collapsed="false">
      <c r="A19" s="20" t="str">
        <f aca="false">IF(B19="","",13)</f>
        <v/>
      </c>
      <c r="B19" s="21"/>
      <c r="C19" s="22"/>
      <c r="D19" s="23"/>
      <c r="E19" s="24"/>
      <c r="F19" s="24"/>
      <c r="G19" s="25" t="str">
        <f aca="false">IF(OR(B19="",C19="",C19&gt;$C$4),"",DATEDIF(C19,$C$4,"y")+IF(DATEDIF(C19,$C$4,"ym")*31+DATEDIF(C19,$C$4,"md")&gt;186,1,0))</f>
        <v/>
      </c>
      <c r="H19" s="26" t="str">
        <f aca="false">IF(G19="","",IF(DATEDIF(C19,$C$4,"y")&gt;=IF(D19="Fixed-term",1,5),"Yes","Not yet"))</f>
        <v/>
      </c>
      <c r="I19" s="27" t="str">
        <f aca="false">IF(G19="","",IF(H19="Yes",J19,0))</f>
        <v/>
      </c>
      <c r="J19" s="28" t="str">
        <f aca="false">IF(G19="","",MIN(2000000,ROUND(15*MAX(N(E19),ROUND(N(F19)*0.5,0))*G19/26,0)))</f>
        <v/>
      </c>
    </row>
    <row r="20" customFormat="false" ht="15" hidden="false" customHeight="false" outlineLevel="0" collapsed="false">
      <c r="A20" s="20" t="str">
        <f aca="false">IF(B20="","",14)</f>
        <v/>
      </c>
      <c r="B20" s="21"/>
      <c r="C20" s="22"/>
      <c r="D20" s="23"/>
      <c r="E20" s="24"/>
      <c r="F20" s="24"/>
      <c r="G20" s="25" t="str">
        <f aca="false">IF(OR(B20="",C20="",C20&gt;$C$4),"",DATEDIF(C20,$C$4,"y")+IF(DATEDIF(C20,$C$4,"ym")*31+DATEDIF(C20,$C$4,"md")&gt;186,1,0))</f>
        <v/>
      </c>
      <c r="H20" s="26" t="str">
        <f aca="false">IF(G20="","",IF(DATEDIF(C20,$C$4,"y")&gt;=IF(D20="Fixed-term",1,5),"Yes","Not yet"))</f>
        <v/>
      </c>
      <c r="I20" s="27" t="str">
        <f aca="false">IF(G20="","",IF(H20="Yes",J20,0))</f>
        <v/>
      </c>
      <c r="J20" s="28" t="str">
        <f aca="false">IF(G20="","",MIN(2000000,ROUND(15*MAX(N(E20),ROUND(N(F20)*0.5,0))*G20/26,0)))</f>
        <v/>
      </c>
    </row>
    <row r="21" customFormat="false" ht="15" hidden="false" customHeight="false" outlineLevel="0" collapsed="false">
      <c r="A21" s="20" t="str">
        <f aca="false">IF(B21="","",15)</f>
        <v/>
      </c>
      <c r="B21" s="21"/>
      <c r="C21" s="22"/>
      <c r="D21" s="23"/>
      <c r="E21" s="24"/>
      <c r="F21" s="24"/>
      <c r="G21" s="25" t="str">
        <f aca="false">IF(OR(B21="",C21="",C21&gt;$C$4),"",DATEDIF(C21,$C$4,"y")+IF(DATEDIF(C21,$C$4,"ym")*31+DATEDIF(C21,$C$4,"md")&gt;186,1,0))</f>
        <v/>
      </c>
      <c r="H21" s="26" t="str">
        <f aca="false">IF(G21="","",IF(DATEDIF(C21,$C$4,"y")&gt;=IF(D21="Fixed-term",1,5),"Yes","Not yet"))</f>
        <v/>
      </c>
      <c r="I21" s="27" t="str">
        <f aca="false">IF(G21="","",IF(H21="Yes",J21,0))</f>
        <v/>
      </c>
      <c r="J21" s="28" t="str">
        <f aca="false">IF(G21="","",MIN(2000000,ROUND(15*MAX(N(E21),ROUND(N(F21)*0.5,0))*G21/26,0)))</f>
        <v/>
      </c>
    </row>
    <row r="22" customFormat="false" ht="15" hidden="false" customHeight="false" outlineLevel="0" collapsed="false">
      <c r="A22" s="20" t="str">
        <f aca="false">IF(B22="","",16)</f>
        <v/>
      </c>
      <c r="B22" s="21"/>
      <c r="C22" s="22"/>
      <c r="D22" s="23"/>
      <c r="E22" s="24"/>
      <c r="F22" s="24"/>
      <c r="G22" s="25" t="str">
        <f aca="false">IF(OR(B22="",C22="",C22&gt;$C$4),"",DATEDIF(C22,$C$4,"y")+IF(DATEDIF(C22,$C$4,"ym")*31+DATEDIF(C22,$C$4,"md")&gt;186,1,0))</f>
        <v/>
      </c>
      <c r="H22" s="26" t="str">
        <f aca="false">IF(G22="","",IF(DATEDIF(C22,$C$4,"y")&gt;=IF(D22="Fixed-term",1,5),"Yes","Not yet"))</f>
        <v/>
      </c>
      <c r="I22" s="27" t="str">
        <f aca="false">IF(G22="","",IF(H22="Yes",J22,0))</f>
        <v/>
      </c>
      <c r="J22" s="28" t="str">
        <f aca="false">IF(G22="","",MIN(2000000,ROUND(15*MAX(N(E22),ROUND(N(F22)*0.5,0))*G22/26,0)))</f>
        <v/>
      </c>
    </row>
    <row r="23" customFormat="false" ht="15" hidden="false" customHeight="false" outlineLevel="0" collapsed="false">
      <c r="A23" s="20" t="str">
        <f aca="false">IF(B23="","",17)</f>
        <v/>
      </c>
      <c r="B23" s="21"/>
      <c r="C23" s="22"/>
      <c r="D23" s="23"/>
      <c r="E23" s="24"/>
      <c r="F23" s="24"/>
      <c r="G23" s="25" t="str">
        <f aca="false">IF(OR(B23="",C23="",C23&gt;$C$4),"",DATEDIF(C23,$C$4,"y")+IF(DATEDIF(C23,$C$4,"ym")*31+DATEDIF(C23,$C$4,"md")&gt;186,1,0))</f>
        <v/>
      </c>
      <c r="H23" s="26" t="str">
        <f aca="false">IF(G23="","",IF(DATEDIF(C23,$C$4,"y")&gt;=IF(D23="Fixed-term",1,5),"Yes","Not yet"))</f>
        <v/>
      </c>
      <c r="I23" s="27" t="str">
        <f aca="false">IF(G23="","",IF(H23="Yes",J23,0))</f>
        <v/>
      </c>
      <c r="J23" s="28" t="str">
        <f aca="false">IF(G23="","",MIN(2000000,ROUND(15*MAX(N(E23),ROUND(N(F23)*0.5,0))*G23/26,0)))</f>
        <v/>
      </c>
    </row>
    <row r="24" customFormat="false" ht="15" hidden="false" customHeight="false" outlineLevel="0" collapsed="false">
      <c r="A24" s="20" t="str">
        <f aca="false">IF(B24="","",18)</f>
        <v/>
      </c>
      <c r="B24" s="21"/>
      <c r="C24" s="22"/>
      <c r="D24" s="23"/>
      <c r="E24" s="24"/>
      <c r="F24" s="24"/>
      <c r="G24" s="25" t="str">
        <f aca="false">IF(OR(B24="",C24="",C24&gt;$C$4),"",DATEDIF(C24,$C$4,"y")+IF(DATEDIF(C24,$C$4,"ym")*31+DATEDIF(C24,$C$4,"md")&gt;186,1,0))</f>
        <v/>
      </c>
      <c r="H24" s="26" t="str">
        <f aca="false">IF(G24="","",IF(DATEDIF(C24,$C$4,"y")&gt;=IF(D24="Fixed-term",1,5),"Yes","Not yet"))</f>
        <v/>
      </c>
      <c r="I24" s="27" t="str">
        <f aca="false">IF(G24="","",IF(H24="Yes",J24,0))</f>
        <v/>
      </c>
      <c r="J24" s="28" t="str">
        <f aca="false">IF(G24="","",MIN(2000000,ROUND(15*MAX(N(E24),ROUND(N(F24)*0.5,0))*G24/26,0)))</f>
        <v/>
      </c>
    </row>
    <row r="25" customFormat="false" ht="15" hidden="false" customHeight="false" outlineLevel="0" collapsed="false">
      <c r="A25" s="20" t="str">
        <f aca="false">IF(B25="","",19)</f>
        <v/>
      </c>
      <c r="B25" s="21"/>
      <c r="C25" s="22"/>
      <c r="D25" s="23"/>
      <c r="E25" s="24"/>
      <c r="F25" s="24"/>
      <c r="G25" s="25" t="str">
        <f aca="false">IF(OR(B25="",C25="",C25&gt;$C$4),"",DATEDIF(C25,$C$4,"y")+IF(DATEDIF(C25,$C$4,"ym")*31+DATEDIF(C25,$C$4,"md")&gt;186,1,0))</f>
        <v/>
      </c>
      <c r="H25" s="26" t="str">
        <f aca="false">IF(G25="","",IF(DATEDIF(C25,$C$4,"y")&gt;=IF(D25="Fixed-term",1,5),"Yes","Not yet"))</f>
        <v/>
      </c>
      <c r="I25" s="27" t="str">
        <f aca="false">IF(G25="","",IF(H25="Yes",J25,0))</f>
        <v/>
      </c>
      <c r="J25" s="28" t="str">
        <f aca="false">IF(G25="","",MIN(2000000,ROUND(15*MAX(N(E25),ROUND(N(F25)*0.5,0))*G25/26,0)))</f>
        <v/>
      </c>
    </row>
    <row r="26" customFormat="false" ht="15" hidden="false" customHeight="false" outlineLevel="0" collapsed="false">
      <c r="A26" s="20" t="str">
        <f aca="false">IF(B26="","",20)</f>
        <v/>
      </c>
      <c r="B26" s="21"/>
      <c r="C26" s="22"/>
      <c r="D26" s="23"/>
      <c r="E26" s="24"/>
      <c r="F26" s="24"/>
      <c r="G26" s="25" t="str">
        <f aca="false">IF(OR(B26="",C26="",C26&gt;$C$4),"",DATEDIF(C26,$C$4,"y")+IF(DATEDIF(C26,$C$4,"ym")*31+DATEDIF(C26,$C$4,"md")&gt;186,1,0))</f>
        <v/>
      </c>
      <c r="H26" s="26" t="str">
        <f aca="false">IF(G26="","",IF(DATEDIF(C26,$C$4,"y")&gt;=IF(D26="Fixed-term",1,5),"Yes","Not yet"))</f>
        <v/>
      </c>
      <c r="I26" s="27" t="str">
        <f aca="false">IF(G26="","",IF(H26="Yes",J26,0))</f>
        <v/>
      </c>
      <c r="J26" s="28" t="str">
        <f aca="false">IF(G26="","",MIN(2000000,ROUND(15*MAX(N(E26),ROUND(N(F26)*0.5,0))*G26/26,0)))</f>
        <v/>
      </c>
    </row>
    <row r="27" customFormat="false" ht="15" hidden="false" customHeight="false" outlineLevel="0" collapsed="false">
      <c r="A27" s="20" t="str">
        <f aca="false">IF(B27="","",21)</f>
        <v/>
      </c>
      <c r="B27" s="21"/>
      <c r="C27" s="22"/>
      <c r="D27" s="23"/>
      <c r="E27" s="24"/>
      <c r="F27" s="24"/>
      <c r="G27" s="25" t="str">
        <f aca="false">IF(OR(B27="",C27="",C27&gt;$C$4),"",DATEDIF(C27,$C$4,"y")+IF(DATEDIF(C27,$C$4,"ym")*31+DATEDIF(C27,$C$4,"md")&gt;186,1,0))</f>
        <v/>
      </c>
      <c r="H27" s="26" t="str">
        <f aca="false">IF(G27="","",IF(DATEDIF(C27,$C$4,"y")&gt;=IF(D27="Fixed-term",1,5),"Yes","Not yet"))</f>
        <v/>
      </c>
      <c r="I27" s="27" t="str">
        <f aca="false">IF(G27="","",IF(H27="Yes",J27,0))</f>
        <v/>
      </c>
      <c r="J27" s="28" t="str">
        <f aca="false">IF(G27="","",MIN(2000000,ROUND(15*MAX(N(E27),ROUND(N(F27)*0.5,0))*G27/26,0)))</f>
        <v/>
      </c>
    </row>
    <row r="28" customFormat="false" ht="15" hidden="false" customHeight="false" outlineLevel="0" collapsed="false">
      <c r="A28" s="20" t="str">
        <f aca="false">IF(B28="","",22)</f>
        <v/>
      </c>
      <c r="B28" s="21"/>
      <c r="C28" s="22"/>
      <c r="D28" s="23"/>
      <c r="E28" s="24"/>
      <c r="F28" s="24"/>
      <c r="G28" s="25" t="str">
        <f aca="false">IF(OR(B28="",C28="",C28&gt;$C$4),"",DATEDIF(C28,$C$4,"y")+IF(DATEDIF(C28,$C$4,"ym")*31+DATEDIF(C28,$C$4,"md")&gt;186,1,0))</f>
        <v/>
      </c>
      <c r="H28" s="26" t="str">
        <f aca="false">IF(G28="","",IF(DATEDIF(C28,$C$4,"y")&gt;=IF(D28="Fixed-term",1,5),"Yes","Not yet"))</f>
        <v/>
      </c>
      <c r="I28" s="27" t="str">
        <f aca="false">IF(G28="","",IF(H28="Yes",J28,0))</f>
        <v/>
      </c>
      <c r="J28" s="28" t="str">
        <f aca="false">IF(G28="","",MIN(2000000,ROUND(15*MAX(N(E28),ROUND(N(F28)*0.5,0))*G28/26,0)))</f>
        <v/>
      </c>
    </row>
    <row r="29" customFormat="false" ht="15" hidden="false" customHeight="false" outlineLevel="0" collapsed="false">
      <c r="A29" s="20" t="str">
        <f aca="false">IF(B29="","",23)</f>
        <v/>
      </c>
      <c r="B29" s="21"/>
      <c r="C29" s="22"/>
      <c r="D29" s="23"/>
      <c r="E29" s="24"/>
      <c r="F29" s="24"/>
      <c r="G29" s="25" t="str">
        <f aca="false">IF(OR(B29="",C29="",C29&gt;$C$4),"",DATEDIF(C29,$C$4,"y")+IF(DATEDIF(C29,$C$4,"ym")*31+DATEDIF(C29,$C$4,"md")&gt;186,1,0))</f>
        <v/>
      </c>
      <c r="H29" s="26" t="str">
        <f aca="false">IF(G29="","",IF(DATEDIF(C29,$C$4,"y")&gt;=IF(D29="Fixed-term",1,5),"Yes","Not yet"))</f>
        <v/>
      </c>
      <c r="I29" s="27" t="str">
        <f aca="false">IF(G29="","",IF(H29="Yes",J29,0))</f>
        <v/>
      </c>
      <c r="J29" s="28" t="str">
        <f aca="false">IF(G29="","",MIN(2000000,ROUND(15*MAX(N(E29),ROUND(N(F29)*0.5,0))*G29/26,0)))</f>
        <v/>
      </c>
    </row>
    <row r="30" customFormat="false" ht="15" hidden="false" customHeight="false" outlineLevel="0" collapsed="false">
      <c r="A30" s="20" t="str">
        <f aca="false">IF(B30="","",24)</f>
        <v/>
      </c>
      <c r="B30" s="21"/>
      <c r="C30" s="22"/>
      <c r="D30" s="23"/>
      <c r="E30" s="24"/>
      <c r="F30" s="24"/>
      <c r="G30" s="25" t="str">
        <f aca="false">IF(OR(B30="",C30="",C30&gt;$C$4),"",DATEDIF(C30,$C$4,"y")+IF(DATEDIF(C30,$C$4,"ym")*31+DATEDIF(C30,$C$4,"md")&gt;186,1,0))</f>
        <v/>
      </c>
      <c r="H30" s="26" t="str">
        <f aca="false">IF(G30="","",IF(DATEDIF(C30,$C$4,"y")&gt;=IF(D30="Fixed-term",1,5),"Yes","Not yet"))</f>
        <v/>
      </c>
      <c r="I30" s="27" t="str">
        <f aca="false">IF(G30="","",IF(H30="Yes",J30,0))</f>
        <v/>
      </c>
      <c r="J30" s="28" t="str">
        <f aca="false">IF(G30="","",MIN(2000000,ROUND(15*MAX(N(E30),ROUND(N(F30)*0.5,0))*G30/26,0)))</f>
        <v/>
      </c>
    </row>
    <row r="31" customFormat="false" ht="15" hidden="false" customHeight="false" outlineLevel="0" collapsed="false">
      <c r="A31" s="20" t="str">
        <f aca="false">IF(B31="","",25)</f>
        <v/>
      </c>
      <c r="B31" s="21"/>
      <c r="C31" s="22"/>
      <c r="D31" s="23"/>
      <c r="E31" s="24"/>
      <c r="F31" s="24"/>
      <c r="G31" s="25" t="str">
        <f aca="false">IF(OR(B31="",C31="",C31&gt;$C$4),"",DATEDIF(C31,$C$4,"y")+IF(DATEDIF(C31,$C$4,"ym")*31+DATEDIF(C31,$C$4,"md")&gt;186,1,0))</f>
        <v/>
      </c>
      <c r="H31" s="26" t="str">
        <f aca="false">IF(G31="","",IF(DATEDIF(C31,$C$4,"y")&gt;=IF(D31="Fixed-term",1,5),"Yes","Not yet"))</f>
        <v/>
      </c>
      <c r="I31" s="27" t="str">
        <f aca="false">IF(G31="","",IF(H31="Yes",J31,0))</f>
        <v/>
      </c>
      <c r="J31" s="28" t="str">
        <f aca="false">IF(G31="","",MIN(2000000,ROUND(15*MAX(N(E31),ROUND(N(F31)*0.5,0))*G31/26,0)))</f>
        <v/>
      </c>
    </row>
    <row r="32" customFormat="false" ht="15" hidden="false" customHeight="false" outlineLevel="0" collapsed="false">
      <c r="A32" s="20" t="str">
        <f aca="false">IF(B32="","",26)</f>
        <v/>
      </c>
      <c r="B32" s="21"/>
      <c r="C32" s="22"/>
      <c r="D32" s="23"/>
      <c r="E32" s="24"/>
      <c r="F32" s="24"/>
      <c r="G32" s="25" t="str">
        <f aca="false">IF(OR(B32="",C32="",C32&gt;$C$4),"",DATEDIF(C32,$C$4,"y")+IF(DATEDIF(C32,$C$4,"ym")*31+DATEDIF(C32,$C$4,"md")&gt;186,1,0))</f>
        <v/>
      </c>
      <c r="H32" s="26" t="str">
        <f aca="false">IF(G32="","",IF(DATEDIF(C32,$C$4,"y")&gt;=IF(D32="Fixed-term",1,5),"Yes","Not yet"))</f>
        <v/>
      </c>
      <c r="I32" s="27" t="str">
        <f aca="false">IF(G32="","",IF(H32="Yes",J32,0))</f>
        <v/>
      </c>
      <c r="J32" s="28" t="str">
        <f aca="false">IF(G32="","",MIN(2000000,ROUND(15*MAX(N(E32),ROUND(N(F32)*0.5,0))*G32/26,0)))</f>
        <v/>
      </c>
    </row>
    <row r="33" customFormat="false" ht="15" hidden="false" customHeight="false" outlineLevel="0" collapsed="false">
      <c r="A33" s="20" t="str">
        <f aca="false">IF(B33="","",27)</f>
        <v/>
      </c>
      <c r="B33" s="21"/>
      <c r="C33" s="22"/>
      <c r="D33" s="23"/>
      <c r="E33" s="24"/>
      <c r="F33" s="24"/>
      <c r="G33" s="25" t="str">
        <f aca="false">IF(OR(B33="",C33="",C33&gt;$C$4),"",DATEDIF(C33,$C$4,"y")+IF(DATEDIF(C33,$C$4,"ym")*31+DATEDIF(C33,$C$4,"md")&gt;186,1,0))</f>
        <v/>
      </c>
      <c r="H33" s="26" t="str">
        <f aca="false">IF(G33="","",IF(DATEDIF(C33,$C$4,"y")&gt;=IF(D33="Fixed-term",1,5),"Yes","Not yet"))</f>
        <v/>
      </c>
      <c r="I33" s="27" t="str">
        <f aca="false">IF(G33="","",IF(H33="Yes",J33,0))</f>
        <v/>
      </c>
      <c r="J33" s="28" t="str">
        <f aca="false">IF(G33="","",MIN(2000000,ROUND(15*MAX(N(E33),ROUND(N(F33)*0.5,0))*G33/26,0)))</f>
        <v/>
      </c>
    </row>
    <row r="34" customFormat="false" ht="15" hidden="false" customHeight="false" outlineLevel="0" collapsed="false">
      <c r="A34" s="20" t="str">
        <f aca="false">IF(B34="","",28)</f>
        <v/>
      </c>
      <c r="B34" s="21"/>
      <c r="C34" s="22"/>
      <c r="D34" s="23"/>
      <c r="E34" s="24"/>
      <c r="F34" s="24"/>
      <c r="G34" s="25" t="str">
        <f aca="false">IF(OR(B34="",C34="",C34&gt;$C$4),"",DATEDIF(C34,$C$4,"y")+IF(DATEDIF(C34,$C$4,"ym")*31+DATEDIF(C34,$C$4,"md")&gt;186,1,0))</f>
        <v/>
      </c>
      <c r="H34" s="26" t="str">
        <f aca="false">IF(G34="","",IF(DATEDIF(C34,$C$4,"y")&gt;=IF(D34="Fixed-term",1,5),"Yes","Not yet"))</f>
        <v/>
      </c>
      <c r="I34" s="27" t="str">
        <f aca="false">IF(G34="","",IF(H34="Yes",J34,0))</f>
        <v/>
      </c>
      <c r="J34" s="28" t="str">
        <f aca="false">IF(G34="","",MIN(2000000,ROUND(15*MAX(N(E34),ROUND(N(F34)*0.5,0))*G34/26,0)))</f>
        <v/>
      </c>
    </row>
    <row r="35" customFormat="false" ht="15" hidden="false" customHeight="false" outlineLevel="0" collapsed="false">
      <c r="A35" s="20" t="str">
        <f aca="false">IF(B35="","",29)</f>
        <v/>
      </c>
      <c r="B35" s="21"/>
      <c r="C35" s="22"/>
      <c r="D35" s="23"/>
      <c r="E35" s="24"/>
      <c r="F35" s="24"/>
      <c r="G35" s="25" t="str">
        <f aca="false">IF(OR(B35="",C35="",C35&gt;$C$4),"",DATEDIF(C35,$C$4,"y")+IF(DATEDIF(C35,$C$4,"ym")*31+DATEDIF(C35,$C$4,"md")&gt;186,1,0))</f>
        <v/>
      </c>
      <c r="H35" s="26" t="str">
        <f aca="false">IF(G35="","",IF(DATEDIF(C35,$C$4,"y")&gt;=IF(D35="Fixed-term",1,5),"Yes","Not yet"))</f>
        <v/>
      </c>
      <c r="I35" s="27" t="str">
        <f aca="false">IF(G35="","",IF(H35="Yes",J35,0))</f>
        <v/>
      </c>
      <c r="J35" s="28" t="str">
        <f aca="false">IF(G35="","",MIN(2000000,ROUND(15*MAX(N(E35),ROUND(N(F35)*0.5,0))*G35/26,0)))</f>
        <v/>
      </c>
    </row>
    <row r="36" customFormat="false" ht="15" hidden="false" customHeight="false" outlineLevel="0" collapsed="false">
      <c r="A36" s="20" t="str">
        <f aca="false">IF(B36="","",30)</f>
        <v/>
      </c>
      <c r="B36" s="21"/>
      <c r="C36" s="22"/>
      <c r="D36" s="23"/>
      <c r="E36" s="24"/>
      <c r="F36" s="24"/>
      <c r="G36" s="25" t="str">
        <f aca="false">IF(OR(B36="",C36="",C36&gt;$C$4),"",DATEDIF(C36,$C$4,"y")+IF(DATEDIF(C36,$C$4,"ym")*31+DATEDIF(C36,$C$4,"md")&gt;186,1,0))</f>
        <v/>
      </c>
      <c r="H36" s="26" t="str">
        <f aca="false">IF(G36="","",IF(DATEDIF(C36,$C$4,"y")&gt;=IF(D36="Fixed-term",1,5),"Yes","Not yet"))</f>
        <v/>
      </c>
      <c r="I36" s="27" t="str">
        <f aca="false">IF(G36="","",IF(H36="Yes",J36,0))</f>
        <v/>
      </c>
      <c r="J36" s="28" t="str">
        <f aca="false">IF(G36="","",MIN(2000000,ROUND(15*MAX(N(E36),ROUND(N(F36)*0.5,0))*G36/26,0)))</f>
        <v/>
      </c>
    </row>
    <row r="37" customFormat="false" ht="15" hidden="false" customHeight="false" outlineLevel="0" collapsed="false">
      <c r="A37" s="20" t="str">
        <f aca="false">IF(B37="","",31)</f>
        <v/>
      </c>
      <c r="B37" s="21"/>
      <c r="C37" s="22"/>
      <c r="D37" s="23"/>
      <c r="E37" s="24"/>
      <c r="F37" s="24"/>
      <c r="G37" s="25" t="str">
        <f aca="false">IF(OR(B37="",C37="",C37&gt;$C$4),"",DATEDIF(C37,$C$4,"y")+IF(DATEDIF(C37,$C$4,"ym")*31+DATEDIF(C37,$C$4,"md")&gt;186,1,0))</f>
        <v/>
      </c>
      <c r="H37" s="26" t="str">
        <f aca="false">IF(G37="","",IF(DATEDIF(C37,$C$4,"y")&gt;=IF(D37="Fixed-term",1,5),"Yes","Not yet"))</f>
        <v/>
      </c>
      <c r="I37" s="27" t="str">
        <f aca="false">IF(G37="","",IF(H37="Yes",J37,0))</f>
        <v/>
      </c>
      <c r="J37" s="28" t="str">
        <f aca="false">IF(G37="","",MIN(2000000,ROUND(15*MAX(N(E37),ROUND(N(F37)*0.5,0))*G37/26,0)))</f>
        <v/>
      </c>
    </row>
    <row r="38" customFormat="false" ht="15" hidden="false" customHeight="false" outlineLevel="0" collapsed="false">
      <c r="A38" s="20" t="str">
        <f aca="false">IF(B38="","",32)</f>
        <v/>
      </c>
      <c r="B38" s="21"/>
      <c r="C38" s="22"/>
      <c r="D38" s="23"/>
      <c r="E38" s="24"/>
      <c r="F38" s="24"/>
      <c r="G38" s="25" t="str">
        <f aca="false">IF(OR(B38="",C38="",C38&gt;$C$4),"",DATEDIF(C38,$C$4,"y")+IF(DATEDIF(C38,$C$4,"ym")*31+DATEDIF(C38,$C$4,"md")&gt;186,1,0))</f>
        <v/>
      </c>
      <c r="H38" s="26" t="str">
        <f aca="false">IF(G38="","",IF(DATEDIF(C38,$C$4,"y")&gt;=IF(D38="Fixed-term",1,5),"Yes","Not yet"))</f>
        <v/>
      </c>
      <c r="I38" s="27" t="str">
        <f aca="false">IF(G38="","",IF(H38="Yes",J38,0))</f>
        <v/>
      </c>
      <c r="J38" s="28" t="str">
        <f aca="false">IF(G38="","",MIN(2000000,ROUND(15*MAX(N(E38),ROUND(N(F38)*0.5,0))*G38/26,0)))</f>
        <v/>
      </c>
    </row>
    <row r="39" customFormat="false" ht="15" hidden="false" customHeight="false" outlineLevel="0" collapsed="false">
      <c r="A39" s="20" t="str">
        <f aca="false">IF(B39="","",33)</f>
        <v/>
      </c>
      <c r="B39" s="21"/>
      <c r="C39" s="22"/>
      <c r="D39" s="23"/>
      <c r="E39" s="24"/>
      <c r="F39" s="24"/>
      <c r="G39" s="25" t="str">
        <f aca="false">IF(OR(B39="",C39="",C39&gt;$C$4),"",DATEDIF(C39,$C$4,"y")+IF(DATEDIF(C39,$C$4,"ym")*31+DATEDIF(C39,$C$4,"md")&gt;186,1,0))</f>
        <v/>
      </c>
      <c r="H39" s="26" t="str">
        <f aca="false">IF(G39="","",IF(DATEDIF(C39,$C$4,"y")&gt;=IF(D39="Fixed-term",1,5),"Yes","Not yet"))</f>
        <v/>
      </c>
      <c r="I39" s="27" t="str">
        <f aca="false">IF(G39="","",IF(H39="Yes",J39,0))</f>
        <v/>
      </c>
      <c r="J39" s="28" t="str">
        <f aca="false">IF(G39="","",MIN(2000000,ROUND(15*MAX(N(E39),ROUND(N(F39)*0.5,0))*G39/26,0)))</f>
        <v/>
      </c>
    </row>
    <row r="40" customFormat="false" ht="15" hidden="false" customHeight="false" outlineLevel="0" collapsed="false">
      <c r="A40" s="20" t="str">
        <f aca="false">IF(B40="","",34)</f>
        <v/>
      </c>
      <c r="B40" s="21"/>
      <c r="C40" s="22"/>
      <c r="D40" s="23"/>
      <c r="E40" s="24"/>
      <c r="F40" s="24"/>
      <c r="G40" s="25" t="str">
        <f aca="false">IF(OR(B40="",C40="",C40&gt;$C$4),"",DATEDIF(C40,$C$4,"y")+IF(DATEDIF(C40,$C$4,"ym")*31+DATEDIF(C40,$C$4,"md")&gt;186,1,0))</f>
        <v/>
      </c>
      <c r="H40" s="26" t="str">
        <f aca="false">IF(G40="","",IF(DATEDIF(C40,$C$4,"y")&gt;=IF(D40="Fixed-term",1,5),"Yes","Not yet"))</f>
        <v/>
      </c>
      <c r="I40" s="27" t="str">
        <f aca="false">IF(G40="","",IF(H40="Yes",J40,0))</f>
        <v/>
      </c>
      <c r="J40" s="28" t="str">
        <f aca="false">IF(G40="","",MIN(2000000,ROUND(15*MAX(N(E40),ROUND(N(F40)*0.5,0))*G40/26,0)))</f>
        <v/>
      </c>
    </row>
    <row r="41" customFormat="false" ht="15" hidden="false" customHeight="false" outlineLevel="0" collapsed="false">
      <c r="A41" s="20" t="str">
        <f aca="false">IF(B41="","",35)</f>
        <v/>
      </c>
      <c r="B41" s="21"/>
      <c r="C41" s="22"/>
      <c r="D41" s="23"/>
      <c r="E41" s="24"/>
      <c r="F41" s="24"/>
      <c r="G41" s="25" t="str">
        <f aca="false">IF(OR(B41="",C41="",C41&gt;$C$4),"",DATEDIF(C41,$C$4,"y")+IF(DATEDIF(C41,$C$4,"ym")*31+DATEDIF(C41,$C$4,"md")&gt;186,1,0))</f>
        <v/>
      </c>
      <c r="H41" s="26" t="str">
        <f aca="false">IF(G41="","",IF(DATEDIF(C41,$C$4,"y")&gt;=IF(D41="Fixed-term",1,5),"Yes","Not yet"))</f>
        <v/>
      </c>
      <c r="I41" s="27" t="str">
        <f aca="false">IF(G41="","",IF(H41="Yes",J41,0))</f>
        <v/>
      </c>
      <c r="J41" s="28" t="str">
        <f aca="false">IF(G41="","",MIN(2000000,ROUND(15*MAX(N(E41),ROUND(N(F41)*0.5,0))*G41/26,0)))</f>
        <v/>
      </c>
    </row>
    <row r="42" customFormat="false" ht="15" hidden="false" customHeight="false" outlineLevel="0" collapsed="false">
      <c r="A42" s="20" t="str">
        <f aca="false">IF(B42="","",36)</f>
        <v/>
      </c>
      <c r="B42" s="21"/>
      <c r="C42" s="22"/>
      <c r="D42" s="23"/>
      <c r="E42" s="24"/>
      <c r="F42" s="24"/>
      <c r="G42" s="25" t="str">
        <f aca="false">IF(OR(B42="",C42="",C42&gt;$C$4),"",DATEDIF(C42,$C$4,"y")+IF(DATEDIF(C42,$C$4,"ym")*31+DATEDIF(C42,$C$4,"md")&gt;186,1,0))</f>
        <v/>
      </c>
      <c r="H42" s="26" t="str">
        <f aca="false">IF(G42="","",IF(DATEDIF(C42,$C$4,"y")&gt;=IF(D42="Fixed-term",1,5),"Yes","Not yet"))</f>
        <v/>
      </c>
      <c r="I42" s="27" t="str">
        <f aca="false">IF(G42="","",IF(H42="Yes",J42,0))</f>
        <v/>
      </c>
      <c r="J42" s="28" t="str">
        <f aca="false">IF(G42="","",MIN(2000000,ROUND(15*MAX(N(E42),ROUND(N(F42)*0.5,0))*G42/26,0)))</f>
        <v/>
      </c>
    </row>
    <row r="43" customFormat="false" ht="15" hidden="false" customHeight="false" outlineLevel="0" collapsed="false">
      <c r="A43" s="20" t="str">
        <f aca="false">IF(B43="","",37)</f>
        <v/>
      </c>
      <c r="B43" s="21"/>
      <c r="C43" s="22"/>
      <c r="D43" s="23"/>
      <c r="E43" s="24"/>
      <c r="F43" s="24"/>
      <c r="G43" s="25" t="str">
        <f aca="false">IF(OR(B43="",C43="",C43&gt;$C$4),"",DATEDIF(C43,$C$4,"y")+IF(DATEDIF(C43,$C$4,"ym")*31+DATEDIF(C43,$C$4,"md")&gt;186,1,0))</f>
        <v/>
      </c>
      <c r="H43" s="26" t="str">
        <f aca="false">IF(G43="","",IF(DATEDIF(C43,$C$4,"y")&gt;=IF(D43="Fixed-term",1,5),"Yes","Not yet"))</f>
        <v/>
      </c>
      <c r="I43" s="27" t="str">
        <f aca="false">IF(G43="","",IF(H43="Yes",J43,0))</f>
        <v/>
      </c>
      <c r="J43" s="28" t="str">
        <f aca="false">IF(G43="","",MIN(2000000,ROUND(15*MAX(N(E43),ROUND(N(F43)*0.5,0))*G43/26,0)))</f>
        <v/>
      </c>
    </row>
    <row r="44" customFormat="false" ht="15" hidden="false" customHeight="false" outlineLevel="0" collapsed="false">
      <c r="A44" s="20" t="str">
        <f aca="false">IF(B44="","",38)</f>
        <v/>
      </c>
      <c r="B44" s="21"/>
      <c r="C44" s="22"/>
      <c r="D44" s="23"/>
      <c r="E44" s="24"/>
      <c r="F44" s="24"/>
      <c r="G44" s="25" t="str">
        <f aca="false">IF(OR(B44="",C44="",C44&gt;$C$4),"",DATEDIF(C44,$C$4,"y")+IF(DATEDIF(C44,$C$4,"ym")*31+DATEDIF(C44,$C$4,"md")&gt;186,1,0))</f>
        <v/>
      </c>
      <c r="H44" s="26" t="str">
        <f aca="false">IF(G44="","",IF(DATEDIF(C44,$C$4,"y")&gt;=IF(D44="Fixed-term",1,5),"Yes","Not yet"))</f>
        <v/>
      </c>
      <c r="I44" s="27" t="str">
        <f aca="false">IF(G44="","",IF(H44="Yes",J44,0))</f>
        <v/>
      </c>
      <c r="J44" s="28" t="str">
        <f aca="false">IF(G44="","",MIN(2000000,ROUND(15*MAX(N(E44),ROUND(N(F44)*0.5,0))*G44/26,0)))</f>
        <v/>
      </c>
    </row>
    <row r="45" customFormat="false" ht="15" hidden="false" customHeight="false" outlineLevel="0" collapsed="false">
      <c r="A45" s="20" t="str">
        <f aca="false">IF(B45="","",39)</f>
        <v/>
      </c>
      <c r="B45" s="21"/>
      <c r="C45" s="22"/>
      <c r="D45" s="23"/>
      <c r="E45" s="24"/>
      <c r="F45" s="24"/>
      <c r="G45" s="25" t="str">
        <f aca="false">IF(OR(B45="",C45="",C45&gt;$C$4),"",DATEDIF(C45,$C$4,"y")+IF(DATEDIF(C45,$C$4,"ym")*31+DATEDIF(C45,$C$4,"md")&gt;186,1,0))</f>
        <v/>
      </c>
      <c r="H45" s="26" t="str">
        <f aca="false">IF(G45="","",IF(DATEDIF(C45,$C$4,"y")&gt;=IF(D45="Fixed-term",1,5),"Yes","Not yet"))</f>
        <v/>
      </c>
      <c r="I45" s="27" t="str">
        <f aca="false">IF(G45="","",IF(H45="Yes",J45,0))</f>
        <v/>
      </c>
      <c r="J45" s="28" t="str">
        <f aca="false">IF(G45="","",MIN(2000000,ROUND(15*MAX(N(E45),ROUND(N(F45)*0.5,0))*G45/26,0)))</f>
        <v/>
      </c>
    </row>
    <row r="46" customFormat="false" ht="15" hidden="false" customHeight="false" outlineLevel="0" collapsed="false">
      <c r="A46" s="20" t="str">
        <f aca="false">IF(B46="","",40)</f>
        <v/>
      </c>
      <c r="B46" s="21"/>
      <c r="C46" s="22"/>
      <c r="D46" s="23"/>
      <c r="E46" s="24"/>
      <c r="F46" s="24"/>
      <c r="G46" s="25" t="str">
        <f aca="false">IF(OR(B46="",C46="",C46&gt;$C$4),"",DATEDIF(C46,$C$4,"y")+IF(DATEDIF(C46,$C$4,"ym")*31+DATEDIF(C46,$C$4,"md")&gt;186,1,0))</f>
        <v/>
      </c>
      <c r="H46" s="26" t="str">
        <f aca="false">IF(G46="","",IF(DATEDIF(C46,$C$4,"y")&gt;=IF(D46="Fixed-term",1,5),"Yes","Not yet"))</f>
        <v/>
      </c>
      <c r="I46" s="27" t="str">
        <f aca="false">IF(G46="","",IF(H46="Yes",J46,0))</f>
        <v/>
      </c>
      <c r="J46" s="28" t="str">
        <f aca="false">IF(G46="","",MIN(2000000,ROUND(15*MAX(N(E46),ROUND(N(F46)*0.5,0))*G46/26,0)))</f>
        <v/>
      </c>
    </row>
    <row r="47" customFormat="false" ht="15" hidden="false" customHeight="false" outlineLevel="0" collapsed="false">
      <c r="A47" s="20" t="str">
        <f aca="false">IF(B47="","",41)</f>
        <v/>
      </c>
      <c r="B47" s="21"/>
      <c r="C47" s="22"/>
      <c r="D47" s="23"/>
      <c r="E47" s="24"/>
      <c r="F47" s="24"/>
      <c r="G47" s="25" t="str">
        <f aca="false">IF(OR(B47="",C47="",C47&gt;$C$4),"",DATEDIF(C47,$C$4,"y")+IF(DATEDIF(C47,$C$4,"ym")*31+DATEDIF(C47,$C$4,"md")&gt;186,1,0))</f>
        <v/>
      </c>
      <c r="H47" s="26" t="str">
        <f aca="false">IF(G47="","",IF(DATEDIF(C47,$C$4,"y")&gt;=IF(D47="Fixed-term",1,5),"Yes","Not yet"))</f>
        <v/>
      </c>
      <c r="I47" s="27" t="str">
        <f aca="false">IF(G47="","",IF(H47="Yes",J47,0))</f>
        <v/>
      </c>
      <c r="J47" s="28" t="str">
        <f aca="false">IF(G47="","",MIN(2000000,ROUND(15*MAX(N(E47),ROUND(N(F47)*0.5,0))*G47/26,0)))</f>
        <v/>
      </c>
    </row>
    <row r="48" customFormat="false" ht="15" hidden="false" customHeight="false" outlineLevel="0" collapsed="false">
      <c r="A48" s="20" t="str">
        <f aca="false">IF(B48="","",42)</f>
        <v/>
      </c>
      <c r="B48" s="21"/>
      <c r="C48" s="22"/>
      <c r="D48" s="23"/>
      <c r="E48" s="24"/>
      <c r="F48" s="24"/>
      <c r="G48" s="25" t="str">
        <f aca="false">IF(OR(B48="",C48="",C48&gt;$C$4),"",DATEDIF(C48,$C$4,"y")+IF(DATEDIF(C48,$C$4,"ym")*31+DATEDIF(C48,$C$4,"md")&gt;186,1,0))</f>
        <v/>
      </c>
      <c r="H48" s="26" t="str">
        <f aca="false">IF(G48="","",IF(DATEDIF(C48,$C$4,"y")&gt;=IF(D48="Fixed-term",1,5),"Yes","Not yet"))</f>
        <v/>
      </c>
      <c r="I48" s="27" t="str">
        <f aca="false">IF(G48="","",IF(H48="Yes",J48,0))</f>
        <v/>
      </c>
      <c r="J48" s="28" t="str">
        <f aca="false">IF(G48="","",MIN(2000000,ROUND(15*MAX(N(E48),ROUND(N(F48)*0.5,0))*G48/26,0)))</f>
        <v/>
      </c>
    </row>
    <row r="49" customFormat="false" ht="15" hidden="false" customHeight="false" outlineLevel="0" collapsed="false">
      <c r="A49" s="20" t="str">
        <f aca="false">IF(B49="","",43)</f>
        <v/>
      </c>
      <c r="B49" s="21"/>
      <c r="C49" s="22"/>
      <c r="D49" s="23"/>
      <c r="E49" s="24"/>
      <c r="F49" s="24"/>
      <c r="G49" s="25" t="str">
        <f aca="false">IF(OR(B49="",C49="",C49&gt;$C$4),"",DATEDIF(C49,$C$4,"y")+IF(DATEDIF(C49,$C$4,"ym")*31+DATEDIF(C49,$C$4,"md")&gt;186,1,0))</f>
        <v/>
      </c>
      <c r="H49" s="26" t="str">
        <f aca="false">IF(G49="","",IF(DATEDIF(C49,$C$4,"y")&gt;=IF(D49="Fixed-term",1,5),"Yes","Not yet"))</f>
        <v/>
      </c>
      <c r="I49" s="27" t="str">
        <f aca="false">IF(G49="","",IF(H49="Yes",J49,0))</f>
        <v/>
      </c>
      <c r="J49" s="28" t="str">
        <f aca="false">IF(G49="","",MIN(2000000,ROUND(15*MAX(N(E49),ROUND(N(F49)*0.5,0))*G49/26,0)))</f>
        <v/>
      </c>
    </row>
    <row r="50" customFormat="false" ht="15" hidden="false" customHeight="false" outlineLevel="0" collapsed="false">
      <c r="A50" s="20" t="str">
        <f aca="false">IF(B50="","",44)</f>
        <v/>
      </c>
      <c r="B50" s="21"/>
      <c r="C50" s="22"/>
      <c r="D50" s="23"/>
      <c r="E50" s="24"/>
      <c r="F50" s="24"/>
      <c r="G50" s="25" t="str">
        <f aca="false">IF(OR(B50="",C50="",C50&gt;$C$4),"",DATEDIF(C50,$C$4,"y")+IF(DATEDIF(C50,$C$4,"ym")*31+DATEDIF(C50,$C$4,"md")&gt;186,1,0))</f>
        <v/>
      </c>
      <c r="H50" s="26" t="str">
        <f aca="false">IF(G50="","",IF(DATEDIF(C50,$C$4,"y")&gt;=IF(D50="Fixed-term",1,5),"Yes","Not yet"))</f>
        <v/>
      </c>
      <c r="I50" s="27" t="str">
        <f aca="false">IF(G50="","",IF(H50="Yes",J50,0))</f>
        <v/>
      </c>
      <c r="J50" s="28" t="str">
        <f aca="false">IF(G50="","",MIN(2000000,ROUND(15*MAX(N(E50),ROUND(N(F50)*0.5,0))*G50/26,0)))</f>
        <v/>
      </c>
    </row>
    <row r="51" customFormat="false" ht="15" hidden="false" customHeight="false" outlineLevel="0" collapsed="false">
      <c r="A51" s="20" t="str">
        <f aca="false">IF(B51="","",45)</f>
        <v/>
      </c>
      <c r="B51" s="21"/>
      <c r="C51" s="22"/>
      <c r="D51" s="23"/>
      <c r="E51" s="24"/>
      <c r="F51" s="24"/>
      <c r="G51" s="25" t="str">
        <f aca="false">IF(OR(B51="",C51="",C51&gt;$C$4),"",DATEDIF(C51,$C$4,"y")+IF(DATEDIF(C51,$C$4,"ym")*31+DATEDIF(C51,$C$4,"md")&gt;186,1,0))</f>
        <v/>
      </c>
      <c r="H51" s="26" t="str">
        <f aca="false">IF(G51="","",IF(DATEDIF(C51,$C$4,"y")&gt;=IF(D51="Fixed-term",1,5),"Yes","Not yet"))</f>
        <v/>
      </c>
      <c r="I51" s="27" t="str">
        <f aca="false">IF(G51="","",IF(H51="Yes",J51,0))</f>
        <v/>
      </c>
      <c r="J51" s="28" t="str">
        <f aca="false">IF(G51="","",MIN(2000000,ROUND(15*MAX(N(E51),ROUND(N(F51)*0.5,0))*G51/26,0)))</f>
        <v/>
      </c>
    </row>
    <row r="52" customFormat="false" ht="15" hidden="false" customHeight="false" outlineLevel="0" collapsed="false">
      <c r="A52" s="20" t="str">
        <f aca="false">IF(B52="","",46)</f>
        <v/>
      </c>
      <c r="B52" s="21"/>
      <c r="C52" s="22"/>
      <c r="D52" s="23"/>
      <c r="E52" s="24"/>
      <c r="F52" s="24"/>
      <c r="G52" s="25" t="str">
        <f aca="false">IF(OR(B52="",C52="",C52&gt;$C$4),"",DATEDIF(C52,$C$4,"y")+IF(DATEDIF(C52,$C$4,"ym")*31+DATEDIF(C52,$C$4,"md")&gt;186,1,0))</f>
        <v/>
      </c>
      <c r="H52" s="26" t="str">
        <f aca="false">IF(G52="","",IF(DATEDIF(C52,$C$4,"y")&gt;=IF(D52="Fixed-term",1,5),"Yes","Not yet"))</f>
        <v/>
      </c>
      <c r="I52" s="27" t="str">
        <f aca="false">IF(G52="","",IF(H52="Yes",J52,0))</f>
        <v/>
      </c>
      <c r="J52" s="28" t="str">
        <f aca="false">IF(G52="","",MIN(2000000,ROUND(15*MAX(N(E52),ROUND(N(F52)*0.5,0))*G52/26,0)))</f>
        <v/>
      </c>
    </row>
    <row r="53" customFormat="false" ht="15" hidden="false" customHeight="false" outlineLevel="0" collapsed="false">
      <c r="A53" s="20" t="str">
        <f aca="false">IF(B53="","",47)</f>
        <v/>
      </c>
      <c r="B53" s="21"/>
      <c r="C53" s="22"/>
      <c r="D53" s="23"/>
      <c r="E53" s="24"/>
      <c r="F53" s="24"/>
      <c r="G53" s="25" t="str">
        <f aca="false">IF(OR(B53="",C53="",C53&gt;$C$4),"",DATEDIF(C53,$C$4,"y")+IF(DATEDIF(C53,$C$4,"ym")*31+DATEDIF(C53,$C$4,"md")&gt;186,1,0))</f>
        <v/>
      </c>
      <c r="H53" s="26" t="str">
        <f aca="false">IF(G53="","",IF(DATEDIF(C53,$C$4,"y")&gt;=IF(D53="Fixed-term",1,5),"Yes","Not yet"))</f>
        <v/>
      </c>
      <c r="I53" s="27" t="str">
        <f aca="false">IF(G53="","",IF(H53="Yes",J53,0))</f>
        <v/>
      </c>
      <c r="J53" s="28" t="str">
        <f aca="false">IF(G53="","",MIN(2000000,ROUND(15*MAX(N(E53),ROUND(N(F53)*0.5,0))*G53/26,0)))</f>
        <v/>
      </c>
    </row>
    <row r="54" customFormat="false" ht="15" hidden="false" customHeight="false" outlineLevel="0" collapsed="false">
      <c r="A54" s="20" t="str">
        <f aca="false">IF(B54="","",48)</f>
        <v/>
      </c>
      <c r="B54" s="21"/>
      <c r="C54" s="22"/>
      <c r="D54" s="23"/>
      <c r="E54" s="24"/>
      <c r="F54" s="24"/>
      <c r="G54" s="25" t="str">
        <f aca="false">IF(OR(B54="",C54="",C54&gt;$C$4),"",DATEDIF(C54,$C$4,"y")+IF(DATEDIF(C54,$C$4,"ym")*31+DATEDIF(C54,$C$4,"md")&gt;186,1,0))</f>
        <v/>
      </c>
      <c r="H54" s="26" t="str">
        <f aca="false">IF(G54="","",IF(DATEDIF(C54,$C$4,"y")&gt;=IF(D54="Fixed-term",1,5),"Yes","Not yet"))</f>
        <v/>
      </c>
      <c r="I54" s="27" t="str">
        <f aca="false">IF(G54="","",IF(H54="Yes",J54,0))</f>
        <v/>
      </c>
      <c r="J54" s="28" t="str">
        <f aca="false">IF(G54="","",MIN(2000000,ROUND(15*MAX(N(E54),ROUND(N(F54)*0.5,0))*G54/26,0)))</f>
        <v/>
      </c>
    </row>
    <row r="55" customFormat="false" ht="15" hidden="false" customHeight="false" outlineLevel="0" collapsed="false">
      <c r="A55" s="20" t="str">
        <f aca="false">IF(B55="","",49)</f>
        <v/>
      </c>
      <c r="B55" s="21"/>
      <c r="C55" s="22"/>
      <c r="D55" s="23"/>
      <c r="E55" s="24"/>
      <c r="F55" s="24"/>
      <c r="G55" s="25" t="str">
        <f aca="false">IF(OR(B55="",C55="",C55&gt;$C$4),"",DATEDIF(C55,$C$4,"y")+IF(DATEDIF(C55,$C$4,"ym")*31+DATEDIF(C55,$C$4,"md")&gt;186,1,0))</f>
        <v/>
      </c>
      <c r="H55" s="26" t="str">
        <f aca="false">IF(G55="","",IF(DATEDIF(C55,$C$4,"y")&gt;=IF(D55="Fixed-term",1,5),"Yes","Not yet"))</f>
        <v/>
      </c>
      <c r="I55" s="27" t="str">
        <f aca="false">IF(G55="","",IF(H55="Yes",J55,0))</f>
        <v/>
      </c>
      <c r="J55" s="28" t="str">
        <f aca="false">IF(G55="","",MIN(2000000,ROUND(15*MAX(N(E55),ROUND(N(F55)*0.5,0))*G55/26,0)))</f>
        <v/>
      </c>
    </row>
    <row r="56" customFormat="false" ht="15" hidden="false" customHeight="false" outlineLevel="0" collapsed="false">
      <c r="A56" s="20" t="str">
        <f aca="false">IF(B56="","",50)</f>
        <v/>
      </c>
      <c r="B56" s="21"/>
      <c r="C56" s="22"/>
      <c r="D56" s="23"/>
      <c r="E56" s="24"/>
      <c r="F56" s="24"/>
      <c r="G56" s="25" t="str">
        <f aca="false">IF(OR(B56="",C56="",C56&gt;$C$4),"",DATEDIF(C56,$C$4,"y")+IF(DATEDIF(C56,$C$4,"ym")*31+DATEDIF(C56,$C$4,"md")&gt;186,1,0))</f>
        <v/>
      </c>
      <c r="H56" s="26" t="str">
        <f aca="false">IF(G56="","",IF(DATEDIF(C56,$C$4,"y")&gt;=IF(D56="Fixed-term",1,5),"Yes","Not yet"))</f>
        <v/>
      </c>
      <c r="I56" s="27" t="str">
        <f aca="false">IF(G56="","",IF(H56="Yes",J56,0))</f>
        <v/>
      </c>
      <c r="J56" s="28" t="str">
        <f aca="false">IF(G56="","",MIN(2000000,ROUND(15*MAX(N(E56),ROUND(N(F56)*0.5,0))*G56/26,0)))</f>
        <v/>
      </c>
    </row>
    <row r="57" customFormat="false" ht="15" hidden="false" customHeight="false" outlineLevel="0" collapsed="false">
      <c r="H57" s="29" t="s">
        <v>47</v>
      </c>
      <c r="I57" s="30" t="n">
        <f aca="false">SUM(I7:I56)</f>
        <v>1056345</v>
      </c>
      <c r="J57" s="30" t="n">
        <f aca="false">SUM(J7:J56)</f>
        <v>1056345</v>
      </c>
    </row>
  </sheetData>
  <sheetProtection sheet="true" formatCells="false" formatColumns="false" formatRows="false" sort="false" autoFilter="false" algorithmName="SHA-512" hashValue="MCg9LpysJoKYeN5WP0RJIqkE1Yz3wFuq/x2Gz1FL+zUK2rtKMDGXhf8EdCL7pBFnFHlKWW+AzZtH3UnoTB++Tg==" saltValue="sixQGqssNARTfZeSsSlXlQ==" spinCount="100000"/>
  <mergeCells count="2">
    <mergeCell ref="A2:J2"/>
    <mergeCell ref="A3:J3"/>
  </mergeCells>
  <dataValidations count="1">
    <dataValidation allowBlank="true" errorStyle="stop" operator="between" showDropDown="false" showErrorMessage="false" showInputMessage="false" sqref="D7:D56" type="list">
      <formula1>Lists!$C$1:$C$2</formula1>
      <formula2>0</formula2>
    </dataValidation>
  </dataValidations>
  <hyperlinks>
    <hyperlink ref="A1" location="'Gratuity%20Calculator'!A1" display="◄ BACK TO 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48</v>
      </c>
      <c r="B1" s="0" t="s">
        <v>49</v>
      </c>
      <c r="C1" s="0" t="s">
        <v>7</v>
      </c>
      <c r="D1" s="0" t="s">
        <v>9</v>
      </c>
      <c r="E1" s="0" t="s">
        <v>11</v>
      </c>
      <c r="W1" s="0" t="s">
        <v>50</v>
      </c>
    </row>
    <row r="2" customFormat="false" ht="15" hidden="false" customHeight="false" outlineLevel="0" collapsed="false">
      <c r="A2" s="0" t="s">
        <v>51</v>
      </c>
      <c r="B2" s="0" t="s">
        <v>52</v>
      </c>
      <c r="C2" s="0" t="s">
        <v>44</v>
      </c>
      <c r="D2" s="0" t="s">
        <v>53</v>
      </c>
      <c r="E2" s="0" t="s">
        <v>54</v>
      </c>
      <c r="W2" s="0" t="s">
        <v>55</v>
      </c>
    </row>
    <row r="3" customFormat="false" ht="15" hidden="false" customHeight="false" outlineLevel="0" collapsed="false">
      <c r="A3" s="0" t="s">
        <v>56</v>
      </c>
      <c r="D3" s="0" t="s">
        <v>57</v>
      </c>
      <c r="W3" s="0" t="s">
        <v>58</v>
      </c>
    </row>
    <row r="4" customFormat="false" ht="15" hidden="false" customHeight="false" outlineLevel="0" collapsed="false">
      <c r="A4" s="0" t="s">
        <v>59</v>
      </c>
      <c r="D4" s="0" t="s">
        <v>60</v>
      </c>
      <c r="W4" s="0" t="s">
        <v>61</v>
      </c>
    </row>
    <row r="5" customFormat="false" ht="15" hidden="false" customHeight="false" outlineLevel="0" collapsed="false">
      <c r="A5" s="0" t="s">
        <v>62</v>
      </c>
      <c r="D5" s="0" t="s">
        <v>63</v>
      </c>
      <c r="W5" s="0" t="s">
        <v>64</v>
      </c>
    </row>
    <row r="6" customFormat="false" ht="15" hidden="false" customHeight="false" outlineLevel="0" collapsed="false">
      <c r="W6" s="0" t="s">
        <v>65</v>
      </c>
    </row>
    <row r="7" customFormat="false" ht="15" hidden="false" customHeight="false" outlineLevel="0" collapsed="false">
      <c r="W7" s="0" t="s">
        <v>66</v>
      </c>
    </row>
    <row r="8" customFormat="false" ht="15" hidden="false" customHeight="false" outlineLevel="0" collapsed="false">
      <c r="W8" s="0" t="s">
        <v>67</v>
      </c>
    </row>
    <row r="9" customFormat="false" ht="15" hidden="false" customHeight="false" outlineLevel="0" collapsed="false">
      <c r="W9" s="0" t="s">
        <v>68</v>
      </c>
    </row>
    <row r="10" customFormat="false" ht="15" hidden="false" customHeight="false" outlineLevel="0" collapsed="false">
      <c r="W10" s="0" t="s">
        <v>69</v>
      </c>
    </row>
    <row r="11" customFormat="false" ht="15" hidden="false" customHeight="false" outlineLevel="0" collapsed="false">
      <c r="W11" s="0" t="s">
        <v>70</v>
      </c>
    </row>
    <row r="12" customFormat="false" ht="15" hidden="false" customHeight="false" outlineLevel="0" collapsed="false">
      <c r="W12" s="0" t="s">
        <v>71</v>
      </c>
    </row>
    <row r="13" customFormat="false" ht="15" hidden="false" customHeight="false" outlineLevel="0" collapsed="false">
      <c r="W13" s="0" t="s">
        <v>72</v>
      </c>
    </row>
    <row r="14" customFormat="false" ht="15" hidden="false" customHeight="false" outlineLevel="0" collapsed="false">
      <c r="W14" s="0" t="s">
        <v>73</v>
      </c>
    </row>
    <row r="15" customFormat="false" ht="15" hidden="false" customHeight="false" outlineLevel="0" collapsed="false">
      <c r="W15" s="0" t="s">
        <v>74</v>
      </c>
    </row>
    <row r="16" customFormat="false" ht="15" hidden="false" customHeight="false" outlineLevel="0" collapsed="false">
      <c r="W16" s="0" t="s">
        <v>75</v>
      </c>
    </row>
    <row r="17" customFormat="false" ht="15" hidden="false" customHeight="false" outlineLevel="0" collapsed="false">
      <c r="W17" s="0" t="s">
        <v>76</v>
      </c>
    </row>
    <row r="18" customFormat="false" ht="15" hidden="false" customHeight="false" outlineLevel="0" collapsed="false">
      <c r="W18" s="0" t="s">
        <v>77</v>
      </c>
    </row>
    <row r="19" customFormat="false" ht="15" hidden="false" customHeight="false" outlineLevel="0" collapsed="false">
      <c r="W19" s="0" t="s">
        <v>78</v>
      </c>
    </row>
    <row r="20" customFormat="false" ht="15" hidden="false" customHeight="false" outlineLevel="0" collapsed="false">
      <c r="W20" s="0" t="s">
        <v>79</v>
      </c>
    </row>
    <row r="21" customFormat="false" ht="15" hidden="false" customHeight="false" outlineLevel="0" collapsed="false">
      <c r="W21" s="0" t="s">
        <v>80</v>
      </c>
    </row>
    <row r="22" customFormat="false" ht="15" hidden="false" customHeight="false" outlineLevel="0" collapsed="false">
      <c r="W22" s="0" t="s">
        <v>81</v>
      </c>
    </row>
    <row r="23" customFormat="false" ht="15" hidden="false" customHeight="false" outlineLevel="0" collapsed="false">
      <c r="W23" s="0" t="s">
        <v>82</v>
      </c>
    </row>
    <row r="24" customFormat="false" ht="15" hidden="false" customHeight="false" outlineLevel="0" collapsed="false">
      <c r="W24" s="0" t="s">
        <v>83</v>
      </c>
    </row>
    <row r="25" customFormat="false" ht="15" hidden="false" customHeight="false" outlineLevel="0" collapsed="false">
      <c r="W25" s="0" t="s">
        <v>84</v>
      </c>
    </row>
    <row r="26" customFormat="false" ht="15" hidden="false" customHeight="false" outlineLevel="0" collapsed="false">
      <c r="W26" s="0" t="s">
        <v>85</v>
      </c>
    </row>
    <row r="27" customFormat="false" ht="15" hidden="false" customHeight="false" outlineLevel="0" collapsed="false">
      <c r="W27" s="0" t="s">
        <v>86</v>
      </c>
    </row>
    <row r="28" customFormat="false" ht="15" hidden="false" customHeight="false" outlineLevel="0" collapsed="false">
      <c r="W28" s="0" t="s">
        <v>87</v>
      </c>
    </row>
    <row r="29" customFormat="false" ht="15" hidden="false" customHeight="false" outlineLevel="0" collapsed="false">
      <c r="W29" s="0" t="s">
        <v>88</v>
      </c>
    </row>
    <row r="30" customFormat="false" ht="15" hidden="false" customHeight="false" outlineLevel="0" collapsed="false">
      <c r="W30" s="0" t="s">
        <v>89</v>
      </c>
    </row>
    <row r="31" customFormat="false" ht="15" hidden="false" customHeight="false" outlineLevel="0" collapsed="false">
      <c r="W31" s="0" t="s">
        <v>90</v>
      </c>
    </row>
    <row r="32" customFormat="false" ht="15" hidden="false" customHeight="false" outlineLevel="0" collapsed="false">
      <c r="W32" s="0" t="s">
        <v>91</v>
      </c>
    </row>
    <row r="33" customFormat="false" ht="15" hidden="false" customHeight="false" outlineLevel="0" collapsed="false">
      <c r="W33" s="0" t="s">
        <v>92</v>
      </c>
    </row>
    <row r="34" customFormat="false" ht="15" hidden="false" customHeight="false" outlineLevel="0" collapsed="false">
      <c r="W34" s="0" t="s">
        <v>93</v>
      </c>
    </row>
    <row r="35" customFormat="false" ht="15" hidden="false" customHeight="false" outlineLevel="0" collapsed="false">
      <c r="W35" s="0" t="s">
        <v>94</v>
      </c>
    </row>
    <row r="36" customFormat="false" ht="15" hidden="false" customHeight="false" outlineLevel="0" collapsed="false">
      <c r="W36" s="0" t="s">
        <v>95</v>
      </c>
    </row>
    <row r="37" customFormat="false" ht="15" hidden="false" customHeight="false" outlineLevel="0" collapsed="false">
      <c r="W37" s="0" t="s">
        <v>96</v>
      </c>
    </row>
    <row r="38" customFormat="false" ht="15" hidden="false" customHeight="false" outlineLevel="0" collapsed="false">
      <c r="W38" s="0" t="s">
        <v>97</v>
      </c>
    </row>
    <row r="39" customFormat="false" ht="15" hidden="false" customHeight="false" outlineLevel="0" collapsed="false">
      <c r="W39" s="0" t="s">
        <v>98</v>
      </c>
    </row>
    <row r="40" customFormat="false" ht="15" hidden="false" customHeight="false" outlineLevel="0" collapsed="false">
      <c r="W40" s="0" t="s">
        <v>99</v>
      </c>
    </row>
    <row r="41" customFormat="false" ht="15" hidden="false" customHeight="false" outlineLevel="0" collapsed="false">
      <c r="W41" s="0" t="s">
        <v>100</v>
      </c>
    </row>
    <row r="42" customFormat="false" ht="15" hidden="false" customHeight="false" outlineLevel="0" collapsed="false">
      <c r="W42" s="0" t="s">
        <v>101</v>
      </c>
    </row>
    <row r="43" customFormat="false" ht="15" hidden="false" customHeight="false" outlineLevel="0" collapsed="false">
      <c r="W43" s="0" t="s">
        <v>102</v>
      </c>
    </row>
    <row r="44" customFormat="false" ht="15" hidden="false" customHeight="false" outlineLevel="0" collapsed="false">
      <c r="W44" s="0" t="s">
        <v>103</v>
      </c>
    </row>
    <row r="45" customFormat="false" ht="15" hidden="false" customHeight="false" outlineLevel="0" collapsed="false">
      <c r="W45" s="0" t="s">
        <v>104</v>
      </c>
    </row>
    <row r="46" customFormat="false" ht="15" hidden="false" customHeight="false" outlineLevel="0" collapsed="false">
      <c r="W46" s="0" t="s">
        <v>105</v>
      </c>
    </row>
    <row r="47" customFormat="false" ht="15" hidden="false" customHeight="false" outlineLevel="0" collapsed="false">
      <c r="W47" s="0" t="s">
        <v>106</v>
      </c>
    </row>
    <row r="48" customFormat="false" ht="15" hidden="false" customHeight="false" outlineLevel="0" collapsed="false">
      <c r="W48" s="0" t="s">
        <v>107</v>
      </c>
    </row>
    <row r="49" customFormat="false" ht="15" hidden="false" customHeight="false" outlineLevel="0" collapsed="false">
      <c r="W49" s="0" t="s">
        <v>108</v>
      </c>
    </row>
    <row r="50" customFormat="false" ht="15" hidden="false" customHeight="false" outlineLevel="0" collapsed="false">
      <c r="W50" s="0" t="s">
        <v>109</v>
      </c>
    </row>
    <row r="51" customFormat="false" ht="15" hidden="false" customHeight="false" outlineLevel="0" collapsed="false">
      <c r="W51" s="0" t="s">
        <v>110</v>
      </c>
    </row>
    <row r="52" customFormat="false" ht="15" hidden="false" customHeight="false" outlineLevel="0" collapsed="false">
      <c r="W52" s="0" t="s">
        <v>111</v>
      </c>
    </row>
    <row r="53" customFormat="false" ht="15" hidden="false" customHeight="false" outlineLevel="0" collapsed="false">
      <c r="W53" s="0" t="s">
        <v>112</v>
      </c>
    </row>
    <row r="54" customFormat="false" ht="15" hidden="false" customHeight="false" outlineLevel="0" collapsed="false">
      <c r="W54" s="0" t="s">
        <v>113</v>
      </c>
    </row>
    <row r="55" customFormat="false" ht="15" hidden="false" customHeight="false" outlineLevel="0" collapsed="false">
      <c r="W55" s="0" t="s">
        <v>114</v>
      </c>
    </row>
    <row r="56" customFormat="false" ht="15" hidden="false" customHeight="false" outlineLevel="0" collapsed="false">
      <c r="W56" s="0" t="s">
        <v>115</v>
      </c>
    </row>
    <row r="57" customFormat="false" ht="15" hidden="false" customHeight="false" outlineLevel="0" collapsed="false">
      <c r="W57" s="0" t="s">
        <v>116</v>
      </c>
    </row>
    <row r="58" customFormat="false" ht="15" hidden="false" customHeight="false" outlineLevel="0" collapsed="false">
      <c r="W58" s="0" t="s">
        <v>117</v>
      </c>
    </row>
    <row r="59" customFormat="false" ht="15" hidden="false" customHeight="false" outlineLevel="0" collapsed="false">
      <c r="W59" s="0" t="s">
        <v>118</v>
      </c>
    </row>
    <row r="60" customFormat="false" ht="15" hidden="false" customHeight="false" outlineLevel="0" collapsed="false">
      <c r="W60" s="0" t="s">
        <v>119</v>
      </c>
    </row>
    <row r="61" customFormat="false" ht="15" hidden="false" customHeight="false" outlineLevel="0" collapsed="false">
      <c r="W61" s="0" t="s">
        <v>120</v>
      </c>
    </row>
    <row r="62" customFormat="false" ht="15" hidden="false" customHeight="false" outlineLevel="0" collapsed="false">
      <c r="W62" s="0" t="s">
        <v>121</v>
      </c>
    </row>
    <row r="63" customFormat="false" ht="15" hidden="false" customHeight="false" outlineLevel="0" collapsed="false">
      <c r="W63" s="0" t="s">
        <v>122</v>
      </c>
    </row>
    <row r="64" customFormat="false" ht="15" hidden="false" customHeight="false" outlineLevel="0" collapsed="false">
      <c r="W64" s="0" t="s">
        <v>123</v>
      </c>
    </row>
    <row r="65" customFormat="false" ht="15" hidden="false" customHeight="false" outlineLevel="0" collapsed="false">
      <c r="W65" s="0" t="s">
        <v>124</v>
      </c>
    </row>
    <row r="66" customFormat="false" ht="15" hidden="false" customHeight="false" outlineLevel="0" collapsed="false">
      <c r="W66" s="0" t="s">
        <v>125</v>
      </c>
    </row>
    <row r="67" customFormat="false" ht="15" hidden="false" customHeight="false" outlineLevel="0" collapsed="false">
      <c r="W67" s="0" t="s">
        <v>126</v>
      </c>
    </row>
    <row r="68" customFormat="false" ht="15" hidden="false" customHeight="false" outlineLevel="0" collapsed="false">
      <c r="W68" s="0" t="s">
        <v>127</v>
      </c>
    </row>
    <row r="69" customFormat="false" ht="15" hidden="false" customHeight="false" outlineLevel="0" collapsed="false">
      <c r="W69" s="0" t="s">
        <v>128</v>
      </c>
    </row>
    <row r="70" customFormat="false" ht="15" hidden="false" customHeight="false" outlineLevel="0" collapsed="false">
      <c r="W70" s="0" t="s">
        <v>129</v>
      </c>
    </row>
    <row r="71" customFormat="false" ht="15" hidden="false" customHeight="false" outlineLevel="0" collapsed="false">
      <c r="W71" s="0" t="s">
        <v>130</v>
      </c>
    </row>
    <row r="72" customFormat="false" ht="15" hidden="false" customHeight="false" outlineLevel="0" collapsed="false">
      <c r="W72" s="0" t="s">
        <v>131</v>
      </c>
    </row>
    <row r="73" customFormat="false" ht="15" hidden="false" customHeight="false" outlineLevel="0" collapsed="false">
      <c r="W73" s="0" t="s">
        <v>132</v>
      </c>
    </row>
    <row r="74" customFormat="false" ht="15" hidden="false" customHeight="false" outlineLevel="0" collapsed="false">
      <c r="W74" s="0" t="s">
        <v>133</v>
      </c>
    </row>
    <row r="75" customFormat="false" ht="15" hidden="false" customHeight="false" outlineLevel="0" collapsed="false">
      <c r="W75" s="0" t="s">
        <v>134</v>
      </c>
    </row>
    <row r="76" customFormat="false" ht="15" hidden="false" customHeight="false" outlineLevel="0" collapsed="false">
      <c r="W76" s="0" t="s">
        <v>135</v>
      </c>
    </row>
    <row r="77" customFormat="false" ht="15" hidden="false" customHeight="false" outlineLevel="0" collapsed="false">
      <c r="W77" s="0" t="s">
        <v>136</v>
      </c>
    </row>
    <row r="78" customFormat="false" ht="15" hidden="false" customHeight="false" outlineLevel="0" collapsed="false">
      <c r="W78" s="0" t="s">
        <v>137</v>
      </c>
    </row>
    <row r="79" customFormat="false" ht="15" hidden="false" customHeight="false" outlineLevel="0" collapsed="false">
      <c r="W79" s="0" t="s">
        <v>138</v>
      </c>
    </row>
    <row r="80" customFormat="false" ht="15" hidden="false" customHeight="false" outlineLevel="0" collapsed="false">
      <c r="W80" s="0" t="s">
        <v>139</v>
      </c>
    </row>
    <row r="81" customFormat="false" ht="15" hidden="false" customHeight="false" outlineLevel="0" collapsed="false">
      <c r="W81" s="0" t="s">
        <v>140</v>
      </c>
    </row>
    <row r="82" customFormat="false" ht="15" hidden="false" customHeight="false" outlineLevel="0" collapsed="false">
      <c r="W82" s="0" t="s">
        <v>141</v>
      </c>
    </row>
    <row r="83" customFormat="false" ht="15" hidden="false" customHeight="false" outlineLevel="0" collapsed="false">
      <c r="W83" s="0" t="s">
        <v>142</v>
      </c>
    </row>
    <row r="84" customFormat="false" ht="15" hidden="false" customHeight="false" outlineLevel="0" collapsed="false">
      <c r="W84" s="0" t="s">
        <v>143</v>
      </c>
    </row>
    <row r="85" customFormat="false" ht="15" hidden="false" customHeight="false" outlineLevel="0" collapsed="false">
      <c r="W85" s="0" t="s">
        <v>144</v>
      </c>
    </row>
    <row r="86" customFormat="false" ht="15" hidden="false" customHeight="false" outlineLevel="0" collapsed="false">
      <c r="W86" s="0" t="s">
        <v>145</v>
      </c>
    </row>
    <row r="87" customFormat="false" ht="15" hidden="false" customHeight="false" outlineLevel="0" collapsed="false">
      <c r="W87" s="0" t="s">
        <v>146</v>
      </c>
    </row>
    <row r="88" customFormat="false" ht="15" hidden="false" customHeight="false" outlineLevel="0" collapsed="false">
      <c r="W88" s="0" t="s">
        <v>147</v>
      </c>
    </row>
    <row r="89" customFormat="false" ht="15" hidden="false" customHeight="false" outlineLevel="0" collapsed="false">
      <c r="W89" s="0" t="s">
        <v>148</v>
      </c>
    </row>
    <row r="90" customFormat="false" ht="15" hidden="false" customHeight="false" outlineLevel="0" collapsed="false">
      <c r="W90" s="0" t="s">
        <v>149</v>
      </c>
    </row>
    <row r="91" customFormat="false" ht="15" hidden="false" customHeight="false" outlineLevel="0" collapsed="false">
      <c r="W91" s="0" t="s">
        <v>150</v>
      </c>
    </row>
    <row r="92" customFormat="false" ht="15" hidden="false" customHeight="false" outlineLevel="0" collapsed="false">
      <c r="W92" s="0" t="s">
        <v>151</v>
      </c>
    </row>
    <row r="93" customFormat="false" ht="15" hidden="false" customHeight="false" outlineLevel="0" collapsed="false">
      <c r="W93" s="0" t="s">
        <v>152</v>
      </c>
    </row>
    <row r="94" customFormat="false" ht="15" hidden="false" customHeight="false" outlineLevel="0" collapsed="false">
      <c r="W94" s="0" t="s">
        <v>153</v>
      </c>
    </row>
    <row r="95" customFormat="false" ht="15" hidden="false" customHeight="false" outlineLevel="0" collapsed="false">
      <c r="W95" s="0" t="s">
        <v>154</v>
      </c>
    </row>
    <row r="96" customFormat="false" ht="15" hidden="false" customHeight="false" outlineLevel="0" collapsed="false">
      <c r="W96" s="0" t="s">
        <v>155</v>
      </c>
    </row>
    <row r="97" customFormat="false" ht="15" hidden="false" customHeight="false" outlineLevel="0" collapsed="false">
      <c r="W97" s="0" t="s">
        <v>156</v>
      </c>
    </row>
    <row r="98" customFormat="false" ht="15" hidden="false" customHeight="false" outlineLevel="0" collapsed="false">
      <c r="W98" s="0" t="s">
        <v>157</v>
      </c>
    </row>
    <row r="99" customFormat="false" ht="15" hidden="false" customHeight="false" outlineLevel="0" collapsed="false">
      <c r="W99" s="0" t="s">
        <v>158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2026-10-15T12:29:11Z</dcterms:created>
  <dc:creator>Xplorexcel.com</dc:creator>
  <dc:description/>
  <dc:language>en-US</dc:language>
  <cp:lastModifiedBy/>
  <dcterms:modified xsi:type="dcterms:W3CDTF">2026-10-15T12:29:11Z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