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A2hjaI5UhK4v75jraZ3Th3bgQww8AY9z0m641G5/gvMNG/dRlb6po6mYIMwl2IWcZhoY8ZXlqlMmma0Db7v1KA==" workbookSaltValue="J/SCLDynqHu6Vo51yACfGQ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Member Register" sheetId="1" state="visible" r:id="rId3"/>
    <sheet name="Fee Receipt" sheetId="2" state="visible" r:id="rId4"/>
    <sheet name="Lists" sheetId="3" state="hidden" r:id="rId5"/>
  </sheets>
  <definedNames>
    <definedName function="false" hidden="false" localSheetId="1" name="_xlnm.Print_Area" vbProcedure="false">'Fee Receipt'!$B$2:$F$16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<sst xmlns="http://schemas.openxmlformats.org/spreadsheetml/2006/main" count="185" uniqueCount="164">
  <si>
    <t xml:space="preserve">Gym membership register</t>
  </si>
  <si>
    <t xml:space="preserve">Type in the yellow cells. End date and days left are worked out; expiring members turn orange, expired turn red. Change plan names, months and fees on the right.</t>
  </si>
  <si>
    <t xml:space="preserve">Gym name</t>
  </si>
  <si>
    <t xml:space="preserve">Iron Temple Fitness</t>
  </si>
  <si>
    <t xml:space="preserve">As on (blank = today)</t>
  </si>
  <si>
    <t xml:space="preserve">Plans</t>
  </si>
  <si>
    <t xml:space="preserve">#</t>
  </si>
  <si>
    <t xml:space="preserve">Name</t>
  </si>
  <si>
    <t xml:space="preserve">Phone</t>
  </si>
  <si>
    <t xml:space="preserve">Plan</t>
  </si>
  <si>
    <t xml:space="preserve">Start date</t>
  </si>
  <si>
    <t xml:space="preserve">End date</t>
  </si>
  <si>
    <t xml:space="preserve">Days left</t>
  </si>
  <si>
    <t xml:space="preserve">Status</t>
  </si>
  <si>
    <t xml:space="preserve">Fee (₹)</t>
  </si>
  <si>
    <t xml:space="preserve">Paid (₹)</t>
  </si>
  <si>
    <t xml:space="preserve">Balance (₹)</t>
  </si>
  <si>
    <t xml:space="preserve">Months</t>
  </si>
  <si>
    <t xml:space="preserve">Arjun Sharma</t>
  </si>
  <si>
    <t xml:space="preserve">9876011000</t>
  </si>
  <si>
    <t xml:space="preserve">Half-yearly</t>
  </si>
  <si>
    <t xml:space="preserve">Monthly</t>
  </si>
  <si>
    <t xml:space="preserve">Simran Kaur</t>
  </si>
  <si>
    <t xml:space="preserve">9876011389</t>
  </si>
  <si>
    <t xml:space="preserve">Quarterly</t>
  </si>
  <si>
    <t xml:space="preserve">Rohit Dhillon</t>
  </si>
  <si>
    <t xml:space="preserve">9876011778</t>
  </si>
  <si>
    <t xml:space="preserve">Navneet Gill</t>
  </si>
  <si>
    <t xml:space="preserve">9876012167</t>
  </si>
  <si>
    <t xml:space="preserve">Yearly</t>
  </si>
  <si>
    <t xml:space="preserve">Karan Chopra</t>
  </si>
  <si>
    <t xml:space="preserve">9876012556</t>
  </si>
  <si>
    <t xml:space="preserve">Harleen Bhatia</t>
  </si>
  <si>
    <t xml:space="preserve">9876012945</t>
  </si>
  <si>
    <t xml:space="preserve">Aman Bains</t>
  </si>
  <si>
    <t xml:space="preserve">9876013334</t>
  </si>
  <si>
    <t xml:space="preserve">Jaspreet Saini</t>
  </si>
  <si>
    <t xml:space="preserve">9876013723</t>
  </si>
  <si>
    <t xml:space="preserve">Vikram Kapoor</t>
  </si>
  <si>
    <t xml:space="preserve">9876014112</t>
  </si>
  <si>
    <t xml:space="preserve">Mehak Verma</t>
  </si>
  <si>
    <t xml:space="preserve">9876014501</t>
  </si>
  <si>
    <t xml:space="preserve">Gurpreet Sandhu</t>
  </si>
  <si>
    <t xml:space="preserve">9876014890</t>
  </si>
  <si>
    <t xml:space="preserve">Tanvi Singh</t>
  </si>
  <si>
    <t xml:space="preserve">9876015279</t>
  </si>
  <si>
    <t xml:space="preserve">Want automatic renewal reminders on WhatsApp, part payments, receipts, attendance and a monthly report for up to 500 members? See XploreGym on the xplorexcel.com store.</t>
  </si>
  <si>
    <t xml:space="preserve">MEMBERSHIP FEE RECEIPT</t>
  </si>
  <si>
    <t xml:space="preserve">Member # to print ▼</t>
  </si>
  <si>
    <t xml:space="preserve">Receipt no.</t>
  </si>
  <si>
    <t xml:space="preserve">Date</t>
  </si>
  <si>
    <t xml:space="preserve">Received from</t>
  </si>
  <si>
    <t xml:space="preserve">Valid</t>
  </si>
  <si>
    <t xml:space="preserve">IT/101</t>
  </si>
  <si>
    <t xml:space="preserve">Amount received</t>
  </si>
  <si>
    <t xml:space="preserve">Fees once paid are not refundable.</t>
  </si>
  <si>
    <t xml:space="preserve">Authorised signatory</t>
  </si>
  <si>
    <t xml:space="preserve">Free template by xplorexcel.com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</si>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</sst>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"/>
    <numFmt numFmtId="166" formatCode="General"/>
    <numFmt numFmtId="167" formatCode="@"/>
    <numFmt numFmtId="168" formatCode="0"/>
    <numFmt numFmtId="169" formatCode="###,##0;\(###,##0\);\-"/>
    <numFmt numFmtId="170" formatCode="dd\-mmm\-yyyy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9"/>
      <color rgb="FF7F7F7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sz val="10"/>
      <color rgb="FF002060"/>
      <name val="Cambria"/>
      <family val="0"/>
      <charset val="1"/>
    </font>
    <font>
      <i val="true"/>
      <sz val="8"/>
      <color rgb="FF7F7F7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i val="true"/>
      <sz val="8"/>
      <color rgb="FF20AD96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002060"/>
        <bgColor rgb="FF000080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C00000"/>
      </font>
      <fill>
        <patternFill>
          <bgColor rgb="FFFFC7CE"/>
        </patternFill>
      </fill>
    </dxf>
    <dxf>
      <font>
        <b val="1"/>
        <color rgb="FFC55A11"/>
      </font>
      <fill>
        <patternFill>
          <bgColor rgb="FFFCE4D6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C55A11"/>
      <rgbColor rgb="FF66669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A2:P1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6" min="5" style="0" width="11"/>
    <col collapsed="false" customWidth="true" hidden="false" outlineLevel="0" max="7" min="7" style="0" width="8"/>
    <col collapsed="false" customWidth="true" hidden="false" outlineLevel="0" max="8" min="8" style="0" width="16"/>
    <col collapsed="false" customWidth="true" hidden="false" outlineLevel="0" max="9" min="9" style="0" width="10"/>
    <col collapsed="false" customWidth="true" hidden="true" outlineLevel="0" max="10" min="10" style="0" width="2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3" min="13" style="0" width="2"/>
    <col collapsed="false" customWidth="true" hidden="false" outlineLevel="0" max="14" min="14" style="0" width="14"/>
    <col collapsed="false" customWidth="true" hidden="false" outlineLevel="0" max="15" min="15" style="0" width="8"/>
    <col collapsed="false" customWidth="true" hidden="false" outlineLevel="0" max="16" min="16" style="0" width="10"/>
  </cols>
  <sheetData>
    <row r="2" customFormat="false" ht="30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15" hidden="false" customHeight="true" outlineLevel="0" collapsed="false">
      <c r="B5" s="3" t="s">
        <v>2</v>
      </c>
      <c r="C5" s="4" t="s">
        <v>3</v>
      </c>
      <c r="D5" s="4"/>
      <c r="E5" s="4"/>
      <c r="G5" s="3" t="s">
        <v>4</v>
      </c>
      <c r="H5" s="3"/>
      <c r="I5" s="5" t="n">
        <v>46310</v>
      </c>
      <c r="J5" s="6" t="n">
        <f aca="true">IF(I5="",TODAY(),I5)</f>
        <v>46310</v>
      </c>
    </row>
    <row r="6" customFormat="false" ht="15" hidden="false" customHeight="true" outlineLevel="0" collapsed="false">
      <c r="N6" s="7" t="s">
        <v>5</v>
      </c>
      <c r="O6" s="7"/>
      <c r="P6" s="7"/>
    </row>
    <row r="7" customFormat="false" ht="31.5" hidden="false" customHeight="true" outlineLevel="0" collapsed="false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  <c r="J7" s="8"/>
      <c r="K7" s="8" t="s">
        <v>15</v>
      </c>
      <c r="L7" s="8" t="s">
        <v>16</v>
      </c>
      <c r="N7" s="8" t="s">
        <v>9</v>
      </c>
      <c r="O7" s="8" t="s">
        <v>17</v>
      </c>
      <c r="P7" s="8" t="s">
        <v>14</v>
      </c>
    </row>
    <row r="8" customFormat="false" ht="15" hidden="false" customHeight="false" outlineLevel="0" collapsed="false">
      <c r="A8" s="9" t="n">
        <f aca="false">IF(B8="","",1)</f>
        <v>1</v>
      </c>
      <c r="B8" s="10" t="s">
        <v>18</v>
      </c>
      <c r="C8" s="11" t="s">
        <v>19</v>
      </c>
      <c r="D8" s="10" t="s">
        <v>20</v>
      </c>
      <c r="E8" s="12" t="n">
        <v>46216</v>
      </c>
      <c r="F8" s="13" t="n">
        <f aca="false">IF(OR(E8="",IFERROR(MATCH(D8,$N$8:$N$13,0),0)=0),"",EDATE(E8,INDEX($O$8:$O$13,IFERROR(MATCH(D8,$N$8:$N$13,0),0)))-1)</f>
        <v>46399</v>
      </c>
      <c r="G8" s="14" t="n">
        <f aca="false">IF(F8="","",F8-$J$5)</f>
        <v>89</v>
      </c>
      <c r="H8" s="15" t="str">
        <f aca="false">IF(G8="","",IF(G8&lt;0,"Expired",IF(G8&lt;=7,"Renew in "&amp;G8&amp;" days","Active")))</f>
        <v>Active</v>
      </c>
      <c r="I8" s="16" t="n">
        <f aca="false">IF(IFERROR(MATCH(D8,$N$8:$N$13,0),0)=0,"",INDEX($P$8:$P$13,IFERROR(MATCH(D8,$N$8:$N$13,0),0)))</f>
        <v>6000</v>
      </c>
      <c r="K8" s="17" t="n">
        <v>6000</v>
      </c>
      <c r="L8" s="18" t="n">
        <f aca="false">IF(I8="","",I8-N(K8))</f>
        <v>0</v>
      </c>
      <c r="N8" s="4" t="s">
        <v>21</v>
      </c>
      <c r="O8" s="19" t="n">
        <v>1</v>
      </c>
      <c r="P8" s="20" t="n">
        <v>1200</v>
      </c>
    </row>
    <row r="9" customFormat="false" ht="15" hidden="false" customHeight="false" outlineLevel="0" collapsed="false">
      <c r="A9" s="9" t="n">
        <f aca="false">IF(B9="","",2)</f>
        <v>2</v>
      </c>
      <c r="B9" s="10" t="s">
        <v>22</v>
      </c>
      <c r="C9" s="11" t="s">
        <v>23</v>
      </c>
      <c r="D9" s="10" t="s">
        <v>21</v>
      </c>
      <c r="E9" s="12" t="n">
        <v>46278</v>
      </c>
      <c r="F9" s="13" t="n">
        <f aca="false">IF(OR(E9="",IFERROR(MATCH(D9,$N$8:$N$13,0),0)=0),"",EDATE(E9,INDEX($O$8:$O$13,IFERROR(MATCH(D9,$N$8:$N$13,0),0)))-1)</f>
        <v>46307</v>
      </c>
      <c r="G9" s="14" t="n">
        <f aca="false">IF(F9="","",F9-$J$5)</f>
        <v>-3</v>
      </c>
      <c r="H9" s="15" t="str">
        <f aca="false">IF(G9="","",IF(G9&lt;0,"Expired",IF(G9&lt;=7,"Renew in "&amp;G9&amp;" days","Active")))</f>
        <v>Expired</v>
      </c>
      <c r="I9" s="16" t="n">
        <f aca="false">IF(IFERROR(MATCH(D9,$N$8:$N$13,0),0)=0,"",INDEX($P$8:$P$13,IFERROR(MATCH(D9,$N$8:$N$13,0),0)))</f>
        <v>1200</v>
      </c>
      <c r="K9" s="17" t="n">
        <v>1200</v>
      </c>
      <c r="L9" s="18" t="n">
        <f aca="false">IF(I9="","",I9-N(K9))</f>
        <v>0</v>
      </c>
      <c r="N9" s="4" t="s">
        <v>24</v>
      </c>
      <c r="O9" s="19" t="n">
        <v>3</v>
      </c>
      <c r="P9" s="20" t="n">
        <v>3300</v>
      </c>
    </row>
    <row r="10" customFormat="false" ht="15" hidden="false" customHeight="false" outlineLevel="0" collapsed="false">
      <c r="A10" s="9" t="n">
        <f aca="false">IF(B10="","",3)</f>
        <v>3</v>
      </c>
      <c r="B10" s="10" t="s">
        <v>25</v>
      </c>
      <c r="C10" s="11" t="s">
        <v>26</v>
      </c>
      <c r="D10" s="10" t="s">
        <v>24</v>
      </c>
      <c r="E10" s="12" t="n">
        <v>46224</v>
      </c>
      <c r="F10" s="13" t="n">
        <f aca="false">IF(OR(E10="",IFERROR(MATCH(D10,$N$8:$N$13,0),0)=0),"",EDATE(E10,INDEX($O$8:$O$13,IFERROR(MATCH(D10,$N$8:$N$13,0),0)))-1)</f>
        <v>46315</v>
      </c>
      <c r="G10" s="14" t="n">
        <f aca="false">IF(F10="","",F10-$J$5)</f>
        <v>5</v>
      </c>
      <c r="H10" s="15" t="str">
        <f aca="false">IF(G10="","",IF(G10&lt;0,"Expired",IF(G10&lt;=7,"Renew in "&amp;G10&amp;" days","Active")))</f>
        <v>Renew in 5 days</v>
      </c>
      <c r="I10" s="16" t="n">
        <f aca="false">IF(IFERROR(MATCH(D10,$N$8:$N$13,0),0)=0,"",INDEX($P$8:$P$13,IFERROR(MATCH(D10,$N$8:$N$13,0),0)))</f>
        <v>3300</v>
      </c>
      <c r="K10" s="17" t="n">
        <v>3300</v>
      </c>
      <c r="L10" s="18" t="n">
        <f aca="false">IF(I10="","",I10-N(K10))</f>
        <v>0</v>
      </c>
      <c r="N10" s="4" t="s">
        <v>20</v>
      </c>
      <c r="O10" s="19" t="n">
        <v>6</v>
      </c>
      <c r="P10" s="20" t="n">
        <v>6000</v>
      </c>
    </row>
    <row r="11" customFormat="false" ht="15" hidden="false" customHeight="false" outlineLevel="0" collapsed="false">
      <c r="A11" s="9" t="n">
        <f aca="false">IF(B11="","",4)</f>
        <v>4</v>
      </c>
      <c r="B11" s="10" t="s">
        <v>27</v>
      </c>
      <c r="C11" s="11" t="s">
        <v>28</v>
      </c>
      <c r="D11" s="10" t="s">
        <v>21</v>
      </c>
      <c r="E11" s="12" t="n">
        <v>46297</v>
      </c>
      <c r="F11" s="13" t="n">
        <f aca="false">IF(OR(E11="",IFERROR(MATCH(D11,$N$8:$N$13,0),0)=0),"",EDATE(E11,INDEX($O$8:$O$13,IFERROR(MATCH(D11,$N$8:$N$13,0),0)))-1)</f>
        <v>46327</v>
      </c>
      <c r="G11" s="14" t="n">
        <f aca="false">IF(F11="","",F11-$J$5)</f>
        <v>17</v>
      </c>
      <c r="H11" s="15" t="str">
        <f aca="false">IF(G11="","",IF(G11&lt;0,"Expired",IF(G11&lt;=7,"Renew in "&amp;G11&amp;" days","Active")))</f>
        <v>Active</v>
      </c>
      <c r="I11" s="16" t="n">
        <f aca="false">IF(IFERROR(MATCH(D11,$N$8:$N$13,0),0)=0,"",INDEX($P$8:$P$13,IFERROR(MATCH(D11,$N$8:$N$13,0),0)))</f>
        <v>1200</v>
      </c>
      <c r="K11" s="17" t="n">
        <v>1200</v>
      </c>
      <c r="L11" s="18" t="n">
        <f aca="false">IF(I11="","",I11-N(K11))</f>
        <v>0</v>
      </c>
      <c r="N11" s="4" t="s">
        <v>29</v>
      </c>
      <c r="O11" s="19" t="n">
        <v>12</v>
      </c>
      <c r="P11" s="20" t="n">
        <v>10000</v>
      </c>
    </row>
    <row r="12" customFormat="false" ht="15" hidden="false" customHeight="false" outlineLevel="0" collapsed="false">
      <c r="A12" s="9" t="n">
        <f aca="false">IF(B12="","",5)</f>
        <v>5</v>
      </c>
      <c r="B12" s="10" t="s">
        <v>30</v>
      </c>
      <c r="C12" s="11" t="s">
        <v>31</v>
      </c>
      <c r="D12" s="10" t="s">
        <v>21</v>
      </c>
      <c r="E12" s="12" t="n">
        <v>46284</v>
      </c>
      <c r="F12" s="13" t="n">
        <f aca="false">IF(OR(E12="",IFERROR(MATCH(D12,$N$8:$N$13,0),0)=0),"",EDATE(E12,INDEX($O$8:$O$13,IFERROR(MATCH(D12,$N$8:$N$13,0),0)))-1)</f>
        <v>46313</v>
      </c>
      <c r="G12" s="14" t="n">
        <f aca="false">IF(F12="","",F12-$J$5)</f>
        <v>3</v>
      </c>
      <c r="H12" s="15" t="str">
        <f aca="false">IF(G12="","",IF(G12&lt;0,"Expired",IF(G12&lt;=7,"Renew in "&amp;G12&amp;" days","Active")))</f>
        <v>Renew in 3 days</v>
      </c>
      <c r="I12" s="16" t="n">
        <f aca="false">IF(IFERROR(MATCH(D12,$N$8:$N$13,0),0)=0,"",INDEX($P$8:$P$13,IFERROR(MATCH(D12,$N$8:$N$13,0),0)))</f>
        <v>1200</v>
      </c>
      <c r="K12" s="17" t="n">
        <v>600</v>
      </c>
      <c r="L12" s="18" t="n">
        <f aca="false">IF(I12="","",I12-N(K12))</f>
        <v>600</v>
      </c>
      <c r="N12" s="4"/>
      <c r="O12" s="19"/>
      <c r="P12" s="20"/>
    </row>
    <row r="13" customFormat="false" ht="15" hidden="false" customHeight="false" outlineLevel="0" collapsed="false">
      <c r="A13" s="9" t="n">
        <f aca="false">IF(B13="","",6)</f>
        <v>6</v>
      </c>
      <c r="B13" s="10" t="s">
        <v>32</v>
      </c>
      <c r="C13" s="11" t="s">
        <v>33</v>
      </c>
      <c r="D13" s="10" t="s">
        <v>29</v>
      </c>
      <c r="E13" s="12" t="n">
        <v>46181</v>
      </c>
      <c r="F13" s="13" t="n">
        <f aca="false">IF(OR(E13="",IFERROR(MATCH(D13,$N$8:$N$13,0),0)=0),"",EDATE(E13,INDEX($O$8:$O$13,IFERROR(MATCH(D13,$N$8:$N$13,0),0)))-1)</f>
        <v>46545</v>
      </c>
      <c r="G13" s="14" t="n">
        <f aca="false">IF(F13="","",F13-$J$5)</f>
        <v>235</v>
      </c>
      <c r="H13" s="15" t="str">
        <f aca="false">IF(G13="","",IF(G13&lt;0,"Expired",IF(G13&lt;=7,"Renew in "&amp;G13&amp;" days","Active")))</f>
        <v>Active</v>
      </c>
      <c r="I13" s="16" t="n">
        <f aca="false">IF(IFERROR(MATCH(D13,$N$8:$N$13,0),0)=0,"",INDEX($P$8:$P$13,IFERROR(MATCH(D13,$N$8:$N$13,0),0)))</f>
        <v>10000</v>
      </c>
      <c r="K13" s="17" t="n">
        <v>10000</v>
      </c>
      <c r="L13" s="18" t="n">
        <f aca="false">IF(I13="","",I13-N(K13))</f>
        <v>0</v>
      </c>
      <c r="N13" s="4"/>
      <c r="O13" s="19"/>
      <c r="P13" s="20"/>
    </row>
    <row r="14" customFormat="false" ht="15" hidden="false" customHeight="false" outlineLevel="0" collapsed="false">
      <c r="A14" s="9" t="n">
        <f aca="false">IF(B14="","",7)</f>
        <v>7</v>
      </c>
      <c r="B14" s="10" t="s">
        <v>34</v>
      </c>
      <c r="C14" s="11" t="s">
        <v>35</v>
      </c>
      <c r="D14" s="10" t="s">
        <v>29</v>
      </c>
      <c r="E14" s="12" t="n">
        <v>46029</v>
      </c>
      <c r="F14" s="13" t="n">
        <f aca="false">IF(OR(E14="",IFERROR(MATCH(D14,$N$8:$N$13,0),0)=0),"",EDATE(E14,INDEX($O$8:$O$13,IFERROR(MATCH(D14,$N$8:$N$13,0),0)))-1)</f>
        <v>46393</v>
      </c>
      <c r="G14" s="14" t="n">
        <f aca="false">IF(F14="","",F14-$J$5)</f>
        <v>83</v>
      </c>
      <c r="H14" s="15" t="str">
        <f aca="false">IF(G14="","",IF(G14&lt;0,"Expired",IF(G14&lt;=7,"Renew in "&amp;G14&amp;" days","Active")))</f>
        <v>Active</v>
      </c>
      <c r="I14" s="16" t="n">
        <f aca="false">IF(IFERROR(MATCH(D14,$N$8:$N$13,0),0)=0,"",INDEX($P$8:$P$13,IFERROR(MATCH(D14,$N$8:$N$13,0),0)))</f>
        <v>10000</v>
      </c>
      <c r="K14" s="17" t="n">
        <v>10000</v>
      </c>
      <c r="L14" s="18" t="n">
        <f aca="false">IF(I14="","",I14-N(K14))</f>
        <v>0</v>
      </c>
    </row>
    <row r="15" customFormat="false" ht="15" hidden="false" customHeight="false" outlineLevel="0" collapsed="false">
      <c r="A15" s="9" t="n">
        <f aca="false">IF(B15="","",8)</f>
        <v>8</v>
      </c>
      <c r="B15" s="10" t="s">
        <v>36</v>
      </c>
      <c r="C15" s="11" t="s">
        <v>37</v>
      </c>
      <c r="D15" s="10" t="s">
        <v>21</v>
      </c>
      <c r="E15" s="12" t="n">
        <v>46271</v>
      </c>
      <c r="F15" s="13" t="n">
        <f aca="false">IF(OR(E15="",IFERROR(MATCH(D15,$N$8:$N$13,0),0)=0),"",EDATE(E15,INDEX($O$8:$O$13,IFERROR(MATCH(D15,$N$8:$N$13,0),0)))-1)</f>
        <v>46300</v>
      </c>
      <c r="G15" s="14" t="n">
        <f aca="false">IF(F15="","",F15-$J$5)</f>
        <v>-10</v>
      </c>
      <c r="H15" s="15" t="str">
        <f aca="false">IF(G15="","",IF(G15&lt;0,"Expired",IF(G15&lt;=7,"Renew in "&amp;G15&amp;" days","Active")))</f>
        <v>Expired</v>
      </c>
      <c r="I15" s="16" t="n">
        <f aca="false">IF(IFERROR(MATCH(D15,$N$8:$N$13,0),0)=0,"",INDEX($P$8:$P$13,IFERROR(MATCH(D15,$N$8:$N$13,0),0)))</f>
        <v>1200</v>
      </c>
      <c r="K15" s="17" t="n">
        <v>1200</v>
      </c>
      <c r="L15" s="18" t="n">
        <f aca="false">IF(I15="","",I15-N(K15))</f>
        <v>0</v>
      </c>
    </row>
    <row r="16" customFormat="false" ht="15" hidden="false" customHeight="false" outlineLevel="0" collapsed="false">
      <c r="A16" s="9" t="n">
        <f aca="false">IF(B16="","",9)</f>
        <v>9</v>
      </c>
      <c r="B16" s="10" t="s">
        <v>38</v>
      </c>
      <c r="C16" s="11" t="s">
        <v>39</v>
      </c>
      <c r="D16" s="10" t="s">
        <v>24</v>
      </c>
      <c r="E16" s="12" t="n">
        <v>46306</v>
      </c>
      <c r="F16" s="13" t="n">
        <f aca="false">IF(OR(E16="",IFERROR(MATCH(D16,$N$8:$N$13,0),0)=0),"",EDATE(E16,INDEX($O$8:$O$13,IFERROR(MATCH(D16,$N$8:$N$13,0),0)))-1)</f>
        <v>46397</v>
      </c>
      <c r="G16" s="14" t="n">
        <f aca="false">IF(F16="","",F16-$J$5)</f>
        <v>87</v>
      </c>
      <c r="H16" s="15" t="str">
        <f aca="false">IF(G16="","",IF(G16&lt;0,"Expired",IF(G16&lt;=7,"Renew in "&amp;G16&amp;" days","Active")))</f>
        <v>Active</v>
      </c>
      <c r="I16" s="16" t="n">
        <f aca="false">IF(IFERROR(MATCH(D16,$N$8:$N$13,0),0)=0,"",INDEX($P$8:$P$13,IFERROR(MATCH(D16,$N$8:$N$13,0),0)))</f>
        <v>3300</v>
      </c>
      <c r="K16" s="17" t="n">
        <v>3300</v>
      </c>
      <c r="L16" s="18" t="n">
        <f aca="false">IF(I16="","",I16-N(K16))</f>
        <v>0</v>
      </c>
    </row>
    <row r="17" customFormat="false" ht="15" hidden="false" customHeight="false" outlineLevel="0" collapsed="false">
      <c r="A17" s="9" t="n">
        <f aca="false">IF(B17="","",10)</f>
        <v>10</v>
      </c>
      <c r="B17" s="10" t="s">
        <v>40</v>
      </c>
      <c r="C17" s="11" t="s">
        <v>41</v>
      </c>
      <c r="D17" s="10" t="s">
        <v>24</v>
      </c>
      <c r="E17" s="12" t="n">
        <v>46255</v>
      </c>
      <c r="F17" s="13" t="n">
        <f aca="false">IF(OR(E17="",IFERROR(MATCH(D17,$N$8:$N$13,0),0)=0),"",EDATE(E17,INDEX($O$8:$O$13,IFERROR(MATCH(D17,$N$8:$N$13,0),0)))-1)</f>
        <v>46346</v>
      </c>
      <c r="G17" s="14" t="n">
        <f aca="false">IF(F17="","",F17-$J$5)</f>
        <v>36</v>
      </c>
      <c r="H17" s="15" t="str">
        <f aca="false">IF(G17="","",IF(G17&lt;0,"Expired",IF(G17&lt;=7,"Renew in "&amp;G17&amp;" days","Active")))</f>
        <v>Active</v>
      </c>
      <c r="I17" s="16" t="n">
        <f aca="false">IF(IFERROR(MATCH(D17,$N$8:$N$13,0),0)=0,"",INDEX($P$8:$P$13,IFERROR(MATCH(D17,$N$8:$N$13,0),0)))</f>
        <v>3300</v>
      </c>
      <c r="K17" s="17" t="n">
        <v>1650</v>
      </c>
      <c r="L17" s="18" t="n">
        <f aca="false">IF(I17="","",I17-N(K17))</f>
        <v>1650</v>
      </c>
    </row>
    <row r="18" customFormat="false" ht="15" hidden="false" customHeight="false" outlineLevel="0" collapsed="false">
      <c r="A18" s="9" t="n">
        <f aca="false">IF(B18="","",11)</f>
        <v>11</v>
      </c>
      <c r="B18" s="10" t="s">
        <v>42</v>
      </c>
      <c r="C18" s="11" t="s">
        <v>43</v>
      </c>
      <c r="D18" s="10" t="s">
        <v>20</v>
      </c>
      <c r="E18" s="12" t="n">
        <v>46261</v>
      </c>
      <c r="F18" s="13" t="n">
        <f aca="false">IF(OR(E18="",IFERROR(MATCH(D18,$N$8:$N$13,0),0)=0),"",EDATE(E18,INDEX($O$8:$O$13,IFERROR(MATCH(D18,$N$8:$N$13,0),0)))-1)</f>
        <v>46444</v>
      </c>
      <c r="G18" s="14" t="n">
        <f aca="false">IF(F18="","",F18-$J$5)</f>
        <v>134</v>
      </c>
      <c r="H18" s="15" t="str">
        <f aca="false">IF(G18="","",IF(G18&lt;0,"Expired",IF(G18&lt;=7,"Renew in "&amp;G18&amp;" days","Active")))</f>
        <v>Active</v>
      </c>
      <c r="I18" s="16" t="n">
        <f aca="false">IF(IFERROR(MATCH(D18,$N$8:$N$13,0),0)=0,"",INDEX($P$8:$P$13,IFERROR(MATCH(D18,$N$8:$N$13,0),0)))</f>
        <v>6000</v>
      </c>
      <c r="K18" s="17" t="n">
        <v>6000</v>
      </c>
      <c r="L18" s="18" t="n">
        <f aca="false">IF(I18="","",I18-N(K18))</f>
        <v>0</v>
      </c>
    </row>
    <row r="19" customFormat="false" ht="15" hidden="false" customHeight="false" outlineLevel="0" collapsed="false">
      <c r="A19" s="9" t="n">
        <f aca="false">IF(B19="","",12)</f>
        <v>12</v>
      </c>
      <c r="B19" s="10" t="s">
        <v>44</v>
      </c>
      <c r="C19" s="11" t="s">
        <v>45</v>
      </c>
      <c r="D19" s="10" t="s">
        <v>29</v>
      </c>
      <c r="E19" s="12" t="n">
        <v>46226</v>
      </c>
      <c r="F19" s="13" t="n">
        <f aca="false">IF(OR(E19="",IFERROR(MATCH(D19,$N$8:$N$13,0),0)=0),"",EDATE(E19,INDEX($O$8:$O$13,IFERROR(MATCH(D19,$N$8:$N$13,0),0)))-1)</f>
        <v>46590</v>
      </c>
      <c r="G19" s="14" t="n">
        <f aca="false">IF(F19="","",F19-$J$5)</f>
        <v>280</v>
      </c>
      <c r="H19" s="15" t="str">
        <f aca="false">IF(G19="","",IF(G19&lt;0,"Expired",IF(G19&lt;=7,"Renew in "&amp;G19&amp;" days","Active")))</f>
        <v>Active</v>
      </c>
      <c r="I19" s="16" t="n">
        <f aca="false">IF(IFERROR(MATCH(D19,$N$8:$N$13,0),0)=0,"",INDEX($P$8:$P$13,IFERROR(MATCH(D19,$N$8:$N$13,0),0)))</f>
        <v>10000</v>
      </c>
      <c r="K19" s="17" t="n">
        <v>10000</v>
      </c>
      <c r="L19" s="18" t="n">
        <f aca="false">IF(I19="","",I19-N(K19))</f>
        <v>0</v>
      </c>
    </row>
    <row r="20" customFormat="false" ht="15" hidden="false" customHeight="false" outlineLevel="0" collapsed="false">
      <c r="A20" s="9" t="str">
        <f aca="false">IF(B20="","",13)</f>
        <v/>
      </c>
      <c r="B20" s="10"/>
      <c r="C20" s="11"/>
      <c r="D20" s="10"/>
      <c r="E20" s="12"/>
      <c r="F20" s="13" t="str">
        <f aca="false">IF(OR(E20="",IFERROR(MATCH(D20,$N$8:$N$13,0),0)=0),"",EDATE(E20,INDEX($O$8:$O$13,IFERROR(MATCH(D20,$N$8:$N$13,0),0)))-1)</f>
        <v/>
      </c>
      <c r="G20" s="14" t="str">
        <f aca="false">IF(F20="","",F20-$J$5)</f>
        <v/>
      </c>
      <c r="H20" s="15" t="str">
        <f aca="false">IF(G20="","",IF(G20&lt;0,"Expired",IF(G20&lt;=7,"Renew in "&amp;G20&amp;" days","Active")))</f>
        <v/>
      </c>
      <c r="I20" s="16" t="str">
        <f aca="false">IF(IFERROR(MATCH(D20,$N$8:$N$13,0),0)=0,"",INDEX($P$8:$P$13,IFERROR(MATCH(D20,$N$8:$N$13,0),0)))</f>
        <v/>
      </c>
      <c r="K20" s="17"/>
      <c r="L20" s="18" t="str">
        <f aca="false">IF(I20="","",I20-N(K20))</f>
        <v/>
      </c>
    </row>
    <row r="21" customFormat="false" ht="15" hidden="false" customHeight="false" outlineLevel="0" collapsed="false">
      <c r="A21" s="9" t="str">
        <f aca="false">IF(B21="","",14)</f>
        <v/>
      </c>
      <c r="B21" s="10"/>
      <c r="C21" s="11"/>
      <c r="D21" s="10"/>
      <c r="E21" s="12"/>
      <c r="F21" s="13" t="str">
        <f aca="false">IF(OR(E21="",IFERROR(MATCH(D21,$N$8:$N$13,0),0)=0),"",EDATE(E21,INDEX($O$8:$O$13,IFERROR(MATCH(D21,$N$8:$N$13,0),0)))-1)</f>
        <v/>
      </c>
      <c r="G21" s="14" t="str">
        <f aca="false">IF(F21="","",F21-$J$5)</f>
        <v/>
      </c>
      <c r="H21" s="15" t="str">
        <f aca="false">IF(G21="","",IF(G21&lt;0,"Expired",IF(G21&lt;=7,"Renew in "&amp;G21&amp;" days","Active")))</f>
        <v/>
      </c>
      <c r="I21" s="16" t="str">
        <f aca="false">IF(IFERROR(MATCH(D21,$N$8:$N$13,0),0)=0,"",INDEX($P$8:$P$13,IFERROR(MATCH(D21,$N$8:$N$13,0),0)))</f>
        <v/>
      </c>
      <c r="K21" s="17"/>
      <c r="L21" s="18" t="str">
        <f aca="false">IF(I21="","",I21-N(K21))</f>
        <v/>
      </c>
    </row>
    <row r="22" customFormat="false" ht="15" hidden="false" customHeight="false" outlineLevel="0" collapsed="false">
      <c r="A22" s="9" t="str">
        <f aca="false">IF(B22="","",15)</f>
        <v/>
      </c>
      <c r="B22" s="10"/>
      <c r="C22" s="11"/>
      <c r="D22" s="10"/>
      <c r="E22" s="12"/>
      <c r="F22" s="13" t="str">
        <f aca="false">IF(OR(E22="",IFERROR(MATCH(D22,$N$8:$N$13,0),0)=0),"",EDATE(E22,INDEX($O$8:$O$13,IFERROR(MATCH(D22,$N$8:$N$13,0),0)))-1)</f>
        <v/>
      </c>
      <c r="G22" s="14" t="str">
        <f aca="false">IF(F22="","",F22-$J$5)</f>
        <v/>
      </c>
      <c r="H22" s="15" t="str">
        <f aca="false">IF(G22="","",IF(G22&lt;0,"Expired",IF(G22&lt;=7,"Renew in "&amp;G22&amp;" days","Active")))</f>
        <v/>
      </c>
      <c r="I22" s="16" t="str">
        <f aca="false">IF(IFERROR(MATCH(D22,$N$8:$N$13,0),0)=0,"",INDEX($P$8:$P$13,IFERROR(MATCH(D22,$N$8:$N$13,0),0)))</f>
        <v/>
      </c>
      <c r="K22" s="17"/>
      <c r="L22" s="18" t="str">
        <f aca="false">IF(I22="","",I22-N(K22))</f>
        <v/>
      </c>
    </row>
    <row r="23" customFormat="false" ht="15" hidden="false" customHeight="false" outlineLevel="0" collapsed="false">
      <c r="A23" s="9" t="str">
        <f aca="false">IF(B23="","",16)</f>
        <v/>
      </c>
      <c r="B23" s="10"/>
      <c r="C23" s="11"/>
      <c r="D23" s="10"/>
      <c r="E23" s="12"/>
      <c r="F23" s="13" t="str">
        <f aca="false">IF(OR(E23="",IFERROR(MATCH(D23,$N$8:$N$13,0),0)=0),"",EDATE(E23,INDEX($O$8:$O$13,IFERROR(MATCH(D23,$N$8:$N$13,0),0)))-1)</f>
        <v/>
      </c>
      <c r="G23" s="14" t="str">
        <f aca="false">IF(F23="","",F23-$J$5)</f>
        <v/>
      </c>
      <c r="H23" s="15" t="str">
        <f aca="false">IF(G23="","",IF(G23&lt;0,"Expired",IF(G23&lt;=7,"Renew in "&amp;G23&amp;" days","Active")))</f>
        <v/>
      </c>
      <c r="I23" s="16" t="str">
        <f aca="false">IF(IFERROR(MATCH(D23,$N$8:$N$13,0),0)=0,"",INDEX($P$8:$P$13,IFERROR(MATCH(D23,$N$8:$N$13,0),0)))</f>
        <v/>
      </c>
      <c r="K23" s="17"/>
      <c r="L23" s="18" t="str">
        <f aca="false">IF(I23="","",I23-N(K23))</f>
        <v/>
      </c>
    </row>
    <row r="24" customFormat="false" ht="15" hidden="false" customHeight="false" outlineLevel="0" collapsed="false">
      <c r="A24" s="9" t="str">
        <f aca="false">IF(B24="","",17)</f>
        <v/>
      </c>
      <c r="B24" s="10"/>
      <c r="C24" s="11"/>
      <c r="D24" s="10"/>
      <c r="E24" s="12"/>
      <c r="F24" s="13" t="str">
        <f aca="false">IF(OR(E24="",IFERROR(MATCH(D24,$N$8:$N$13,0),0)=0),"",EDATE(E24,INDEX($O$8:$O$13,IFERROR(MATCH(D24,$N$8:$N$13,0),0)))-1)</f>
        <v/>
      </c>
      <c r="G24" s="14" t="str">
        <f aca="false">IF(F24="","",F24-$J$5)</f>
        <v/>
      </c>
      <c r="H24" s="15" t="str">
        <f aca="false">IF(G24="","",IF(G24&lt;0,"Expired",IF(G24&lt;=7,"Renew in "&amp;G24&amp;" days","Active")))</f>
        <v/>
      </c>
      <c r="I24" s="16" t="str">
        <f aca="false">IF(IFERROR(MATCH(D24,$N$8:$N$13,0),0)=0,"",INDEX($P$8:$P$13,IFERROR(MATCH(D24,$N$8:$N$13,0),0)))</f>
        <v/>
      </c>
      <c r="K24" s="17"/>
      <c r="L24" s="18" t="str">
        <f aca="false">IF(I24="","",I24-N(K24))</f>
        <v/>
      </c>
    </row>
    <row r="25" customFormat="false" ht="15" hidden="false" customHeight="false" outlineLevel="0" collapsed="false">
      <c r="A25" s="9" t="str">
        <f aca="false">IF(B25="","",18)</f>
        <v/>
      </c>
      <c r="B25" s="10"/>
      <c r="C25" s="11"/>
      <c r="D25" s="10"/>
      <c r="E25" s="12"/>
      <c r="F25" s="13" t="str">
        <f aca="false">IF(OR(E25="",IFERROR(MATCH(D25,$N$8:$N$13,0),0)=0),"",EDATE(E25,INDEX($O$8:$O$13,IFERROR(MATCH(D25,$N$8:$N$13,0),0)))-1)</f>
        <v/>
      </c>
      <c r="G25" s="14" t="str">
        <f aca="false">IF(F25="","",F25-$J$5)</f>
        <v/>
      </c>
      <c r="H25" s="15" t="str">
        <f aca="false">IF(G25="","",IF(G25&lt;0,"Expired",IF(G25&lt;=7,"Renew in "&amp;G25&amp;" days","Active")))</f>
        <v/>
      </c>
      <c r="I25" s="16" t="str">
        <f aca="false">IF(IFERROR(MATCH(D25,$N$8:$N$13,0),0)=0,"",INDEX($P$8:$P$13,IFERROR(MATCH(D25,$N$8:$N$13,0),0)))</f>
        <v/>
      </c>
      <c r="K25" s="17"/>
      <c r="L25" s="18" t="str">
        <f aca="false">IF(I25="","",I25-N(K25))</f>
        <v/>
      </c>
    </row>
    <row r="26" customFormat="false" ht="15" hidden="false" customHeight="false" outlineLevel="0" collapsed="false">
      <c r="A26" s="9" t="str">
        <f aca="false">IF(B26="","",19)</f>
        <v/>
      </c>
      <c r="B26" s="10"/>
      <c r="C26" s="11"/>
      <c r="D26" s="10"/>
      <c r="E26" s="12"/>
      <c r="F26" s="13" t="str">
        <f aca="false">IF(OR(E26="",IFERROR(MATCH(D26,$N$8:$N$13,0),0)=0),"",EDATE(E26,INDEX($O$8:$O$13,IFERROR(MATCH(D26,$N$8:$N$13,0),0)))-1)</f>
        <v/>
      </c>
      <c r="G26" s="14" t="str">
        <f aca="false">IF(F26="","",F26-$J$5)</f>
        <v/>
      </c>
      <c r="H26" s="15" t="str">
        <f aca="false">IF(G26="","",IF(G26&lt;0,"Expired",IF(G26&lt;=7,"Renew in "&amp;G26&amp;" days","Active")))</f>
        <v/>
      </c>
      <c r="I26" s="16" t="str">
        <f aca="false">IF(IFERROR(MATCH(D26,$N$8:$N$13,0),0)=0,"",INDEX($P$8:$P$13,IFERROR(MATCH(D26,$N$8:$N$13,0),0)))</f>
        <v/>
      </c>
      <c r="K26" s="17"/>
      <c r="L26" s="18" t="str">
        <f aca="false">IF(I26="","",I26-N(K26))</f>
        <v/>
      </c>
    </row>
    <row r="27" customFormat="false" ht="15" hidden="false" customHeight="false" outlineLevel="0" collapsed="false">
      <c r="A27" s="9" t="str">
        <f aca="false">IF(B27="","",20)</f>
        <v/>
      </c>
      <c r="B27" s="10"/>
      <c r="C27" s="11"/>
      <c r="D27" s="10"/>
      <c r="E27" s="12"/>
      <c r="F27" s="13" t="str">
        <f aca="false">IF(OR(E27="",IFERROR(MATCH(D27,$N$8:$N$13,0),0)=0),"",EDATE(E27,INDEX($O$8:$O$13,IFERROR(MATCH(D27,$N$8:$N$13,0),0)))-1)</f>
        <v/>
      </c>
      <c r="G27" s="14" t="str">
        <f aca="false">IF(F27="","",F27-$J$5)</f>
        <v/>
      </c>
      <c r="H27" s="15" t="str">
        <f aca="false">IF(G27="","",IF(G27&lt;0,"Expired",IF(G27&lt;=7,"Renew in "&amp;G27&amp;" days","Active")))</f>
        <v/>
      </c>
      <c r="I27" s="16" t="str">
        <f aca="false">IF(IFERROR(MATCH(D27,$N$8:$N$13,0),0)=0,"",INDEX($P$8:$P$13,IFERROR(MATCH(D27,$N$8:$N$13,0),0)))</f>
        <v/>
      </c>
      <c r="K27" s="17"/>
      <c r="L27" s="18" t="str">
        <f aca="false">IF(I27="","",I27-N(K27))</f>
        <v/>
      </c>
    </row>
    <row r="28" customFormat="false" ht="15" hidden="false" customHeight="false" outlineLevel="0" collapsed="false">
      <c r="A28" s="9" t="str">
        <f aca="false">IF(B28="","",21)</f>
        <v/>
      </c>
      <c r="B28" s="10"/>
      <c r="C28" s="11"/>
      <c r="D28" s="10"/>
      <c r="E28" s="12"/>
      <c r="F28" s="13" t="str">
        <f aca="false">IF(OR(E28="",IFERROR(MATCH(D28,$N$8:$N$13,0),0)=0),"",EDATE(E28,INDEX($O$8:$O$13,IFERROR(MATCH(D28,$N$8:$N$13,0),0)))-1)</f>
        <v/>
      </c>
      <c r="G28" s="14" t="str">
        <f aca="false">IF(F28="","",F28-$J$5)</f>
        <v/>
      </c>
      <c r="H28" s="15" t="str">
        <f aca="false">IF(G28="","",IF(G28&lt;0,"Expired",IF(G28&lt;=7,"Renew in "&amp;G28&amp;" days","Active")))</f>
        <v/>
      </c>
      <c r="I28" s="16" t="str">
        <f aca="false">IF(IFERROR(MATCH(D28,$N$8:$N$13,0),0)=0,"",INDEX($P$8:$P$13,IFERROR(MATCH(D28,$N$8:$N$13,0),0)))</f>
        <v/>
      </c>
      <c r="K28" s="17"/>
      <c r="L28" s="18" t="str">
        <f aca="false">IF(I28="","",I28-N(K28))</f>
        <v/>
      </c>
    </row>
    <row r="29" customFormat="false" ht="15" hidden="false" customHeight="false" outlineLevel="0" collapsed="false">
      <c r="A29" s="9" t="str">
        <f aca="false">IF(B29="","",22)</f>
        <v/>
      </c>
      <c r="B29" s="10"/>
      <c r="C29" s="11"/>
      <c r="D29" s="10"/>
      <c r="E29" s="12"/>
      <c r="F29" s="13" t="str">
        <f aca="false">IF(OR(E29="",IFERROR(MATCH(D29,$N$8:$N$13,0),0)=0),"",EDATE(E29,INDEX($O$8:$O$13,IFERROR(MATCH(D29,$N$8:$N$13,0),0)))-1)</f>
        <v/>
      </c>
      <c r="G29" s="14" t="str">
        <f aca="false">IF(F29="","",F29-$J$5)</f>
        <v/>
      </c>
      <c r="H29" s="15" t="str">
        <f aca="false">IF(G29="","",IF(G29&lt;0,"Expired",IF(G29&lt;=7,"Renew in "&amp;G29&amp;" days","Active")))</f>
        <v/>
      </c>
      <c r="I29" s="16" t="str">
        <f aca="false">IF(IFERROR(MATCH(D29,$N$8:$N$13,0),0)=0,"",INDEX($P$8:$P$13,IFERROR(MATCH(D29,$N$8:$N$13,0),0)))</f>
        <v/>
      </c>
      <c r="K29" s="17"/>
      <c r="L29" s="18" t="str">
        <f aca="false">IF(I29="","",I29-N(K29))</f>
        <v/>
      </c>
    </row>
    <row r="30" customFormat="false" ht="15" hidden="false" customHeight="false" outlineLevel="0" collapsed="false">
      <c r="A30" s="9" t="str">
        <f aca="false">IF(B30="","",23)</f>
        <v/>
      </c>
      <c r="B30" s="10"/>
      <c r="C30" s="11"/>
      <c r="D30" s="10"/>
      <c r="E30" s="12"/>
      <c r="F30" s="13" t="str">
        <f aca="false">IF(OR(E30="",IFERROR(MATCH(D30,$N$8:$N$13,0),0)=0),"",EDATE(E30,INDEX($O$8:$O$13,IFERROR(MATCH(D30,$N$8:$N$13,0),0)))-1)</f>
        <v/>
      </c>
      <c r="G30" s="14" t="str">
        <f aca="false">IF(F30="","",F30-$J$5)</f>
        <v/>
      </c>
      <c r="H30" s="15" t="str">
        <f aca="false">IF(G30="","",IF(G30&lt;0,"Expired",IF(G30&lt;=7,"Renew in "&amp;G30&amp;" days","Active")))</f>
        <v/>
      </c>
      <c r="I30" s="16" t="str">
        <f aca="false">IF(IFERROR(MATCH(D30,$N$8:$N$13,0),0)=0,"",INDEX($P$8:$P$13,IFERROR(MATCH(D30,$N$8:$N$13,0),0)))</f>
        <v/>
      </c>
      <c r="K30" s="17"/>
      <c r="L30" s="18" t="str">
        <f aca="false">IF(I30="","",I30-N(K30))</f>
        <v/>
      </c>
    </row>
    <row r="31" customFormat="false" ht="15" hidden="false" customHeight="false" outlineLevel="0" collapsed="false">
      <c r="A31" s="9" t="str">
        <f aca="false">IF(B31="","",24)</f>
        <v/>
      </c>
      <c r="B31" s="10"/>
      <c r="C31" s="11"/>
      <c r="D31" s="10"/>
      <c r="E31" s="12"/>
      <c r="F31" s="13" t="str">
        <f aca="false">IF(OR(E31="",IFERROR(MATCH(D31,$N$8:$N$13,0),0)=0),"",EDATE(E31,INDEX($O$8:$O$13,IFERROR(MATCH(D31,$N$8:$N$13,0),0)))-1)</f>
        <v/>
      </c>
      <c r="G31" s="14" t="str">
        <f aca="false">IF(F31="","",F31-$J$5)</f>
        <v/>
      </c>
      <c r="H31" s="15" t="str">
        <f aca="false">IF(G31="","",IF(G31&lt;0,"Expired",IF(G31&lt;=7,"Renew in "&amp;G31&amp;" days","Active")))</f>
        <v/>
      </c>
      <c r="I31" s="16" t="str">
        <f aca="false">IF(IFERROR(MATCH(D31,$N$8:$N$13,0),0)=0,"",INDEX($P$8:$P$13,IFERROR(MATCH(D31,$N$8:$N$13,0),0)))</f>
        <v/>
      </c>
      <c r="K31" s="17"/>
      <c r="L31" s="18" t="str">
        <f aca="false">IF(I31="","",I31-N(K31))</f>
        <v/>
      </c>
    </row>
    <row r="32" customFormat="false" ht="15" hidden="false" customHeight="false" outlineLevel="0" collapsed="false">
      <c r="A32" s="9" t="str">
        <f aca="false">IF(B32="","",25)</f>
        <v/>
      </c>
      <c r="B32" s="10"/>
      <c r="C32" s="11"/>
      <c r="D32" s="10"/>
      <c r="E32" s="12"/>
      <c r="F32" s="13" t="str">
        <f aca="false">IF(OR(E32="",IFERROR(MATCH(D32,$N$8:$N$13,0),0)=0),"",EDATE(E32,INDEX($O$8:$O$13,IFERROR(MATCH(D32,$N$8:$N$13,0),0)))-1)</f>
        <v/>
      </c>
      <c r="G32" s="14" t="str">
        <f aca="false">IF(F32="","",F32-$J$5)</f>
        <v/>
      </c>
      <c r="H32" s="15" t="str">
        <f aca="false">IF(G32="","",IF(G32&lt;0,"Expired",IF(G32&lt;=7,"Renew in "&amp;G32&amp;" days","Active")))</f>
        <v/>
      </c>
      <c r="I32" s="16" t="str">
        <f aca="false">IF(IFERROR(MATCH(D32,$N$8:$N$13,0),0)=0,"",INDEX($P$8:$P$13,IFERROR(MATCH(D32,$N$8:$N$13,0),0)))</f>
        <v/>
      </c>
      <c r="K32" s="17"/>
      <c r="L32" s="18" t="str">
        <f aca="false">IF(I32="","",I32-N(K32))</f>
        <v/>
      </c>
    </row>
    <row r="33" customFormat="false" ht="15" hidden="false" customHeight="false" outlineLevel="0" collapsed="false">
      <c r="A33" s="9" t="str">
        <f aca="false">IF(B33="","",26)</f>
        <v/>
      </c>
      <c r="B33" s="10"/>
      <c r="C33" s="11"/>
      <c r="D33" s="10"/>
      <c r="E33" s="12"/>
      <c r="F33" s="13" t="str">
        <f aca="false">IF(OR(E33="",IFERROR(MATCH(D33,$N$8:$N$13,0),0)=0),"",EDATE(E33,INDEX($O$8:$O$13,IFERROR(MATCH(D33,$N$8:$N$13,0),0)))-1)</f>
        <v/>
      </c>
      <c r="G33" s="14" t="str">
        <f aca="false">IF(F33="","",F33-$J$5)</f>
        <v/>
      </c>
      <c r="H33" s="15" t="str">
        <f aca="false">IF(G33="","",IF(G33&lt;0,"Expired",IF(G33&lt;=7,"Renew in "&amp;G33&amp;" days","Active")))</f>
        <v/>
      </c>
      <c r="I33" s="16" t="str">
        <f aca="false">IF(IFERROR(MATCH(D33,$N$8:$N$13,0),0)=0,"",INDEX($P$8:$P$13,IFERROR(MATCH(D33,$N$8:$N$13,0),0)))</f>
        <v/>
      </c>
      <c r="K33" s="17"/>
      <c r="L33" s="18" t="str">
        <f aca="false">IF(I33="","",I33-N(K33))</f>
        <v/>
      </c>
    </row>
    <row r="34" customFormat="false" ht="15" hidden="false" customHeight="false" outlineLevel="0" collapsed="false">
      <c r="A34" s="9" t="str">
        <f aca="false">IF(B34="","",27)</f>
        <v/>
      </c>
      <c r="B34" s="10"/>
      <c r="C34" s="11"/>
      <c r="D34" s="10"/>
      <c r="E34" s="12"/>
      <c r="F34" s="13" t="str">
        <f aca="false">IF(OR(E34="",IFERROR(MATCH(D34,$N$8:$N$13,0),0)=0),"",EDATE(E34,INDEX($O$8:$O$13,IFERROR(MATCH(D34,$N$8:$N$13,0),0)))-1)</f>
        <v/>
      </c>
      <c r="G34" s="14" t="str">
        <f aca="false">IF(F34="","",F34-$J$5)</f>
        <v/>
      </c>
      <c r="H34" s="15" t="str">
        <f aca="false">IF(G34="","",IF(G34&lt;0,"Expired",IF(G34&lt;=7,"Renew in "&amp;G34&amp;" days","Active")))</f>
        <v/>
      </c>
      <c r="I34" s="16" t="str">
        <f aca="false">IF(IFERROR(MATCH(D34,$N$8:$N$13,0),0)=0,"",INDEX($P$8:$P$13,IFERROR(MATCH(D34,$N$8:$N$13,0),0)))</f>
        <v/>
      </c>
      <c r="K34" s="17"/>
      <c r="L34" s="18" t="str">
        <f aca="false">IF(I34="","",I34-N(K34))</f>
        <v/>
      </c>
    </row>
    <row r="35" customFormat="false" ht="15" hidden="false" customHeight="false" outlineLevel="0" collapsed="false">
      <c r="A35" s="9" t="str">
        <f aca="false">IF(B35="","",28)</f>
        <v/>
      </c>
      <c r="B35" s="10"/>
      <c r="C35" s="11"/>
      <c r="D35" s="10"/>
      <c r="E35" s="12"/>
      <c r="F35" s="13" t="str">
        <f aca="false">IF(OR(E35="",IFERROR(MATCH(D35,$N$8:$N$13,0),0)=0),"",EDATE(E35,INDEX($O$8:$O$13,IFERROR(MATCH(D35,$N$8:$N$13,0),0)))-1)</f>
        <v/>
      </c>
      <c r="G35" s="14" t="str">
        <f aca="false">IF(F35="","",F35-$J$5)</f>
        <v/>
      </c>
      <c r="H35" s="15" t="str">
        <f aca="false">IF(G35="","",IF(G35&lt;0,"Expired",IF(G35&lt;=7,"Renew in "&amp;G35&amp;" days","Active")))</f>
        <v/>
      </c>
      <c r="I35" s="16" t="str">
        <f aca="false">IF(IFERROR(MATCH(D35,$N$8:$N$13,0),0)=0,"",INDEX($P$8:$P$13,IFERROR(MATCH(D35,$N$8:$N$13,0),0)))</f>
        <v/>
      </c>
      <c r="K35" s="17"/>
      <c r="L35" s="18" t="str">
        <f aca="false">IF(I35="","",I35-N(K35))</f>
        <v/>
      </c>
    </row>
    <row r="36" customFormat="false" ht="15" hidden="false" customHeight="false" outlineLevel="0" collapsed="false">
      <c r="A36" s="9" t="str">
        <f aca="false">IF(B36="","",29)</f>
        <v/>
      </c>
      <c r="B36" s="10"/>
      <c r="C36" s="11"/>
      <c r="D36" s="10"/>
      <c r="E36" s="12"/>
      <c r="F36" s="13" t="str">
        <f aca="false">IF(OR(E36="",IFERROR(MATCH(D36,$N$8:$N$13,0),0)=0),"",EDATE(E36,INDEX($O$8:$O$13,IFERROR(MATCH(D36,$N$8:$N$13,0),0)))-1)</f>
        <v/>
      </c>
      <c r="G36" s="14" t="str">
        <f aca="false">IF(F36="","",F36-$J$5)</f>
        <v/>
      </c>
      <c r="H36" s="15" t="str">
        <f aca="false">IF(G36="","",IF(G36&lt;0,"Expired",IF(G36&lt;=7,"Renew in "&amp;G36&amp;" days","Active")))</f>
        <v/>
      </c>
      <c r="I36" s="16" t="str">
        <f aca="false">IF(IFERROR(MATCH(D36,$N$8:$N$13,0),0)=0,"",INDEX($P$8:$P$13,IFERROR(MATCH(D36,$N$8:$N$13,0),0)))</f>
        <v/>
      </c>
      <c r="K36" s="17"/>
      <c r="L36" s="18" t="str">
        <f aca="false">IF(I36="","",I36-N(K36))</f>
        <v/>
      </c>
    </row>
    <row r="37" customFormat="false" ht="15" hidden="false" customHeight="false" outlineLevel="0" collapsed="false">
      <c r="A37" s="9" t="str">
        <f aca="false">IF(B37="","",30)</f>
        <v/>
      </c>
      <c r="B37" s="10"/>
      <c r="C37" s="11"/>
      <c r="D37" s="10"/>
      <c r="E37" s="12"/>
      <c r="F37" s="13" t="str">
        <f aca="false">IF(OR(E37="",IFERROR(MATCH(D37,$N$8:$N$13,0),0)=0),"",EDATE(E37,INDEX($O$8:$O$13,IFERROR(MATCH(D37,$N$8:$N$13,0),0)))-1)</f>
        <v/>
      </c>
      <c r="G37" s="14" t="str">
        <f aca="false">IF(F37="","",F37-$J$5)</f>
        <v/>
      </c>
      <c r="H37" s="15" t="str">
        <f aca="false">IF(G37="","",IF(G37&lt;0,"Expired",IF(G37&lt;=7,"Renew in "&amp;G37&amp;" days","Active")))</f>
        <v/>
      </c>
      <c r="I37" s="16" t="str">
        <f aca="false">IF(IFERROR(MATCH(D37,$N$8:$N$13,0),0)=0,"",INDEX($P$8:$P$13,IFERROR(MATCH(D37,$N$8:$N$13,0),0)))</f>
        <v/>
      </c>
      <c r="K37" s="17"/>
      <c r="L37" s="18" t="str">
        <f aca="false">IF(I37="","",I37-N(K37))</f>
        <v/>
      </c>
    </row>
    <row r="38" customFormat="false" ht="15" hidden="false" customHeight="false" outlineLevel="0" collapsed="false">
      <c r="A38" s="9" t="str">
        <f aca="false">IF(B38="","",31)</f>
        <v/>
      </c>
      <c r="B38" s="10"/>
      <c r="C38" s="11"/>
      <c r="D38" s="10"/>
      <c r="E38" s="12"/>
      <c r="F38" s="13" t="str">
        <f aca="false">IF(OR(E38="",IFERROR(MATCH(D38,$N$8:$N$13,0),0)=0),"",EDATE(E38,INDEX($O$8:$O$13,IFERROR(MATCH(D38,$N$8:$N$13,0),0)))-1)</f>
        <v/>
      </c>
      <c r="G38" s="14" t="str">
        <f aca="false">IF(F38="","",F38-$J$5)</f>
        <v/>
      </c>
      <c r="H38" s="15" t="str">
        <f aca="false">IF(G38="","",IF(G38&lt;0,"Expired",IF(G38&lt;=7,"Renew in "&amp;G38&amp;" days","Active")))</f>
        <v/>
      </c>
      <c r="I38" s="16" t="str">
        <f aca="false">IF(IFERROR(MATCH(D38,$N$8:$N$13,0),0)=0,"",INDEX($P$8:$P$13,IFERROR(MATCH(D38,$N$8:$N$13,0),0)))</f>
        <v/>
      </c>
      <c r="K38" s="17"/>
      <c r="L38" s="18" t="str">
        <f aca="false">IF(I38="","",I38-N(K38))</f>
        <v/>
      </c>
    </row>
    <row r="39" customFormat="false" ht="15" hidden="false" customHeight="false" outlineLevel="0" collapsed="false">
      <c r="A39" s="9" t="str">
        <f aca="false">IF(B39="","",32)</f>
        <v/>
      </c>
      <c r="B39" s="10"/>
      <c r="C39" s="11"/>
      <c r="D39" s="10"/>
      <c r="E39" s="12"/>
      <c r="F39" s="13" t="str">
        <f aca="false">IF(OR(E39="",IFERROR(MATCH(D39,$N$8:$N$13,0),0)=0),"",EDATE(E39,INDEX($O$8:$O$13,IFERROR(MATCH(D39,$N$8:$N$13,0),0)))-1)</f>
        <v/>
      </c>
      <c r="G39" s="14" t="str">
        <f aca="false">IF(F39="","",F39-$J$5)</f>
        <v/>
      </c>
      <c r="H39" s="15" t="str">
        <f aca="false">IF(G39="","",IF(G39&lt;0,"Expired",IF(G39&lt;=7,"Renew in "&amp;G39&amp;" days","Active")))</f>
        <v/>
      </c>
      <c r="I39" s="16" t="str">
        <f aca="false">IF(IFERROR(MATCH(D39,$N$8:$N$13,0),0)=0,"",INDEX($P$8:$P$13,IFERROR(MATCH(D39,$N$8:$N$13,0),0)))</f>
        <v/>
      </c>
      <c r="K39" s="17"/>
      <c r="L39" s="18" t="str">
        <f aca="false">IF(I39="","",I39-N(K39))</f>
        <v/>
      </c>
    </row>
    <row r="40" customFormat="false" ht="15" hidden="false" customHeight="false" outlineLevel="0" collapsed="false">
      <c r="A40" s="9" t="str">
        <f aca="false">IF(B40="","",33)</f>
        <v/>
      </c>
      <c r="B40" s="10"/>
      <c r="C40" s="11"/>
      <c r="D40" s="10"/>
      <c r="E40" s="12"/>
      <c r="F40" s="13" t="str">
        <f aca="false">IF(OR(E40="",IFERROR(MATCH(D40,$N$8:$N$13,0),0)=0),"",EDATE(E40,INDEX($O$8:$O$13,IFERROR(MATCH(D40,$N$8:$N$13,0),0)))-1)</f>
        <v/>
      </c>
      <c r="G40" s="14" t="str">
        <f aca="false">IF(F40="","",F40-$J$5)</f>
        <v/>
      </c>
      <c r="H40" s="15" t="str">
        <f aca="false">IF(G40="","",IF(G40&lt;0,"Expired",IF(G40&lt;=7,"Renew in "&amp;G40&amp;" days","Active")))</f>
        <v/>
      </c>
      <c r="I40" s="16" t="str">
        <f aca="false">IF(IFERROR(MATCH(D40,$N$8:$N$13,0),0)=0,"",INDEX($P$8:$P$13,IFERROR(MATCH(D40,$N$8:$N$13,0),0)))</f>
        <v/>
      </c>
      <c r="K40" s="17"/>
      <c r="L40" s="18" t="str">
        <f aca="false">IF(I40="","",I40-N(K40))</f>
        <v/>
      </c>
    </row>
    <row r="41" customFormat="false" ht="15" hidden="false" customHeight="false" outlineLevel="0" collapsed="false">
      <c r="A41" s="9" t="str">
        <f aca="false">IF(B41="","",34)</f>
        <v/>
      </c>
      <c r="B41" s="10"/>
      <c r="C41" s="11"/>
      <c r="D41" s="10"/>
      <c r="E41" s="12"/>
      <c r="F41" s="13" t="str">
        <f aca="false">IF(OR(E41="",IFERROR(MATCH(D41,$N$8:$N$13,0),0)=0),"",EDATE(E41,INDEX($O$8:$O$13,IFERROR(MATCH(D41,$N$8:$N$13,0),0)))-1)</f>
        <v/>
      </c>
      <c r="G41" s="14" t="str">
        <f aca="false">IF(F41="","",F41-$J$5)</f>
        <v/>
      </c>
      <c r="H41" s="15" t="str">
        <f aca="false">IF(G41="","",IF(G41&lt;0,"Expired",IF(G41&lt;=7,"Renew in "&amp;G41&amp;" days","Active")))</f>
        <v/>
      </c>
      <c r="I41" s="16" t="str">
        <f aca="false">IF(IFERROR(MATCH(D41,$N$8:$N$13,0),0)=0,"",INDEX($P$8:$P$13,IFERROR(MATCH(D41,$N$8:$N$13,0),0)))</f>
        <v/>
      </c>
      <c r="K41" s="17"/>
      <c r="L41" s="18" t="str">
        <f aca="false">IF(I41="","",I41-N(K41))</f>
        <v/>
      </c>
    </row>
    <row r="42" customFormat="false" ht="15" hidden="false" customHeight="false" outlineLevel="0" collapsed="false">
      <c r="A42" s="9" t="str">
        <f aca="false">IF(B42="","",35)</f>
        <v/>
      </c>
      <c r="B42" s="10"/>
      <c r="C42" s="11"/>
      <c r="D42" s="10"/>
      <c r="E42" s="12"/>
      <c r="F42" s="13" t="str">
        <f aca="false">IF(OR(E42="",IFERROR(MATCH(D42,$N$8:$N$13,0),0)=0),"",EDATE(E42,INDEX($O$8:$O$13,IFERROR(MATCH(D42,$N$8:$N$13,0),0)))-1)</f>
        <v/>
      </c>
      <c r="G42" s="14" t="str">
        <f aca="false">IF(F42="","",F42-$J$5)</f>
        <v/>
      </c>
      <c r="H42" s="15" t="str">
        <f aca="false">IF(G42="","",IF(G42&lt;0,"Expired",IF(G42&lt;=7,"Renew in "&amp;G42&amp;" days","Active")))</f>
        <v/>
      </c>
      <c r="I42" s="16" t="str">
        <f aca="false">IF(IFERROR(MATCH(D42,$N$8:$N$13,0),0)=0,"",INDEX($P$8:$P$13,IFERROR(MATCH(D42,$N$8:$N$13,0),0)))</f>
        <v/>
      </c>
      <c r="K42" s="17"/>
      <c r="L42" s="18" t="str">
        <f aca="false">IF(I42="","",I42-N(K42))</f>
        <v/>
      </c>
    </row>
    <row r="43" customFormat="false" ht="15" hidden="false" customHeight="false" outlineLevel="0" collapsed="false">
      <c r="A43" s="9" t="str">
        <f aca="false">IF(B43="","",36)</f>
        <v/>
      </c>
      <c r="B43" s="10"/>
      <c r="C43" s="11"/>
      <c r="D43" s="10"/>
      <c r="E43" s="12"/>
      <c r="F43" s="13" t="str">
        <f aca="false">IF(OR(E43="",IFERROR(MATCH(D43,$N$8:$N$13,0),0)=0),"",EDATE(E43,INDEX($O$8:$O$13,IFERROR(MATCH(D43,$N$8:$N$13,0),0)))-1)</f>
        <v/>
      </c>
      <c r="G43" s="14" t="str">
        <f aca="false">IF(F43="","",F43-$J$5)</f>
        <v/>
      </c>
      <c r="H43" s="15" t="str">
        <f aca="false">IF(G43="","",IF(G43&lt;0,"Expired",IF(G43&lt;=7,"Renew in "&amp;G43&amp;" days","Active")))</f>
        <v/>
      </c>
      <c r="I43" s="16" t="str">
        <f aca="false">IF(IFERROR(MATCH(D43,$N$8:$N$13,0),0)=0,"",INDEX($P$8:$P$13,IFERROR(MATCH(D43,$N$8:$N$13,0),0)))</f>
        <v/>
      </c>
      <c r="K43" s="17"/>
      <c r="L43" s="18" t="str">
        <f aca="false">IF(I43="","",I43-N(K43))</f>
        <v/>
      </c>
    </row>
    <row r="44" customFormat="false" ht="15" hidden="false" customHeight="false" outlineLevel="0" collapsed="false">
      <c r="A44" s="9" t="str">
        <f aca="false">IF(B44="","",37)</f>
        <v/>
      </c>
      <c r="B44" s="10"/>
      <c r="C44" s="11"/>
      <c r="D44" s="10"/>
      <c r="E44" s="12"/>
      <c r="F44" s="13" t="str">
        <f aca="false">IF(OR(E44="",IFERROR(MATCH(D44,$N$8:$N$13,0),0)=0),"",EDATE(E44,INDEX($O$8:$O$13,IFERROR(MATCH(D44,$N$8:$N$13,0),0)))-1)</f>
        <v/>
      </c>
      <c r="G44" s="14" t="str">
        <f aca="false">IF(F44="","",F44-$J$5)</f>
        <v/>
      </c>
      <c r="H44" s="15" t="str">
        <f aca="false">IF(G44="","",IF(G44&lt;0,"Expired",IF(G44&lt;=7,"Renew in "&amp;G44&amp;" days","Active")))</f>
        <v/>
      </c>
      <c r="I44" s="16" t="str">
        <f aca="false">IF(IFERROR(MATCH(D44,$N$8:$N$13,0),0)=0,"",INDEX($P$8:$P$13,IFERROR(MATCH(D44,$N$8:$N$13,0),0)))</f>
        <v/>
      </c>
      <c r="K44" s="17"/>
      <c r="L44" s="18" t="str">
        <f aca="false">IF(I44="","",I44-N(K44))</f>
        <v/>
      </c>
    </row>
    <row r="45" customFormat="false" ht="15" hidden="false" customHeight="false" outlineLevel="0" collapsed="false">
      <c r="A45" s="9" t="str">
        <f aca="false">IF(B45="","",38)</f>
        <v/>
      </c>
      <c r="B45" s="10"/>
      <c r="C45" s="11"/>
      <c r="D45" s="10"/>
      <c r="E45" s="12"/>
      <c r="F45" s="13" t="str">
        <f aca="false">IF(OR(E45="",IFERROR(MATCH(D45,$N$8:$N$13,0),0)=0),"",EDATE(E45,INDEX($O$8:$O$13,IFERROR(MATCH(D45,$N$8:$N$13,0),0)))-1)</f>
        <v/>
      </c>
      <c r="G45" s="14" t="str">
        <f aca="false">IF(F45="","",F45-$J$5)</f>
        <v/>
      </c>
      <c r="H45" s="15" t="str">
        <f aca="false">IF(G45="","",IF(G45&lt;0,"Expired",IF(G45&lt;=7,"Renew in "&amp;G45&amp;" days","Active")))</f>
        <v/>
      </c>
      <c r="I45" s="16" t="str">
        <f aca="false">IF(IFERROR(MATCH(D45,$N$8:$N$13,0),0)=0,"",INDEX($P$8:$P$13,IFERROR(MATCH(D45,$N$8:$N$13,0),0)))</f>
        <v/>
      </c>
      <c r="K45" s="17"/>
      <c r="L45" s="18" t="str">
        <f aca="false">IF(I45="","",I45-N(K45))</f>
        <v/>
      </c>
    </row>
    <row r="46" customFormat="false" ht="15" hidden="false" customHeight="false" outlineLevel="0" collapsed="false">
      <c r="A46" s="9" t="str">
        <f aca="false">IF(B46="","",39)</f>
        <v/>
      </c>
      <c r="B46" s="10"/>
      <c r="C46" s="11"/>
      <c r="D46" s="10"/>
      <c r="E46" s="12"/>
      <c r="F46" s="13" t="str">
        <f aca="false">IF(OR(E46="",IFERROR(MATCH(D46,$N$8:$N$13,0),0)=0),"",EDATE(E46,INDEX($O$8:$O$13,IFERROR(MATCH(D46,$N$8:$N$13,0),0)))-1)</f>
        <v/>
      </c>
      <c r="G46" s="14" t="str">
        <f aca="false">IF(F46="","",F46-$J$5)</f>
        <v/>
      </c>
      <c r="H46" s="15" t="str">
        <f aca="false">IF(G46="","",IF(G46&lt;0,"Expired",IF(G46&lt;=7,"Renew in "&amp;G46&amp;" days","Active")))</f>
        <v/>
      </c>
      <c r="I46" s="16" t="str">
        <f aca="false">IF(IFERROR(MATCH(D46,$N$8:$N$13,0),0)=0,"",INDEX($P$8:$P$13,IFERROR(MATCH(D46,$N$8:$N$13,0),0)))</f>
        <v/>
      </c>
      <c r="K46" s="17"/>
      <c r="L46" s="18" t="str">
        <f aca="false">IF(I46="","",I46-N(K46))</f>
        <v/>
      </c>
    </row>
    <row r="47" customFormat="false" ht="15" hidden="false" customHeight="false" outlineLevel="0" collapsed="false">
      <c r="A47" s="9" t="str">
        <f aca="false">IF(B47="","",40)</f>
        <v/>
      </c>
      <c r="B47" s="10"/>
      <c r="C47" s="11"/>
      <c r="D47" s="10"/>
      <c r="E47" s="12"/>
      <c r="F47" s="13" t="str">
        <f aca="false">IF(OR(E47="",IFERROR(MATCH(D47,$N$8:$N$13,0),0)=0),"",EDATE(E47,INDEX($O$8:$O$13,IFERROR(MATCH(D47,$N$8:$N$13,0),0)))-1)</f>
        <v/>
      </c>
      <c r="G47" s="14" t="str">
        <f aca="false">IF(F47="","",F47-$J$5)</f>
        <v/>
      </c>
      <c r="H47" s="15" t="str">
        <f aca="false">IF(G47="","",IF(G47&lt;0,"Expired",IF(G47&lt;=7,"Renew in "&amp;G47&amp;" days","Active")))</f>
        <v/>
      </c>
      <c r="I47" s="16" t="str">
        <f aca="false">IF(IFERROR(MATCH(D47,$N$8:$N$13,0),0)=0,"",INDEX($P$8:$P$13,IFERROR(MATCH(D47,$N$8:$N$13,0),0)))</f>
        <v/>
      </c>
      <c r="K47" s="17"/>
      <c r="L47" s="18" t="str">
        <f aca="false">IF(I47="","",I47-N(K47))</f>
        <v/>
      </c>
    </row>
    <row r="48" customFormat="false" ht="15" hidden="false" customHeight="false" outlineLevel="0" collapsed="false">
      <c r="A48" s="9" t="str">
        <f aca="false">IF(B48="","",41)</f>
        <v/>
      </c>
      <c r="B48" s="10"/>
      <c r="C48" s="11"/>
      <c r="D48" s="10"/>
      <c r="E48" s="12"/>
      <c r="F48" s="13" t="str">
        <f aca="false">IF(OR(E48="",IFERROR(MATCH(D48,$N$8:$N$13,0),0)=0),"",EDATE(E48,INDEX($O$8:$O$13,IFERROR(MATCH(D48,$N$8:$N$13,0),0)))-1)</f>
        <v/>
      </c>
      <c r="G48" s="14" t="str">
        <f aca="false">IF(F48="","",F48-$J$5)</f>
        <v/>
      </c>
      <c r="H48" s="15" t="str">
        <f aca="false">IF(G48="","",IF(G48&lt;0,"Expired",IF(G48&lt;=7,"Renew in "&amp;G48&amp;" days","Active")))</f>
        <v/>
      </c>
      <c r="I48" s="16" t="str">
        <f aca="false">IF(IFERROR(MATCH(D48,$N$8:$N$13,0),0)=0,"",INDEX($P$8:$P$13,IFERROR(MATCH(D48,$N$8:$N$13,0),0)))</f>
        <v/>
      </c>
      <c r="K48" s="17"/>
      <c r="L48" s="18" t="str">
        <f aca="false">IF(I48="","",I48-N(K48))</f>
        <v/>
      </c>
    </row>
    <row r="49" customFormat="false" ht="15" hidden="false" customHeight="false" outlineLevel="0" collapsed="false">
      <c r="A49" s="9" t="str">
        <f aca="false">IF(B49="","",42)</f>
        <v/>
      </c>
      <c r="B49" s="10"/>
      <c r="C49" s="11"/>
      <c r="D49" s="10"/>
      <c r="E49" s="12"/>
      <c r="F49" s="13" t="str">
        <f aca="false">IF(OR(E49="",IFERROR(MATCH(D49,$N$8:$N$13,0),0)=0),"",EDATE(E49,INDEX($O$8:$O$13,IFERROR(MATCH(D49,$N$8:$N$13,0),0)))-1)</f>
        <v/>
      </c>
      <c r="G49" s="14" t="str">
        <f aca="false">IF(F49="","",F49-$J$5)</f>
        <v/>
      </c>
      <c r="H49" s="15" t="str">
        <f aca="false">IF(G49="","",IF(G49&lt;0,"Expired",IF(G49&lt;=7,"Renew in "&amp;G49&amp;" days","Active")))</f>
        <v/>
      </c>
      <c r="I49" s="16" t="str">
        <f aca="false">IF(IFERROR(MATCH(D49,$N$8:$N$13,0),0)=0,"",INDEX($P$8:$P$13,IFERROR(MATCH(D49,$N$8:$N$13,0),0)))</f>
        <v/>
      </c>
      <c r="K49" s="17"/>
      <c r="L49" s="18" t="str">
        <f aca="false">IF(I49="","",I49-N(K49))</f>
        <v/>
      </c>
    </row>
    <row r="50" customFormat="false" ht="15" hidden="false" customHeight="false" outlineLevel="0" collapsed="false">
      <c r="A50" s="9" t="str">
        <f aca="false">IF(B50="","",43)</f>
        <v/>
      </c>
      <c r="B50" s="10"/>
      <c r="C50" s="11"/>
      <c r="D50" s="10"/>
      <c r="E50" s="12"/>
      <c r="F50" s="13" t="str">
        <f aca="false">IF(OR(E50="",IFERROR(MATCH(D50,$N$8:$N$13,0),0)=0),"",EDATE(E50,INDEX($O$8:$O$13,IFERROR(MATCH(D50,$N$8:$N$13,0),0)))-1)</f>
        <v/>
      </c>
      <c r="G50" s="14" t="str">
        <f aca="false">IF(F50="","",F50-$J$5)</f>
        <v/>
      </c>
      <c r="H50" s="15" t="str">
        <f aca="false">IF(G50="","",IF(G50&lt;0,"Expired",IF(G50&lt;=7,"Renew in "&amp;G50&amp;" days","Active")))</f>
        <v/>
      </c>
      <c r="I50" s="16" t="str">
        <f aca="false">IF(IFERROR(MATCH(D50,$N$8:$N$13,0),0)=0,"",INDEX($P$8:$P$13,IFERROR(MATCH(D50,$N$8:$N$13,0),0)))</f>
        <v/>
      </c>
      <c r="K50" s="17"/>
      <c r="L50" s="18" t="str">
        <f aca="false">IF(I50="","",I50-N(K50))</f>
        <v/>
      </c>
    </row>
    <row r="51" customFormat="false" ht="15" hidden="false" customHeight="false" outlineLevel="0" collapsed="false">
      <c r="A51" s="9" t="str">
        <f aca="false">IF(B51="","",44)</f>
        <v/>
      </c>
      <c r="B51" s="10"/>
      <c r="C51" s="11"/>
      <c r="D51" s="10"/>
      <c r="E51" s="12"/>
      <c r="F51" s="13" t="str">
        <f aca="false">IF(OR(E51="",IFERROR(MATCH(D51,$N$8:$N$13,0),0)=0),"",EDATE(E51,INDEX($O$8:$O$13,IFERROR(MATCH(D51,$N$8:$N$13,0),0)))-1)</f>
        <v/>
      </c>
      <c r="G51" s="14" t="str">
        <f aca="false">IF(F51="","",F51-$J$5)</f>
        <v/>
      </c>
      <c r="H51" s="15" t="str">
        <f aca="false">IF(G51="","",IF(G51&lt;0,"Expired",IF(G51&lt;=7,"Renew in "&amp;G51&amp;" days","Active")))</f>
        <v/>
      </c>
      <c r="I51" s="16" t="str">
        <f aca="false">IF(IFERROR(MATCH(D51,$N$8:$N$13,0),0)=0,"",INDEX($P$8:$P$13,IFERROR(MATCH(D51,$N$8:$N$13,0),0)))</f>
        <v/>
      </c>
      <c r="K51" s="17"/>
      <c r="L51" s="18" t="str">
        <f aca="false">IF(I51="","",I51-N(K51))</f>
        <v/>
      </c>
    </row>
    <row r="52" customFormat="false" ht="15" hidden="false" customHeight="false" outlineLevel="0" collapsed="false">
      <c r="A52" s="9" t="str">
        <f aca="false">IF(B52="","",45)</f>
        <v/>
      </c>
      <c r="B52" s="10"/>
      <c r="C52" s="11"/>
      <c r="D52" s="10"/>
      <c r="E52" s="12"/>
      <c r="F52" s="13" t="str">
        <f aca="false">IF(OR(E52="",IFERROR(MATCH(D52,$N$8:$N$13,0),0)=0),"",EDATE(E52,INDEX($O$8:$O$13,IFERROR(MATCH(D52,$N$8:$N$13,0),0)))-1)</f>
        <v/>
      </c>
      <c r="G52" s="14" t="str">
        <f aca="false">IF(F52="","",F52-$J$5)</f>
        <v/>
      </c>
      <c r="H52" s="15" t="str">
        <f aca="false">IF(G52="","",IF(G52&lt;0,"Expired",IF(G52&lt;=7,"Renew in "&amp;G52&amp;" days","Active")))</f>
        <v/>
      </c>
      <c r="I52" s="16" t="str">
        <f aca="false">IF(IFERROR(MATCH(D52,$N$8:$N$13,0),0)=0,"",INDEX($P$8:$P$13,IFERROR(MATCH(D52,$N$8:$N$13,0),0)))</f>
        <v/>
      </c>
      <c r="K52" s="17"/>
      <c r="L52" s="18" t="str">
        <f aca="false">IF(I52="","",I52-N(K52))</f>
        <v/>
      </c>
    </row>
    <row r="53" customFormat="false" ht="15" hidden="false" customHeight="false" outlineLevel="0" collapsed="false">
      <c r="A53" s="9" t="str">
        <f aca="false">IF(B53="","",46)</f>
        <v/>
      </c>
      <c r="B53" s="10"/>
      <c r="C53" s="11"/>
      <c r="D53" s="10"/>
      <c r="E53" s="12"/>
      <c r="F53" s="13" t="str">
        <f aca="false">IF(OR(E53="",IFERROR(MATCH(D53,$N$8:$N$13,0),0)=0),"",EDATE(E53,INDEX($O$8:$O$13,IFERROR(MATCH(D53,$N$8:$N$13,0),0)))-1)</f>
        <v/>
      </c>
      <c r="G53" s="14" t="str">
        <f aca="false">IF(F53="","",F53-$J$5)</f>
        <v/>
      </c>
      <c r="H53" s="15" t="str">
        <f aca="false">IF(G53="","",IF(G53&lt;0,"Expired",IF(G53&lt;=7,"Renew in "&amp;G53&amp;" days","Active")))</f>
        <v/>
      </c>
      <c r="I53" s="16" t="str">
        <f aca="false">IF(IFERROR(MATCH(D53,$N$8:$N$13,0),0)=0,"",INDEX($P$8:$P$13,IFERROR(MATCH(D53,$N$8:$N$13,0),0)))</f>
        <v/>
      </c>
      <c r="K53" s="17"/>
      <c r="L53" s="18" t="str">
        <f aca="false">IF(I53="","",I53-N(K53))</f>
        <v/>
      </c>
    </row>
    <row r="54" customFormat="false" ht="15" hidden="false" customHeight="false" outlineLevel="0" collapsed="false">
      <c r="A54" s="9" t="str">
        <f aca="false">IF(B54="","",47)</f>
        <v/>
      </c>
      <c r="B54" s="10"/>
      <c r="C54" s="11"/>
      <c r="D54" s="10"/>
      <c r="E54" s="12"/>
      <c r="F54" s="13" t="str">
        <f aca="false">IF(OR(E54="",IFERROR(MATCH(D54,$N$8:$N$13,0),0)=0),"",EDATE(E54,INDEX($O$8:$O$13,IFERROR(MATCH(D54,$N$8:$N$13,0),0)))-1)</f>
        <v/>
      </c>
      <c r="G54" s="14" t="str">
        <f aca="false">IF(F54="","",F54-$J$5)</f>
        <v/>
      </c>
      <c r="H54" s="15" t="str">
        <f aca="false">IF(G54="","",IF(G54&lt;0,"Expired",IF(G54&lt;=7,"Renew in "&amp;G54&amp;" days","Active")))</f>
        <v/>
      </c>
      <c r="I54" s="16" t="str">
        <f aca="false">IF(IFERROR(MATCH(D54,$N$8:$N$13,0),0)=0,"",INDEX($P$8:$P$13,IFERROR(MATCH(D54,$N$8:$N$13,0),0)))</f>
        <v/>
      </c>
      <c r="K54" s="17"/>
      <c r="L54" s="18" t="str">
        <f aca="false">IF(I54="","",I54-N(K54))</f>
        <v/>
      </c>
    </row>
    <row r="55" customFormat="false" ht="15" hidden="false" customHeight="false" outlineLevel="0" collapsed="false">
      <c r="A55" s="9" t="str">
        <f aca="false">IF(B55="","",48)</f>
        <v/>
      </c>
      <c r="B55" s="10"/>
      <c r="C55" s="11"/>
      <c r="D55" s="10"/>
      <c r="E55" s="12"/>
      <c r="F55" s="13" t="str">
        <f aca="false">IF(OR(E55="",IFERROR(MATCH(D55,$N$8:$N$13,0),0)=0),"",EDATE(E55,INDEX($O$8:$O$13,IFERROR(MATCH(D55,$N$8:$N$13,0),0)))-1)</f>
        <v/>
      </c>
      <c r="G55" s="14" t="str">
        <f aca="false">IF(F55="","",F55-$J$5)</f>
        <v/>
      </c>
      <c r="H55" s="15" t="str">
        <f aca="false">IF(G55="","",IF(G55&lt;0,"Expired",IF(G55&lt;=7,"Renew in "&amp;G55&amp;" days","Active")))</f>
        <v/>
      </c>
      <c r="I55" s="16" t="str">
        <f aca="false">IF(IFERROR(MATCH(D55,$N$8:$N$13,0),0)=0,"",INDEX($P$8:$P$13,IFERROR(MATCH(D55,$N$8:$N$13,0),0)))</f>
        <v/>
      </c>
      <c r="K55" s="17"/>
      <c r="L55" s="18" t="str">
        <f aca="false">IF(I55="","",I55-N(K55))</f>
        <v/>
      </c>
    </row>
    <row r="56" customFormat="false" ht="15" hidden="false" customHeight="false" outlineLevel="0" collapsed="false">
      <c r="A56" s="9" t="str">
        <f aca="false">IF(B56="","",49)</f>
        <v/>
      </c>
      <c r="B56" s="10"/>
      <c r="C56" s="11"/>
      <c r="D56" s="10"/>
      <c r="E56" s="12"/>
      <c r="F56" s="13" t="str">
        <f aca="false">IF(OR(E56="",IFERROR(MATCH(D56,$N$8:$N$13,0),0)=0),"",EDATE(E56,INDEX($O$8:$O$13,IFERROR(MATCH(D56,$N$8:$N$13,0),0)))-1)</f>
        <v/>
      </c>
      <c r="G56" s="14" t="str">
        <f aca="false">IF(F56="","",F56-$J$5)</f>
        <v/>
      </c>
      <c r="H56" s="15" t="str">
        <f aca="false">IF(G56="","",IF(G56&lt;0,"Expired",IF(G56&lt;=7,"Renew in "&amp;G56&amp;" days","Active")))</f>
        <v/>
      </c>
      <c r="I56" s="16" t="str">
        <f aca="false">IF(IFERROR(MATCH(D56,$N$8:$N$13,0),0)=0,"",INDEX($P$8:$P$13,IFERROR(MATCH(D56,$N$8:$N$13,0),0)))</f>
        <v/>
      </c>
      <c r="K56" s="17"/>
      <c r="L56" s="18" t="str">
        <f aca="false">IF(I56="","",I56-N(K56))</f>
        <v/>
      </c>
    </row>
    <row r="57" customFormat="false" ht="15" hidden="false" customHeight="false" outlineLevel="0" collapsed="false">
      <c r="A57" s="9" t="str">
        <f aca="false">IF(B57="","",50)</f>
        <v/>
      </c>
      <c r="B57" s="10"/>
      <c r="C57" s="11"/>
      <c r="D57" s="10"/>
      <c r="E57" s="12"/>
      <c r="F57" s="13" t="str">
        <f aca="false">IF(OR(E57="",IFERROR(MATCH(D57,$N$8:$N$13,0),0)=0),"",EDATE(E57,INDEX($O$8:$O$13,IFERROR(MATCH(D57,$N$8:$N$13,0),0)))-1)</f>
        <v/>
      </c>
      <c r="G57" s="14" t="str">
        <f aca="false">IF(F57="","",F57-$J$5)</f>
        <v/>
      </c>
      <c r="H57" s="15" t="str">
        <f aca="false">IF(G57="","",IF(G57&lt;0,"Expired",IF(G57&lt;=7,"Renew in "&amp;G57&amp;" days","Active")))</f>
        <v/>
      </c>
      <c r="I57" s="16" t="str">
        <f aca="false">IF(IFERROR(MATCH(D57,$N$8:$N$13,0),0)=0,"",INDEX($P$8:$P$13,IFERROR(MATCH(D57,$N$8:$N$13,0),0)))</f>
        <v/>
      </c>
      <c r="K57" s="17"/>
      <c r="L57" s="18" t="str">
        <f aca="false">IF(I57="","",I57-N(K57))</f>
        <v/>
      </c>
    </row>
    <row r="58" customFormat="false" ht="15" hidden="false" customHeight="false" outlineLevel="0" collapsed="false">
      <c r="A58" s="9" t="str">
        <f aca="false">IF(B58="","",51)</f>
        <v/>
      </c>
      <c r="B58" s="10"/>
      <c r="C58" s="11"/>
      <c r="D58" s="10"/>
      <c r="E58" s="12"/>
      <c r="F58" s="13" t="str">
        <f aca="false">IF(OR(E58="",IFERROR(MATCH(D58,$N$8:$N$13,0),0)=0),"",EDATE(E58,INDEX($O$8:$O$13,IFERROR(MATCH(D58,$N$8:$N$13,0),0)))-1)</f>
        <v/>
      </c>
      <c r="G58" s="14" t="str">
        <f aca="false">IF(F58="","",F58-$J$5)</f>
        <v/>
      </c>
      <c r="H58" s="15" t="str">
        <f aca="false">IF(G58="","",IF(G58&lt;0,"Expired",IF(G58&lt;=7,"Renew in "&amp;G58&amp;" days","Active")))</f>
        <v/>
      </c>
      <c r="I58" s="16" t="str">
        <f aca="false">IF(IFERROR(MATCH(D58,$N$8:$N$13,0),0)=0,"",INDEX($P$8:$P$13,IFERROR(MATCH(D58,$N$8:$N$13,0),0)))</f>
        <v/>
      </c>
      <c r="K58" s="17"/>
      <c r="L58" s="18" t="str">
        <f aca="false">IF(I58="","",I58-N(K58))</f>
        <v/>
      </c>
    </row>
    <row r="59" customFormat="false" ht="15" hidden="false" customHeight="false" outlineLevel="0" collapsed="false">
      <c r="A59" s="9" t="str">
        <f aca="false">IF(B59="","",52)</f>
        <v/>
      </c>
      <c r="B59" s="10"/>
      <c r="C59" s="11"/>
      <c r="D59" s="10"/>
      <c r="E59" s="12"/>
      <c r="F59" s="13" t="str">
        <f aca="false">IF(OR(E59="",IFERROR(MATCH(D59,$N$8:$N$13,0),0)=0),"",EDATE(E59,INDEX($O$8:$O$13,IFERROR(MATCH(D59,$N$8:$N$13,0),0)))-1)</f>
        <v/>
      </c>
      <c r="G59" s="14" t="str">
        <f aca="false">IF(F59="","",F59-$J$5)</f>
        <v/>
      </c>
      <c r="H59" s="15" t="str">
        <f aca="false">IF(G59="","",IF(G59&lt;0,"Expired",IF(G59&lt;=7,"Renew in "&amp;G59&amp;" days","Active")))</f>
        <v/>
      </c>
      <c r="I59" s="16" t="str">
        <f aca="false">IF(IFERROR(MATCH(D59,$N$8:$N$13,0),0)=0,"",INDEX($P$8:$P$13,IFERROR(MATCH(D59,$N$8:$N$13,0),0)))</f>
        <v/>
      </c>
      <c r="K59" s="17"/>
      <c r="L59" s="18" t="str">
        <f aca="false">IF(I59="","",I59-N(K59))</f>
        <v/>
      </c>
    </row>
    <row r="60" customFormat="false" ht="15" hidden="false" customHeight="false" outlineLevel="0" collapsed="false">
      <c r="A60" s="9" t="str">
        <f aca="false">IF(B60="","",53)</f>
        <v/>
      </c>
      <c r="B60" s="10"/>
      <c r="C60" s="11"/>
      <c r="D60" s="10"/>
      <c r="E60" s="12"/>
      <c r="F60" s="13" t="str">
        <f aca="false">IF(OR(E60="",IFERROR(MATCH(D60,$N$8:$N$13,0),0)=0),"",EDATE(E60,INDEX($O$8:$O$13,IFERROR(MATCH(D60,$N$8:$N$13,0),0)))-1)</f>
        <v/>
      </c>
      <c r="G60" s="14" t="str">
        <f aca="false">IF(F60="","",F60-$J$5)</f>
        <v/>
      </c>
      <c r="H60" s="15" t="str">
        <f aca="false">IF(G60="","",IF(G60&lt;0,"Expired",IF(G60&lt;=7,"Renew in "&amp;G60&amp;" days","Active")))</f>
        <v/>
      </c>
      <c r="I60" s="16" t="str">
        <f aca="false">IF(IFERROR(MATCH(D60,$N$8:$N$13,0),0)=0,"",INDEX($P$8:$P$13,IFERROR(MATCH(D60,$N$8:$N$13,0),0)))</f>
        <v/>
      </c>
      <c r="K60" s="17"/>
      <c r="L60" s="18" t="str">
        <f aca="false">IF(I60="","",I60-N(K60))</f>
        <v/>
      </c>
    </row>
    <row r="61" customFormat="false" ht="15" hidden="false" customHeight="false" outlineLevel="0" collapsed="false">
      <c r="A61" s="9" t="str">
        <f aca="false">IF(B61="","",54)</f>
        <v/>
      </c>
      <c r="B61" s="10"/>
      <c r="C61" s="11"/>
      <c r="D61" s="10"/>
      <c r="E61" s="12"/>
      <c r="F61" s="13" t="str">
        <f aca="false">IF(OR(E61="",IFERROR(MATCH(D61,$N$8:$N$13,0),0)=0),"",EDATE(E61,INDEX($O$8:$O$13,IFERROR(MATCH(D61,$N$8:$N$13,0),0)))-1)</f>
        <v/>
      </c>
      <c r="G61" s="14" t="str">
        <f aca="false">IF(F61="","",F61-$J$5)</f>
        <v/>
      </c>
      <c r="H61" s="15" t="str">
        <f aca="false">IF(G61="","",IF(G61&lt;0,"Expired",IF(G61&lt;=7,"Renew in "&amp;G61&amp;" days","Active")))</f>
        <v/>
      </c>
      <c r="I61" s="16" t="str">
        <f aca="false">IF(IFERROR(MATCH(D61,$N$8:$N$13,0),0)=0,"",INDEX($P$8:$P$13,IFERROR(MATCH(D61,$N$8:$N$13,0),0)))</f>
        <v/>
      </c>
      <c r="K61" s="17"/>
      <c r="L61" s="18" t="str">
        <f aca="false">IF(I61="","",I61-N(K61))</f>
        <v/>
      </c>
    </row>
    <row r="62" customFormat="false" ht="15" hidden="false" customHeight="false" outlineLevel="0" collapsed="false">
      <c r="A62" s="9" t="str">
        <f aca="false">IF(B62="","",55)</f>
        <v/>
      </c>
      <c r="B62" s="10"/>
      <c r="C62" s="11"/>
      <c r="D62" s="10"/>
      <c r="E62" s="12"/>
      <c r="F62" s="13" t="str">
        <f aca="false">IF(OR(E62="",IFERROR(MATCH(D62,$N$8:$N$13,0),0)=0),"",EDATE(E62,INDEX($O$8:$O$13,IFERROR(MATCH(D62,$N$8:$N$13,0),0)))-1)</f>
        <v/>
      </c>
      <c r="G62" s="14" t="str">
        <f aca="false">IF(F62="","",F62-$J$5)</f>
        <v/>
      </c>
      <c r="H62" s="15" t="str">
        <f aca="false">IF(G62="","",IF(G62&lt;0,"Expired",IF(G62&lt;=7,"Renew in "&amp;G62&amp;" days","Active")))</f>
        <v/>
      </c>
      <c r="I62" s="16" t="str">
        <f aca="false">IF(IFERROR(MATCH(D62,$N$8:$N$13,0),0)=0,"",INDEX($P$8:$P$13,IFERROR(MATCH(D62,$N$8:$N$13,0),0)))</f>
        <v/>
      </c>
      <c r="K62" s="17"/>
      <c r="L62" s="18" t="str">
        <f aca="false">IF(I62="","",I62-N(K62))</f>
        <v/>
      </c>
    </row>
    <row r="63" customFormat="false" ht="15" hidden="false" customHeight="false" outlineLevel="0" collapsed="false">
      <c r="A63" s="9" t="str">
        <f aca="false">IF(B63="","",56)</f>
        <v/>
      </c>
      <c r="B63" s="10"/>
      <c r="C63" s="11"/>
      <c r="D63" s="10"/>
      <c r="E63" s="12"/>
      <c r="F63" s="13" t="str">
        <f aca="false">IF(OR(E63="",IFERROR(MATCH(D63,$N$8:$N$13,0),0)=0),"",EDATE(E63,INDEX($O$8:$O$13,IFERROR(MATCH(D63,$N$8:$N$13,0),0)))-1)</f>
        <v/>
      </c>
      <c r="G63" s="14" t="str">
        <f aca="false">IF(F63="","",F63-$J$5)</f>
        <v/>
      </c>
      <c r="H63" s="15" t="str">
        <f aca="false">IF(G63="","",IF(G63&lt;0,"Expired",IF(G63&lt;=7,"Renew in "&amp;G63&amp;" days","Active")))</f>
        <v/>
      </c>
      <c r="I63" s="16" t="str">
        <f aca="false">IF(IFERROR(MATCH(D63,$N$8:$N$13,0),0)=0,"",INDEX($P$8:$P$13,IFERROR(MATCH(D63,$N$8:$N$13,0),0)))</f>
        <v/>
      </c>
      <c r="K63" s="17"/>
      <c r="L63" s="18" t="str">
        <f aca="false">IF(I63="","",I63-N(K63))</f>
        <v/>
      </c>
    </row>
    <row r="64" customFormat="false" ht="15" hidden="false" customHeight="false" outlineLevel="0" collapsed="false">
      <c r="A64" s="9" t="str">
        <f aca="false">IF(B64="","",57)</f>
        <v/>
      </c>
      <c r="B64" s="10"/>
      <c r="C64" s="11"/>
      <c r="D64" s="10"/>
      <c r="E64" s="12"/>
      <c r="F64" s="13" t="str">
        <f aca="false">IF(OR(E64="",IFERROR(MATCH(D64,$N$8:$N$13,0),0)=0),"",EDATE(E64,INDEX($O$8:$O$13,IFERROR(MATCH(D64,$N$8:$N$13,0),0)))-1)</f>
        <v/>
      </c>
      <c r="G64" s="14" t="str">
        <f aca="false">IF(F64="","",F64-$J$5)</f>
        <v/>
      </c>
      <c r="H64" s="15" t="str">
        <f aca="false">IF(G64="","",IF(G64&lt;0,"Expired",IF(G64&lt;=7,"Renew in "&amp;G64&amp;" days","Active")))</f>
        <v/>
      </c>
      <c r="I64" s="16" t="str">
        <f aca="false">IF(IFERROR(MATCH(D64,$N$8:$N$13,0),0)=0,"",INDEX($P$8:$P$13,IFERROR(MATCH(D64,$N$8:$N$13,0),0)))</f>
        <v/>
      </c>
      <c r="K64" s="17"/>
      <c r="L64" s="18" t="str">
        <f aca="false">IF(I64="","",I64-N(K64))</f>
        <v/>
      </c>
    </row>
    <row r="65" customFormat="false" ht="15" hidden="false" customHeight="false" outlineLevel="0" collapsed="false">
      <c r="A65" s="9" t="str">
        <f aca="false">IF(B65="","",58)</f>
        <v/>
      </c>
      <c r="B65" s="10"/>
      <c r="C65" s="11"/>
      <c r="D65" s="10"/>
      <c r="E65" s="12"/>
      <c r="F65" s="13" t="str">
        <f aca="false">IF(OR(E65="",IFERROR(MATCH(D65,$N$8:$N$13,0),0)=0),"",EDATE(E65,INDEX($O$8:$O$13,IFERROR(MATCH(D65,$N$8:$N$13,0),0)))-1)</f>
        <v/>
      </c>
      <c r="G65" s="14" t="str">
        <f aca="false">IF(F65="","",F65-$J$5)</f>
        <v/>
      </c>
      <c r="H65" s="15" t="str">
        <f aca="false">IF(G65="","",IF(G65&lt;0,"Expired",IF(G65&lt;=7,"Renew in "&amp;G65&amp;" days","Active")))</f>
        <v/>
      </c>
      <c r="I65" s="16" t="str">
        <f aca="false">IF(IFERROR(MATCH(D65,$N$8:$N$13,0),0)=0,"",INDEX($P$8:$P$13,IFERROR(MATCH(D65,$N$8:$N$13,0),0)))</f>
        <v/>
      </c>
      <c r="K65" s="17"/>
      <c r="L65" s="18" t="str">
        <f aca="false">IF(I65="","",I65-N(K65))</f>
        <v/>
      </c>
    </row>
    <row r="66" customFormat="false" ht="15" hidden="false" customHeight="false" outlineLevel="0" collapsed="false">
      <c r="A66" s="9" t="str">
        <f aca="false">IF(B66="","",59)</f>
        <v/>
      </c>
      <c r="B66" s="10"/>
      <c r="C66" s="11"/>
      <c r="D66" s="10"/>
      <c r="E66" s="12"/>
      <c r="F66" s="13" t="str">
        <f aca="false">IF(OR(E66="",IFERROR(MATCH(D66,$N$8:$N$13,0),0)=0),"",EDATE(E66,INDEX($O$8:$O$13,IFERROR(MATCH(D66,$N$8:$N$13,0),0)))-1)</f>
        <v/>
      </c>
      <c r="G66" s="14" t="str">
        <f aca="false">IF(F66="","",F66-$J$5)</f>
        <v/>
      </c>
      <c r="H66" s="15" t="str">
        <f aca="false">IF(G66="","",IF(G66&lt;0,"Expired",IF(G66&lt;=7,"Renew in "&amp;G66&amp;" days","Active")))</f>
        <v/>
      </c>
      <c r="I66" s="16" t="str">
        <f aca="false">IF(IFERROR(MATCH(D66,$N$8:$N$13,0),0)=0,"",INDEX($P$8:$P$13,IFERROR(MATCH(D66,$N$8:$N$13,0),0)))</f>
        <v/>
      </c>
      <c r="K66" s="17"/>
      <c r="L66" s="18" t="str">
        <f aca="false">IF(I66="","",I66-N(K66))</f>
        <v/>
      </c>
    </row>
    <row r="67" customFormat="false" ht="15" hidden="false" customHeight="false" outlineLevel="0" collapsed="false">
      <c r="A67" s="9" t="str">
        <f aca="false">IF(B67="","",60)</f>
        <v/>
      </c>
      <c r="B67" s="10"/>
      <c r="C67" s="11"/>
      <c r="D67" s="10"/>
      <c r="E67" s="12"/>
      <c r="F67" s="13" t="str">
        <f aca="false">IF(OR(E67="",IFERROR(MATCH(D67,$N$8:$N$13,0),0)=0),"",EDATE(E67,INDEX($O$8:$O$13,IFERROR(MATCH(D67,$N$8:$N$13,0),0)))-1)</f>
        <v/>
      </c>
      <c r="G67" s="14" t="str">
        <f aca="false">IF(F67="","",F67-$J$5)</f>
        <v/>
      </c>
      <c r="H67" s="15" t="str">
        <f aca="false">IF(G67="","",IF(G67&lt;0,"Expired",IF(G67&lt;=7,"Renew in "&amp;G67&amp;" days","Active")))</f>
        <v/>
      </c>
      <c r="I67" s="16" t="str">
        <f aca="false">IF(IFERROR(MATCH(D67,$N$8:$N$13,0),0)=0,"",INDEX($P$8:$P$13,IFERROR(MATCH(D67,$N$8:$N$13,0),0)))</f>
        <v/>
      </c>
      <c r="K67" s="17"/>
      <c r="L67" s="18" t="str">
        <f aca="false">IF(I67="","",I67-N(K67))</f>
        <v/>
      </c>
    </row>
    <row r="68" customFormat="false" ht="15" hidden="false" customHeight="false" outlineLevel="0" collapsed="false">
      <c r="A68" s="9" t="str">
        <f aca="false">IF(B68="","",61)</f>
        <v/>
      </c>
      <c r="B68" s="10"/>
      <c r="C68" s="11"/>
      <c r="D68" s="10"/>
      <c r="E68" s="12"/>
      <c r="F68" s="13" t="str">
        <f aca="false">IF(OR(E68="",IFERROR(MATCH(D68,$N$8:$N$13,0),0)=0),"",EDATE(E68,INDEX($O$8:$O$13,IFERROR(MATCH(D68,$N$8:$N$13,0),0)))-1)</f>
        <v/>
      </c>
      <c r="G68" s="14" t="str">
        <f aca="false">IF(F68="","",F68-$J$5)</f>
        <v/>
      </c>
      <c r="H68" s="15" t="str">
        <f aca="false">IF(G68="","",IF(G68&lt;0,"Expired",IF(G68&lt;=7,"Renew in "&amp;G68&amp;" days","Active")))</f>
        <v/>
      </c>
      <c r="I68" s="16" t="str">
        <f aca="false">IF(IFERROR(MATCH(D68,$N$8:$N$13,0),0)=0,"",INDEX($P$8:$P$13,IFERROR(MATCH(D68,$N$8:$N$13,0),0)))</f>
        <v/>
      </c>
      <c r="K68" s="17"/>
      <c r="L68" s="18" t="str">
        <f aca="false">IF(I68="","",I68-N(K68))</f>
        <v/>
      </c>
    </row>
    <row r="69" customFormat="false" ht="15" hidden="false" customHeight="false" outlineLevel="0" collapsed="false">
      <c r="A69" s="9" t="str">
        <f aca="false">IF(B69="","",62)</f>
        <v/>
      </c>
      <c r="B69" s="10"/>
      <c r="C69" s="11"/>
      <c r="D69" s="10"/>
      <c r="E69" s="12"/>
      <c r="F69" s="13" t="str">
        <f aca="false">IF(OR(E69="",IFERROR(MATCH(D69,$N$8:$N$13,0),0)=0),"",EDATE(E69,INDEX($O$8:$O$13,IFERROR(MATCH(D69,$N$8:$N$13,0),0)))-1)</f>
        <v/>
      </c>
      <c r="G69" s="14" t="str">
        <f aca="false">IF(F69="","",F69-$J$5)</f>
        <v/>
      </c>
      <c r="H69" s="15" t="str">
        <f aca="false">IF(G69="","",IF(G69&lt;0,"Expired",IF(G69&lt;=7,"Renew in "&amp;G69&amp;" days","Active")))</f>
        <v/>
      </c>
      <c r="I69" s="16" t="str">
        <f aca="false">IF(IFERROR(MATCH(D69,$N$8:$N$13,0),0)=0,"",INDEX($P$8:$P$13,IFERROR(MATCH(D69,$N$8:$N$13,0),0)))</f>
        <v/>
      </c>
      <c r="K69" s="17"/>
      <c r="L69" s="18" t="str">
        <f aca="false">IF(I69="","",I69-N(K69))</f>
        <v/>
      </c>
    </row>
    <row r="70" customFormat="false" ht="15" hidden="false" customHeight="false" outlineLevel="0" collapsed="false">
      <c r="A70" s="9" t="str">
        <f aca="false">IF(B70="","",63)</f>
        <v/>
      </c>
      <c r="B70" s="10"/>
      <c r="C70" s="11"/>
      <c r="D70" s="10"/>
      <c r="E70" s="12"/>
      <c r="F70" s="13" t="str">
        <f aca="false">IF(OR(E70="",IFERROR(MATCH(D70,$N$8:$N$13,0),0)=0),"",EDATE(E70,INDEX($O$8:$O$13,IFERROR(MATCH(D70,$N$8:$N$13,0),0)))-1)</f>
        <v/>
      </c>
      <c r="G70" s="14" t="str">
        <f aca="false">IF(F70="","",F70-$J$5)</f>
        <v/>
      </c>
      <c r="H70" s="15" t="str">
        <f aca="false">IF(G70="","",IF(G70&lt;0,"Expired",IF(G70&lt;=7,"Renew in "&amp;G70&amp;" days","Active")))</f>
        <v/>
      </c>
      <c r="I70" s="16" t="str">
        <f aca="false">IF(IFERROR(MATCH(D70,$N$8:$N$13,0),0)=0,"",INDEX($P$8:$P$13,IFERROR(MATCH(D70,$N$8:$N$13,0),0)))</f>
        <v/>
      </c>
      <c r="K70" s="17"/>
      <c r="L70" s="18" t="str">
        <f aca="false">IF(I70="","",I70-N(K70))</f>
        <v/>
      </c>
    </row>
    <row r="71" customFormat="false" ht="15" hidden="false" customHeight="false" outlineLevel="0" collapsed="false">
      <c r="A71" s="9" t="str">
        <f aca="false">IF(B71="","",64)</f>
        <v/>
      </c>
      <c r="B71" s="10"/>
      <c r="C71" s="11"/>
      <c r="D71" s="10"/>
      <c r="E71" s="12"/>
      <c r="F71" s="13" t="str">
        <f aca="false">IF(OR(E71="",IFERROR(MATCH(D71,$N$8:$N$13,0),0)=0),"",EDATE(E71,INDEX($O$8:$O$13,IFERROR(MATCH(D71,$N$8:$N$13,0),0)))-1)</f>
        <v/>
      </c>
      <c r="G71" s="14" t="str">
        <f aca="false">IF(F71="","",F71-$J$5)</f>
        <v/>
      </c>
      <c r="H71" s="15" t="str">
        <f aca="false">IF(G71="","",IF(G71&lt;0,"Expired",IF(G71&lt;=7,"Renew in "&amp;G71&amp;" days","Active")))</f>
        <v/>
      </c>
      <c r="I71" s="16" t="str">
        <f aca="false">IF(IFERROR(MATCH(D71,$N$8:$N$13,0),0)=0,"",INDEX($P$8:$P$13,IFERROR(MATCH(D71,$N$8:$N$13,0),0)))</f>
        <v/>
      </c>
      <c r="K71" s="17"/>
      <c r="L71" s="18" t="str">
        <f aca="false">IF(I71="","",I71-N(K71))</f>
        <v/>
      </c>
    </row>
    <row r="72" customFormat="false" ht="15" hidden="false" customHeight="false" outlineLevel="0" collapsed="false">
      <c r="A72" s="9" t="str">
        <f aca="false">IF(B72="","",65)</f>
        <v/>
      </c>
      <c r="B72" s="10"/>
      <c r="C72" s="11"/>
      <c r="D72" s="10"/>
      <c r="E72" s="12"/>
      <c r="F72" s="13" t="str">
        <f aca="false">IF(OR(E72="",IFERROR(MATCH(D72,$N$8:$N$13,0),0)=0),"",EDATE(E72,INDEX($O$8:$O$13,IFERROR(MATCH(D72,$N$8:$N$13,0),0)))-1)</f>
        <v/>
      </c>
      <c r="G72" s="14" t="str">
        <f aca="false">IF(F72="","",F72-$J$5)</f>
        <v/>
      </c>
      <c r="H72" s="15" t="str">
        <f aca="false">IF(G72="","",IF(G72&lt;0,"Expired",IF(G72&lt;=7,"Renew in "&amp;G72&amp;" days","Active")))</f>
        <v/>
      </c>
      <c r="I72" s="16" t="str">
        <f aca="false">IF(IFERROR(MATCH(D72,$N$8:$N$13,0),0)=0,"",INDEX($P$8:$P$13,IFERROR(MATCH(D72,$N$8:$N$13,0),0)))</f>
        <v/>
      </c>
      <c r="K72" s="17"/>
      <c r="L72" s="18" t="str">
        <f aca="false">IF(I72="","",I72-N(K72))</f>
        <v/>
      </c>
    </row>
    <row r="73" customFormat="false" ht="15" hidden="false" customHeight="false" outlineLevel="0" collapsed="false">
      <c r="A73" s="9" t="str">
        <f aca="false">IF(B73="","",66)</f>
        <v/>
      </c>
      <c r="B73" s="10"/>
      <c r="C73" s="11"/>
      <c r="D73" s="10"/>
      <c r="E73" s="12"/>
      <c r="F73" s="13" t="str">
        <f aca="false">IF(OR(E73="",IFERROR(MATCH(D73,$N$8:$N$13,0),0)=0),"",EDATE(E73,INDEX($O$8:$O$13,IFERROR(MATCH(D73,$N$8:$N$13,0),0)))-1)</f>
        <v/>
      </c>
      <c r="G73" s="14" t="str">
        <f aca="false">IF(F73="","",F73-$J$5)</f>
        <v/>
      </c>
      <c r="H73" s="15" t="str">
        <f aca="false">IF(G73="","",IF(G73&lt;0,"Expired",IF(G73&lt;=7,"Renew in "&amp;G73&amp;" days","Active")))</f>
        <v/>
      </c>
      <c r="I73" s="16" t="str">
        <f aca="false">IF(IFERROR(MATCH(D73,$N$8:$N$13,0),0)=0,"",INDEX($P$8:$P$13,IFERROR(MATCH(D73,$N$8:$N$13,0),0)))</f>
        <v/>
      </c>
      <c r="K73" s="17"/>
      <c r="L73" s="18" t="str">
        <f aca="false">IF(I73="","",I73-N(K73))</f>
        <v/>
      </c>
    </row>
    <row r="74" customFormat="false" ht="15" hidden="false" customHeight="false" outlineLevel="0" collapsed="false">
      <c r="A74" s="9" t="str">
        <f aca="false">IF(B74="","",67)</f>
        <v/>
      </c>
      <c r="B74" s="10"/>
      <c r="C74" s="11"/>
      <c r="D74" s="10"/>
      <c r="E74" s="12"/>
      <c r="F74" s="13" t="str">
        <f aca="false">IF(OR(E74="",IFERROR(MATCH(D74,$N$8:$N$13,0),0)=0),"",EDATE(E74,INDEX($O$8:$O$13,IFERROR(MATCH(D74,$N$8:$N$13,0),0)))-1)</f>
        <v/>
      </c>
      <c r="G74" s="14" t="str">
        <f aca="false">IF(F74="","",F74-$J$5)</f>
        <v/>
      </c>
      <c r="H74" s="15" t="str">
        <f aca="false">IF(G74="","",IF(G74&lt;0,"Expired",IF(G74&lt;=7,"Renew in "&amp;G74&amp;" days","Active")))</f>
        <v/>
      </c>
      <c r="I74" s="16" t="str">
        <f aca="false">IF(IFERROR(MATCH(D74,$N$8:$N$13,0),0)=0,"",INDEX($P$8:$P$13,IFERROR(MATCH(D74,$N$8:$N$13,0),0)))</f>
        <v/>
      </c>
      <c r="K74" s="17"/>
      <c r="L74" s="18" t="str">
        <f aca="false">IF(I74="","",I74-N(K74))</f>
        <v/>
      </c>
    </row>
    <row r="75" customFormat="false" ht="15" hidden="false" customHeight="false" outlineLevel="0" collapsed="false">
      <c r="A75" s="9" t="str">
        <f aca="false">IF(B75="","",68)</f>
        <v/>
      </c>
      <c r="B75" s="10"/>
      <c r="C75" s="11"/>
      <c r="D75" s="10"/>
      <c r="E75" s="12"/>
      <c r="F75" s="13" t="str">
        <f aca="false">IF(OR(E75="",IFERROR(MATCH(D75,$N$8:$N$13,0),0)=0),"",EDATE(E75,INDEX($O$8:$O$13,IFERROR(MATCH(D75,$N$8:$N$13,0),0)))-1)</f>
        <v/>
      </c>
      <c r="G75" s="14" t="str">
        <f aca="false">IF(F75="","",F75-$J$5)</f>
        <v/>
      </c>
      <c r="H75" s="15" t="str">
        <f aca="false">IF(G75="","",IF(G75&lt;0,"Expired",IF(G75&lt;=7,"Renew in "&amp;G75&amp;" days","Active")))</f>
        <v/>
      </c>
      <c r="I75" s="16" t="str">
        <f aca="false">IF(IFERROR(MATCH(D75,$N$8:$N$13,0),0)=0,"",INDEX($P$8:$P$13,IFERROR(MATCH(D75,$N$8:$N$13,0),0)))</f>
        <v/>
      </c>
      <c r="K75" s="17"/>
      <c r="L75" s="18" t="str">
        <f aca="false">IF(I75="","",I75-N(K75))</f>
        <v/>
      </c>
    </row>
    <row r="76" customFormat="false" ht="15" hidden="false" customHeight="false" outlineLevel="0" collapsed="false">
      <c r="A76" s="9" t="str">
        <f aca="false">IF(B76="","",69)</f>
        <v/>
      </c>
      <c r="B76" s="10"/>
      <c r="C76" s="11"/>
      <c r="D76" s="10"/>
      <c r="E76" s="12"/>
      <c r="F76" s="13" t="str">
        <f aca="false">IF(OR(E76="",IFERROR(MATCH(D76,$N$8:$N$13,0),0)=0),"",EDATE(E76,INDEX($O$8:$O$13,IFERROR(MATCH(D76,$N$8:$N$13,0),0)))-1)</f>
        <v/>
      </c>
      <c r="G76" s="14" t="str">
        <f aca="false">IF(F76="","",F76-$J$5)</f>
        <v/>
      </c>
      <c r="H76" s="15" t="str">
        <f aca="false">IF(G76="","",IF(G76&lt;0,"Expired",IF(G76&lt;=7,"Renew in "&amp;G76&amp;" days","Active")))</f>
        <v/>
      </c>
      <c r="I76" s="16" t="str">
        <f aca="false">IF(IFERROR(MATCH(D76,$N$8:$N$13,0),0)=0,"",INDEX($P$8:$P$13,IFERROR(MATCH(D76,$N$8:$N$13,0),0)))</f>
        <v/>
      </c>
      <c r="K76" s="17"/>
      <c r="L76" s="18" t="str">
        <f aca="false">IF(I76="","",I76-N(K76))</f>
        <v/>
      </c>
    </row>
    <row r="77" customFormat="false" ht="15" hidden="false" customHeight="false" outlineLevel="0" collapsed="false">
      <c r="A77" s="9" t="str">
        <f aca="false">IF(B77="","",70)</f>
        <v/>
      </c>
      <c r="B77" s="10"/>
      <c r="C77" s="11"/>
      <c r="D77" s="10"/>
      <c r="E77" s="12"/>
      <c r="F77" s="13" t="str">
        <f aca="false">IF(OR(E77="",IFERROR(MATCH(D77,$N$8:$N$13,0),0)=0),"",EDATE(E77,INDEX($O$8:$O$13,IFERROR(MATCH(D77,$N$8:$N$13,0),0)))-1)</f>
        <v/>
      </c>
      <c r="G77" s="14" t="str">
        <f aca="false">IF(F77="","",F77-$J$5)</f>
        <v/>
      </c>
      <c r="H77" s="15" t="str">
        <f aca="false">IF(G77="","",IF(G77&lt;0,"Expired",IF(G77&lt;=7,"Renew in "&amp;G77&amp;" days","Active")))</f>
        <v/>
      </c>
      <c r="I77" s="16" t="str">
        <f aca="false">IF(IFERROR(MATCH(D77,$N$8:$N$13,0),0)=0,"",INDEX($P$8:$P$13,IFERROR(MATCH(D77,$N$8:$N$13,0),0)))</f>
        <v/>
      </c>
      <c r="K77" s="17"/>
      <c r="L77" s="18" t="str">
        <f aca="false">IF(I77="","",I77-N(K77))</f>
        <v/>
      </c>
    </row>
    <row r="78" customFormat="false" ht="15" hidden="false" customHeight="false" outlineLevel="0" collapsed="false">
      <c r="A78" s="9" t="str">
        <f aca="false">IF(B78="","",71)</f>
        <v/>
      </c>
      <c r="B78" s="10"/>
      <c r="C78" s="11"/>
      <c r="D78" s="10"/>
      <c r="E78" s="12"/>
      <c r="F78" s="13" t="str">
        <f aca="false">IF(OR(E78="",IFERROR(MATCH(D78,$N$8:$N$13,0),0)=0),"",EDATE(E78,INDEX($O$8:$O$13,IFERROR(MATCH(D78,$N$8:$N$13,0),0)))-1)</f>
        <v/>
      </c>
      <c r="G78" s="14" t="str">
        <f aca="false">IF(F78="","",F78-$J$5)</f>
        <v/>
      </c>
      <c r="H78" s="15" t="str">
        <f aca="false">IF(G78="","",IF(G78&lt;0,"Expired",IF(G78&lt;=7,"Renew in "&amp;G78&amp;" days","Active")))</f>
        <v/>
      </c>
      <c r="I78" s="16" t="str">
        <f aca="false">IF(IFERROR(MATCH(D78,$N$8:$N$13,0),0)=0,"",INDEX($P$8:$P$13,IFERROR(MATCH(D78,$N$8:$N$13,0),0)))</f>
        <v/>
      </c>
      <c r="K78" s="17"/>
      <c r="L78" s="18" t="str">
        <f aca="false">IF(I78="","",I78-N(K78))</f>
        <v/>
      </c>
    </row>
    <row r="79" customFormat="false" ht="15" hidden="false" customHeight="false" outlineLevel="0" collapsed="false">
      <c r="A79" s="9" t="str">
        <f aca="false">IF(B79="","",72)</f>
        <v/>
      </c>
      <c r="B79" s="10"/>
      <c r="C79" s="11"/>
      <c r="D79" s="10"/>
      <c r="E79" s="12"/>
      <c r="F79" s="13" t="str">
        <f aca="false">IF(OR(E79="",IFERROR(MATCH(D79,$N$8:$N$13,0),0)=0),"",EDATE(E79,INDEX($O$8:$O$13,IFERROR(MATCH(D79,$N$8:$N$13,0),0)))-1)</f>
        <v/>
      </c>
      <c r="G79" s="14" t="str">
        <f aca="false">IF(F79="","",F79-$J$5)</f>
        <v/>
      </c>
      <c r="H79" s="15" t="str">
        <f aca="false">IF(G79="","",IF(G79&lt;0,"Expired",IF(G79&lt;=7,"Renew in "&amp;G79&amp;" days","Active")))</f>
        <v/>
      </c>
      <c r="I79" s="16" t="str">
        <f aca="false">IF(IFERROR(MATCH(D79,$N$8:$N$13,0),0)=0,"",INDEX($P$8:$P$13,IFERROR(MATCH(D79,$N$8:$N$13,0),0)))</f>
        <v/>
      </c>
      <c r="K79" s="17"/>
      <c r="L79" s="18" t="str">
        <f aca="false">IF(I79="","",I79-N(K79))</f>
        <v/>
      </c>
    </row>
    <row r="80" customFormat="false" ht="15" hidden="false" customHeight="false" outlineLevel="0" collapsed="false">
      <c r="A80" s="9" t="str">
        <f aca="false">IF(B80="","",73)</f>
        <v/>
      </c>
      <c r="B80" s="10"/>
      <c r="C80" s="11"/>
      <c r="D80" s="10"/>
      <c r="E80" s="12"/>
      <c r="F80" s="13" t="str">
        <f aca="false">IF(OR(E80="",IFERROR(MATCH(D80,$N$8:$N$13,0),0)=0),"",EDATE(E80,INDEX($O$8:$O$13,IFERROR(MATCH(D80,$N$8:$N$13,0),0)))-1)</f>
        <v/>
      </c>
      <c r="G80" s="14" t="str">
        <f aca="false">IF(F80="","",F80-$J$5)</f>
        <v/>
      </c>
      <c r="H80" s="15" t="str">
        <f aca="false">IF(G80="","",IF(G80&lt;0,"Expired",IF(G80&lt;=7,"Renew in "&amp;G80&amp;" days","Active")))</f>
        <v/>
      </c>
      <c r="I80" s="16" t="str">
        <f aca="false">IF(IFERROR(MATCH(D80,$N$8:$N$13,0),0)=0,"",INDEX($P$8:$P$13,IFERROR(MATCH(D80,$N$8:$N$13,0),0)))</f>
        <v/>
      </c>
      <c r="K80" s="17"/>
      <c r="L80" s="18" t="str">
        <f aca="false">IF(I80="","",I80-N(K80))</f>
        <v/>
      </c>
    </row>
    <row r="81" customFormat="false" ht="15" hidden="false" customHeight="false" outlineLevel="0" collapsed="false">
      <c r="A81" s="9" t="str">
        <f aca="false">IF(B81="","",74)</f>
        <v/>
      </c>
      <c r="B81" s="10"/>
      <c r="C81" s="11"/>
      <c r="D81" s="10"/>
      <c r="E81" s="12"/>
      <c r="F81" s="13" t="str">
        <f aca="false">IF(OR(E81="",IFERROR(MATCH(D81,$N$8:$N$13,0),0)=0),"",EDATE(E81,INDEX($O$8:$O$13,IFERROR(MATCH(D81,$N$8:$N$13,0),0)))-1)</f>
        <v/>
      </c>
      <c r="G81" s="14" t="str">
        <f aca="false">IF(F81="","",F81-$J$5)</f>
        <v/>
      </c>
      <c r="H81" s="15" t="str">
        <f aca="false">IF(G81="","",IF(G81&lt;0,"Expired",IF(G81&lt;=7,"Renew in "&amp;G81&amp;" days","Active")))</f>
        <v/>
      </c>
      <c r="I81" s="16" t="str">
        <f aca="false">IF(IFERROR(MATCH(D81,$N$8:$N$13,0),0)=0,"",INDEX($P$8:$P$13,IFERROR(MATCH(D81,$N$8:$N$13,0),0)))</f>
        <v/>
      </c>
      <c r="K81" s="17"/>
      <c r="L81" s="18" t="str">
        <f aca="false">IF(I81="","",I81-N(K81))</f>
        <v/>
      </c>
    </row>
    <row r="82" customFormat="false" ht="15" hidden="false" customHeight="false" outlineLevel="0" collapsed="false">
      <c r="A82" s="9" t="str">
        <f aca="false">IF(B82="","",75)</f>
        <v/>
      </c>
      <c r="B82" s="10"/>
      <c r="C82" s="11"/>
      <c r="D82" s="10"/>
      <c r="E82" s="12"/>
      <c r="F82" s="13" t="str">
        <f aca="false">IF(OR(E82="",IFERROR(MATCH(D82,$N$8:$N$13,0),0)=0),"",EDATE(E82,INDEX($O$8:$O$13,IFERROR(MATCH(D82,$N$8:$N$13,0),0)))-1)</f>
        <v/>
      </c>
      <c r="G82" s="14" t="str">
        <f aca="false">IF(F82="","",F82-$J$5)</f>
        <v/>
      </c>
      <c r="H82" s="15" t="str">
        <f aca="false">IF(G82="","",IF(G82&lt;0,"Expired",IF(G82&lt;=7,"Renew in "&amp;G82&amp;" days","Active")))</f>
        <v/>
      </c>
      <c r="I82" s="16" t="str">
        <f aca="false">IF(IFERROR(MATCH(D82,$N$8:$N$13,0),0)=0,"",INDEX($P$8:$P$13,IFERROR(MATCH(D82,$N$8:$N$13,0),0)))</f>
        <v/>
      </c>
      <c r="K82" s="17"/>
      <c r="L82" s="18" t="str">
        <f aca="false">IF(I82="","",I82-N(K82))</f>
        <v/>
      </c>
    </row>
    <row r="83" customFormat="false" ht="15" hidden="false" customHeight="false" outlineLevel="0" collapsed="false">
      <c r="A83" s="9" t="str">
        <f aca="false">IF(B83="","",76)</f>
        <v/>
      </c>
      <c r="B83" s="10"/>
      <c r="C83" s="11"/>
      <c r="D83" s="10"/>
      <c r="E83" s="12"/>
      <c r="F83" s="13" t="str">
        <f aca="false">IF(OR(E83="",IFERROR(MATCH(D83,$N$8:$N$13,0),0)=0),"",EDATE(E83,INDEX($O$8:$O$13,IFERROR(MATCH(D83,$N$8:$N$13,0),0)))-1)</f>
        <v/>
      </c>
      <c r="G83" s="14" t="str">
        <f aca="false">IF(F83="","",F83-$J$5)</f>
        <v/>
      </c>
      <c r="H83" s="15" t="str">
        <f aca="false">IF(G83="","",IF(G83&lt;0,"Expired",IF(G83&lt;=7,"Renew in "&amp;G83&amp;" days","Active")))</f>
        <v/>
      </c>
      <c r="I83" s="16" t="str">
        <f aca="false">IF(IFERROR(MATCH(D83,$N$8:$N$13,0),0)=0,"",INDEX($P$8:$P$13,IFERROR(MATCH(D83,$N$8:$N$13,0),0)))</f>
        <v/>
      </c>
      <c r="K83" s="17"/>
      <c r="L83" s="18" t="str">
        <f aca="false">IF(I83="","",I83-N(K83))</f>
        <v/>
      </c>
    </row>
    <row r="84" customFormat="false" ht="15" hidden="false" customHeight="false" outlineLevel="0" collapsed="false">
      <c r="A84" s="9" t="str">
        <f aca="false">IF(B84="","",77)</f>
        <v/>
      </c>
      <c r="B84" s="10"/>
      <c r="C84" s="11"/>
      <c r="D84" s="10"/>
      <c r="E84" s="12"/>
      <c r="F84" s="13" t="str">
        <f aca="false">IF(OR(E84="",IFERROR(MATCH(D84,$N$8:$N$13,0),0)=0),"",EDATE(E84,INDEX($O$8:$O$13,IFERROR(MATCH(D84,$N$8:$N$13,0),0)))-1)</f>
        <v/>
      </c>
      <c r="G84" s="14" t="str">
        <f aca="false">IF(F84="","",F84-$J$5)</f>
        <v/>
      </c>
      <c r="H84" s="15" t="str">
        <f aca="false">IF(G84="","",IF(G84&lt;0,"Expired",IF(G84&lt;=7,"Renew in "&amp;G84&amp;" days","Active")))</f>
        <v/>
      </c>
      <c r="I84" s="16" t="str">
        <f aca="false">IF(IFERROR(MATCH(D84,$N$8:$N$13,0),0)=0,"",INDEX($P$8:$P$13,IFERROR(MATCH(D84,$N$8:$N$13,0),0)))</f>
        <v/>
      </c>
      <c r="K84" s="17"/>
      <c r="L84" s="18" t="str">
        <f aca="false">IF(I84="","",I84-N(K84))</f>
        <v/>
      </c>
    </row>
    <row r="85" customFormat="false" ht="15" hidden="false" customHeight="false" outlineLevel="0" collapsed="false">
      <c r="A85" s="9" t="str">
        <f aca="false">IF(B85="","",78)</f>
        <v/>
      </c>
      <c r="B85" s="10"/>
      <c r="C85" s="11"/>
      <c r="D85" s="10"/>
      <c r="E85" s="12"/>
      <c r="F85" s="13" t="str">
        <f aca="false">IF(OR(E85="",IFERROR(MATCH(D85,$N$8:$N$13,0),0)=0),"",EDATE(E85,INDEX($O$8:$O$13,IFERROR(MATCH(D85,$N$8:$N$13,0),0)))-1)</f>
        <v/>
      </c>
      <c r="G85" s="14" t="str">
        <f aca="false">IF(F85="","",F85-$J$5)</f>
        <v/>
      </c>
      <c r="H85" s="15" t="str">
        <f aca="false">IF(G85="","",IF(G85&lt;0,"Expired",IF(G85&lt;=7,"Renew in "&amp;G85&amp;" days","Active")))</f>
        <v/>
      </c>
      <c r="I85" s="16" t="str">
        <f aca="false">IF(IFERROR(MATCH(D85,$N$8:$N$13,0),0)=0,"",INDEX($P$8:$P$13,IFERROR(MATCH(D85,$N$8:$N$13,0),0)))</f>
        <v/>
      </c>
      <c r="K85" s="17"/>
      <c r="L85" s="18" t="str">
        <f aca="false">IF(I85="","",I85-N(K85))</f>
        <v/>
      </c>
    </row>
    <row r="86" customFormat="false" ht="15" hidden="false" customHeight="false" outlineLevel="0" collapsed="false">
      <c r="A86" s="9" t="str">
        <f aca="false">IF(B86="","",79)</f>
        <v/>
      </c>
      <c r="B86" s="10"/>
      <c r="C86" s="11"/>
      <c r="D86" s="10"/>
      <c r="E86" s="12"/>
      <c r="F86" s="13" t="str">
        <f aca="false">IF(OR(E86="",IFERROR(MATCH(D86,$N$8:$N$13,0),0)=0),"",EDATE(E86,INDEX($O$8:$O$13,IFERROR(MATCH(D86,$N$8:$N$13,0),0)))-1)</f>
        <v/>
      </c>
      <c r="G86" s="14" t="str">
        <f aca="false">IF(F86="","",F86-$J$5)</f>
        <v/>
      </c>
      <c r="H86" s="15" t="str">
        <f aca="false">IF(G86="","",IF(G86&lt;0,"Expired",IF(G86&lt;=7,"Renew in "&amp;G86&amp;" days","Active")))</f>
        <v/>
      </c>
      <c r="I86" s="16" t="str">
        <f aca="false">IF(IFERROR(MATCH(D86,$N$8:$N$13,0),0)=0,"",INDEX($P$8:$P$13,IFERROR(MATCH(D86,$N$8:$N$13,0),0)))</f>
        <v/>
      </c>
      <c r="K86" s="17"/>
      <c r="L86" s="18" t="str">
        <f aca="false">IF(I86="","",I86-N(K86))</f>
        <v/>
      </c>
    </row>
    <row r="87" customFormat="false" ht="15" hidden="false" customHeight="false" outlineLevel="0" collapsed="false">
      <c r="A87" s="9" t="str">
        <f aca="false">IF(B87="","",80)</f>
        <v/>
      </c>
      <c r="B87" s="10"/>
      <c r="C87" s="11"/>
      <c r="D87" s="10"/>
      <c r="E87" s="12"/>
      <c r="F87" s="13" t="str">
        <f aca="false">IF(OR(E87="",IFERROR(MATCH(D87,$N$8:$N$13,0),0)=0),"",EDATE(E87,INDEX($O$8:$O$13,IFERROR(MATCH(D87,$N$8:$N$13,0),0)))-1)</f>
        <v/>
      </c>
      <c r="G87" s="14" t="str">
        <f aca="false">IF(F87="","",F87-$J$5)</f>
        <v/>
      </c>
      <c r="H87" s="15" t="str">
        <f aca="false">IF(G87="","",IF(G87&lt;0,"Expired",IF(G87&lt;=7,"Renew in "&amp;G87&amp;" days","Active")))</f>
        <v/>
      </c>
      <c r="I87" s="16" t="str">
        <f aca="false">IF(IFERROR(MATCH(D87,$N$8:$N$13,0),0)=0,"",INDEX($P$8:$P$13,IFERROR(MATCH(D87,$N$8:$N$13,0),0)))</f>
        <v/>
      </c>
      <c r="K87" s="17"/>
      <c r="L87" s="18" t="str">
        <f aca="false">IF(I87="","",I87-N(K87))</f>
        <v/>
      </c>
    </row>
    <row r="88" customFormat="false" ht="15" hidden="false" customHeight="false" outlineLevel="0" collapsed="false">
      <c r="A88" s="9" t="str">
        <f aca="false">IF(B88="","",81)</f>
        <v/>
      </c>
      <c r="B88" s="10"/>
      <c r="C88" s="11"/>
      <c r="D88" s="10"/>
      <c r="E88" s="12"/>
      <c r="F88" s="13" t="str">
        <f aca="false">IF(OR(E88="",IFERROR(MATCH(D88,$N$8:$N$13,0),0)=0),"",EDATE(E88,INDEX($O$8:$O$13,IFERROR(MATCH(D88,$N$8:$N$13,0),0)))-1)</f>
        <v/>
      </c>
      <c r="G88" s="14" t="str">
        <f aca="false">IF(F88="","",F88-$J$5)</f>
        <v/>
      </c>
      <c r="H88" s="15" t="str">
        <f aca="false">IF(G88="","",IF(G88&lt;0,"Expired",IF(G88&lt;=7,"Renew in "&amp;G88&amp;" days","Active")))</f>
        <v/>
      </c>
      <c r="I88" s="16" t="str">
        <f aca="false">IF(IFERROR(MATCH(D88,$N$8:$N$13,0),0)=0,"",INDEX($P$8:$P$13,IFERROR(MATCH(D88,$N$8:$N$13,0),0)))</f>
        <v/>
      </c>
      <c r="K88" s="17"/>
      <c r="L88" s="18" t="str">
        <f aca="false">IF(I88="","",I88-N(K88))</f>
        <v/>
      </c>
    </row>
    <row r="89" customFormat="false" ht="15" hidden="false" customHeight="false" outlineLevel="0" collapsed="false">
      <c r="A89" s="9" t="str">
        <f aca="false">IF(B89="","",82)</f>
        <v/>
      </c>
      <c r="B89" s="10"/>
      <c r="C89" s="11"/>
      <c r="D89" s="10"/>
      <c r="E89" s="12"/>
      <c r="F89" s="13" t="str">
        <f aca="false">IF(OR(E89="",IFERROR(MATCH(D89,$N$8:$N$13,0),0)=0),"",EDATE(E89,INDEX($O$8:$O$13,IFERROR(MATCH(D89,$N$8:$N$13,0),0)))-1)</f>
        <v/>
      </c>
      <c r="G89" s="14" t="str">
        <f aca="false">IF(F89="","",F89-$J$5)</f>
        <v/>
      </c>
      <c r="H89" s="15" t="str">
        <f aca="false">IF(G89="","",IF(G89&lt;0,"Expired",IF(G89&lt;=7,"Renew in "&amp;G89&amp;" days","Active")))</f>
        <v/>
      </c>
      <c r="I89" s="16" t="str">
        <f aca="false">IF(IFERROR(MATCH(D89,$N$8:$N$13,0),0)=0,"",INDEX($P$8:$P$13,IFERROR(MATCH(D89,$N$8:$N$13,0),0)))</f>
        <v/>
      </c>
      <c r="K89" s="17"/>
      <c r="L89" s="18" t="str">
        <f aca="false">IF(I89="","",I89-N(K89))</f>
        <v/>
      </c>
    </row>
    <row r="90" customFormat="false" ht="15" hidden="false" customHeight="false" outlineLevel="0" collapsed="false">
      <c r="A90" s="9" t="str">
        <f aca="false">IF(B90="","",83)</f>
        <v/>
      </c>
      <c r="B90" s="10"/>
      <c r="C90" s="11"/>
      <c r="D90" s="10"/>
      <c r="E90" s="12"/>
      <c r="F90" s="13" t="str">
        <f aca="false">IF(OR(E90="",IFERROR(MATCH(D90,$N$8:$N$13,0),0)=0),"",EDATE(E90,INDEX($O$8:$O$13,IFERROR(MATCH(D90,$N$8:$N$13,0),0)))-1)</f>
        <v/>
      </c>
      <c r="G90" s="14" t="str">
        <f aca="false">IF(F90="","",F90-$J$5)</f>
        <v/>
      </c>
      <c r="H90" s="15" t="str">
        <f aca="false">IF(G90="","",IF(G90&lt;0,"Expired",IF(G90&lt;=7,"Renew in "&amp;G90&amp;" days","Active")))</f>
        <v/>
      </c>
      <c r="I90" s="16" t="str">
        <f aca="false">IF(IFERROR(MATCH(D90,$N$8:$N$13,0),0)=0,"",INDEX($P$8:$P$13,IFERROR(MATCH(D90,$N$8:$N$13,0),0)))</f>
        <v/>
      </c>
      <c r="K90" s="17"/>
      <c r="L90" s="18" t="str">
        <f aca="false">IF(I90="","",I90-N(K90))</f>
        <v/>
      </c>
    </row>
    <row r="91" customFormat="false" ht="15" hidden="false" customHeight="false" outlineLevel="0" collapsed="false">
      <c r="A91" s="9" t="str">
        <f aca="false">IF(B91="","",84)</f>
        <v/>
      </c>
      <c r="B91" s="10"/>
      <c r="C91" s="11"/>
      <c r="D91" s="10"/>
      <c r="E91" s="12"/>
      <c r="F91" s="13" t="str">
        <f aca="false">IF(OR(E91="",IFERROR(MATCH(D91,$N$8:$N$13,0),0)=0),"",EDATE(E91,INDEX($O$8:$O$13,IFERROR(MATCH(D91,$N$8:$N$13,0),0)))-1)</f>
        <v/>
      </c>
      <c r="G91" s="14" t="str">
        <f aca="false">IF(F91="","",F91-$J$5)</f>
        <v/>
      </c>
      <c r="H91" s="15" t="str">
        <f aca="false">IF(G91="","",IF(G91&lt;0,"Expired",IF(G91&lt;=7,"Renew in "&amp;G91&amp;" days","Active")))</f>
        <v/>
      </c>
      <c r="I91" s="16" t="str">
        <f aca="false">IF(IFERROR(MATCH(D91,$N$8:$N$13,0),0)=0,"",INDEX($P$8:$P$13,IFERROR(MATCH(D91,$N$8:$N$13,0),0)))</f>
        <v/>
      </c>
      <c r="K91" s="17"/>
      <c r="L91" s="18" t="str">
        <f aca="false">IF(I91="","",I91-N(K91))</f>
        <v/>
      </c>
    </row>
    <row r="92" customFormat="false" ht="15" hidden="false" customHeight="false" outlineLevel="0" collapsed="false">
      <c r="A92" s="9" t="str">
        <f aca="false">IF(B92="","",85)</f>
        <v/>
      </c>
      <c r="B92" s="10"/>
      <c r="C92" s="11"/>
      <c r="D92" s="10"/>
      <c r="E92" s="12"/>
      <c r="F92" s="13" t="str">
        <f aca="false">IF(OR(E92="",IFERROR(MATCH(D92,$N$8:$N$13,0),0)=0),"",EDATE(E92,INDEX($O$8:$O$13,IFERROR(MATCH(D92,$N$8:$N$13,0),0)))-1)</f>
        <v/>
      </c>
      <c r="G92" s="14" t="str">
        <f aca="false">IF(F92="","",F92-$J$5)</f>
        <v/>
      </c>
      <c r="H92" s="15" t="str">
        <f aca="false">IF(G92="","",IF(G92&lt;0,"Expired",IF(G92&lt;=7,"Renew in "&amp;G92&amp;" days","Active")))</f>
        <v/>
      </c>
      <c r="I92" s="16" t="str">
        <f aca="false">IF(IFERROR(MATCH(D92,$N$8:$N$13,0),0)=0,"",INDEX($P$8:$P$13,IFERROR(MATCH(D92,$N$8:$N$13,0),0)))</f>
        <v/>
      </c>
      <c r="K92" s="17"/>
      <c r="L92" s="18" t="str">
        <f aca="false">IF(I92="","",I92-N(K92))</f>
        <v/>
      </c>
    </row>
    <row r="93" customFormat="false" ht="15" hidden="false" customHeight="false" outlineLevel="0" collapsed="false">
      <c r="A93" s="9" t="str">
        <f aca="false">IF(B93="","",86)</f>
        <v/>
      </c>
      <c r="B93" s="10"/>
      <c r="C93" s="11"/>
      <c r="D93" s="10"/>
      <c r="E93" s="12"/>
      <c r="F93" s="13" t="str">
        <f aca="false">IF(OR(E93="",IFERROR(MATCH(D93,$N$8:$N$13,0),0)=0),"",EDATE(E93,INDEX($O$8:$O$13,IFERROR(MATCH(D93,$N$8:$N$13,0),0)))-1)</f>
        <v/>
      </c>
      <c r="G93" s="14" t="str">
        <f aca="false">IF(F93="","",F93-$J$5)</f>
        <v/>
      </c>
      <c r="H93" s="15" t="str">
        <f aca="false">IF(G93="","",IF(G93&lt;0,"Expired",IF(G93&lt;=7,"Renew in "&amp;G93&amp;" days","Active")))</f>
        <v/>
      </c>
      <c r="I93" s="16" t="str">
        <f aca="false">IF(IFERROR(MATCH(D93,$N$8:$N$13,0),0)=0,"",INDEX($P$8:$P$13,IFERROR(MATCH(D93,$N$8:$N$13,0),0)))</f>
        <v/>
      </c>
      <c r="K93" s="17"/>
      <c r="L93" s="18" t="str">
        <f aca="false">IF(I93="","",I93-N(K93))</f>
        <v/>
      </c>
    </row>
    <row r="94" customFormat="false" ht="15" hidden="false" customHeight="false" outlineLevel="0" collapsed="false">
      <c r="A94" s="9" t="str">
        <f aca="false">IF(B94="","",87)</f>
        <v/>
      </c>
      <c r="B94" s="10"/>
      <c r="C94" s="11"/>
      <c r="D94" s="10"/>
      <c r="E94" s="12"/>
      <c r="F94" s="13" t="str">
        <f aca="false">IF(OR(E94="",IFERROR(MATCH(D94,$N$8:$N$13,0),0)=0),"",EDATE(E94,INDEX($O$8:$O$13,IFERROR(MATCH(D94,$N$8:$N$13,0),0)))-1)</f>
        <v/>
      </c>
      <c r="G94" s="14" t="str">
        <f aca="false">IF(F94="","",F94-$J$5)</f>
        <v/>
      </c>
      <c r="H94" s="15" t="str">
        <f aca="false">IF(G94="","",IF(G94&lt;0,"Expired",IF(G94&lt;=7,"Renew in "&amp;G94&amp;" days","Active")))</f>
        <v/>
      </c>
      <c r="I94" s="16" t="str">
        <f aca="false">IF(IFERROR(MATCH(D94,$N$8:$N$13,0),0)=0,"",INDEX($P$8:$P$13,IFERROR(MATCH(D94,$N$8:$N$13,0),0)))</f>
        <v/>
      </c>
      <c r="K94" s="17"/>
      <c r="L94" s="18" t="str">
        <f aca="false">IF(I94="","",I94-N(K94))</f>
        <v/>
      </c>
    </row>
    <row r="95" customFormat="false" ht="15" hidden="false" customHeight="false" outlineLevel="0" collapsed="false">
      <c r="A95" s="9" t="str">
        <f aca="false">IF(B95="","",88)</f>
        <v/>
      </c>
      <c r="B95" s="10"/>
      <c r="C95" s="11"/>
      <c r="D95" s="10"/>
      <c r="E95" s="12"/>
      <c r="F95" s="13" t="str">
        <f aca="false">IF(OR(E95="",IFERROR(MATCH(D95,$N$8:$N$13,0),0)=0),"",EDATE(E95,INDEX($O$8:$O$13,IFERROR(MATCH(D95,$N$8:$N$13,0),0)))-1)</f>
        <v/>
      </c>
      <c r="G95" s="14" t="str">
        <f aca="false">IF(F95="","",F95-$J$5)</f>
        <v/>
      </c>
      <c r="H95" s="15" t="str">
        <f aca="false">IF(G95="","",IF(G95&lt;0,"Expired",IF(G95&lt;=7,"Renew in "&amp;G95&amp;" days","Active")))</f>
        <v/>
      </c>
      <c r="I95" s="16" t="str">
        <f aca="false">IF(IFERROR(MATCH(D95,$N$8:$N$13,0),0)=0,"",INDEX($P$8:$P$13,IFERROR(MATCH(D95,$N$8:$N$13,0),0)))</f>
        <v/>
      </c>
      <c r="K95" s="17"/>
      <c r="L95" s="18" t="str">
        <f aca="false">IF(I95="","",I95-N(K95))</f>
        <v/>
      </c>
    </row>
    <row r="96" customFormat="false" ht="15" hidden="false" customHeight="false" outlineLevel="0" collapsed="false">
      <c r="A96" s="9" t="str">
        <f aca="false">IF(B96="","",89)</f>
        <v/>
      </c>
      <c r="B96" s="10"/>
      <c r="C96" s="11"/>
      <c r="D96" s="10"/>
      <c r="E96" s="12"/>
      <c r="F96" s="13" t="str">
        <f aca="false">IF(OR(E96="",IFERROR(MATCH(D96,$N$8:$N$13,0),0)=0),"",EDATE(E96,INDEX($O$8:$O$13,IFERROR(MATCH(D96,$N$8:$N$13,0),0)))-1)</f>
        <v/>
      </c>
      <c r="G96" s="14" t="str">
        <f aca="false">IF(F96="","",F96-$J$5)</f>
        <v/>
      </c>
      <c r="H96" s="15" t="str">
        <f aca="false">IF(G96="","",IF(G96&lt;0,"Expired",IF(G96&lt;=7,"Renew in "&amp;G96&amp;" days","Active")))</f>
        <v/>
      </c>
      <c r="I96" s="16" t="str">
        <f aca="false">IF(IFERROR(MATCH(D96,$N$8:$N$13,0),0)=0,"",INDEX($P$8:$P$13,IFERROR(MATCH(D96,$N$8:$N$13,0),0)))</f>
        <v/>
      </c>
      <c r="K96" s="17"/>
      <c r="L96" s="18" t="str">
        <f aca="false">IF(I96="","",I96-N(K96))</f>
        <v/>
      </c>
    </row>
    <row r="97" customFormat="false" ht="15" hidden="false" customHeight="false" outlineLevel="0" collapsed="false">
      <c r="A97" s="9" t="str">
        <f aca="false">IF(B97="","",90)</f>
        <v/>
      </c>
      <c r="B97" s="10"/>
      <c r="C97" s="11"/>
      <c r="D97" s="10"/>
      <c r="E97" s="12"/>
      <c r="F97" s="13" t="str">
        <f aca="false">IF(OR(E97="",IFERROR(MATCH(D97,$N$8:$N$13,0),0)=0),"",EDATE(E97,INDEX($O$8:$O$13,IFERROR(MATCH(D97,$N$8:$N$13,0),0)))-1)</f>
        <v/>
      </c>
      <c r="G97" s="14" t="str">
        <f aca="false">IF(F97="","",F97-$J$5)</f>
        <v/>
      </c>
      <c r="H97" s="15" t="str">
        <f aca="false">IF(G97="","",IF(G97&lt;0,"Expired",IF(G97&lt;=7,"Renew in "&amp;G97&amp;" days","Active")))</f>
        <v/>
      </c>
      <c r="I97" s="16" t="str">
        <f aca="false">IF(IFERROR(MATCH(D97,$N$8:$N$13,0),0)=0,"",INDEX($P$8:$P$13,IFERROR(MATCH(D97,$N$8:$N$13,0),0)))</f>
        <v/>
      </c>
      <c r="K97" s="17"/>
      <c r="L97" s="18" t="str">
        <f aca="false">IF(I97="","",I97-N(K97))</f>
        <v/>
      </c>
    </row>
    <row r="98" customFormat="false" ht="15" hidden="false" customHeight="false" outlineLevel="0" collapsed="false">
      <c r="A98" s="9" t="str">
        <f aca="false">IF(B98="","",91)</f>
        <v/>
      </c>
      <c r="B98" s="10"/>
      <c r="C98" s="11"/>
      <c r="D98" s="10"/>
      <c r="E98" s="12"/>
      <c r="F98" s="13" t="str">
        <f aca="false">IF(OR(E98="",IFERROR(MATCH(D98,$N$8:$N$13,0),0)=0),"",EDATE(E98,INDEX($O$8:$O$13,IFERROR(MATCH(D98,$N$8:$N$13,0),0)))-1)</f>
        <v/>
      </c>
      <c r="G98" s="14" t="str">
        <f aca="false">IF(F98="","",F98-$J$5)</f>
        <v/>
      </c>
      <c r="H98" s="15" t="str">
        <f aca="false">IF(G98="","",IF(G98&lt;0,"Expired",IF(G98&lt;=7,"Renew in "&amp;G98&amp;" days","Active")))</f>
        <v/>
      </c>
      <c r="I98" s="16" t="str">
        <f aca="false">IF(IFERROR(MATCH(D98,$N$8:$N$13,0),0)=0,"",INDEX($P$8:$P$13,IFERROR(MATCH(D98,$N$8:$N$13,0),0)))</f>
        <v/>
      </c>
      <c r="K98" s="17"/>
      <c r="L98" s="18" t="str">
        <f aca="false">IF(I98="","",I98-N(K98))</f>
        <v/>
      </c>
    </row>
    <row r="99" customFormat="false" ht="15" hidden="false" customHeight="false" outlineLevel="0" collapsed="false">
      <c r="A99" s="9" t="str">
        <f aca="false">IF(B99="","",92)</f>
        <v/>
      </c>
      <c r="B99" s="10"/>
      <c r="C99" s="11"/>
      <c r="D99" s="10"/>
      <c r="E99" s="12"/>
      <c r="F99" s="13" t="str">
        <f aca="false">IF(OR(E99="",IFERROR(MATCH(D99,$N$8:$N$13,0),0)=0),"",EDATE(E99,INDEX($O$8:$O$13,IFERROR(MATCH(D99,$N$8:$N$13,0),0)))-1)</f>
        <v/>
      </c>
      <c r="G99" s="14" t="str">
        <f aca="false">IF(F99="","",F99-$J$5)</f>
        <v/>
      </c>
      <c r="H99" s="15" t="str">
        <f aca="false">IF(G99="","",IF(G99&lt;0,"Expired",IF(G99&lt;=7,"Renew in "&amp;G99&amp;" days","Active")))</f>
        <v/>
      </c>
      <c r="I99" s="16" t="str">
        <f aca="false">IF(IFERROR(MATCH(D99,$N$8:$N$13,0),0)=0,"",INDEX($P$8:$P$13,IFERROR(MATCH(D99,$N$8:$N$13,0),0)))</f>
        <v/>
      </c>
      <c r="K99" s="17"/>
      <c r="L99" s="18" t="str">
        <f aca="false">IF(I99="","",I99-N(K99))</f>
        <v/>
      </c>
    </row>
    <row r="100" customFormat="false" ht="15" hidden="false" customHeight="false" outlineLevel="0" collapsed="false">
      <c r="A100" s="9" t="str">
        <f aca="false">IF(B100="","",93)</f>
        <v/>
      </c>
      <c r="B100" s="10"/>
      <c r="C100" s="11"/>
      <c r="D100" s="10"/>
      <c r="E100" s="12"/>
      <c r="F100" s="13" t="str">
        <f aca="false">IF(OR(E100="",IFERROR(MATCH(D100,$N$8:$N$13,0),0)=0),"",EDATE(E100,INDEX($O$8:$O$13,IFERROR(MATCH(D100,$N$8:$N$13,0),0)))-1)</f>
        <v/>
      </c>
      <c r="G100" s="14" t="str">
        <f aca="false">IF(F100="","",F100-$J$5)</f>
        <v/>
      </c>
      <c r="H100" s="15" t="str">
        <f aca="false">IF(G100="","",IF(G100&lt;0,"Expired",IF(G100&lt;=7,"Renew in "&amp;G100&amp;" days","Active")))</f>
        <v/>
      </c>
      <c r="I100" s="16" t="str">
        <f aca="false">IF(IFERROR(MATCH(D100,$N$8:$N$13,0),0)=0,"",INDEX($P$8:$P$13,IFERROR(MATCH(D100,$N$8:$N$13,0),0)))</f>
        <v/>
      </c>
      <c r="K100" s="17"/>
      <c r="L100" s="18" t="str">
        <f aca="false">IF(I100="","",I100-N(K100))</f>
        <v/>
      </c>
    </row>
    <row r="101" customFormat="false" ht="15" hidden="false" customHeight="false" outlineLevel="0" collapsed="false">
      <c r="A101" s="9" t="str">
        <f aca="false">IF(B101="","",94)</f>
        <v/>
      </c>
      <c r="B101" s="10"/>
      <c r="C101" s="11"/>
      <c r="D101" s="10"/>
      <c r="E101" s="12"/>
      <c r="F101" s="13" t="str">
        <f aca="false">IF(OR(E101="",IFERROR(MATCH(D101,$N$8:$N$13,0),0)=0),"",EDATE(E101,INDEX($O$8:$O$13,IFERROR(MATCH(D101,$N$8:$N$13,0),0)))-1)</f>
        <v/>
      </c>
      <c r="G101" s="14" t="str">
        <f aca="false">IF(F101="","",F101-$J$5)</f>
        <v/>
      </c>
      <c r="H101" s="15" t="str">
        <f aca="false">IF(G101="","",IF(G101&lt;0,"Expired",IF(G101&lt;=7,"Renew in "&amp;G101&amp;" days","Active")))</f>
        <v/>
      </c>
      <c r="I101" s="16" t="str">
        <f aca="false">IF(IFERROR(MATCH(D101,$N$8:$N$13,0),0)=0,"",INDEX($P$8:$P$13,IFERROR(MATCH(D101,$N$8:$N$13,0),0)))</f>
        <v/>
      </c>
      <c r="K101" s="17"/>
      <c r="L101" s="18" t="str">
        <f aca="false">IF(I101="","",I101-N(K101))</f>
        <v/>
      </c>
    </row>
    <row r="102" customFormat="false" ht="15" hidden="false" customHeight="false" outlineLevel="0" collapsed="false">
      <c r="A102" s="9" t="str">
        <f aca="false">IF(B102="","",95)</f>
        <v/>
      </c>
      <c r="B102" s="10"/>
      <c r="C102" s="11"/>
      <c r="D102" s="10"/>
      <c r="E102" s="12"/>
      <c r="F102" s="13" t="str">
        <f aca="false">IF(OR(E102="",IFERROR(MATCH(D102,$N$8:$N$13,0),0)=0),"",EDATE(E102,INDEX($O$8:$O$13,IFERROR(MATCH(D102,$N$8:$N$13,0),0)))-1)</f>
        <v/>
      </c>
      <c r="G102" s="14" t="str">
        <f aca="false">IF(F102="","",F102-$J$5)</f>
        <v/>
      </c>
      <c r="H102" s="15" t="str">
        <f aca="false">IF(G102="","",IF(G102&lt;0,"Expired",IF(G102&lt;=7,"Renew in "&amp;G102&amp;" days","Active")))</f>
        <v/>
      </c>
      <c r="I102" s="16" t="str">
        <f aca="false">IF(IFERROR(MATCH(D102,$N$8:$N$13,0),0)=0,"",INDEX($P$8:$P$13,IFERROR(MATCH(D102,$N$8:$N$13,0),0)))</f>
        <v/>
      </c>
      <c r="K102" s="17"/>
      <c r="L102" s="18" t="str">
        <f aca="false">IF(I102="","",I102-N(K102))</f>
        <v/>
      </c>
    </row>
    <row r="103" customFormat="false" ht="15" hidden="false" customHeight="false" outlineLevel="0" collapsed="false">
      <c r="A103" s="9" t="str">
        <f aca="false">IF(B103="","",96)</f>
        <v/>
      </c>
      <c r="B103" s="10"/>
      <c r="C103" s="11"/>
      <c r="D103" s="10"/>
      <c r="E103" s="12"/>
      <c r="F103" s="13" t="str">
        <f aca="false">IF(OR(E103="",IFERROR(MATCH(D103,$N$8:$N$13,0),0)=0),"",EDATE(E103,INDEX($O$8:$O$13,IFERROR(MATCH(D103,$N$8:$N$13,0),0)))-1)</f>
        <v/>
      </c>
      <c r="G103" s="14" t="str">
        <f aca="false">IF(F103="","",F103-$J$5)</f>
        <v/>
      </c>
      <c r="H103" s="15" t="str">
        <f aca="false">IF(G103="","",IF(G103&lt;0,"Expired",IF(G103&lt;=7,"Renew in "&amp;G103&amp;" days","Active")))</f>
        <v/>
      </c>
      <c r="I103" s="16" t="str">
        <f aca="false">IF(IFERROR(MATCH(D103,$N$8:$N$13,0),0)=0,"",INDEX($P$8:$P$13,IFERROR(MATCH(D103,$N$8:$N$13,0),0)))</f>
        <v/>
      </c>
      <c r="K103" s="17"/>
      <c r="L103" s="18" t="str">
        <f aca="false">IF(I103="","",I103-N(K103))</f>
        <v/>
      </c>
    </row>
    <row r="104" customFormat="false" ht="15" hidden="false" customHeight="false" outlineLevel="0" collapsed="false">
      <c r="A104" s="9" t="str">
        <f aca="false">IF(B104="","",97)</f>
        <v/>
      </c>
      <c r="B104" s="10"/>
      <c r="C104" s="11"/>
      <c r="D104" s="10"/>
      <c r="E104" s="12"/>
      <c r="F104" s="13" t="str">
        <f aca="false">IF(OR(E104="",IFERROR(MATCH(D104,$N$8:$N$13,0),0)=0),"",EDATE(E104,INDEX($O$8:$O$13,IFERROR(MATCH(D104,$N$8:$N$13,0),0)))-1)</f>
        <v/>
      </c>
      <c r="G104" s="14" t="str">
        <f aca="false">IF(F104="","",F104-$J$5)</f>
        <v/>
      </c>
      <c r="H104" s="15" t="str">
        <f aca="false">IF(G104="","",IF(G104&lt;0,"Expired",IF(G104&lt;=7,"Renew in "&amp;G104&amp;" days","Active")))</f>
        <v/>
      </c>
      <c r="I104" s="16" t="str">
        <f aca="false">IF(IFERROR(MATCH(D104,$N$8:$N$13,0),0)=0,"",INDEX($P$8:$P$13,IFERROR(MATCH(D104,$N$8:$N$13,0),0)))</f>
        <v/>
      </c>
      <c r="K104" s="17"/>
      <c r="L104" s="18" t="str">
        <f aca="false">IF(I104="","",I104-N(K104))</f>
        <v/>
      </c>
    </row>
    <row r="105" customFormat="false" ht="15" hidden="false" customHeight="false" outlineLevel="0" collapsed="false">
      <c r="A105" s="9" t="str">
        <f aca="false">IF(B105="","",98)</f>
        <v/>
      </c>
      <c r="B105" s="10"/>
      <c r="C105" s="11"/>
      <c r="D105" s="10"/>
      <c r="E105" s="12"/>
      <c r="F105" s="13" t="str">
        <f aca="false">IF(OR(E105="",IFERROR(MATCH(D105,$N$8:$N$13,0),0)=0),"",EDATE(E105,INDEX($O$8:$O$13,IFERROR(MATCH(D105,$N$8:$N$13,0),0)))-1)</f>
        <v/>
      </c>
      <c r="G105" s="14" t="str">
        <f aca="false">IF(F105="","",F105-$J$5)</f>
        <v/>
      </c>
      <c r="H105" s="15" t="str">
        <f aca="false">IF(G105="","",IF(G105&lt;0,"Expired",IF(G105&lt;=7,"Renew in "&amp;G105&amp;" days","Active")))</f>
        <v/>
      </c>
      <c r="I105" s="16" t="str">
        <f aca="false">IF(IFERROR(MATCH(D105,$N$8:$N$13,0),0)=0,"",INDEX($P$8:$P$13,IFERROR(MATCH(D105,$N$8:$N$13,0),0)))</f>
        <v/>
      </c>
      <c r="K105" s="17"/>
      <c r="L105" s="18" t="str">
        <f aca="false">IF(I105="","",I105-N(K105))</f>
        <v/>
      </c>
    </row>
    <row r="106" customFormat="false" ht="15" hidden="false" customHeight="false" outlineLevel="0" collapsed="false">
      <c r="A106" s="9" t="str">
        <f aca="false">IF(B106="","",99)</f>
        <v/>
      </c>
      <c r="B106" s="10"/>
      <c r="C106" s="11"/>
      <c r="D106" s="10"/>
      <c r="E106" s="12"/>
      <c r="F106" s="13" t="str">
        <f aca="false">IF(OR(E106="",IFERROR(MATCH(D106,$N$8:$N$13,0),0)=0),"",EDATE(E106,INDEX($O$8:$O$13,IFERROR(MATCH(D106,$N$8:$N$13,0),0)))-1)</f>
        <v/>
      </c>
      <c r="G106" s="14" t="str">
        <f aca="false">IF(F106="","",F106-$J$5)</f>
        <v/>
      </c>
      <c r="H106" s="15" t="str">
        <f aca="false">IF(G106="","",IF(G106&lt;0,"Expired",IF(G106&lt;=7,"Renew in "&amp;G106&amp;" days","Active")))</f>
        <v/>
      </c>
      <c r="I106" s="16" t="str">
        <f aca="false">IF(IFERROR(MATCH(D106,$N$8:$N$13,0),0)=0,"",INDEX($P$8:$P$13,IFERROR(MATCH(D106,$N$8:$N$13,0),0)))</f>
        <v/>
      </c>
      <c r="K106" s="17"/>
      <c r="L106" s="18" t="str">
        <f aca="false">IF(I106="","",I106-N(K106))</f>
        <v/>
      </c>
    </row>
    <row r="107" customFormat="false" ht="15" hidden="false" customHeight="false" outlineLevel="0" collapsed="false">
      <c r="A107" s="9" t="str">
        <f aca="false">IF(B107="","",100)</f>
        <v/>
      </c>
      <c r="B107" s="10"/>
      <c r="C107" s="11"/>
      <c r="D107" s="10"/>
      <c r="E107" s="12"/>
      <c r="F107" s="13" t="str">
        <f aca="false">IF(OR(E107="",IFERROR(MATCH(D107,$N$8:$N$13,0),0)=0),"",EDATE(E107,INDEX($O$8:$O$13,IFERROR(MATCH(D107,$N$8:$N$13,0),0)))-1)</f>
        <v/>
      </c>
      <c r="G107" s="14" t="str">
        <f aca="false">IF(F107="","",F107-$J$5)</f>
        <v/>
      </c>
      <c r="H107" s="15" t="str">
        <f aca="false">IF(G107="","",IF(G107&lt;0,"Expired",IF(G107&lt;=7,"Renew in "&amp;G107&amp;" days","Active")))</f>
        <v/>
      </c>
      <c r="I107" s="16" t="str">
        <f aca="false">IF(IFERROR(MATCH(D107,$N$8:$N$13,0),0)=0,"",INDEX($P$8:$P$13,IFERROR(MATCH(D107,$N$8:$N$13,0),0)))</f>
        <v/>
      </c>
      <c r="K107" s="17"/>
      <c r="L107" s="18" t="str">
        <f aca="false">IF(I107="","",I107-N(K107))</f>
        <v/>
      </c>
    </row>
    <row r="109" customFormat="false" ht="15" hidden="false" customHeight="true" outlineLevel="0" collapsed="false">
      <c r="B109" s="21" t="s">
        <v>46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customFormat="false" ht="15" hidden="false" customHeight="false" outlineLevel="0" collapsed="false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</sheetData>
  <sheetProtection sheet="true" formatCells="false" formatColumns="false" formatRows="false" sort="false" autoFilter="false" algorithmName="SHA-512" hashValue="oIpXe1E+K3rrUGntBLQMLVeIS6aXgFCYVRjtoquZ4lYsWQwrMV1iG3bkg4tnID5Mi5D1Vi7jBp6Hr7+0RLePig==" saltValue="TC81YNGF97oCvwoZ1Ou2YQ==" spinCount="100000"/>
  <mergeCells count="6">
    <mergeCell ref="A2:L2"/>
    <mergeCell ref="A3:L3"/>
    <mergeCell ref="C5:E5"/>
    <mergeCell ref="G5:H5"/>
    <mergeCell ref="N6:P6"/>
    <mergeCell ref="B109:L110"/>
  </mergeCells>
  <conditionalFormatting sqref="A8:L107">
    <cfRule type="expression" priority="2" aboveAverage="0" equalAverage="0" bottom="0" percent="0" rank="0" text="" dxfId="0">
      <formula>$H8="Expired"</formula>
    </cfRule>
    <cfRule type="expression" priority="3" aboveAverage="0" equalAverage="0" bottom="0" percent="0" rank="0" text="" dxfId="1">
      <formula>LEFT($H8,5)="Renew"</formula>
    </cfRule>
  </conditionalFormatting>
  <dataValidations count="1">
    <dataValidation allowBlank="true" errorStyle="stop" operator="between" showDropDown="false" showErrorMessage="false" showInputMessage="false" sqref="D8:D107" type="list">
      <formula1>$N$8:$N$13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B2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2"/>
    <col collapsed="false" customWidth="true" hidden="false" outlineLevel="0" max="9" min="9" style="0" width="22"/>
    <col collapsed="false" customWidth="true" hidden="true" outlineLevel="0" max="12" min="12" style="0" width="13"/>
  </cols>
  <sheetData>
    <row r="2" customFormat="false" ht="24" hidden="false" customHeight="true" outlineLevel="0" collapsed="false">
      <c r="B2" s="22" t="str">
        <f aca="false">'Member Register'!$C$5</f>
        <v>Iron Temple Fitness</v>
      </c>
      <c r="C2" s="22"/>
      <c r="D2" s="22"/>
      <c r="E2" s="22"/>
      <c r="F2" s="22"/>
    </row>
    <row r="3" customFormat="false" ht="21.75" hidden="false" customHeight="true" outlineLevel="0" collapsed="false">
      <c r="B3" s="23" t="s">
        <v>47</v>
      </c>
      <c r="C3" s="23"/>
      <c r="D3" s="23"/>
      <c r="E3" s="23"/>
      <c r="F3" s="23"/>
      <c r="I3" s="24" t="s">
        <v>48</v>
      </c>
    </row>
    <row r="4" customFormat="false" ht="15" hidden="false" customHeight="false" outlineLevel="0" collapsed="false">
      <c r="I4" s="25" t="n">
        <v>3</v>
      </c>
    </row>
    <row r="5" customFormat="false" ht="15" hidden="false" customHeight="false" outlineLevel="0" collapsed="false">
      <c r="B5" s="3" t="s">
        <v>49</v>
      </c>
      <c r="C5" s="26" t="str">
        <f aca="false">$I$7</f>
        <v>IT/101</v>
      </c>
      <c r="E5" s="3" t="s">
        <v>50</v>
      </c>
      <c r="F5" s="27" t="n">
        <f aca="false">'Member Register'!$J$5</f>
        <v>46310</v>
      </c>
    </row>
    <row r="6" customFormat="false" ht="15" hidden="false" customHeight="false" outlineLevel="0" collapsed="false">
      <c r="B6" s="3" t="s">
        <v>51</v>
      </c>
      <c r="C6" s="26" t="str">
        <f aca="false">IF(N($I$4)&lt;1,"",INDEX('Member Register'!$B$8:$B$107,$I$4))</f>
        <v>Rohit Dhillon</v>
      </c>
      <c r="E6" s="3" t="s">
        <v>8</v>
      </c>
      <c r="F6" s="26" t="str">
        <f aca="false">IF(N($I$4)&lt;1,"",INDEX('Member Register'!$C$8:$C$107,$I$4))</f>
        <v>9876011778</v>
      </c>
      <c r="I6" s="24" t="s">
        <v>49</v>
      </c>
    </row>
    <row r="7" customFormat="false" ht="15" hidden="false" customHeight="false" outlineLevel="0" collapsed="false">
      <c r="B7" s="3" t="s">
        <v>9</v>
      </c>
      <c r="C7" s="26" t="str">
        <f aca="false">IF(N($I$4)&lt;1,"",INDEX('Member Register'!$D$8:$D$107,$I$4))</f>
        <v>Quarterly</v>
      </c>
      <c r="E7" s="3" t="s">
        <v>52</v>
      </c>
      <c r="F7" s="26" t="str">
        <f aca="false">IF(N($I$4)&lt;1,"",TEXT(INDEX('Member Register'!$E$8:$E$107,$I$4),"dd-mmm-yy")&amp;" to "&amp;TEXT(INDEX('Member Register'!$F$8:$F$107,$I$4),"dd-mmm-yy"))</f>
        <v>21-Jul-26 to 20-Oct-26</v>
      </c>
      <c r="I7" s="28" t="s">
        <v>53</v>
      </c>
    </row>
    <row r="9" customFormat="false" ht="24" hidden="false" customHeight="true" outlineLevel="0" collapsed="false">
      <c r="B9" s="29" t="s">
        <v>54</v>
      </c>
      <c r="C9" s="29"/>
      <c r="D9" s="29"/>
      <c r="E9" s="29"/>
      <c r="F9" s="30" t="n">
        <f aca="false">IF(N($I$4)&lt;1,"",INDEX('Member Register'!$K$8:$K$107,$I$4))</f>
        <v>3300</v>
      </c>
    </row>
    <row r="10" customFormat="false" ht="15" hidden="false" customHeight="false" outlineLevel="0" collapsed="false">
      <c r="B10" s="31" t="str">
        <f aca="false">IF(L10&lt;=0,"","Rupees "&amp;TRIM(IF(L11&gt;0,INDEX(Lists!$W$1:$W$99,L11)&amp;" Crore ","")&amp;IF(L12&gt;0,INDEX(Lists!$W$1:$W$99,L12)&amp;" Lakh ","")&amp;IF(L13&gt;0,INDEX(Lists!$W$1:$W$99,L13)&amp;" Thousand ","")&amp;IF(L14&gt;0,INDEX(Lists!$W$1:$W$99,L14)&amp;" Hundred ","")&amp;IF(L15&gt;0,INDEX(Lists!$W$1:$W$99,L15),""))&amp;" Only")</f>
        <v>Rupees Three Thousand Three Hundred Only</v>
      </c>
      <c r="C10" s="31"/>
      <c r="D10" s="31"/>
      <c r="E10" s="31"/>
      <c r="F10" s="31"/>
      <c r="L10" s="32" t="n">
        <f aca="false">INT(N(F9))</f>
        <v>3300</v>
      </c>
    </row>
    <row r="11" customFormat="false" ht="15" hidden="false" customHeight="false" outlineLevel="0" collapsed="false">
      <c r="B11" s="33" t="str">
        <f aca="false">IF(N($I$4)&lt;1,"","Balance due: ₹"&amp;TEXT(N(INDEX('Member Register'!$L$8:$L$107,$I$4)),"#,##,##0"))</f>
        <v>Balance due: ₹0</v>
      </c>
      <c r="C11" s="33"/>
      <c r="D11" s="33"/>
      <c r="E11" s="33"/>
      <c r="F11" s="33"/>
      <c r="L11" s="32" t="n">
        <f aca="false">INT(L10/10000000)</f>
        <v>0</v>
      </c>
    </row>
    <row r="12" customFormat="false" ht="15" hidden="false" customHeight="false" outlineLevel="0" collapsed="false">
      <c r="L12" s="32" t="n">
        <f aca="false">INT(MOD(L10,10000000)/100000)</f>
        <v>0</v>
      </c>
    </row>
    <row r="13" customFormat="false" ht="15" hidden="false" customHeight="false" outlineLevel="0" collapsed="false">
      <c r="L13" s="32" t="n">
        <f aca="false">INT(MOD(L10,100000)/1000)</f>
        <v>3</v>
      </c>
    </row>
    <row r="14" customFormat="false" ht="20.85" hidden="false" customHeight="true" outlineLevel="0" collapsed="false">
      <c r="B14" s="34" t="s">
        <v>55</v>
      </c>
      <c r="E14" s="35" t="s">
        <v>56</v>
      </c>
      <c r="F14" s="35"/>
      <c r="L14" s="32" t="n">
        <f aca="false">INT(MOD(L10,1000)/100)</f>
        <v>3</v>
      </c>
    </row>
    <row r="15" customFormat="false" ht="15" hidden="false" customHeight="false" outlineLevel="0" collapsed="false">
      <c r="L15" s="32" t="n">
        <f aca="false">MOD(L10,100)</f>
        <v>0</v>
      </c>
    </row>
    <row r="16" customFormat="false" ht="15" hidden="false" customHeight="true" outlineLevel="0" collapsed="false">
      <c r="B16" s="36" t="s">
        <v>57</v>
      </c>
      <c r="C16" s="36"/>
      <c r="D16" s="36"/>
      <c r="E16" s="36"/>
      <c r="F16" s="36"/>
    </row>
  </sheetData>
  <sheetProtection sheet="true" formatCells="false" formatColumns="false" formatRows="false" sort="false" autoFilter="false" algorithmName="SHA-512" hashValue="YzoDSKX/A2VCi60fpkebIK2iARfh/2aPBN4jIuQ9BG6svCM73+C0iNBumbqyJocvhfkXagBlvsSXdsPceEakag==" saltValue="tjrNyactgKRl+iZOIOCxrg==" spinCount="100000"/>
  <mergeCells count="7">
    <mergeCell ref="B2:F2"/>
    <mergeCell ref="B3:F3"/>
    <mergeCell ref="B9:E9"/>
    <mergeCell ref="B10:F10"/>
    <mergeCell ref="B11:F11"/>
    <mergeCell ref="E14:F14"/>
    <mergeCell ref="B16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58</v>
      </c>
      <c r="B1" s="0" t="s">
        <v>59</v>
      </c>
      <c r="C1" s="0" t="s">
        <v>21</v>
      </c>
      <c r="D1" s="0" t="n">
        <v>1</v>
      </c>
      <c r="E1" s="0" t="n">
        <v>1200</v>
      </c>
      <c r="W1" s="0" t="s">
        <v>60</v>
      </c>
    </row>
    <row r="2" customFormat="false" ht="15" hidden="false" customHeight="false" outlineLevel="0" collapsed="false">
      <c r="A2" s="0" t="s">
        <v>61</v>
      </c>
      <c r="B2" s="0" t="s">
        <v>62</v>
      </c>
      <c r="C2" s="0" t="s">
        <v>24</v>
      </c>
      <c r="D2" s="0" t="n">
        <v>3</v>
      </c>
      <c r="E2" s="0" t="n">
        <v>3300</v>
      </c>
      <c r="W2" s="0" t="s">
        <v>63</v>
      </c>
    </row>
    <row r="3" customFormat="false" ht="15" hidden="false" customHeight="false" outlineLevel="0" collapsed="false">
      <c r="A3" s="0" t="s">
        <v>64</v>
      </c>
      <c r="C3" s="0" t="s">
        <v>20</v>
      </c>
      <c r="D3" s="0" t="n">
        <v>6</v>
      </c>
      <c r="E3" s="0" t="n">
        <v>6000</v>
      </c>
      <c r="W3" s="0" t="s">
        <v>65</v>
      </c>
    </row>
    <row r="4" customFormat="false" ht="15" hidden="false" customHeight="false" outlineLevel="0" collapsed="false">
      <c r="A4" s="0" t="s">
        <v>66</v>
      </c>
      <c r="C4" s="0" t="s">
        <v>29</v>
      </c>
      <c r="D4" s="0" t="n">
        <v>12</v>
      </c>
      <c r="E4" s="0" t="n">
        <v>10000</v>
      </c>
      <c r="W4" s="0" t="s">
        <v>67</v>
      </c>
    </row>
    <row r="5" customFormat="false" ht="15" hidden="false" customHeight="false" outlineLevel="0" collapsed="false">
      <c r="A5" s="0" t="s">
        <v>68</v>
      </c>
      <c r="W5" s="0" t="s">
        <v>69</v>
      </c>
    </row>
    <row r="6" customFormat="false" ht="15" hidden="false" customHeight="false" outlineLevel="0" collapsed="false">
      <c r="W6" s="0" t="s">
        <v>70</v>
      </c>
    </row>
    <row r="7" customFormat="false" ht="15" hidden="false" customHeight="false" outlineLevel="0" collapsed="false">
      <c r="W7" s="0" t="s">
        <v>71</v>
      </c>
    </row>
    <row r="8" customFormat="false" ht="15" hidden="false" customHeight="false" outlineLevel="0" collapsed="false">
      <c r="W8" s="0" t="s">
        <v>72</v>
      </c>
    </row>
    <row r="9" customFormat="false" ht="15" hidden="false" customHeight="false" outlineLevel="0" collapsed="false">
      <c r="W9" s="0" t="s">
        <v>73</v>
      </c>
    </row>
    <row r="10" customFormat="false" ht="15" hidden="false" customHeight="false" outlineLevel="0" collapsed="false">
      <c r="W10" s="0" t="s">
        <v>74</v>
      </c>
    </row>
    <row r="11" customFormat="false" ht="15" hidden="false" customHeight="false" outlineLevel="0" collapsed="false">
      <c r="W11" s="0" t="s">
        <v>75</v>
      </c>
    </row>
    <row r="12" customFormat="false" ht="15" hidden="false" customHeight="false" outlineLevel="0" collapsed="false">
      <c r="W12" s="0" t="s">
        <v>76</v>
      </c>
    </row>
    <row r="13" customFormat="false" ht="15" hidden="false" customHeight="false" outlineLevel="0" collapsed="false">
      <c r="W13" s="0" t="s">
        <v>77</v>
      </c>
    </row>
    <row r="14" customFormat="false" ht="15" hidden="false" customHeight="false" outlineLevel="0" collapsed="false">
      <c r="W14" s="0" t="s">
        <v>78</v>
      </c>
    </row>
    <row r="15" customFormat="false" ht="15" hidden="false" customHeight="false" outlineLevel="0" collapsed="false">
      <c r="W15" s="0" t="s">
        <v>79</v>
      </c>
    </row>
    <row r="16" customFormat="false" ht="15" hidden="false" customHeight="false" outlineLevel="0" collapsed="false">
      <c r="W16" s="0" t="s">
        <v>80</v>
      </c>
    </row>
    <row r="17" customFormat="false" ht="15" hidden="false" customHeight="false" outlineLevel="0" collapsed="false">
      <c r="W17" s="0" t="s">
        <v>81</v>
      </c>
    </row>
    <row r="18" customFormat="false" ht="15" hidden="false" customHeight="false" outlineLevel="0" collapsed="false">
      <c r="W18" s="0" t="s">
        <v>82</v>
      </c>
    </row>
    <row r="19" customFormat="false" ht="15" hidden="false" customHeight="false" outlineLevel="0" collapsed="false">
      <c r="W19" s="0" t="s">
        <v>83</v>
      </c>
    </row>
    <row r="20" customFormat="false" ht="15" hidden="false" customHeight="false" outlineLevel="0" collapsed="false">
      <c r="W20" s="0" t="s">
        <v>84</v>
      </c>
    </row>
    <row r="21" customFormat="false" ht="15" hidden="false" customHeight="false" outlineLevel="0" collapsed="false">
      <c r="W21" s="0" t="s">
        <v>85</v>
      </c>
    </row>
    <row r="22" customFormat="false" ht="15" hidden="false" customHeight="false" outlineLevel="0" collapsed="false">
      <c r="W22" s="0" t="s">
        <v>86</v>
      </c>
    </row>
    <row r="23" customFormat="false" ht="15" hidden="false" customHeight="false" outlineLevel="0" collapsed="false">
      <c r="W23" s="0" t="s">
        <v>87</v>
      </c>
    </row>
    <row r="24" customFormat="false" ht="15" hidden="false" customHeight="false" outlineLevel="0" collapsed="false">
      <c r="W24" s="0" t="s">
        <v>88</v>
      </c>
    </row>
    <row r="25" customFormat="false" ht="15" hidden="false" customHeight="false" outlineLevel="0" collapsed="false">
      <c r="W25" s="0" t="s">
        <v>89</v>
      </c>
    </row>
    <row r="26" customFormat="false" ht="15" hidden="false" customHeight="false" outlineLevel="0" collapsed="false">
      <c r="W26" s="0" t="s">
        <v>90</v>
      </c>
    </row>
    <row r="27" customFormat="false" ht="15" hidden="false" customHeight="false" outlineLevel="0" collapsed="false">
      <c r="W27" s="0" t="s">
        <v>91</v>
      </c>
    </row>
    <row r="28" customFormat="false" ht="15" hidden="false" customHeight="false" outlineLevel="0" collapsed="false">
      <c r="W28" s="0" t="s">
        <v>92</v>
      </c>
    </row>
    <row r="29" customFormat="false" ht="15" hidden="false" customHeight="false" outlineLevel="0" collapsed="false">
      <c r="W29" s="0" t="s">
        <v>93</v>
      </c>
    </row>
    <row r="30" customFormat="false" ht="15" hidden="false" customHeight="false" outlineLevel="0" collapsed="false">
      <c r="W30" s="0" t="s">
        <v>94</v>
      </c>
    </row>
    <row r="31" customFormat="false" ht="15" hidden="false" customHeight="false" outlineLevel="0" collapsed="false">
      <c r="W31" s="0" t="s">
        <v>95</v>
      </c>
    </row>
    <row r="32" customFormat="false" ht="15" hidden="false" customHeight="false" outlineLevel="0" collapsed="false">
      <c r="W32" s="0" t="s">
        <v>96</v>
      </c>
    </row>
    <row r="33" customFormat="false" ht="15" hidden="false" customHeight="false" outlineLevel="0" collapsed="false">
      <c r="W33" s="0" t="s">
        <v>97</v>
      </c>
    </row>
    <row r="34" customFormat="false" ht="15" hidden="false" customHeight="false" outlineLevel="0" collapsed="false">
      <c r="W34" s="0" t="s">
        <v>98</v>
      </c>
    </row>
    <row r="35" customFormat="false" ht="15" hidden="false" customHeight="false" outlineLevel="0" collapsed="false">
      <c r="W35" s="0" t="s">
        <v>99</v>
      </c>
    </row>
    <row r="36" customFormat="false" ht="15" hidden="false" customHeight="false" outlineLevel="0" collapsed="false">
      <c r="W36" s="0" t="s">
        <v>100</v>
      </c>
    </row>
    <row r="37" customFormat="false" ht="15" hidden="false" customHeight="false" outlineLevel="0" collapsed="false">
      <c r="W37" s="0" t="s">
        <v>101</v>
      </c>
    </row>
    <row r="38" customFormat="false" ht="15" hidden="false" customHeight="false" outlineLevel="0" collapsed="false">
      <c r="W38" s="0" t="s">
        <v>102</v>
      </c>
    </row>
    <row r="39" customFormat="false" ht="15" hidden="false" customHeight="false" outlineLevel="0" collapsed="false">
      <c r="W39" s="0" t="s">
        <v>103</v>
      </c>
    </row>
    <row r="40" customFormat="false" ht="15" hidden="false" customHeight="false" outlineLevel="0" collapsed="false">
      <c r="W40" s="0" t="s">
        <v>104</v>
      </c>
    </row>
    <row r="41" customFormat="false" ht="15" hidden="false" customHeight="false" outlineLevel="0" collapsed="false">
      <c r="W41" s="0" t="s">
        <v>105</v>
      </c>
    </row>
    <row r="42" customFormat="false" ht="15" hidden="false" customHeight="false" outlineLevel="0" collapsed="false">
      <c r="W42" s="0" t="s">
        <v>106</v>
      </c>
    </row>
    <row r="43" customFormat="false" ht="15" hidden="false" customHeight="false" outlineLevel="0" collapsed="false">
      <c r="W43" s="0" t="s">
        <v>107</v>
      </c>
    </row>
    <row r="44" customFormat="false" ht="15" hidden="false" customHeight="false" outlineLevel="0" collapsed="false">
      <c r="W44" s="0" t="s">
        <v>108</v>
      </c>
    </row>
    <row r="45" customFormat="false" ht="15" hidden="false" customHeight="false" outlineLevel="0" collapsed="false">
      <c r="W45" s="0" t="s">
        <v>109</v>
      </c>
    </row>
    <row r="46" customFormat="false" ht="15" hidden="false" customHeight="false" outlineLevel="0" collapsed="false">
      <c r="W46" s="0" t="s">
        <v>110</v>
      </c>
    </row>
    <row r="47" customFormat="false" ht="15" hidden="false" customHeight="false" outlineLevel="0" collapsed="false">
      <c r="W47" s="0" t="s">
        <v>111</v>
      </c>
    </row>
    <row r="48" customFormat="false" ht="15" hidden="false" customHeight="false" outlineLevel="0" collapsed="false">
      <c r="W48" s="0" t="s">
        <v>112</v>
      </c>
    </row>
    <row r="49" customFormat="false" ht="15" hidden="false" customHeight="false" outlineLevel="0" collapsed="false">
      <c r="W49" s="0" t="s">
        <v>113</v>
      </c>
    </row>
    <row r="50" customFormat="false" ht="15" hidden="false" customHeight="false" outlineLevel="0" collapsed="false">
      <c r="W50" s="0" t="s">
        <v>114</v>
      </c>
    </row>
    <row r="51" customFormat="false" ht="15" hidden="false" customHeight="false" outlineLevel="0" collapsed="false">
      <c r="W51" s="0" t="s">
        <v>115</v>
      </c>
    </row>
    <row r="52" customFormat="false" ht="15" hidden="false" customHeight="false" outlineLevel="0" collapsed="false">
      <c r="W52" s="0" t="s">
        <v>116</v>
      </c>
    </row>
    <row r="53" customFormat="false" ht="15" hidden="false" customHeight="false" outlineLevel="0" collapsed="false">
      <c r="W53" s="0" t="s">
        <v>117</v>
      </c>
    </row>
    <row r="54" customFormat="false" ht="15" hidden="false" customHeight="false" outlineLevel="0" collapsed="false">
      <c r="W54" s="0" t="s">
        <v>118</v>
      </c>
    </row>
    <row r="55" customFormat="false" ht="15" hidden="false" customHeight="false" outlineLevel="0" collapsed="false">
      <c r="W55" s="0" t="s">
        <v>119</v>
      </c>
    </row>
    <row r="56" customFormat="false" ht="15" hidden="false" customHeight="false" outlineLevel="0" collapsed="false">
      <c r="W56" s="0" t="s">
        <v>120</v>
      </c>
    </row>
    <row r="57" customFormat="false" ht="15" hidden="false" customHeight="false" outlineLevel="0" collapsed="false">
      <c r="W57" s="0" t="s">
        <v>121</v>
      </c>
    </row>
    <row r="58" customFormat="false" ht="15" hidden="false" customHeight="false" outlineLevel="0" collapsed="false">
      <c r="W58" s="0" t="s">
        <v>122</v>
      </c>
    </row>
    <row r="59" customFormat="false" ht="15" hidden="false" customHeight="false" outlineLevel="0" collapsed="false">
      <c r="W59" s="0" t="s">
        <v>123</v>
      </c>
    </row>
    <row r="60" customFormat="false" ht="15" hidden="false" customHeight="false" outlineLevel="0" collapsed="false">
      <c r="W60" s="0" t="s">
        <v>124</v>
      </c>
    </row>
    <row r="61" customFormat="false" ht="15" hidden="false" customHeight="false" outlineLevel="0" collapsed="false">
      <c r="W61" s="0" t="s">
        <v>125</v>
      </c>
    </row>
    <row r="62" customFormat="false" ht="15" hidden="false" customHeight="false" outlineLevel="0" collapsed="false">
      <c r="W62" s="0" t="s">
        <v>126</v>
      </c>
    </row>
    <row r="63" customFormat="false" ht="15" hidden="false" customHeight="false" outlineLevel="0" collapsed="false">
      <c r="W63" s="0" t="s">
        <v>127</v>
      </c>
    </row>
    <row r="64" customFormat="false" ht="15" hidden="false" customHeight="false" outlineLevel="0" collapsed="false">
      <c r="W64" s="0" t="s">
        <v>128</v>
      </c>
    </row>
    <row r="65" customFormat="false" ht="15" hidden="false" customHeight="false" outlineLevel="0" collapsed="false">
      <c r="W65" s="0" t="s">
        <v>129</v>
      </c>
    </row>
    <row r="66" customFormat="false" ht="15" hidden="false" customHeight="false" outlineLevel="0" collapsed="false">
      <c r="W66" s="0" t="s">
        <v>130</v>
      </c>
    </row>
    <row r="67" customFormat="false" ht="15" hidden="false" customHeight="false" outlineLevel="0" collapsed="false">
      <c r="W67" s="0" t="s">
        <v>131</v>
      </c>
    </row>
    <row r="68" customFormat="false" ht="15" hidden="false" customHeight="false" outlineLevel="0" collapsed="false">
      <c r="W68" s="0" t="s">
        <v>132</v>
      </c>
    </row>
    <row r="69" customFormat="false" ht="15" hidden="false" customHeight="false" outlineLevel="0" collapsed="false">
      <c r="W69" s="0" t="s">
        <v>133</v>
      </c>
    </row>
    <row r="70" customFormat="false" ht="15" hidden="false" customHeight="false" outlineLevel="0" collapsed="false">
      <c r="W70" s="0" t="s">
        <v>134</v>
      </c>
    </row>
    <row r="71" customFormat="false" ht="15" hidden="false" customHeight="false" outlineLevel="0" collapsed="false">
      <c r="W71" s="0" t="s">
        <v>135</v>
      </c>
    </row>
    <row r="72" customFormat="false" ht="15" hidden="false" customHeight="false" outlineLevel="0" collapsed="false">
      <c r="W72" s="0" t="s">
        <v>136</v>
      </c>
    </row>
    <row r="73" customFormat="false" ht="15" hidden="false" customHeight="false" outlineLevel="0" collapsed="false">
      <c r="W73" s="0" t="s">
        <v>137</v>
      </c>
    </row>
    <row r="74" customFormat="false" ht="15" hidden="false" customHeight="false" outlineLevel="0" collapsed="false">
      <c r="W74" s="0" t="s">
        <v>138</v>
      </c>
    </row>
    <row r="75" customFormat="false" ht="15" hidden="false" customHeight="false" outlineLevel="0" collapsed="false">
      <c r="W75" s="0" t="s">
        <v>139</v>
      </c>
    </row>
    <row r="76" customFormat="false" ht="15" hidden="false" customHeight="false" outlineLevel="0" collapsed="false">
      <c r="W76" s="0" t="s">
        <v>140</v>
      </c>
    </row>
    <row r="77" customFormat="false" ht="15" hidden="false" customHeight="false" outlineLevel="0" collapsed="false">
      <c r="W77" s="0" t="s">
        <v>141</v>
      </c>
    </row>
    <row r="78" customFormat="false" ht="15" hidden="false" customHeight="false" outlineLevel="0" collapsed="false">
      <c r="W78" s="0" t="s">
        <v>142</v>
      </c>
    </row>
    <row r="79" customFormat="false" ht="15" hidden="false" customHeight="false" outlineLevel="0" collapsed="false">
      <c r="W79" s="0" t="s">
        <v>143</v>
      </c>
    </row>
    <row r="80" customFormat="false" ht="15" hidden="false" customHeight="false" outlineLevel="0" collapsed="false">
      <c r="W80" s="0" t="s">
        <v>144</v>
      </c>
    </row>
    <row r="81" customFormat="false" ht="15" hidden="false" customHeight="false" outlineLevel="0" collapsed="false">
      <c r="W81" s="0" t="s">
        <v>145</v>
      </c>
    </row>
    <row r="82" customFormat="false" ht="15" hidden="false" customHeight="false" outlineLevel="0" collapsed="false">
      <c r="W82" s="0" t="s">
        <v>146</v>
      </c>
    </row>
    <row r="83" customFormat="false" ht="15" hidden="false" customHeight="false" outlineLevel="0" collapsed="false">
      <c r="W83" s="0" t="s">
        <v>147</v>
      </c>
    </row>
    <row r="84" customFormat="false" ht="15" hidden="false" customHeight="false" outlineLevel="0" collapsed="false">
      <c r="W84" s="0" t="s">
        <v>148</v>
      </c>
    </row>
    <row r="85" customFormat="false" ht="15" hidden="false" customHeight="false" outlineLevel="0" collapsed="false">
      <c r="W85" s="0" t="s">
        <v>149</v>
      </c>
    </row>
    <row r="86" customFormat="false" ht="15" hidden="false" customHeight="false" outlineLevel="0" collapsed="false">
      <c r="W86" s="0" t="s">
        <v>150</v>
      </c>
    </row>
    <row r="87" customFormat="false" ht="15" hidden="false" customHeight="false" outlineLevel="0" collapsed="false">
      <c r="W87" s="0" t="s">
        <v>151</v>
      </c>
    </row>
    <row r="88" customFormat="false" ht="15" hidden="false" customHeight="false" outlineLevel="0" collapsed="false">
      <c r="W88" s="0" t="s">
        <v>152</v>
      </c>
    </row>
    <row r="89" customFormat="false" ht="15" hidden="false" customHeight="false" outlineLevel="0" collapsed="false">
      <c r="W89" s="0" t="s">
        <v>153</v>
      </c>
    </row>
    <row r="90" customFormat="false" ht="15" hidden="false" customHeight="false" outlineLevel="0" collapsed="false">
      <c r="W90" s="0" t="s">
        <v>154</v>
      </c>
    </row>
    <row r="91" customFormat="false" ht="15" hidden="false" customHeight="false" outlineLevel="0" collapsed="false">
      <c r="W91" s="0" t="s">
        <v>155</v>
      </c>
    </row>
    <row r="92" customFormat="false" ht="15" hidden="false" customHeight="false" outlineLevel="0" collapsed="false">
      <c r="W92" s="0" t="s">
        <v>156</v>
      </c>
    </row>
    <row r="93" customFormat="false" ht="15" hidden="false" customHeight="false" outlineLevel="0" collapsed="false">
      <c r="W93" s="0" t="s">
        <v>157</v>
      </c>
    </row>
    <row r="94" customFormat="false" ht="15" hidden="false" customHeight="false" outlineLevel="0" collapsed="false">
      <c r="W94" s="0" t="s">
        <v>158</v>
      </c>
    </row>
    <row r="95" customFormat="false" ht="15" hidden="false" customHeight="false" outlineLevel="0" collapsed="false">
      <c r="W95" s="0" t="s">
        <v>159</v>
      </c>
    </row>
    <row r="96" customFormat="false" ht="15" hidden="false" customHeight="false" outlineLevel="0" collapsed="false">
      <c r="W96" s="0" t="s">
        <v>160</v>
      </c>
    </row>
    <row r="97" customFormat="false" ht="15" hidden="false" customHeight="false" outlineLevel="0" collapsed="false">
      <c r="W97" s="0" t="s">
        <v>161</v>
      </c>
    </row>
    <row r="98" customFormat="false" ht="15" hidden="false" customHeight="false" outlineLevel="0" collapsed="false">
      <c r="W98" s="0" t="s">
        <v>162</v>
      </c>
    </row>
    <row r="99" customFormat="false" ht="15" hidden="false" customHeight="false" outlineLevel="0" collapsed="false">
      <c r="W99" s="0" t="s">
        <v>163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2026-10-15T14:43:38Z</dcterms:created>
  <dc:creator>Xplorexcel.com</dc:creator>
  <dc:description/>
  <dc:language>en-US</dc:language>
  <cp:lastModifiedBy/>
  <dcterms:modified xsi:type="dcterms:W3CDTF">2026-10-15T14:43:38Z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