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About Workbook" sheetId="2" state="visible" r:id="rId4"/>
    <sheet name="Your Details" sheetId="3" state="visible" r:id="rId5"/>
    <sheet name="Tax Computation" sheetId="4" state="visible" r:id="rId6"/>
    <sheet name="Salary Table" sheetId="5" state="visible" r:id="rId7"/>
    <sheet name="Tax Rates" sheetId="6" state="visible" r:id="rId8"/>
    <sheet name="Lists" sheetId="7" state="hidden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<sst xmlns="http://schemas.openxmlformats.org/spreadsheetml/2006/main" count="186" uniqueCount="168">
  <si>
    <t xml:space="preserve">Income Tax Calculator – Old vs New Regime</t>
  </si>
  <si>
    <t xml:space="preserve">GO TO SHEET</t>
  </si>
  <si>
    <t xml:space="preserve">YOUR RESULT</t>
  </si>
  <si>
    <t xml:space="preserve">Income, deductions, age</t>
  </si>
  <si>
    <t xml:space="preserve">Taxable income – old regime</t>
  </si>
  <si>
    <t xml:space="preserve">Line-by-line, both regimes</t>
  </si>
  <si>
    <t xml:space="preserve">Taxable income – new regime</t>
  </si>
  <si>
    <t xml:space="preserve">Tax at 15 salary levels + chart</t>
  </si>
  <si>
    <t xml:space="preserve">Total tax – old regime</t>
  </si>
  <si>
    <t xml:space="preserve">Slabs &amp; limits (edit yearly)</t>
  </si>
  <si>
    <t xml:space="preserve">Total tax – new regime</t>
  </si>
  <si>
    <t xml:space="preserve">Features &amp; steps</t>
  </si>
  <si>
    <t xml:space="preserve">Monthly TDS – better regime</t>
  </si>
  <si>
    <t xml:space="preserve">Designed by</t>
  </si>
  <si>
    <t xml:space="preserve">Check out our templates @ xplorexcel.com</t>
  </si>
  <si>
    <t xml:space="preserve">◄ BACK TO DASHBOARD</t>
  </si>
  <si>
    <t xml:space="preserve">Features of Income Tax Calculator (Old vs New Regime) 1.0 in Microsoft Excel :-</t>
  </si>
  <si>
    <t xml:space="preserve">Life-time free – no macros, works in Excel 2010+, Excel for Mac and Google Sheets</t>
  </si>
  <si>
    <t xml:space="preserve">Updated for Tax Year 2026-27 (FY 2026-27) – slabs unchanged in Budget 2026</t>
  </si>
  <si>
    <t xml:space="preserve">Side-by-side old vs new regime computation, line by line</t>
  </si>
  <si>
    <t xml:space="preserve">Standard deduction, rebate with marginal relief (zero tax up to ₹12 lakh taxable in new regime)</t>
  </si>
  <si>
    <t xml:space="preserve">Surcharge with marginal relief, 4% health &amp; education cess, rounding to ₹10</t>
  </si>
  <si>
    <t xml:space="preserve">Old-regime deductions with limits: HRA, LTA, PT, home loan interest, 80C, 80CCD(1B), 80D, 80E, 80G, 80TTA/80TTB</t>
  </si>
  <si>
    <t xml:space="preserve">Employer NPS 80CCD(2) in both regimes (14% new / 10% or 14% old)</t>
  </si>
  <si>
    <t xml:space="preserve">Senior (60–79) and super senior (80+) slabs</t>
  </si>
  <si>
    <t xml:space="preserve">Clear verdict: which regime is better and how much you save per year and per month</t>
  </si>
  <si>
    <t xml:space="preserve">Break-even deduction estimate for the old regime</t>
  </si>
  <si>
    <t xml:space="preserve">Salary table (₹5 lakh to ₹50 lakh) with chart</t>
  </si>
  <si>
    <t xml:space="preserve">All rates on one 'Tax Rates' sheet – easy to update after every Budget</t>
  </si>
  <si>
    <t xml:space="preserve">How to use it (3 steps)</t>
  </si>
  <si>
    <t xml:space="preserve">Step 1</t>
  </si>
  <si>
    <t xml:space="preserve">Your Details – enter your age, salary, other income and (for the old regime) your exemptions and deductions.</t>
  </si>
  <si>
    <t xml:space="preserve">Step 2</t>
  </si>
  <si>
    <t xml:space="preserve">Tax Computation / Dashboard – compare both regimes and read the verdict.</t>
  </si>
  <si>
    <t xml:space="preserve">Step 3</t>
  </si>
  <si>
    <t xml:space="preserve">Tell your employer your regime choice so the right TDS is deducted. Keep proofs for old-regime deductions.</t>
  </si>
  <si>
    <t xml:space="preserve">Covers salary and normal-rate income for resident individuals. Not covered: capital gains at special rates, business presumptive schemes, AMT. Estimates only – verify with the Income Tax Department's calculator or a tax professional before filing.</t>
  </si>
  <si>
    <t xml:space="preserve">Your Income &amp; Deductions – Tax Year 2026-27</t>
  </si>
  <si>
    <t xml:space="preserve">PROFILE</t>
  </si>
  <si>
    <t xml:space="preserve">Name</t>
  </si>
  <si>
    <t xml:space="preserve">Simran Kaur</t>
  </si>
  <si>
    <t xml:space="preserve">Age</t>
  </si>
  <si>
    <t xml:space="preserve">Below 60 years</t>
  </si>
  <si>
    <t xml:space="preserve">Decides old-regime slabs and some limits</t>
  </si>
  <si>
    <t xml:space="preserve">Employer type</t>
  </si>
  <si>
    <t xml:space="preserve">Private / Other</t>
  </si>
  <si>
    <t xml:space="preserve">Affects employer-NPS limit in old regime</t>
  </si>
  <si>
    <t xml:space="preserve">INCOME (yearly)</t>
  </si>
  <si>
    <t xml:space="preserve">Gross salary (incl. HRA, allowances, bonus)</t>
  </si>
  <si>
    <t xml:space="preserve">From Form 16 / salary slips</t>
  </si>
  <si>
    <t xml:space="preserve">Basic + DA (yearly)</t>
  </si>
  <si>
    <t xml:space="preserve">Needed for employer NPS limit</t>
  </si>
  <si>
    <t xml:space="preserve">Savings bank interest</t>
  </si>
  <si>
    <t xml:space="preserve">FD / RD / other interest</t>
  </si>
  <si>
    <t xml:space="preserve">Other income (rent received net, freelance, etc.)</t>
  </si>
  <si>
    <t xml:space="preserve">Enter net taxable amount</t>
  </si>
  <si>
    <t xml:space="preserve">OLD REGIME ONLY – exemptions &amp; deductions</t>
  </si>
  <si>
    <t xml:space="preserve">HRA exemption</t>
  </si>
  <si>
    <t xml:space="preserve">Use our Rent Receipt &amp; HRA Calculator to work this out</t>
  </si>
  <si>
    <t xml:space="preserve">LTA exemption</t>
  </si>
  <si>
    <t xml:space="preserve">Professional tax paid</t>
  </si>
  <si>
    <t xml:space="preserve">Max ₹2,500</t>
  </si>
  <si>
    <t xml:space="preserve">Home loan interest – self-occupied</t>
  </si>
  <si>
    <t xml:space="preserve">Max ₹2,00,000</t>
  </si>
  <si>
    <t xml:space="preserve">80C – PF, PPF, ELSS, LIC, principal, tuition fees</t>
  </si>
  <si>
    <t xml:space="preserve">Max ₹1,50,000</t>
  </si>
  <si>
    <t xml:space="preserve">80CCD(1B) – own NPS contribution</t>
  </si>
  <si>
    <t xml:space="preserve">Max ₹50,000</t>
  </si>
  <si>
    <t xml:space="preserve">80D – health insurance (self, spouse, children)</t>
  </si>
  <si>
    <t xml:space="preserve">Max ₹25,000 (₹50,000 if you are 60+)</t>
  </si>
  <si>
    <t xml:space="preserve">80D – health insurance (parents)</t>
  </si>
  <si>
    <t xml:space="preserve">Parents are senior citizens?</t>
  </si>
  <si>
    <t xml:space="preserve">No</t>
  </si>
  <si>
    <t xml:space="preserve">Parents' limit becomes ₹50,000</t>
  </si>
  <si>
    <t xml:space="preserve">80E – education loan interest</t>
  </si>
  <si>
    <t xml:space="preserve">No limit</t>
  </si>
  <si>
    <t xml:space="preserve">80G – eligible donation amount</t>
  </si>
  <si>
    <t xml:space="preserve">Enter the deductible amount</t>
  </si>
  <si>
    <t xml:space="preserve">BOTH REGIMES</t>
  </si>
  <si>
    <t xml:space="preserve">Employer's contribution to NPS – 80CCD(2)</t>
  </si>
  <si>
    <t xml:space="preserve">Allowed in both; capped at % of Basic + DA</t>
  </si>
  <si>
    <t xml:space="preserve">Rounding: taxable income and tax are rounded to the nearest ₹10. Special-rate income (capital gains, lottery) is not covered.</t>
  </si>
  <si>
    <t xml:space="preserve">Tax Computation – Old vs New Regime (Tax Year 2026-27)</t>
  </si>
  <si>
    <t xml:space="preserve">Particulars</t>
  </si>
  <si>
    <t xml:space="preserve">Old Regime (₹)</t>
  </si>
  <si>
    <t xml:space="preserve">New Regime (₹)</t>
  </si>
  <si>
    <t xml:space="preserve">Note</t>
  </si>
  <si>
    <t xml:space="preserve">Gross salary</t>
  </si>
  <si>
    <t xml:space="preserve">Less: HRA exemption</t>
  </si>
  <si>
    <t xml:space="preserve">Not allowed in new regime</t>
  </si>
  <si>
    <t xml:space="preserve">Less: LTA exemption</t>
  </si>
  <si>
    <t xml:space="preserve">Less: Standard deduction</t>
  </si>
  <si>
    <t xml:space="preserve">₹50,000 old / ₹75,000 new</t>
  </si>
  <si>
    <t xml:space="preserve">Less: Professional tax</t>
  </si>
  <si>
    <t xml:space="preserve">Income from salary</t>
  </si>
  <si>
    <t xml:space="preserve">Add: Interest &amp; other income</t>
  </si>
  <si>
    <t xml:space="preserve">Less: Home loan interest (self-occupied)</t>
  </si>
  <si>
    <t xml:space="preserve">Max ₹2,00,000; not in new regime</t>
  </si>
  <si>
    <t xml:space="preserve">Gross total income</t>
  </si>
  <si>
    <t xml:space="preserve">Less: 80C</t>
  </si>
  <si>
    <t xml:space="preserve">Less: 80CCD(1B) own NPS</t>
  </si>
  <si>
    <t xml:space="preserve">Less: 80D health insurance</t>
  </si>
  <si>
    <t xml:space="preserve">Less: 80E / 80G</t>
  </si>
  <si>
    <t xml:space="preserve">Less: 80TTA / 80TTB (interest)</t>
  </si>
  <si>
    <t xml:space="preserve">80TTB for seniors covers FD interest too</t>
  </si>
  <si>
    <t xml:space="preserve">Less: Employer NPS 80CCD(2)</t>
  </si>
  <si>
    <t xml:space="preserve">Allowed in both regimes</t>
  </si>
  <si>
    <t xml:space="preserve">Total deductions (Chapter VI-A)</t>
  </si>
  <si>
    <t xml:space="preserve">TAXABLE INCOME (rounded to ₹10)</t>
  </si>
  <si>
    <t xml:space="preserve">Tax on taxable income (slab rates)</t>
  </si>
  <si>
    <t xml:space="preserve">Less: Rebate (incl. marginal relief in new regime)</t>
  </si>
  <si>
    <t xml:space="preserve">Nil tax up to ₹12,00,000 (new) / ₹5,00,000 (old) taxable income. Just above ₹12 lakh, tax cannot exceed the income above ₹12 lakh.</t>
  </si>
  <si>
    <t xml:space="preserve">Tax after rebate</t>
  </si>
  <si>
    <t xml:space="preserve">Add: Surcharge (with marginal relief)</t>
  </si>
  <si>
    <t xml:space="preserve">Only if taxable income is above ₹50 lakh. New regime capped at 25%.</t>
  </si>
  <si>
    <t xml:space="preserve">Add: Health &amp; education cess (4%)</t>
  </si>
  <si>
    <t xml:space="preserve">TOTAL TAX PAYABLE (rounded to ₹10)</t>
  </si>
  <si>
    <t xml:space="preserve">Monthly TDS from salary (approx.)</t>
  </si>
  <si>
    <t xml:space="preserve">Effective tax rate (on gross salary + other income)</t>
  </si>
  <si>
    <t xml:space="preserve">VERDICT</t>
  </si>
  <si>
    <t xml:space="preserve">Break-even: old-regime deductions needed to match the new regime</t>
  </si>
  <si>
    <t xml:space="preserve">Approx. extra deductions you would need in the old regime (at your marginal rate incl. cess)</t>
  </si>
  <si>
    <t xml:space="preserve">Tax at different salaries – Old vs New (Tax Year 2026-27, below 60)</t>
  </si>
  <si>
    <t xml:space="preserve">Old-regime deductions assumed (80C, 80D, NPS, HRA etc.) (₹):</t>
  </si>
  <si>
    <t xml:space="preserve">Change this to see how deductions shift the answer</t>
  </si>
  <si>
    <t xml:space="preserve">Gross Salary (₹)</t>
  </si>
  <si>
    <t xml:space="preserve">Old Regime Tax (₹)</t>
  </si>
  <si>
    <t xml:space="preserve">New Regime Tax (₹)</t>
  </si>
  <si>
    <t xml:space="preserve">Better Regime</t>
  </si>
  <si>
    <t xml:space="preserve">You Save (₹)</t>
  </si>
  <si>
    <t xml:space="preserve">New Regime Monthly Take-home Effect</t>
  </si>
  <si>
    <t xml:space="preserve">Salary-only income, standard deduction applied, surcharge ignored (all rows are ≤ ₹50 lakh). ₹12.75 lakh salary = ₹12 lakh taxable in the new regime → zero tax.</t>
  </si>
  <si>
    <t xml:space="preserve">Tax Rates – Tax Year 2026-27 (FY 2026-27)  |  update this sheet after each Budget</t>
  </si>
  <si>
    <t xml:space="preserve">Budget 2026 kept slabs, standard deduction, rebate, surcharge and cess unchanged from FY 2025-26. Source: Union Budget 2026-27; Income-tax Act, 2025.</t>
  </si>
  <si>
    <t xml:space="preserve">NEW REGIME (all ages)</t>
  </si>
  <si>
    <t xml:space="preserve">OLD REGIME – below 60</t>
  </si>
  <si>
    <t xml:space="preserve">Income above (₹)</t>
  </si>
  <si>
    <t xml:space="preserve">Rate</t>
  </si>
  <si>
    <t xml:space="preserve">Rate step</t>
  </si>
  <si>
    <t xml:space="preserve">OLD REGIME – 60 to 79</t>
  </si>
  <si>
    <t xml:space="preserve">Other rates &amp; limits</t>
  </si>
  <si>
    <t xml:space="preserve">Standard deduction – new regime</t>
  </si>
  <si>
    <t xml:space="preserve">Standard deduction – old regime</t>
  </si>
  <si>
    <t xml:space="preserve">Rebate: income limit – new regime</t>
  </si>
  <si>
    <t xml:space="preserve">OLD REGIME – 80 and above</t>
  </si>
  <si>
    <t xml:space="preserve">Rebate: max amount – new regime</t>
  </si>
  <si>
    <t xml:space="preserve">Rebate: income limit – old regime</t>
  </si>
  <si>
    <t xml:space="preserve">Rebate: max amount – old regime</t>
  </si>
  <si>
    <t xml:space="preserve">Health &amp; education cess</t>
  </si>
  <si>
    <t xml:space="preserve">Max surcharge – new regime</t>
  </si>
  <si>
    <t xml:space="preserve">80C limit</t>
  </si>
  <si>
    <t xml:space="preserve">Surcharge (on tax)</t>
  </si>
  <si>
    <t xml:space="preserve">80CCD(1B) NPS limit</t>
  </si>
  <si>
    <t xml:space="preserve">80D self/family – below 60</t>
  </si>
  <si>
    <t xml:space="preserve">80D self/family – senior</t>
  </si>
  <si>
    <t xml:space="preserve">80D parents – below 60</t>
  </si>
  <si>
    <t xml:space="preserve">80D parents – senior</t>
  </si>
  <si>
    <t xml:space="preserve">80TTA (below 60)</t>
  </si>
  <si>
    <t xml:space="preserve">80TTB (senior)</t>
  </si>
  <si>
    <t xml:space="preserve">Home loan interest – self-occupied (old)</t>
  </si>
  <si>
    <t xml:space="preserve">Professional tax max</t>
  </si>
  <si>
    <t xml:space="preserve">Employer NPS 80CCD(2) – new regime (% of Basic+DA)</t>
  </si>
  <si>
    <t xml:space="preserve">Employer NPS 80CCD(2) – old, private</t>
  </si>
  <si>
    <t xml:space="preserve">Employer NPS 80CCD(2) – old, government</t>
  </si>
  <si>
    <t xml:space="preserve">Yes</t>
  </si>
  <si>
    <t xml:space="preserve">60 to 79 years (Senior)</t>
  </si>
  <si>
    <t xml:space="preserve">Central / State Government</t>
  </si>
  <si>
    <t xml:space="preserve">80 years or more (Super Senior)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</si>
</sst>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&gt;=10000000]&quot;₹ &quot;##\,##\,##\,##0;[&gt;=100000]&quot;₹ &quot;##\,##\,##0;&quot;₹ &quot;##,##0"/>
    <numFmt numFmtId="166" formatCode="0.00%"/>
    <numFmt numFmtId="167" formatCode="###,##0"/>
    <numFmt numFmtId="168" formatCode="0%"/>
  </numFmts>
  <fonts count="3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mbria"/>
      <family val="0"/>
      <charset val="1"/>
    </font>
    <font>
      <b val="true"/>
      <sz val="12"/>
      <color rgb="FF002060"/>
      <name val="Cambria"/>
      <family val="0"/>
      <charset val="1"/>
    </font>
    <font>
      <i val="true"/>
      <sz val="9"/>
      <color rgb="FF20AD96"/>
      <name val="Cambria"/>
      <family val="0"/>
      <charset val="1"/>
    </font>
    <font>
      <b val="true"/>
      <sz val="11"/>
      <color rgb="FF002060"/>
      <name val="Cambria"/>
      <family val="0"/>
      <charset val="1"/>
    </font>
    <font>
      <b val="true"/>
      <sz val="11"/>
      <color rgb="FF000000"/>
      <name val="Cambria"/>
      <family val="0"/>
      <charset val="1"/>
    </font>
    <font>
      <u val="single"/>
      <sz val="10"/>
      <color rgb="FF0563C1"/>
      <name val="Cambria"/>
      <family val="0"/>
      <charset val="1"/>
    </font>
    <font>
      <b val="true"/>
      <u val="single"/>
      <sz val="11"/>
      <color rgb="FF002060"/>
      <name val="Cambria"/>
      <family val="0"/>
      <charset val="1"/>
    </font>
    <font>
      <b val="true"/>
      <sz val="18"/>
      <color rgb="FF006838"/>
      <name val="Cambria"/>
      <family val="0"/>
      <charset val="1"/>
    </font>
    <font>
      <b val="true"/>
      <sz val="16"/>
      <color rgb="FF006838"/>
      <name val="Cambria"/>
      <family val="0"/>
      <charset val="1"/>
    </font>
    <font>
      <b val="true"/>
      <sz val="11"/>
      <color rgb="FFC00000"/>
      <name val="Cambria"/>
      <family val="0"/>
      <charset val="1"/>
    </font>
    <font>
      <sz val="11"/>
      <color rgb="FF002060"/>
      <name val="Cambria"/>
      <family val="0"/>
      <charset val="1"/>
    </font>
    <font>
      <i val="true"/>
      <sz val="10"/>
      <color rgb="FF7F7F7F"/>
      <name val="Cambria"/>
      <family val="0"/>
      <charset val="1"/>
    </font>
    <font>
      <b val="true"/>
      <sz val="18"/>
      <color rgb="FFFFFFFF"/>
      <name val="Cambria"/>
      <family val="0"/>
      <charset val="1"/>
    </font>
    <font>
      <b val="true"/>
      <sz val="12"/>
      <color rgb="FFFFFFFF"/>
      <name val="Cambria"/>
      <family val="0"/>
      <charset val="1"/>
    </font>
    <font>
      <b val="true"/>
      <sz val="11"/>
      <color rgb="FF006838"/>
      <name val="Cambria"/>
      <family val="0"/>
      <charset val="1"/>
    </font>
    <font>
      <i val="true"/>
      <sz val="9"/>
      <color rgb="FF7F7F7F"/>
      <name val="Cambria"/>
      <family val="0"/>
      <charset val="1"/>
    </font>
    <font>
      <b val="true"/>
      <sz val="16"/>
      <color rgb="FFFFFFFF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11"/>
      <color rgb="FF000000"/>
      <name val="Cambria"/>
      <family val="0"/>
      <charset val="1"/>
    </font>
    <font>
      <b val="true"/>
      <sz val="13"/>
      <color rgb="FFFFFFFF"/>
      <name val="Cambria"/>
      <family val="0"/>
      <charset val="1"/>
    </font>
    <font>
      <b val="true"/>
      <sz val="13"/>
      <color rgb="FFC00000"/>
      <name val="Cambria"/>
      <family val="0"/>
      <charset val="1"/>
    </font>
    <font>
      <b val="true"/>
      <sz val="15"/>
      <color rgb="FFFFFFFF"/>
      <name val="Cambria"/>
      <family val="0"/>
      <charset val="1"/>
    </font>
    <font>
      <sz val="10"/>
      <color rgb="FF000000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color rgb="FF808080"/>
      <name val="Cambria"/>
      <family val="0"/>
      <charset val="1"/>
    </font>
    <font>
      <sz val="10"/>
      <color rgb="FF002060"/>
      <name val="Cambria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06838"/>
        <bgColor rgb="FF006100"/>
      </patternFill>
    </fill>
    <fill>
      <patternFill patternType="solid">
        <fgColor rgb="FFDDEBF7"/>
        <bgColor rgb="FFE2EFDA"/>
      </patternFill>
    </fill>
    <fill>
      <patternFill patternType="solid">
        <fgColor rgb="FFF2F2F2"/>
        <bgColor rgb="FFE2EFDA"/>
      </patternFill>
    </fill>
    <fill>
      <patternFill patternType="solid">
        <fgColor rgb="FFFFFFFF"/>
        <bgColor rgb="FFF2F2F2"/>
      </patternFill>
    </fill>
    <fill>
      <patternFill patternType="solid">
        <fgColor rgb="FF002060"/>
        <bgColor rgb="FF000080"/>
      </patternFill>
    </fill>
    <fill>
      <patternFill patternType="solid">
        <fgColor rgb="FFFFF2CC"/>
        <bgColor rgb="FFF2F2F2"/>
      </patternFill>
    </fill>
    <fill>
      <patternFill patternType="solid">
        <fgColor rgb="FFE2EFDA"/>
        <bgColor rgb="FFDDEBF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6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4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b val="1"/>
        <color rgb="FF006100"/>
      </font>
      <fill>
        <patternFill>
          <bgColor rgb="FFC6EFCE"/>
        </patternFill>
      </fill>
    </dxf>
    <dxf>
      <font>
        <b val="1"/>
        <color rgb="FF002060"/>
      </font>
      <fill>
        <patternFill>
          <bgColor rgb="FFFFD966"/>
        </patternFill>
      </fill>
    </dxf>
    <dxf>
      <font>
        <b val="1"/>
        <color rgb="FF9C5700"/>
      </font>
      <fill>
        <patternFill>
          <bgColor rgb="FFFFEB9C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6838"/>
      <rgbColor rgb="FFA6A6A6"/>
      <rgbColor rgb="FF808080"/>
      <rgbColor rgb="FF9999FF"/>
      <rgbColor rgb="FF993366"/>
      <rgbColor rgb="FFFFF2CC"/>
      <rgbColor rgb="FFDDEBF7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FEB9C"/>
      <rgbColor rgb="FFF2F2F2"/>
      <rgbColor rgb="FFFF99CC"/>
      <rgbColor rgb="FFCC99FF"/>
      <rgbColor rgb="FFFFD966"/>
      <rgbColor rgb="FF3366FF"/>
      <rgbColor rgb="FF33CCCC"/>
      <rgbColor rgb="FF99CC00"/>
      <rgbColor rgb="FFFFCC00"/>
      <rgbColor rgb="FFBF8F00"/>
      <rgbColor rgb="FFFF6600"/>
      <rgbColor rgb="FF7F7F7F"/>
      <rgbColor rgb="FF878787"/>
      <rgbColor rgb="FF002060"/>
      <rgbColor rgb="FF20AD96"/>
      <rgbColor rgb="FF003300"/>
      <rgbColor rgb="FF333300"/>
      <rgbColor rgb="FF9C57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Yearly tax: Old vs New regime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'Salary Table'!B5</c:f>
              <c:strCache>
                <c:ptCount val="1"/>
                <c:pt idx="0">
                  <c:v>Old Regime Tax (₹)</c:v>
                </c:pt>
              </c:strCache>
            </c:strRef>
          </c:tx>
          <c:spPr>
            <a:solidFill>
              <a:srgbClr val="bf8f00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'Salary Table'!$A$6:$A$20</c:f>
              <c:strCache>
                <c:ptCount val="15"/>
                <c:pt idx="0">
                  <c:v>₹ 5,00,000</c:v>
                </c:pt>
                <c:pt idx="1">
                  <c:v>₹ 7,00,000</c:v>
                </c:pt>
                <c:pt idx="2">
                  <c:v>₹ 8,00,000</c:v>
                </c:pt>
                <c:pt idx="3">
                  <c:v>₹ 10,00,000</c:v>
                </c:pt>
                <c:pt idx="4">
                  <c:v>₹ 12,00,000</c:v>
                </c:pt>
                <c:pt idx="5">
                  <c:v>₹ 12,75,000</c:v>
                </c:pt>
                <c:pt idx="6">
                  <c:v>₹ 13,00,000</c:v>
                </c:pt>
                <c:pt idx="7">
                  <c:v>₹ 15,00,000</c:v>
                </c:pt>
                <c:pt idx="8">
                  <c:v>₹ 18,00,000</c:v>
                </c:pt>
                <c:pt idx="9">
                  <c:v>₹ 20,00,000</c:v>
                </c:pt>
                <c:pt idx="10">
                  <c:v>₹ 24,00,000</c:v>
                </c:pt>
                <c:pt idx="11">
                  <c:v>₹ 25,00,000</c:v>
                </c:pt>
                <c:pt idx="12">
                  <c:v>₹ 30,00,000</c:v>
                </c:pt>
                <c:pt idx="13">
                  <c:v>₹ 40,00,000</c:v>
                </c:pt>
                <c:pt idx="14">
                  <c:v>₹ 50,00,000</c:v>
                </c:pt>
              </c:strCache>
            </c:strRef>
          </c:cat>
          <c:val>
            <c:numRef>
              <c:f>'Salary Table'!$B$6:$B$20</c:f>
              <c:numCache>
                <c:formatCode>[&gt;=10000000]"₹ "##\,##\,##\,##0;[&gt;=100000]"₹ "##\,##\,##0;"₹ "##,##0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28600</c:v>
                </c:pt>
                <c:pt idx="3">
                  <c:v>70200</c:v>
                </c:pt>
                <c:pt idx="4">
                  <c:v>111800</c:v>
                </c:pt>
                <c:pt idx="5">
                  <c:v>132600</c:v>
                </c:pt>
                <c:pt idx="6">
                  <c:v>140400</c:v>
                </c:pt>
                <c:pt idx="7">
                  <c:v>202800</c:v>
                </c:pt>
                <c:pt idx="8">
                  <c:v>296400</c:v>
                </c:pt>
                <c:pt idx="9">
                  <c:v>358800</c:v>
                </c:pt>
                <c:pt idx="10">
                  <c:v>483600</c:v>
                </c:pt>
                <c:pt idx="11">
                  <c:v>514800</c:v>
                </c:pt>
                <c:pt idx="12">
                  <c:v>670800</c:v>
                </c:pt>
                <c:pt idx="13">
                  <c:v>982800</c:v>
                </c:pt>
                <c:pt idx="14">
                  <c:v>1294800</c:v>
                </c:pt>
              </c:numCache>
            </c:numRef>
          </c:val>
        </c:ser>
        <c:ser>
          <c:idx val="1"/>
          <c:order val="1"/>
          <c:tx>
            <c:strRef>
              <c:f>'Salary Table'!C5</c:f>
              <c:strCache>
                <c:ptCount val="1"/>
                <c:pt idx="0">
                  <c:v>New Regime Tax (₹)</c:v>
                </c:pt>
              </c:strCache>
            </c:strRef>
          </c:tx>
          <c:spPr>
            <a:solidFill>
              <a:srgbClr val="006838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'Salary Table'!$A$6:$A$20</c:f>
              <c:strCache>
                <c:ptCount val="15"/>
                <c:pt idx="0">
                  <c:v>₹ 5,00,000</c:v>
                </c:pt>
                <c:pt idx="1">
                  <c:v>₹ 7,00,000</c:v>
                </c:pt>
                <c:pt idx="2">
                  <c:v>₹ 8,00,000</c:v>
                </c:pt>
                <c:pt idx="3">
                  <c:v>₹ 10,00,000</c:v>
                </c:pt>
                <c:pt idx="4">
                  <c:v>₹ 12,00,000</c:v>
                </c:pt>
                <c:pt idx="5">
                  <c:v>₹ 12,75,000</c:v>
                </c:pt>
                <c:pt idx="6">
                  <c:v>₹ 13,00,000</c:v>
                </c:pt>
                <c:pt idx="7">
                  <c:v>₹ 15,00,000</c:v>
                </c:pt>
                <c:pt idx="8">
                  <c:v>₹ 18,00,000</c:v>
                </c:pt>
                <c:pt idx="9">
                  <c:v>₹ 20,00,000</c:v>
                </c:pt>
                <c:pt idx="10">
                  <c:v>₹ 24,00,000</c:v>
                </c:pt>
                <c:pt idx="11">
                  <c:v>₹ 25,00,000</c:v>
                </c:pt>
                <c:pt idx="12">
                  <c:v>₹ 30,00,000</c:v>
                </c:pt>
                <c:pt idx="13">
                  <c:v>₹ 40,00,000</c:v>
                </c:pt>
                <c:pt idx="14">
                  <c:v>₹ 50,00,000</c:v>
                </c:pt>
              </c:strCache>
            </c:strRef>
          </c:cat>
          <c:val>
            <c:numRef>
              <c:f>'Salary Table'!$C$6:$C$20</c:f>
              <c:numCache>
                <c:formatCode>[&gt;=10000000]"₹ "##\,##\,##\,##0;[&gt;=100000]"₹ "##\,##\,##0;"₹ "##,##0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26000</c:v>
                </c:pt>
                <c:pt idx="7">
                  <c:v>97500</c:v>
                </c:pt>
                <c:pt idx="8">
                  <c:v>150800</c:v>
                </c:pt>
                <c:pt idx="9">
                  <c:v>192400</c:v>
                </c:pt>
                <c:pt idx="10">
                  <c:v>292500</c:v>
                </c:pt>
                <c:pt idx="11">
                  <c:v>319800</c:v>
                </c:pt>
                <c:pt idx="12">
                  <c:v>475800</c:v>
                </c:pt>
                <c:pt idx="13">
                  <c:v>787800</c:v>
                </c:pt>
                <c:pt idx="14">
                  <c:v>1099800</c:v>
                </c:pt>
              </c:numCache>
            </c:numRef>
          </c:val>
        </c:ser>
        <c:gapWidth val="150"/>
        <c:overlap val="0"/>
        <c:axId val="10997441"/>
        <c:axId val="86534065"/>
      </c:barChart>
      <c:catAx>
        <c:axId val="10997441"/>
        <c:scaling>
          <c:orientation val="minMax"/>
        </c:scaling>
        <c:delete val="0"/>
        <c:axPos val="b"/>
        <c:numFmt formatCode="##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6534065"/>
        <c:crosses val="autoZero"/>
        <c:auto val="1"/>
        <c:lblAlgn val="ctr"/>
        <c:lblOffset val="100"/>
        <c:noMultiLvlLbl val="0"/>
      </c:catAx>
      <c:valAx>
        <c:axId val="86534065"/>
        <c:scaling>
          <c:orientation val="minMax"/>
        </c:scaling>
        <c:delete val="0"/>
        <c:axPos val="l"/>
        <c:numFmt formatCode="##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099744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1618920</xdr:colOff>
      <xdr:row>2</xdr:row>
      <xdr:rowOff>152280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1120" y="0"/>
          <a:ext cx="1618920" cy="533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1142640</xdr:colOff>
      <xdr:row>18</xdr:row>
      <xdr:rowOff>190080</xdr:rowOff>
    </xdr:to>
    <xdr:pic>
      <xdr:nvPicPr>
        <xdr:cNvPr id="1" name="Image 2" descr="Picture"/>
        <xdr:cNvPicPr/>
      </xdr:nvPicPr>
      <xdr:blipFill>
        <a:blip r:embed="rId2"/>
        <a:stretch/>
      </xdr:blipFill>
      <xdr:spPr>
        <a:xfrm>
          <a:off x="6343560" y="4181400"/>
          <a:ext cx="11426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20</xdr:row>
      <xdr:rowOff>252720</xdr:rowOff>
    </xdr:from>
    <xdr:to>
      <xdr:col>1</xdr:col>
      <xdr:colOff>1904760</xdr:colOff>
      <xdr:row>23</xdr:row>
      <xdr:rowOff>128880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423000" y="4381560"/>
          <a:ext cx="1904760" cy="637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3</xdr:row>
      <xdr:rowOff>20880</xdr:rowOff>
    </xdr:from>
    <xdr:to>
      <xdr:col>18</xdr:col>
      <xdr:colOff>473040</xdr:colOff>
      <xdr:row>18</xdr:row>
      <xdr:rowOff>136080</xdr:rowOff>
    </xdr:to>
    <xdr:graphicFrame>
      <xdr:nvGraphicFramePr>
        <xdr:cNvPr id="3" name="Chart 1"/>
        <xdr:cNvGraphicFramePr/>
      </xdr:nvGraphicFramePr>
      <xdr:xfrm>
        <a:off x="8999280" y="923760"/>
        <a:ext cx="71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xplorexcel.com/excel-templates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Income%20Tax%20Calculator%20FY%202026-27%20Old%20vs%20New%20Regime%201.0%20by%20Xplorexcel.com.xlsx" TargetMode="External"/><Relationship Id="rId2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Income%20Tax%20Calculator%20FY%202026-27%20Old%20vs%20New%20Regime%201.0%20by%20Xplorexcel.com.xlsx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Income%20Tax%20Calculator%20FY%202026-27%20Old%20vs%20New%20Regime%201.0%20by%20Xplorexcel.com.xlsx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Income%20Tax%20Calculator%20FY%202026-27%20Old%20vs%20New%20Regime%201.0%20by%20Xplorexcel.com.xlsx" TargetMode="External"/><Relationship Id="rId2" Type="http://schemas.openxmlformats.org/officeDocument/2006/relationships/drawing" Target="../drawings/drawing3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Income%20Tax%20Calculator%20FY%202026-27%20Old%20vs%20New%20Regime%201.0%20by%20Xplorexcel.com.xls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2060"/>
    <pageSetUpPr fitToPage="true"/>
  </sheetPr>
  <dimension ref="B5:F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24"/>
    <col collapsed="false" customWidth="true" hidden="false" outlineLevel="0" max="4" min="4" style="0" width="4"/>
    <col collapsed="false" customWidth="true" hidden="false" outlineLevel="0" max="5" min="5" style="0" width="34"/>
    <col collapsed="false" customWidth="true" hidden="false" outlineLevel="0" max="6" min="6" style="0" width="22"/>
    <col collapsed="false" customWidth="true" hidden="false" outlineLevel="0" max="7" min="7" style="0" width="4"/>
  </cols>
  <sheetData>
    <row r="5" customFormat="false" ht="37.5" hidden="false" customHeight="true" outlineLevel="0" collapsed="false">
      <c r="B5" s="1" t="s">
        <v>0</v>
      </c>
      <c r="C5" s="1"/>
      <c r="D5" s="1"/>
      <c r="E5" s="1"/>
      <c r="F5" s="1"/>
    </row>
    <row r="6" customFormat="false" ht="21.75" hidden="false" customHeight="true" outlineLevel="0" collapsed="false">
      <c r="B6" s="2" t="str">
        <f aca="false">"Tax Year 2026-27 (FY 2026-27)  •  "&amp;'Your Details'!$C$6&amp;"  •  "&amp;'Your Details'!$C$7</f>
        <v>Tax Year 2026-27 (FY 2026-27)  •  Simran Kaur  •  Below 60 years</v>
      </c>
      <c r="C6" s="2"/>
      <c r="D6" s="2"/>
      <c r="E6" s="2"/>
      <c r="F6" s="2"/>
    </row>
    <row r="8" customFormat="false" ht="15" hidden="false" customHeight="false" outlineLevel="0" collapsed="false">
      <c r="B8" s="3" t="s">
        <v>1</v>
      </c>
      <c r="E8" s="3" t="s">
        <v>2</v>
      </c>
    </row>
    <row r="9" customFormat="false" ht="24" hidden="false" customHeight="true" outlineLevel="0" collapsed="false">
      <c r="B9" s="4" t="str">
        <f aca="false">HYPERLINK("#'Your Details'!A1","1. Your Details  ►")</f>
        <v>1. Your Details  ►</v>
      </c>
      <c r="C9" s="5" t="s">
        <v>3</v>
      </c>
      <c r="E9" s="6" t="s">
        <v>4</v>
      </c>
      <c r="F9" s="7" t="n">
        <f aca="false">'Tax Computation'!B21</f>
        <v>1403000</v>
      </c>
    </row>
    <row r="10" customFormat="false" ht="24" hidden="false" customHeight="true" outlineLevel="0" collapsed="false">
      <c r="B10" s="4" t="str">
        <f aca="false">HYPERLINK("#'Tax Computation'!A1","2. Tax Computation  ►")</f>
        <v>2. Tax Computation  ►</v>
      </c>
      <c r="C10" s="5" t="s">
        <v>5</v>
      </c>
      <c r="E10" s="6" t="s">
        <v>6</v>
      </c>
      <c r="F10" s="7" t="n">
        <f aca="false">'Tax Computation'!C21</f>
        <v>1758000</v>
      </c>
    </row>
    <row r="11" customFormat="false" ht="24" hidden="false" customHeight="true" outlineLevel="0" collapsed="false">
      <c r="B11" s="4" t="str">
        <f aca="false">HYPERLINK("#'Salary Table'!A1","3. Salary Table  ►")</f>
        <v>3. Salary Table  ►</v>
      </c>
      <c r="C11" s="5" t="s">
        <v>7</v>
      </c>
      <c r="E11" s="6" t="s">
        <v>8</v>
      </c>
      <c r="F11" s="7" t="n">
        <f aca="false">'Tax Computation'!B27</f>
        <v>242740</v>
      </c>
    </row>
    <row r="12" customFormat="false" ht="24" hidden="false" customHeight="true" outlineLevel="0" collapsed="false">
      <c r="B12" s="4" t="str">
        <f aca="false">HYPERLINK("#'Tax Rates'!A1","4. Tax Rates  ►")</f>
        <v>4. Tax Rates  ►</v>
      </c>
      <c r="C12" s="5" t="s">
        <v>9</v>
      </c>
      <c r="E12" s="6" t="s">
        <v>10</v>
      </c>
      <c r="F12" s="7" t="n">
        <f aca="false">'Tax Computation'!C27</f>
        <v>157660</v>
      </c>
    </row>
    <row r="13" customFormat="false" ht="24" hidden="false" customHeight="true" outlineLevel="0" collapsed="false">
      <c r="B13" s="4" t="str">
        <f aca="false">HYPERLINK("#'About Workbook'!A1","How to use  ►")</f>
        <v>How to use  ►</v>
      </c>
      <c r="C13" s="5" t="s">
        <v>11</v>
      </c>
      <c r="E13" s="6" t="s">
        <v>12</v>
      </c>
      <c r="F13" s="7" t="n">
        <f aca="false">MIN('Tax Computation'!B28,'Tax Computation'!C28)</f>
        <v>13138</v>
      </c>
    </row>
    <row r="15" customFormat="false" ht="15" hidden="false" customHeight="false" outlineLevel="0" collapsed="false">
      <c r="B15" s="8" t="str">
        <f aca="false">'Tax Computation'!A32</f>
        <v>NEW REGIME is better for you – you save ₹85,080 a year (₹7,090 a month).</v>
      </c>
      <c r="C15" s="8"/>
      <c r="D15" s="8"/>
      <c r="E15" s="8"/>
      <c r="F15" s="8"/>
    </row>
    <row r="16" customFormat="false" ht="15" hidden="false" customHeight="false" outlineLevel="0" collapsed="false">
      <c r="B16" s="8"/>
      <c r="C16" s="8"/>
      <c r="D16" s="8"/>
      <c r="E16" s="8"/>
      <c r="F16" s="8"/>
    </row>
    <row r="18" customFormat="false" ht="15" hidden="false" customHeight="false" outlineLevel="0" collapsed="false">
      <c r="E18" s="9" t="s">
        <v>13</v>
      </c>
    </row>
    <row r="21" customFormat="false" ht="15" hidden="false" customHeight="false" outlineLevel="0" collapsed="false">
      <c r="F21" s="10" t="s">
        <v>14</v>
      </c>
    </row>
  </sheetData>
  <mergeCells count="3">
    <mergeCell ref="B5:F5"/>
    <mergeCell ref="B6:F6"/>
    <mergeCell ref="B15:F16"/>
  </mergeCells>
  <conditionalFormatting sqref="F11:F12">
    <cfRule type="expression" priority="2" aboveAverage="0" equalAverage="0" bottom="0" percent="0" rank="0" text="" dxfId="0">
      <formula>F11=MIN($F$11:$F$12)</formula>
    </cfRule>
  </conditionalFormatting>
  <hyperlinks>
    <hyperlink ref="F21" r:id="rId1" display="Check out our templates @ xplorexcel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AD96"/>
    <pageSetUpPr fitToPage="true"/>
  </sheetPr>
  <dimension ref="A1:B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2"/>
  </cols>
  <sheetData>
    <row r="1" customFormat="false" ht="15" hidden="false" customHeight="false" outlineLevel="0" collapsed="false">
      <c r="A1" s="11" t="s">
        <v>15</v>
      </c>
    </row>
    <row r="2" customFormat="false" ht="22.05" hidden="false" customHeight="false" outlineLevel="0" collapsed="false">
      <c r="A2" s="12" t="s">
        <v>16</v>
      </c>
    </row>
    <row r="3" customFormat="false" ht="15" hidden="false" customHeight="false" outlineLevel="0" collapsed="false">
      <c r="A3" s="13" t="n">
        <v>1</v>
      </c>
      <c r="B3" s="14" t="s">
        <v>17</v>
      </c>
    </row>
    <row r="4" customFormat="false" ht="15" hidden="false" customHeight="false" outlineLevel="0" collapsed="false">
      <c r="A4" s="13" t="n">
        <v>2</v>
      </c>
      <c r="B4" s="14" t="s">
        <v>18</v>
      </c>
    </row>
    <row r="5" customFormat="false" ht="15" hidden="false" customHeight="false" outlineLevel="0" collapsed="false">
      <c r="A5" s="13" t="n">
        <v>3</v>
      </c>
      <c r="B5" s="14" t="s">
        <v>19</v>
      </c>
    </row>
    <row r="6" customFormat="false" ht="15" hidden="false" customHeight="false" outlineLevel="0" collapsed="false">
      <c r="A6" s="13" t="n">
        <v>4</v>
      </c>
      <c r="B6" s="14" t="s">
        <v>20</v>
      </c>
    </row>
    <row r="7" customFormat="false" ht="15" hidden="false" customHeight="false" outlineLevel="0" collapsed="false">
      <c r="A7" s="13" t="n">
        <v>5</v>
      </c>
      <c r="B7" s="14" t="s">
        <v>21</v>
      </c>
    </row>
    <row r="8" customFormat="false" ht="28.35" hidden="false" customHeight="false" outlineLevel="0" collapsed="false">
      <c r="A8" s="13" t="n">
        <v>6</v>
      </c>
      <c r="B8" s="14" t="s">
        <v>22</v>
      </c>
    </row>
    <row r="9" customFormat="false" ht="15" hidden="false" customHeight="false" outlineLevel="0" collapsed="false">
      <c r="A9" s="13" t="n">
        <v>7</v>
      </c>
      <c r="B9" s="14" t="s">
        <v>23</v>
      </c>
    </row>
    <row r="10" customFormat="false" ht="15" hidden="false" customHeight="false" outlineLevel="0" collapsed="false">
      <c r="A10" s="13" t="n">
        <v>8</v>
      </c>
      <c r="B10" s="14" t="s">
        <v>24</v>
      </c>
    </row>
    <row r="11" customFormat="false" ht="15" hidden="false" customHeight="false" outlineLevel="0" collapsed="false">
      <c r="A11" s="13" t="n">
        <v>9</v>
      </c>
      <c r="B11" s="14" t="s">
        <v>25</v>
      </c>
    </row>
    <row r="12" customFormat="false" ht="15" hidden="false" customHeight="false" outlineLevel="0" collapsed="false">
      <c r="A12" s="13" t="n">
        <v>10</v>
      </c>
      <c r="B12" s="14" t="s">
        <v>26</v>
      </c>
    </row>
    <row r="13" customFormat="false" ht="15" hidden="false" customHeight="false" outlineLevel="0" collapsed="false">
      <c r="A13" s="13" t="n">
        <v>11</v>
      </c>
      <c r="B13" s="14" t="s">
        <v>27</v>
      </c>
    </row>
    <row r="14" customFormat="false" ht="15" hidden="false" customHeight="false" outlineLevel="0" collapsed="false">
      <c r="A14" s="13" t="n">
        <v>12</v>
      </c>
      <c r="B14" s="14" t="s">
        <v>28</v>
      </c>
    </row>
    <row r="16" customFormat="false" ht="19.7" hidden="false" customHeight="false" outlineLevel="0" collapsed="false">
      <c r="A16" s="15" t="s">
        <v>29</v>
      </c>
      <c r="B16" s="15"/>
    </row>
    <row r="17" customFormat="false" ht="15" hidden="false" customHeight="false" outlineLevel="0" collapsed="false">
      <c r="A17" s="16" t="s">
        <v>30</v>
      </c>
      <c r="B17" s="17" t="s">
        <v>31</v>
      </c>
    </row>
    <row r="18" customFormat="false" ht="15" hidden="false" customHeight="false" outlineLevel="0" collapsed="false">
      <c r="A18" s="16" t="s">
        <v>32</v>
      </c>
      <c r="B18" s="17" t="s">
        <v>33</v>
      </c>
    </row>
    <row r="19" customFormat="false" ht="15" hidden="false" customHeight="false" outlineLevel="0" collapsed="false">
      <c r="A19" s="16" t="s">
        <v>34</v>
      </c>
      <c r="B19" s="17" t="s">
        <v>35</v>
      </c>
    </row>
    <row r="21" customFormat="false" ht="30" hidden="false" customHeight="true" outlineLevel="0" collapsed="false">
      <c r="B21" s="18" t="s">
        <v>36</v>
      </c>
    </row>
  </sheetData>
  <mergeCells count="1">
    <mergeCell ref="A16:B16"/>
  </mergeCell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8F00"/>
    <pageSetUpPr fitToPage="true"/>
  </sheetPr>
  <dimension ref="A1:D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3" min="3" style="0" width="18"/>
    <col collapsed="false" customWidth="true" hidden="false" outlineLevel="0" max="4" min="4" style="0" width="56"/>
  </cols>
  <sheetData>
    <row r="1" customFormat="false" ht="15" hidden="false" customHeight="false" outlineLevel="0" collapsed="false">
      <c r="A1" s="11" t="s">
        <v>15</v>
      </c>
    </row>
    <row r="2" customFormat="false" ht="31.5" hidden="false" customHeight="true" outlineLevel="0" collapsed="false">
      <c r="A2" s="19" t="s">
        <v>37</v>
      </c>
      <c r="B2" s="19"/>
      <c r="C2" s="19"/>
      <c r="D2" s="19"/>
    </row>
    <row r="5" customFormat="false" ht="15" hidden="false" customHeight="true" outlineLevel="0" collapsed="false">
      <c r="A5" s="20" t="s">
        <v>38</v>
      </c>
      <c r="B5" s="20"/>
      <c r="C5" s="20"/>
      <c r="D5" s="20"/>
    </row>
    <row r="6" customFormat="false" ht="19.5" hidden="false" customHeight="true" outlineLevel="0" collapsed="false">
      <c r="A6" s="21" t="s">
        <v>39</v>
      </c>
      <c r="B6" s="21"/>
      <c r="C6" s="22" t="s">
        <v>40</v>
      </c>
      <c r="D6" s="5"/>
    </row>
    <row r="7" customFormat="false" ht="19.5" hidden="false" customHeight="true" outlineLevel="0" collapsed="false">
      <c r="A7" s="21" t="s">
        <v>41</v>
      </c>
      <c r="B7" s="21"/>
      <c r="C7" s="22" t="s">
        <v>42</v>
      </c>
      <c r="D7" s="5" t="s">
        <v>43</v>
      </c>
    </row>
    <row r="8" customFormat="false" ht="19.5" hidden="false" customHeight="true" outlineLevel="0" collapsed="false">
      <c r="A8" s="21" t="s">
        <v>44</v>
      </c>
      <c r="B8" s="21"/>
      <c r="C8" s="22" t="s">
        <v>45</v>
      </c>
      <c r="D8" s="5" t="s">
        <v>46</v>
      </c>
    </row>
    <row r="10" customFormat="false" ht="15" hidden="false" customHeight="true" outlineLevel="0" collapsed="false">
      <c r="A10" s="20" t="s">
        <v>47</v>
      </c>
      <c r="B10" s="20"/>
      <c r="C10" s="20"/>
      <c r="D10" s="20"/>
    </row>
    <row r="11" customFormat="false" ht="19.5" hidden="false" customHeight="true" outlineLevel="0" collapsed="false">
      <c r="A11" s="21" t="s">
        <v>48</v>
      </c>
      <c r="B11" s="21"/>
      <c r="C11" s="23" t="n">
        <v>1800000</v>
      </c>
      <c r="D11" s="5" t="s">
        <v>49</v>
      </c>
    </row>
    <row r="12" customFormat="false" ht="19.5" hidden="false" customHeight="true" outlineLevel="0" collapsed="false">
      <c r="A12" s="21" t="s">
        <v>50</v>
      </c>
      <c r="B12" s="21"/>
      <c r="C12" s="23" t="n">
        <v>900000</v>
      </c>
      <c r="D12" s="5" t="s">
        <v>51</v>
      </c>
    </row>
    <row r="13" customFormat="false" ht="19.5" hidden="false" customHeight="true" outlineLevel="0" collapsed="false">
      <c r="A13" s="21" t="s">
        <v>52</v>
      </c>
      <c r="B13" s="21"/>
      <c r="C13" s="23" t="n">
        <v>8000</v>
      </c>
      <c r="D13" s="5"/>
    </row>
    <row r="14" customFormat="false" ht="19.5" hidden="false" customHeight="true" outlineLevel="0" collapsed="false">
      <c r="A14" s="21" t="s">
        <v>53</v>
      </c>
      <c r="B14" s="21"/>
      <c r="C14" s="23" t="n">
        <v>25000</v>
      </c>
      <c r="D14" s="5"/>
    </row>
    <row r="15" customFormat="false" ht="19.5" hidden="false" customHeight="true" outlineLevel="0" collapsed="false">
      <c r="A15" s="21" t="s">
        <v>54</v>
      </c>
      <c r="B15" s="21"/>
      <c r="C15" s="23" t="n">
        <v>0</v>
      </c>
      <c r="D15" s="5" t="s">
        <v>55</v>
      </c>
    </row>
    <row r="17" customFormat="false" ht="15" hidden="false" customHeight="true" outlineLevel="0" collapsed="false">
      <c r="A17" s="20" t="s">
        <v>56</v>
      </c>
      <c r="B17" s="20"/>
      <c r="C17" s="20"/>
      <c r="D17" s="20"/>
    </row>
    <row r="18" customFormat="false" ht="19.5" hidden="false" customHeight="true" outlineLevel="0" collapsed="false">
      <c r="A18" s="21" t="s">
        <v>57</v>
      </c>
      <c r="B18" s="21"/>
      <c r="C18" s="23" t="n">
        <v>144600</v>
      </c>
      <c r="D18" s="5" t="s">
        <v>58</v>
      </c>
    </row>
    <row r="19" customFormat="false" ht="19.5" hidden="false" customHeight="true" outlineLevel="0" collapsed="false">
      <c r="A19" s="21" t="s">
        <v>59</v>
      </c>
      <c r="B19" s="21"/>
      <c r="C19" s="23" t="n">
        <v>0</v>
      </c>
      <c r="D19" s="5"/>
    </row>
    <row r="20" customFormat="false" ht="19.5" hidden="false" customHeight="true" outlineLevel="0" collapsed="false">
      <c r="A20" s="21" t="s">
        <v>60</v>
      </c>
      <c r="B20" s="21"/>
      <c r="C20" s="23" t="n">
        <v>2400</v>
      </c>
      <c r="D20" s="5" t="s">
        <v>61</v>
      </c>
    </row>
    <row r="21" customFormat="false" ht="19.5" hidden="false" customHeight="true" outlineLevel="0" collapsed="false">
      <c r="A21" s="21" t="s">
        <v>62</v>
      </c>
      <c r="B21" s="21"/>
      <c r="C21" s="23" t="n">
        <v>0</v>
      </c>
      <c r="D21" s="5" t="s">
        <v>63</v>
      </c>
    </row>
    <row r="22" customFormat="false" ht="19.5" hidden="false" customHeight="true" outlineLevel="0" collapsed="false">
      <c r="A22" s="21" t="s">
        <v>64</v>
      </c>
      <c r="B22" s="21"/>
      <c r="C22" s="23" t="n">
        <v>150000</v>
      </c>
      <c r="D22" s="5" t="s">
        <v>65</v>
      </c>
    </row>
    <row r="23" customFormat="false" ht="19.5" hidden="false" customHeight="true" outlineLevel="0" collapsed="false">
      <c r="A23" s="21" t="s">
        <v>66</v>
      </c>
      <c r="B23" s="21"/>
      <c r="C23" s="23" t="n">
        <v>50000</v>
      </c>
      <c r="D23" s="5" t="s">
        <v>67</v>
      </c>
    </row>
    <row r="24" customFormat="false" ht="19.5" hidden="false" customHeight="true" outlineLevel="0" collapsed="false">
      <c r="A24" s="21" t="s">
        <v>68</v>
      </c>
      <c r="B24" s="21"/>
      <c r="C24" s="23" t="n">
        <v>25000</v>
      </c>
      <c r="D24" s="5" t="s">
        <v>69</v>
      </c>
    </row>
    <row r="25" customFormat="false" ht="19.5" hidden="false" customHeight="true" outlineLevel="0" collapsed="false">
      <c r="A25" s="21" t="s">
        <v>70</v>
      </c>
      <c r="B25" s="21"/>
      <c r="C25" s="23" t="n">
        <v>0</v>
      </c>
      <c r="D25" s="5"/>
    </row>
    <row r="26" customFormat="false" ht="19.5" hidden="false" customHeight="true" outlineLevel="0" collapsed="false">
      <c r="A26" s="21" t="s">
        <v>71</v>
      </c>
      <c r="B26" s="21"/>
      <c r="C26" s="22" t="s">
        <v>72</v>
      </c>
      <c r="D26" s="5" t="s">
        <v>73</v>
      </c>
    </row>
    <row r="27" customFormat="false" ht="19.5" hidden="false" customHeight="true" outlineLevel="0" collapsed="false">
      <c r="A27" s="21" t="s">
        <v>74</v>
      </c>
      <c r="B27" s="21"/>
      <c r="C27" s="23" t="n">
        <v>0</v>
      </c>
      <c r="D27" s="5" t="s">
        <v>75</v>
      </c>
    </row>
    <row r="28" customFormat="false" ht="19.5" hidden="false" customHeight="true" outlineLevel="0" collapsed="false">
      <c r="A28" s="21" t="s">
        <v>76</v>
      </c>
      <c r="B28" s="21"/>
      <c r="C28" s="23" t="n">
        <v>0</v>
      </c>
      <c r="D28" s="5" t="s">
        <v>77</v>
      </c>
    </row>
    <row r="30" customFormat="false" ht="15" hidden="false" customHeight="true" outlineLevel="0" collapsed="false">
      <c r="A30" s="20" t="s">
        <v>78</v>
      </c>
      <c r="B30" s="20"/>
      <c r="C30" s="20"/>
      <c r="D30" s="20"/>
    </row>
    <row r="31" customFormat="false" ht="19.5" hidden="false" customHeight="true" outlineLevel="0" collapsed="false">
      <c r="A31" s="21" t="s">
        <v>79</v>
      </c>
      <c r="B31" s="21"/>
      <c r="C31" s="23" t="n">
        <v>0</v>
      </c>
      <c r="D31" s="5" t="s">
        <v>80</v>
      </c>
    </row>
    <row r="33" customFormat="false" ht="15" hidden="false" customHeight="false" outlineLevel="0" collapsed="false">
      <c r="A33" s="24" t="s">
        <v>81</v>
      </c>
      <c r="B33" s="24"/>
      <c r="C33" s="24"/>
      <c r="D33" s="24"/>
    </row>
  </sheetData>
  <mergeCells count="26">
    <mergeCell ref="A2:D2"/>
    <mergeCell ref="A5:D5"/>
    <mergeCell ref="A6:B6"/>
    <mergeCell ref="A7:B7"/>
    <mergeCell ref="A8:B8"/>
    <mergeCell ref="A10:D10"/>
    <mergeCell ref="A11:B11"/>
    <mergeCell ref="A12:B12"/>
    <mergeCell ref="A13:B13"/>
    <mergeCell ref="A14:B14"/>
    <mergeCell ref="A15:B15"/>
    <mergeCell ref="A17:D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30:D30"/>
    <mergeCell ref="A31:B31"/>
    <mergeCell ref="A33:D33"/>
  </mergeCells>
  <dataValidations count="3">
    <dataValidation allowBlank="false" errorStyle="stop" operator="between" showDropDown="false" showErrorMessage="false" showInputMessage="false" sqref="C7" type="list">
      <formula1>Lists!$A$2:$A$4</formula1>
      <formula2>0</formula2>
    </dataValidation>
    <dataValidation allowBlank="false" errorStyle="stop" operator="between" showDropDown="false" showErrorMessage="false" showInputMessage="false" sqref="C8" type="list">
      <formula1>Lists!$B$2:$B$3</formula1>
      <formula2>0</formula2>
    </dataValidation>
    <dataValidation allowBlank="false" errorStyle="stop" operator="between" showDropDown="false" showErrorMessage="false" showInputMessage="false" sqref="C26" type="list">
      <formula1>Lists!$C$2:$C$3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D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3" min="2" style="0" width="20"/>
    <col collapsed="false" customWidth="true" hidden="false" outlineLevel="0" max="4" min="4" style="0" width="58"/>
  </cols>
  <sheetData>
    <row r="1" customFormat="false" ht="15" hidden="false" customHeight="false" outlineLevel="0" collapsed="false">
      <c r="A1" s="11" t="s">
        <v>15</v>
      </c>
    </row>
    <row r="2" customFormat="false" ht="27.75" hidden="false" customHeight="true" outlineLevel="0" collapsed="false">
      <c r="A2" s="25" t="s">
        <v>82</v>
      </c>
      <c r="B2" s="25"/>
      <c r="C2" s="25"/>
      <c r="D2" s="25"/>
    </row>
    <row r="4" customFormat="false" ht="30" hidden="false" customHeight="true" outlineLevel="0" collapsed="false">
      <c r="A4" s="26" t="s">
        <v>83</v>
      </c>
      <c r="B4" s="26" t="s">
        <v>84</v>
      </c>
      <c r="C4" s="26" t="s">
        <v>85</v>
      </c>
      <c r="D4" s="26" t="s">
        <v>86</v>
      </c>
    </row>
    <row r="5" customFormat="false" ht="15" hidden="false" customHeight="false" outlineLevel="0" collapsed="false">
      <c r="A5" s="27" t="s">
        <v>87</v>
      </c>
      <c r="B5" s="28" t="n">
        <f aca="false">'Your Details'!$C$11</f>
        <v>1800000</v>
      </c>
      <c r="C5" s="28" t="n">
        <f aca="false">'Your Details'!$C$11</f>
        <v>1800000</v>
      </c>
      <c r="D5" s="5"/>
    </row>
    <row r="6" customFormat="false" ht="15" hidden="false" customHeight="false" outlineLevel="0" collapsed="false">
      <c r="A6" s="27" t="s">
        <v>88</v>
      </c>
      <c r="B6" s="28" t="n">
        <f aca="false">-'Your Details'!$C$18</f>
        <v>-144600</v>
      </c>
      <c r="C6" s="28" t="n">
        <f aca="false">0</f>
        <v>0</v>
      </c>
      <c r="D6" s="5" t="s">
        <v>89</v>
      </c>
    </row>
    <row r="7" customFormat="false" ht="15" hidden="false" customHeight="false" outlineLevel="0" collapsed="false">
      <c r="A7" s="27" t="s">
        <v>90</v>
      </c>
      <c r="B7" s="28" t="n">
        <f aca="false">-'Your Details'!$C$19</f>
        <v>-0</v>
      </c>
      <c r="C7" s="28" t="n">
        <f aca="false">0</f>
        <v>0</v>
      </c>
      <c r="D7" s="5"/>
    </row>
    <row r="8" customFormat="false" ht="15" hidden="false" customHeight="false" outlineLevel="0" collapsed="false">
      <c r="A8" s="27" t="s">
        <v>91</v>
      </c>
      <c r="B8" s="28" t="n">
        <f aca="false">-MIN('Tax Rates'!$C$18,MAX(0,'Your Details'!$C$11))</f>
        <v>-50000</v>
      </c>
      <c r="C8" s="28" t="n">
        <f aca="false">-MIN('Tax Rates'!$C$17,MAX(0,'Your Details'!$C$11))</f>
        <v>-75000</v>
      </c>
      <c r="D8" s="5" t="s">
        <v>92</v>
      </c>
    </row>
    <row r="9" customFormat="false" ht="15" hidden="false" customHeight="false" outlineLevel="0" collapsed="false">
      <c r="A9" s="27" t="s">
        <v>93</v>
      </c>
      <c r="B9" s="28" t="n">
        <f aca="false">-MIN('Your Details'!$C$20,'Tax Rates'!$C$34)</f>
        <v>-2400</v>
      </c>
      <c r="C9" s="28" t="n">
        <f aca="false">0</f>
        <v>0</v>
      </c>
      <c r="D9" s="5"/>
    </row>
    <row r="10" customFormat="false" ht="15" hidden="false" customHeight="false" outlineLevel="0" collapsed="false">
      <c r="A10" s="29" t="s">
        <v>94</v>
      </c>
      <c r="B10" s="30" t="n">
        <f aca="false">MAX(0,SUM(B5:B9))</f>
        <v>1603000</v>
      </c>
      <c r="C10" s="30" t="n">
        <f aca="false">MAX(0,SUM(C5:C9))</f>
        <v>1725000</v>
      </c>
      <c r="D10" s="5"/>
    </row>
    <row r="11" customFormat="false" ht="15" hidden="false" customHeight="false" outlineLevel="0" collapsed="false">
      <c r="A11" s="27" t="s">
        <v>95</v>
      </c>
      <c r="B11" s="28" t="n">
        <f aca="false">'Your Details'!$C$13+'Your Details'!$C$14+'Your Details'!$C$15</f>
        <v>33000</v>
      </c>
      <c r="C11" s="28" t="n">
        <f aca="false">'Your Details'!$C$13+'Your Details'!$C$14+'Your Details'!$C$15</f>
        <v>33000</v>
      </c>
      <c r="D11" s="5"/>
    </row>
    <row r="12" customFormat="false" ht="15" hidden="false" customHeight="false" outlineLevel="0" collapsed="false">
      <c r="A12" s="27" t="s">
        <v>96</v>
      </c>
      <c r="B12" s="28" t="n">
        <f aca="false">-MIN('Your Details'!$C$21,'Tax Rates'!$C$33)</f>
        <v>-0</v>
      </c>
      <c r="C12" s="28" t="n">
        <f aca="false">0</f>
        <v>0</v>
      </c>
      <c r="D12" s="5" t="s">
        <v>97</v>
      </c>
    </row>
    <row r="13" customFormat="false" ht="15" hidden="false" customHeight="false" outlineLevel="0" collapsed="false">
      <c r="A13" s="29" t="s">
        <v>98</v>
      </c>
      <c r="B13" s="30" t="n">
        <f aca="false">MAX(0,B10+B11+B12)</f>
        <v>1636000</v>
      </c>
      <c r="C13" s="30" t="n">
        <f aca="false">MAX(0,C10+C11+C12)</f>
        <v>1758000</v>
      </c>
      <c r="D13" s="5"/>
    </row>
    <row r="14" customFormat="false" ht="15" hidden="false" customHeight="false" outlineLevel="0" collapsed="false">
      <c r="A14" s="27" t="s">
        <v>99</v>
      </c>
      <c r="B14" s="28" t="n">
        <f aca="false">-MIN('Your Details'!$C$22,'Tax Rates'!$C$25)</f>
        <v>-150000</v>
      </c>
      <c r="C14" s="28" t="n">
        <f aca="false">0</f>
        <v>0</v>
      </c>
      <c r="D14" s="5"/>
    </row>
    <row r="15" customFormat="false" ht="15" hidden="false" customHeight="false" outlineLevel="0" collapsed="false">
      <c r="A15" s="27" t="s">
        <v>100</v>
      </c>
      <c r="B15" s="28" t="n">
        <f aca="false">-MIN('Your Details'!$C$23,'Tax Rates'!$C$26)</f>
        <v>-50000</v>
      </c>
      <c r="C15" s="28" t="n">
        <f aca="false">0</f>
        <v>0</v>
      </c>
      <c r="D15" s="5"/>
    </row>
    <row r="16" customFormat="false" ht="15" hidden="false" customHeight="false" outlineLevel="0" collapsed="false">
      <c r="A16" s="27" t="s">
        <v>101</v>
      </c>
      <c r="B16" s="28" t="n">
        <f aca="false">-(MIN('Your Details'!$C$24,IF(LEFT('Your Details'!$C$7,5)&lt;&gt;"Below",'Tax Rates'!$C$28,'Tax Rates'!$C$27))+MIN('Your Details'!$C$25,IF('Your Details'!$C$26="Yes",'Tax Rates'!$C$30,'Tax Rates'!$C$29)))</f>
        <v>-25000</v>
      </c>
      <c r="C16" s="28" t="n">
        <f aca="false">0</f>
        <v>0</v>
      </c>
      <c r="D16" s="5"/>
    </row>
    <row r="17" customFormat="false" ht="15" hidden="false" customHeight="false" outlineLevel="0" collapsed="false">
      <c r="A17" s="27" t="s">
        <v>102</v>
      </c>
      <c r="B17" s="28" t="n">
        <f aca="false">-('Your Details'!$C$27+'Your Details'!$C$28)</f>
        <v>-0</v>
      </c>
      <c r="C17" s="28" t="n">
        <f aca="false">0</f>
        <v>0</v>
      </c>
      <c r="D17" s="5"/>
    </row>
    <row r="18" customFormat="false" ht="15" hidden="false" customHeight="false" outlineLevel="0" collapsed="false">
      <c r="A18" s="27" t="s">
        <v>103</v>
      </c>
      <c r="B18" s="28" t="n">
        <f aca="false">-IF(LEFT('Your Details'!$C$7,5)&lt;&gt;"Below",MIN('Your Details'!$C$13+'Your Details'!$C$14,'Tax Rates'!$C$32),MIN('Your Details'!$C$13,'Tax Rates'!$C$31))</f>
        <v>-8000</v>
      </c>
      <c r="C18" s="28" t="n">
        <f aca="false">0</f>
        <v>0</v>
      </c>
      <c r="D18" s="5" t="s">
        <v>104</v>
      </c>
    </row>
    <row r="19" customFormat="false" ht="15" hidden="false" customHeight="false" outlineLevel="0" collapsed="false">
      <c r="A19" s="27" t="s">
        <v>105</v>
      </c>
      <c r="B19" s="28" t="n">
        <f aca="false">-MIN('Your Details'!$C$31,IF('Your Details'!$C$8="Private / Other",'Tax Rates'!$C$36,'Tax Rates'!$C$37)*'Your Details'!$C$12)</f>
        <v>-0</v>
      </c>
      <c r="C19" s="28" t="n">
        <f aca="false">-MIN('Your Details'!$C$31,'Tax Rates'!$C$35*'Your Details'!$C$12)</f>
        <v>-0</v>
      </c>
      <c r="D19" s="5" t="s">
        <v>106</v>
      </c>
    </row>
    <row r="20" customFormat="false" ht="15" hidden="false" customHeight="false" outlineLevel="0" collapsed="false">
      <c r="A20" s="29" t="s">
        <v>107</v>
      </c>
      <c r="B20" s="30" t="n">
        <f aca="false">SUM(B14:B19)</f>
        <v>-233000</v>
      </c>
      <c r="C20" s="30" t="n">
        <f aca="false">SUM(C14:C19)</f>
        <v>0</v>
      </c>
      <c r="D20" s="5"/>
    </row>
    <row r="21" customFormat="false" ht="15" hidden="false" customHeight="false" outlineLevel="0" collapsed="false">
      <c r="A21" s="27" t="s">
        <v>108</v>
      </c>
      <c r="B21" s="28" t="n">
        <f aca="false">ROUND(MAX(0,B13+B20)/10,0)*10</f>
        <v>1403000</v>
      </c>
      <c r="C21" s="28" t="n">
        <f aca="false">ROUND(MAX(0,C13+C20)/10,0)*10</f>
        <v>1758000</v>
      </c>
      <c r="D21" s="5"/>
    </row>
    <row r="22" customFormat="false" ht="15" hidden="false" customHeight="false" outlineLevel="0" collapsed="false">
      <c r="A22" s="27" t="s">
        <v>109</v>
      </c>
      <c r="B22" s="28" t="n">
        <f aca="false">IF(LEFT('Your Details'!$C$7,5)="Below",SUMPRODUCT((B21&gt;'Tax Rates'!$E$7:$E$10)*(B21-'Tax Rates'!$E$7:$E$10)*'Tax Rates'!$G$7:$G$10),IF(LEFT('Your Details'!$C$7,2)="60",SUMPRODUCT((B21&gt;'Tax Rates'!$E$14:$E$17)*(B21-'Tax Rates'!$E$14:$E$17)*'Tax Rates'!$G$14:$G$17),SUMPRODUCT((B21&gt;'Tax Rates'!$E$21:$E$23)*(B21-'Tax Rates'!$E$21:$E$23)*'Tax Rates'!$G$21:$G$23)))</f>
        <v>233400</v>
      </c>
      <c r="C22" s="28" t="n">
        <f aca="false">SUMPRODUCT((C21&gt;'Tax Rates'!$A$7:$A$13)*(C21-'Tax Rates'!$A$7:$A$13)*'Tax Rates'!$C$7:$C$13)</f>
        <v>151600</v>
      </c>
    </row>
    <row r="23" customFormat="false" ht="22.35" hidden="false" customHeight="false" outlineLevel="0" collapsed="false">
      <c r="A23" s="27" t="s">
        <v>110</v>
      </c>
      <c r="B23" s="28" t="n">
        <f aca="false">-IF(B21&lt;='Tax Rates'!$C$21,MIN(B22,'Tax Rates'!$C$22),0)</f>
        <v>-0</v>
      </c>
      <c r="C23" s="28" t="n">
        <f aca="false">-IF(C21&lt;='Tax Rates'!$C$19,C22,MAX(0,C22-(C21-'Tax Rates'!$C$19)))</f>
        <v>-0</v>
      </c>
      <c r="D23" s="5" t="s">
        <v>111</v>
      </c>
    </row>
    <row r="24" customFormat="false" ht="15" hidden="false" customHeight="false" outlineLevel="0" collapsed="false">
      <c r="A24" s="31" t="s">
        <v>112</v>
      </c>
      <c r="B24" s="32" t="n">
        <f aca="false">B22+B23</f>
        <v>233400</v>
      </c>
      <c r="C24" s="32" t="n">
        <f aca="false">C22+C23</f>
        <v>151600</v>
      </c>
    </row>
    <row r="25" customFormat="false" ht="15" hidden="false" customHeight="false" outlineLevel="0" collapsed="false">
      <c r="A25" s="27" t="s">
        <v>113</v>
      </c>
      <c r="B25" s="28" t="n">
        <f aca="false">IF(B21&lt;=5000000,0,MAX(0,MIN(B24*LOOKUP(B21,'Tax Rates'!$E$27:$E$31,'Tax Rates'!$F$27:$F$31),IF(LEFT('Your Details'!$C$7,5)="Below",SUMPRODUCT((LOOKUP(B21,'Tax Rates'!$E$27:$E$31,'Tax Rates'!$E$27:$E$31)&gt;'Tax Rates'!$E$7:$E$10)*(LOOKUP(B21,'Tax Rates'!$E$27:$E$31,'Tax Rates'!$E$27:$E$31)-'Tax Rates'!$E$7:$E$10)*'Tax Rates'!$G$7:$G$10),IF(LEFT('Your Details'!$C$7,2)="60",SUMPRODUCT((LOOKUP(B21,'Tax Rates'!$E$27:$E$31,'Tax Rates'!$E$27:$E$31)&gt;'Tax Rates'!$E$14:$E$17)*(LOOKUP(B21,'Tax Rates'!$E$27:$E$31,'Tax Rates'!$E$27:$E$31)-'Tax Rates'!$E$14:$E$17)*'Tax Rates'!$G$14:$G$17),SUMPRODUCT((LOOKUP(B21,'Tax Rates'!$E$27:$E$31,'Tax Rates'!$E$27:$E$31)&gt;'Tax Rates'!$E$21:$E$23)*(LOOKUP(B21,'Tax Rates'!$E$27:$E$31,'Tax Rates'!$E$27:$E$31)-'Tax Rates'!$E$21:$E$23)*'Tax Rates'!$G$21:$G$23)))*(1+IFERROR(LOOKUP(LOOKUP(B21,'Tax Rates'!$E$27:$E$31,'Tax Rates'!$E$27:$E$31)-1,'Tax Rates'!$E$27:$E$31,'Tax Rates'!$F$27:$F$31),0))+(B21-LOOKUP(B21,'Tax Rates'!$E$27:$E$31,'Tax Rates'!$E$27:$E$31))-B24)))</f>
        <v>0</v>
      </c>
      <c r="C25" s="28" t="n">
        <f aca="false">IF(C21&lt;=5000000,0,MAX(0,MIN(C24*MIN(LOOKUP(C21,'Tax Rates'!$E$27:$E$31,'Tax Rates'!$F$27:$F$31),'Tax Rates'!$C$24),SUMPRODUCT((LOOKUP(C21,'Tax Rates'!$E$27:$E$31,'Tax Rates'!$E$27:$E$31)&gt;'Tax Rates'!$A$7:$A$13)*(LOOKUP(C21,'Tax Rates'!$E$27:$E$31,'Tax Rates'!$E$27:$E$31)-'Tax Rates'!$A$7:$A$13)*'Tax Rates'!$C$7:$C$13)*(1+MIN(IFERROR(LOOKUP(LOOKUP(C21,'Tax Rates'!$E$27:$E$31,'Tax Rates'!$E$27:$E$31)-1,'Tax Rates'!$E$27:$E$31,'Tax Rates'!$F$27:$F$31),0),'Tax Rates'!$C$24))+(C21-LOOKUP(C21,'Tax Rates'!$E$27:$E$31,'Tax Rates'!$E$27:$E$31))-C24)))</f>
        <v>0</v>
      </c>
      <c r="D25" s="5" t="s">
        <v>114</v>
      </c>
    </row>
    <row r="26" customFormat="false" ht="15" hidden="false" customHeight="false" outlineLevel="0" collapsed="false">
      <c r="A26" s="27" t="s">
        <v>115</v>
      </c>
      <c r="B26" s="28" t="n">
        <f aca="false">ROUND((B24+B25)*'Tax Rates'!$C$23,0)</f>
        <v>9336</v>
      </c>
      <c r="C26" s="28" t="n">
        <f aca="false">ROUND((C24+C25)*'Tax Rates'!$C$23,0)</f>
        <v>6064</v>
      </c>
    </row>
    <row r="27" customFormat="false" ht="25.5" hidden="false" customHeight="true" outlineLevel="0" collapsed="false">
      <c r="A27" s="33" t="s">
        <v>116</v>
      </c>
      <c r="B27" s="34" t="n">
        <f aca="false">ROUND((B24+B25+B26)/10,0)*10</f>
        <v>242740</v>
      </c>
      <c r="C27" s="34" t="n">
        <f aca="false">ROUND((C24+C25+C26)/10,0)*10</f>
        <v>157660</v>
      </c>
    </row>
    <row r="28" customFormat="false" ht="15" hidden="false" customHeight="false" outlineLevel="0" collapsed="false">
      <c r="A28" s="27" t="s">
        <v>117</v>
      </c>
      <c r="B28" s="28" t="n">
        <f aca="false">ROUND(B27/12,0)</f>
        <v>20228</v>
      </c>
      <c r="C28" s="28" t="n">
        <f aca="false">ROUND(C27/12,0)</f>
        <v>13138</v>
      </c>
    </row>
    <row r="29" customFormat="false" ht="15" hidden="false" customHeight="false" outlineLevel="0" collapsed="false">
      <c r="A29" s="27" t="s">
        <v>118</v>
      </c>
      <c r="B29" s="35" t="n">
        <f aca="false">IFERROR(B27/('Your Details'!$C$11+B11),0)</f>
        <v>0.132427714129842</v>
      </c>
      <c r="C29" s="35" t="n">
        <f aca="false">IFERROR(C27/('Your Details'!$C$11+C11),0)</f>
        <v>0.0860120021822149</v>
      </c>
    </row>
    <row r="31" customFormat="false" ht="16.15" hidden="false" customHeight="false" outlineLevel="0" collapsed="false">
      <c r="A31" s="36" t="s">
        <v>119</v>
      </c>
    </row>
    <row r="32" customFormat="false" ht="21.75" hidden="false" customHeight="true" outlineLevel="0" collapsed="false">
      <c r="A32" s="8" t="str">
        <f aca="false">IF(B27=C27,"Both regimes give the same tax.",IF(C27&lt;B27,"NEW REGIME is better for you – you save "&amp;TEXT(B27-C27,"[&gt;=100000]₹##\,##\,##0;₹##,##0")&amp;" a year ("&amp;TEXT((B27-C27)/12,"[&gt;=100000]₹##\,##\,##0;₹##,##0")&amp;" a month).","OLD REGIME is better for you – you save "&amp;TEXT(C27-B27,"[&gt;=100000]₹##\,##\,##0;₹##,##0")&amp;" a year ("&amp;TEXT((C27-B27)/12,"[&gt;=100000]₹##\,##\,##0;₹##,##0")&amp;" a month)."))</f>
        <v>NEW REGIME is better for you – you save ₹85,080 a year (₹7,090 a month).</v>
      </c>
      <c r="B32" s="8"/>
      <c r="C32" s="8"/>
      <c r="D32" s="8"/>
    </row>
    <row r="33" customFormat="false" ht="21.75" hidden="false" customHeight="true" outlineLevel="0" collapsed="false">
      <c r="A33" s="8"/>
      <c r="B33" s="8"/>
      <c r="C33" s="8"/>
      <c r="D33" s="8"/>
    </row>
    <row r="35" customFormat="false" ht="28.35" hidden="false" customHeight="false" outlineLevel="0" collapsed="false">
      <c r="A35" s="31" t="s">
        <v>120</v>
      </c>
      <c r="B35" s="37" t="str">
        <f aca="false">IF(C27&gt;=B27,"Already better",TEXT(MAX(0,(B27-C27)/IF(B21&gt;1000000,0.312,IF(B21&gt;500000,0.208,0.052))),"[&gt;=100000]₹##\,##\,##0;₹##,##0")&amp;" more")</f>
        <v>₹2,72,692 more</v>
      </c>
      <c r="D35" s="5" t="s">
        <v>121</v>
      </c>
    </row>
  </sheetData>
  <mergeCells count="2">
    <mergeCell ref="A2:D2"/>
    <mergeCell ref="A32:D33"/>
  </mergeCells>
  <conditionalFormatting sqref="B27:C27">
    <cfRule type="expression" priority="2" aboveAverage="0" equalAverage="0" bottom="0" percent="0" rank="0" text="" dxfId="1">
      <formula>B27=MIN($B$27:$C$27)</formula>
    </cfRule>
  </conditionalFormatting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F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3" min="2" style="0" width="20"/>
    <col collapsed="false" customWidth="true" hidden="false" outlineLevel="0" max="4" min="4" style="0" width="15"/>
    <col collapsed="false" customWidth="true" hidden="false" outlineLevel="0" max="5" min="5" style="0" width="16"/>
    <col collapsed="false" customWidth="true" hidden="false" outlineLevel="0" max="6" min="6" style="0" width="30"/>
  </cols>
  <sheetData>
    <row r="1" customFormat="false" ht="15" hidden="false" customHeight="false" outlineLevel="0" collapsed="false">
      <c r="A1" s="11" t="s">
        <v>15</v>
      </c>
    </row>
    <row r="2" customFormat="false" ht="27.75" hidden="false" customHeight="true" outlineLevel="0" collapsed="false">
      <c r="A2" s="38" t="s">
        <v>122</v>
      </c>
      <c r="B2" s="38"/>
      <c r="C2" s="38"/>
      <c r="D2" s="38"/>
      <c r="E2" s="38"/>
      <c r="F2" s="38"/>
    </row>
    <row r="3" customFormat="false" ht="28.35" hidden="false" customHeight="true" outlineLevel="0" collapsed="false">
      <c r="A3" s="39" t="s">
        <v>123</v>
      </c>
      <c r="B3" s="39"/>
      <c r="C3" s="39"/>
      <c r="D3" s="23" t="n">
        <v>175000</v>
      </c>
      <c r="E3" s="40" t="s">
        <v>124</v>
      </c>
      <c r="F3" s="40"/>
    </row>
    <row r="5" customFormat="false" ht="36" hidden="false" customHeight="true" outlineLevel="0" collapsed="false">
      <c r="A5" s="26" t="s">
        <v>125</v>
      </c>
      <c r="B5" s="26" t="s">
        <v>126</v>
      </c>
      <c r="C5" s="26" t="s">
        <v>127</v>
      </c>
      <c r="D5" s="26" t="s">
        <v>128</v>
      </c>
      <c r="E5" s="26" t="s">
        <v>129</v>
      </c>
      <c r="F5" s="26" t="s">
        <v>130</v>
      </c>
    </row>
    <row r="6" customFormat="false" ht="15" hidden="false" customHeight="false" outlineLevel="0" collapsed="false">
      <c r="A6" s="41" t="n">
        <v>500000</v>
      </c>
      <c r="B6" s="28" t="n">
        <f aca="false">ROUND(MAX(0,SUMPRODUCT((ROUND(MAX(0,A6-'Tax Rates'!$C$18-$D$3)/10,0)*10&gt;'Tax Rates'!$E$7:$E$10)*(ROUND(MAX(0,A6-'Tax Rates'!$C$18-$D$3)/10,0)*10-'Tax Rates'!$E$7:$E$10)*'Tax Rates'!$G$7:$G$10)-IF(ROUND(MAX(0,A6-'Tax Rates'!$C$18-$D$3)/10,0)*10&lt;='Tax Rates'!$C$21,MIN(SUMPRODUCT((ROUND(MAX(0,A6-'Tax Rates'!$C$18-$D$3)/10,0)*10&gt;'Tax Rates'!$E$7:$E$10)*(ROUND(MAX(0,A6-'Tax Rates'!$C$18-$D$3)/10,0)*10-'Tax Rates'!$E$7:$E$10)*'Tax Rates'!$G$7:$G$10),'Tax Rates'!$C$22),0))*(1+'Tax Rates'!$C$23)/10,0)*10</f>
        <v>0</v>
      </c>
      <c r="C6" s="28" t="n">
        <f aca="false">ROUND(IF(ROUND(MAX(0,A6-'Tax Rates'!$C$17)/10,0)*10&lt;='Tax Rates'!$C$19,0,MIN(SUMPRODUCT((ROUND(MAX(0,A6-'Tax Rates'!$C$17)/10,0)*10&gt;'Tax Rates'!$A$7:$A$13)*(ROUND(MAX(0,A6-'Tax Rates'!$C$17)/10,0)*10-'Tax Rates'!$A$7:$A$13)*'Tax Rates'!$C$7:$C$13),ROUND(MAX(0,A6-'Tax Rates'!$C$17)/10,0)*10-'Tax Rates'!$C$19))*(1+'Tax Rates'!$C$23)/10,0)*10</f>
        <v>0</v>
      </c>
      <c r="D6" s="42" t="str">
        <f aca="false">IF(B6=C6,"Same",IF(C6&lt;B6,"New","Old"))</f>
        <v>Same</v>
      </c>
      <c r="E6" s="28" t="n">
        <f aca="false">ABS(B6-C6)</f>
        <v>0</v>
      </c>
      <c r="F6" s="43" t="str">
        <f aca="false">IF(C6&lt;B6,"+ "&amp;TEXT((B6-C6)/12,"[&gt;=100000]₹##\,##\,##0;₹##,##0")&amp;" / month","")</f>
        <v/>
      </c>
    </row>
    <row r="7" customFormat="false" ht="15" hidden="false" customHeight="false" outlineLevel="0" collapsed="false">
      <c r="A7" s="41" t="n">
        <v>700000</v>
      </c>
      <c r="B7" s="28" t="n">
        <f aca="false">ROUND(MAX(0,SUMPRODUCT((ROUND(MAX(0,A7-'Tax Rates'!$C$18-$D$3)/10,0)*10&gt;'Tax Rates'!$E$7:$E$10)*(ROUND(MAX(0,A7-'Tax Rates'!$C$18-$D$3)/10,0)*10-'Tax Rates'!$E$7:$E$10)*'Tax Rates'!$G$7:$G$10)-IF(ROUND(MAX(0,A7-'Tax Rates'!$C$18-$D$3)/10,0)*10&lt;='Tax Rates'!$C$21,MIN(SUMPRODUCT((ROUND(MAX(0,A7-'Tax Rates'!$C$18-$D$3)/10,0)*10&gt;'Tax Rates'!$E$7:$E$10)*(ROUND(MAX(0,A7-'Tax Rates'!$C$18-$D$3)/10,0)*10-'Tax Rates'!$E$7:$E$10)*'Tax Rates'!$G$7:$G$10),'Tax Rates'!$C$22),0))*(1+'Tax Rates'!$C$23)/10,0)*10</f>
        <v>0</v>
      </c>
      <c r="C7" s="28" t="n">
        <f aca="false">ROUND(IF(ROUND(MAX(0,A7-'Tax Rates'!$C$17)/10,0)*10&lt;='Tax Rates'!$C$19,0,MIN(SUMPRODUCT((ROUND(MAX(0,A7-'Tax Rates'!$C$17)/10,0)*10&gt;'Tax Rates'!$A$7:$A$13)*(ROUND(MAX(0,A7-'Tax Rates'!$C$17)/10,0)*10-'Tax Rates'!$A$7:$A$13)*'Tax Rates'!$C$7:$C$13),ROUND(MAX(0,A7-'Tax Rates'!$C$17)/10,0)*10-'Tax Rates'!$C$19))*(1+'Tax Rates'!$C$23)/10,0)*10</f>
        <v>0</v>
      </c>
      <c r="D7" s="42" t="str">
        <f aca="false">IF(B7=C7,"Same",IF(C7&lt;B7,"New","Old"))</f>
        <v>Same</v>
      </c>
      <c r="E7" s="28" t="n">
        <f aca="false">ABS(B7-C7)</f>
        <v>0</v>
      </c>
      <c r="F7" s="43" t="str">
        <f aca="false">IF(C7&lt;B7,"+ "&amp;TEXT((B7-C7)/12,"[&gt;=100000]₹##\,##\,##0;₹##,##0")&amp;" / month","")</f>
        <v/>
      </c>
    </row>
    <row r="8" customFormat="false" ht="15" hidden="false" customHeight="false" outlineLevel="0" collapsed="false">
      <c r="A8" s="41" t="n">
        <v>800000</v>
      </c>
      <c r="B8" s="28" t="n">
        <f aca="false">ROUND(MAX(0,SUMPRODUCT((ROUND(MAX(0,A8-'Tax Rates'!$C$18-$D$3)/10,0)*10&gt;'Tax Rates'!$E$7:$E$10)*(ROUND(MAX(0,A8-'Tax Rates'!$C$18-$D$3)/10,0)*10-'Tax Rates'!$E$7:$E$10)*'Tax Rates'!$G$7:$G$10)-IF(ROUND(MAX(0,A8-'Tax Rates'!$C$18-$D$3)/10,0)*10&lt;='Tax Rates'!$C$21,MIN(SUMPRODUCT((ROUND(MAX(0,A8-'Tax Rates'!$C$18-$D$3)/10,0)*10&gt;'Tax Rates'!$E$7:$E$10)*(ROUND(MAX(0,A8-'Tax Rates'!$C$18-$D$3)/10,0)*10-'Tax Rates'!$E$7:$E$10)*'Tax Rates'!$G$7:$G$10),'Tax Rates'!$C$22),0))*(1+'Tax Rates'!$C$23)/10,0)*10</f>
        <v>28600</v>
      </c>
      <c r="C8" s="28" t="n">
        <f aca="false">ROUND(IF(ROUND(MAX(0,A8-'Tax Rates'!$C$17)/10,0)*10&lt;='Tax Rates'!$C$19,0,MIN(SUMPRODUCT((ROUND(MAX(0,A8-'Tax Rates'!$C$17)/10,0)*10&gt;'Tax Rates'!$A$7:$A$13)*(ROUND(MAX(0,A8-'Tax Rates'!$C$17)/10,0)*10-'Tax Rates'!$A$7:$A$13)*'Tax Rates'!$C$7:$C$13),ROUND(MAX(0,A8-'Tax Rates'!$C$17)/10,0)*10-'Tax Rates'!$C$19))*(1+'Tax Rates'!$C$23)/10,0)*10</f>
        <v>0</v>
      </c>
      <c r="D8" s="42" t="str">
        <f aca="false">IF(B8=C8,"Same",IF(C8&lt;B8,"New","Old"))</f>
        <v>New</v>
      </c>
      <c r="E8" s="28" t="n">
        <f aca="false">ABS(B8-C8)</f>
        <v>28600</v>
      </c>
      <c r="F8" s="43" t="str">
        <f aca="false">IF(C8&lt;B8,"+ "&amp;TEXT((B8-C8)/12,"[&gt;=100000]₹##\,##\,##0;₹##,##0")&amp;" / month","")</f>
        <v>+ ₹2,383 / month</v>
      </c>
    </row>
    <row r="9" customFormat="false" ht="15" hidden="false" customHeight="false" outlineLevel="0" collapsed="false">
      <c r="A9" s="41" t="n">
        <v>1000000</v>
      </c>
      <c r="B9" s="28" t="n">
        <f aca="false">ROUND(MAX(0,SUMPRODUCT((ROUND(MAX(0,A9-'Tax Rates'!$C$18-$D$3)/10,0)*10&gt;'Tax Rates'!$E$7:$E$10)*(ROUND(MAX(0,A9-'Tax Rates'!$C$18-$D$3)/10,0)*10-'Tax Rates'!$E$7:$E$10)*'Tax Rates'!$G$7:$G$10)-IF(ROUND(MAX(0,A9-'Tax Rates'!$C$18-$D$3)/10,0)*10&lt;='Tax Rates'!$C$21,MIN(SUMPRODUCT((ROUND(MAX(0,A9-'Tax Rates'!$C$18-$D$3)/10,0)*10&gt;'Tax Rates'!$E$7:$E$10)*(ROUND(MAX(0,A9-'Tax Rates'!$C$18-$D$3)/10,0)*10-'Tax Rates'!$E$7:$E$10)*'Tax Rates'!$G$7:$G$10),'Tax Rates'!$C$22),0))*(1+'Tax Rates'!$C$23)/10,0)*10</f>
        <v>70200</v>
      </c>
      <c r="C9" s="28" t="n">
        <f aca="false">ROUND(IF(ROUND(MAX(0,A9-'Tax Rates'!$C$17)/10,0)*10&lt;='Tax Rates'!$C$19,0,MIN(SUMPRODUCT((ROUND(MAX(0,A9-'Tax Rates'!$C$17)/10,0)*10&gt;'Tax Rates'!$A$7:$A$13)*(ROUND(MAX(0,A9-'Tax Rates'!$C$17)/10,0)*10-'Tax Rates'!$A$7:$A$13)*'Tax Rates'!$C$7:$C$13),ROUND(MAX(0,A9-'Tax Rates'!$C$17)/10,0)*10-'Tax Rates'!$C$19))*(1+'Tax Rates'!$C$23)/10,0)*10</f>
        <v>0</v>
      </c>
      <c r="D9" s="42" t="str">
        <f aca="false">IF(B9=C9,"Same",IF(C9&lt;B9,"New","Old"))</f>
        <v>New</v>
      </c>
      <c r="E9" s="28" t="n">
        <f aca="false">ABS(B9-C9)</f>
        <v>70200</v>
      </c>
      <c r="F9" s="43" t="str">
        <f aca="false">IF(C9&lt;B9,"+ "&amp;TEXT((B9-C9)/12,"[&gt;=100000]₹##\,##\,##0;₹##,##0")&amp;" / month","")</f>
        <v>+ ₹5,850 / month</v>
      </c>
    </row>
    <row r="10" customFormat="false" ht="15" hidden="false" customHeight="false" outlineLevel="0" collapsed="false">
      <c r="A10" s="41" t="n">
        <v>1200000</v>
      </c>
      <c r="B10" s="28" t="n">
        <f aca="false">ROUND(MAX(0,SUMPRODUCT((ROUND(MAX(0,A10-'Tax Rates'!$C$18-$D$3)/10,0)*10&gt;'Tax Rates'!$E$7:$E$10)*(ROUND(MAX(0,A10-'Tax Rates'!$C$18-$D$3)/10,0)*10-'Tax Rates'!$E$7:$E$10)*'Tax Rates'!$G$7:$G$10)-IF(ROUND(MAX(0,A10-'Tax Rates'!$C$18-$D$3)/10,0)*10&lt;='Tax Rates'!$C$21,MIN(SUMPRODUCT((ROUND(MAX(0,A10-'Tax Rates'!$C$18-$D$3)/10,0)*10&gt;'Tax Rates'!$E$7:$E$10)*(ROUND(MAX(0,A10-'Tax Rates'!$C$18-$D$3)/10,0)*10-'Tax Rates'!$E$7:$E$10)*'Tax Rates'!$G$7:$G$10),'Tax Rates'!$C$22),0))*(1+'Tax Rates'!$C$23)/10,0)*10</f>
        <v>111800</v>
      </c>
      <c r="C10" s="28" t="n">
        <f aca="false">ROUND(IF(ROUND(MAX(0,A10-'Tax Rates'!$C$17)/10,0)*10&lt;='Tax Rates'!$C$19,0,MIN(SUMPRODUCT((ROUND(MAX(0,A10-'Tax Rates'!$C$17)/10,0)*10&gt;'Tax Rates'!$A$7:$A$13)*(ROUND(MAX(0,A10-'Tax Rates'!$C$17)/10,0)*10-'Tax Rates'!$A$7:$A$13)*'Tax Rates'!$C$7:$C$13),ROUND(MAX(0,A10-'Tax Rates'!$C$17)/10,0)*10-'Tax Rates'!$C$19))*(1+'Tax Rates'!$C$23)/10,0)*10</f>
        <v>0</v>
      </c>
      <c r="D10" s="42" t="str">
        <f aca="false">IF(B10=C10,"Same",IF(C10&lt;B10,"New","Old"))</f>
        <v>New</v>
      </c>
      <c r="E10" s="28" t="n">
        <f aca="false">ABS(B10-C10)</f>
        <v>111800</v>
      </c>
      <c r="F10" s="43" t="str">
        <f aca="false">IF(C10&lt;B10,"+ "&amp;TEXT((B10-C10)/12,"[&gt;=100000]₹##\,##\,##0;₹##,##0")&amp;" / month","")</f>
        <v>+ ₹9,317 / month</v>
      </c>
    </row>
    <row r="11" customFormat="false" ht="15" hidden="false" customHeight="false" outlineLevel="0" collapsed="false">
      <c r="A11" s="41" t="n">
        <v>1275000</v>
      </c>
      <c r="B11" s="28" t="n">
        <f aca="false">ROUND(MAX(0,SUMPRODUCT((ROUND(MAX(0,A11-'Tax Rates'!$C$18-$D$3)/10,0)*10&gt;'Tax Rates'!$E$7:$E$10)*(ROUND(MAX(0,A11-'Tax Rates'!$C$18-$D$3)/10,0)*10-'Tax Rates'!$E$7:$E$10)*'Tax Rates'!$G$7:$G$10)-IF(ROUND(MAX(0,A11-'Tax Rates'!$C$18-$D$3)/10,0)*10&lt;='Tax Rates'!$C$21,MIN(SUMPRODUCT((ROUND(MAX(0,A11-'Tax Rates'!$C$18-$D$3)/10,0)*10&gt;'Tax Rates'!$E$7:$E$10)*(ROUND(MAX(0,A11-'Tax Rates'!$C$18-$D$3)/10,0)*10-'Tax Rates'!$E$7:$E$10)*'Tax Rates'!$G$7:$G$10),'Tax Rates'!$C$22),0))*(1+'Tax Rates'!$C$23)/10,0)*10</f>
        <v>132600</v>
      </c>
      <c r="C11" s="28" t="n">
        <f aca="false">ROUND(IF(ROUND(MAX(0,A11-'Tax Rates'!$C$17)/10,0)*10&lt;='Tax Rates'!$C$19,0,MIN(SUMPRODUCT((ROUND(MAX(0,A11-'Tax Rates'!$C$17)/10,0)*10&gt;'Tax Rates'!$A$7:$A$13)*(ROUND(MAX(0,A11-'Tax Rates'!$C$17)/10,0)*10-'Tax Rates'!$A$7:$A$13)*'Tax Rates'!$C$7:$C$13),ROUND(MAX(0,A11-'Tax Rates'!$C$17)/10,0)*10-'Tax Rates'!$C$19))*(1+'Tax Rates'!$C$23)/10,0)*10</f>
        <v>0</v>
      </c>
      <c r="D11" s="42" t="str">
        <f aca="false">IF(B11=C11,"Same",IF(C11&lt;B11,"New","Old"))</f>
        <v>New</v>
      </c>
      <c r="E11" s="28" t="n">
        <f aca="false">ABS(B11-C11)</f>
        <v>132600</v>
      </c>
      <c r="F11" s="43" t="str">
        <f aca="false">IF(C11&lt;B11,"+ "&amp;TEXT((B11-C11)/12,"[&gt;=100000]₹##\,##\,##0;₹##,##0")&amp;" / month","")</f>
        <v>+ ₹11,050 / month</v>
      </c>
    </row>
    <row r="12" customFormat="false" ht="15" hidden="false" customHeight="false" outlineLevel="0" collapsed="false">
      <c r="A12" s="41" t="n">
        <v>1300000</v>
      </c>
      <c r="B12" s="28" t="n">
        <f aca="false">ROUND(MAX(0,SUMPRODUCT((ROUND(MAX(0,A12-'Tax Rates'!$C$18-$D$3)/10,0)*10&gt;'Tax Rates'!$E$7:$E$10)*(ROUND(MAX(0,A12-'Tax Rates'!$C$18-$D$3)/10,0)*10-'Tax Rates'!$E$7:$E$10)*'Tax Rates'!$G$7:$G$10)-IF(ROUND(MAX(0,A12-'Tax Rates'!$C$18-$D$3)/10,0)*10&lt;='Tax Rates'!$C$21,MIN(SUMPRODUCT((ROUND(MAX(0,A12-'Tax Rates'!$C$18-$D$3)/10,0)*10&gt;'Tax Rates'!$E$7:$E$10)*(ROUND(MAX(0,A12-'Tax Rates'!$C$18-$D$3)/10,0)*10-'Tax Rates'!$E$7:$E$10)*'Tax Rates'!$G$7:$G$10),'Tax Rates'!$C$22),0))*(1+'Tax Rates'!$C$23)/10,0)*10</f>
        <v>140400</v>
      </c>
      <c r="C12" s="28" t="n">
        <f aca="false">ROUND(IF(ROUND(MAX(0,A12-'Tax Rates'!$C$17)/10,0)*10&lt;='Tax Rates'!$C$19,0,MIN(SUMPRODUCT((ROUND(MAX(0,A12-'Tax Rates'!$C$17)/10,0)*10&gt;'Tax Rates'!$A$7:$A$13)*(ROUND(MAX(0,A12-'Tax Rates'!$C$17)/10,0)*10-'Tax Rates'!$A$7:$A$13)*'Tax Rates'!$C$7:$C$13),ROUND(MAX(0,A12-'Tax Rates'!$C$17)/10,0)*10-'Tax Rates'!$C$19))*(1+'Tax Rates'!$C$23)/10,0)*10</f>
        <v>26000</v>
      </c>
      <c r="D12" s="42" t="str">
        <f aca="false">IF(B12=C12,"Same",IF(C12&lt;B12,"New","Old"))</f>
        <v>New</v>
      </c>
      <c r="E12" s="28" t="n">
        <f aca="false">ABS(B12-C12)</f>
        <v>114400</v>
      </c>
      <c r="F12" s="43" t="str">
        <f aca="false">IF(C12&lt;B12,"+ "&amp;TEXT((B12-C12)/12,"[&gt;=100000]₹##\,##\,##0;₹##,##0")&amp;" / month","")</f>
        <v>+ ₹9,533 / month</v>
      </c>
    </row>
    <row r="13" customFormat="false" ht="15" hidden="false" customHeight="false" outlineLevel="0" collapsed="false">
      <c r="A13" s="41" t="n">
        <v>1500000</v>
      </c>
      <c r="B13" s="28" t="n">
        <f aca="false">ROUND(MAX(0,SUMPRODUCT((ROUND(MAX(0,A13-'Tax Rates'!$C$18-$D$3)/10,0)*10&gt;'Tax Rates'!$E$7:$E$10)*(ROUND(MAX(0,A13-'Tax Rates'!$C$18-$D$3)/10,0)*10-'Tax Rates'!$E$7:$E$10)*'Tax Rates'!$G$7:$G$10)-IF(ROUND(MAX(0,A13-'Tax Rates'!$C$18-$D$3)/10,0)*10&lt;='Tax Rates'!$C$21,MIN(SUMPRODUCT((ROUND(MAX(0,A13-'Tax Rates'!$C$18-$D$3)/10,0)*10&gt;'Tax Rates'!$E$7:$E$10)*(ROUND(MAX(0,A13-'Tax Rates'!$C$18-$D$3)/10,0)*10-'Tax Rates'!$E$7:$E$10)*'Tax Rates'!$G$7:$G$10),'Tax Rates'!$C$22),0))*(1+'Tax Rates'!$C$23)/10,0)*10</f>
        <v>202800</v>
      </c>
      <c r="C13" s="28" t="n">
        <f aca="false">ROUND(IF(ROUND(MAX(0,A13-'Tax Rates'!$C$17)/10,0)*10&lt;='Tax Rates'!$C$19,0,MIN(SUMPRODUCT((ROUND(MAX(0,A13-'Tax Rates'!$C$17)/10,0)*10&gt;'Tax Rates'!$A$7:$A$13)*(ROUND(MAX(0,A13-'Tax Rates'!$C$17)/10,0)*10-'Tax Rates'!$A$7:$A$13)*'Tax Rates'!$C$7:$C$13),ROUND(MAX(0,A13-'Tax Rates'!$C$17)/10,0)*10-'Tax Rates'!$C$19))*(1+'Tax Rates'!$C$23)/10,0)*10</f>
        <v>97500</v>
      </c>
      <c r="D13" s="42" t="str">
        <f aca="false">IF(B13=C13,"Same",IF(C13&lt;B13,"New","Old"))</f>
        <v>New</v>
      </c>
      <c r="E13" s="28" t="n">
        <f aca="false">ABS(B13-C13)</f>
        <v>105300</v>
      </c>
      <c r="F13" s="43" t="str">
        <f aca="false">IF(C13&lt;B13,"+ "&amp;TEXT((B13-C13)/12,"[&gt;=100000]₹##\,##\,##0;₹##,##0")&amp;" / month","")</f>
        <v>+ ₹8,775 / month</v>
      </c>
    </row>
    <row r="14" customFormat="false" ht="15" hidden="false" customHeight="false" outlineLevel="0" collapsed="false">
      <c r="A14" s="41" t="n">
        <v>1800000</v>
      </c>
      <c r="B14" s="28" t="n">
        <f aca="false">ROUND(MAX(0,SUMPRODUCT((ROUND(MAX(0,A14-'Tax Rates'!$C$18-$D$3)/10,0)*10&gt;'Tax Rates'!$E$7:$E$10)*(ROUND(MAX(0,A14-'Tax Rates'!$C$18-$D$3)/10,0)*10-'Tax Rates'!$E$7:$E$10)*'Tax Rates'!$G$7:$G$10)-IF(ROUND(MAX(0,A14-'Tax Rates'!$C$18-$D$3)/10,0)*10&lt;='Tax Rates'!$C$21,MIN(SUMPRODUCT((ROUND(MAX(0,A14-'Tax Rates'!$C$18-$D$3)/10,0)*10&gt;'Tax Rates'!$E$7:$E$10)*(ROUND(MAX(0,A14-'Tax Rates'!$C$18-$D$3)/10,0)*10-'Tax Rates'!$E$7:$E$10)*'Tax Rates'!$G$7:$G$10),'Tax Rates'!$C$22),0))*(1+'Tax Rates'!$C$23)/10,0)*10</f>
        <v>296400</v>
      </c>
      <c r="C14" s="28" t="n">
        <f aca="false">ROUND(IF(ROUND(MAX(0,A14-'Tax Rates'!$C$17)/10,0)*10&lt;='Tax Rates'!$C$19,0,MIN(SUMPRODUCT((ROUND(MAX(0,A14-'Tax Rates'!$C$17)/10,0)*10&gt;'Tax Rates'!$A$7:$A$13)*(ROUND(MAX(0,A14-'Tax Rates'!$C$17)/10,0)*10-'Tax Rates'!$A$7:$A$13)*'Tax Rates'!$C$7:$C$13),ROUND(MAX(0,A14-'Tax Rates'!$C$17)/10,0)*10-'Tax Rates'!$C$19))*(1+'Tax Rates'!$C$23)/10,0)*10</f>
        <v>150800</v>
      </c>
      <c r="D14" s="42" t="str">
        <f aca="false">IF(B14=C14,"Same",IF(C14&lt;B14,"New","Old"))</f>
        <v>New</v>
      </c>
      <c r="E14" s="28" t="n">
        <f aca="false">ABS(B14-C14)</f>
        <v>145600</v>
      </c>
      <c r="F14" s="43" t="str">
        <f aca="false">IF(C14&lt;B14,"+ "&amp;TEXT((B14-C14)/12,"[&gt;=100000]₹##\,##\,##0;₹##,##0")&amp;" / month","")</f>
        <v>+ ₹12,133 / month</v>
      </c>
    </row>
    <row r="15" customFormat="false" ht="15" hidden="false" customHeight="false" outlineLevel="0" collapsed="false">
      <c r="A15" s="41" t="n">
        <v>2000000</v>
      </c>
      <c r="B15" s="28" t="n">
        <f aca="false">ROUND(MAX(0,SUMPRODUCT((ROUND(MAX(0,A15-'Tax Rates'!$C$18-$D$3)/10,0)*10&gt;'Tax Rates'!$E$7:$E$10)*(ROUND(MAX(0,A15-'Tax Rates'!$C$18-$D$3)/10,0)*10-'Tax Rates'!$E$7:$E$10)*'Tax Rates'!$G$7:$G$10)-IF(ROUND(MAX(0,A15-'Tax Rates'!$C$18-$D$3)/10,0)*10&lt;='Tax Rates'!$C$21,MIN(SUMPRODUCT((ROUND(MAX(0,A15-'Tax Rates'!$C$18-$D$3)/10,0)*10&gt;'Tax Rates'!$E$7:$E$10)*(ROUND(MAX(0,A15-'Tax Rates'!$C$18-$D$3)/10,0)*10-'Tax Rates'!$E$7:$E$10)*'Tax Rates'!$G$7:$G$10),'Tax Rates'!$C$22),0))*(1+'Tax Rates'!$C$23)/10,0)*10</f>
        <v>358800</v>
      </c>
      <c r="C15" s="28" t="n">
        <f aca="false">ROUND(IF(ROUND(MAX(0,A15-'Tax Rates'!$C$17)/10,0)*10&lt;='Tax Rates'!$C$19,0,MIN(SUMPRODUCT((ROUND(MAX(0,A15-'Tax Rates'!$C$17)/10,0)*10&gt;'Tax Rates'!$A$7:$A$13)*(ROUND(MAX(0,A15-'Tax Rates'!$C$17)/10,0)*10-'Tax Rates'!$A$7:$A$13)*'Tax Rates'!$C$7:$C$13),ROUND(MAX(0,A15-'Tax Rates'!$C$17)/10,0)*10-'Tax Rates'!$C$19))*(1+'Tax Rates'!$C$23)/10,0)*10</f>
        <v>192400</v>
      </c>
      <c r="D15" s="42" t="str">
        <f aca="false">IF(B15=C15,"Same",IF(C15&lt;B15,"New","Old"))</f>
        <v>New</v>
      </c>
      <c r="E15" s="28" t="n">
        <f aca="false">ABS(B15-C15)</f>
        <v>166400</v>
      </c>
      <c r="F15" s="43" t="str">
        <f aca="false">IF(C15&lt;B15,"+ "&amp;TEXT((B15-C15)/12,"[&gt;=100000]₹##\,##\,##0;₹##,##0")&amp;" / month","")</f>
        <v>+ ₹13,867 / month</v>
      </c>
    </row>
    <row r="16" customFormat="false" ht="15" hidden="false" customHeight="false" outlineLevel="0" collapsed="false">
      <c r="A16" s="41" t="n">
        <v>2400000</v>
      </c>
      <c r="B16" s="28" t="n">
        <f aca="false">ROUND(MAX(0,SUMPRODUCT((ROUND(MAX(0,A16-'Tax Rates'!$C$18-$D$3)/10,0)*10&gt;'Tax Rates'!$E$7:$E$10)*(ROUND(MAX(0,A16-'Tax Rates'!$C$18-$D$3)/10,0)*10-'Tax Rates'!$E$7:$E$10)*'Tax Rates'!$G$7:$G$10)-IF(ROUND(MAX(0,A16-'Tax Rates'!$C$18-$D$3)/10,0)*10&lt;='Tax Rates'!$C$21,MIN(SUMPRODUCT((ROUND(MAX(0,A16-'Tax Rates'!$C$18-$D$3)/10,0)*10&gt;'Tax Rates'!$E$7:$E$10)*(ROUND(MAX(0,A16-'Tax Rates'!$C$18-$D$3)/10,0)*10-'Tax Rates'!$E$7:$E$10)*'Tax Rates'!$G$7:$G$10),'Tax Rates'!$C$22),0))*(1+'Tax Rates'!$C$23)/10,0)*10</f>
        <v>483600</v>
      </c>
      <c r="C16" s="28" t="n">
        <f aca="false">ROUND(IF(ROUND(MAX(0,A16-'Tax Rates'!$C$17)/10,0)*10&lt;='Tax Rates'!$C$19,0,MIN(SUMPRODUCT((ROUND(MAX(0,A16-'Tax Rates'!$C$17)/10,0)*10&gt;'Tax Rates'!$A$7:$A$13)*(ROUND(MAX(0,A16-'Tax Rates'!$C$17)/10,0)*10-'Tax Rates'!$A$7:$A$13)*'Tax Rates'!$C$7:$C$13),ROUND(MAX(0,A16-'Tax Rates'!$C$17)/10,0)*10-'Tax Rates'!$C$19))*(1+'Tax Rates'!$C$23)/10,0)*10</f>
        <v>292500</v>
      </c>
      <c r="D16" s="42" t="str">
        <f aca="false">IF(B16=C16,"Same",IF(C16&lt;B16,"New","Old"))</f>
        <v>New</v>
      </c>
      <c r="E16" s="28" t="n">
        <f aca="false">ABS(B16-C16)</f>
        <v>191100</v>
      </c>
      <c r="F16" s="43" t="str">
        <f aca="false">IF(C16&lt;B16,"+ "&amp;TEXT((B16-C16)/12,"[&gt;=100000]₹##\,##\,##0;₹##,##0")&amp;" / month","")</f>
        <v>+ ₹15,925 / month</v>
      </c>
    </row>
    <row r="17" customFormat="false" ht="15" hidden="false" customHeight="false" outlineLevel="0" collapsed="false">
      <c r="A17" s="41" t="n">
        <v>2500000</v>
      </c>
      <c r="B17" s="28" t="n">
        <f aca="false">ROUND(MAX(0,SUMPRODUCT((ROUND(MAX(0,A17-'Tax Rates'!$C$18-$D$3)/10,0)*10&gt;'Tax Rates'!$E$7:$E$10)*(ROUND(MAX(0,A17-'Tax Rates'!$C$18-$D$3)/10,0)*10-'Tax Rates'!$E$7:$E$10)*'Tax Rates'!$G$7:$G$10)-IF(ROUND(MAX(0,A17-'Tax Rates'!$C$18-$D$3)/10,0)*10&lt;='Tax Rates'!$C$21,MIN(SUMPRODUCT((ROUND(MAX(0,A17-'Tax Rates'!$C$18-$D$3)/10,0)*10&gt;'Tax Rates'!$E$7:$E$10)*(ROUND(MAX(0,A17-'Tax Rates'!$C$18-$D$3)/10,0)*10-'Tax Rates'!$E$7:$E$10)*'Tax Rates'!$G$7:$G$10),'Tax Rates'!$C$22),0))*(1+'Tax Rates'!$C$23)/10,0)*10</f>
        <v>514800</v>
      </c>
      <c r="C17" s="28" t="n">
        <f aca="false">ROUND(IF(ROUND(MAX(0,A17-'Tax Rates'!$C$17)/10,0)*10&lt;='Tax Rates'!$C$19,0,MIN(SUMPRODUCT((ROUND(MAX(0,A17-'Tax Rates'!$C$17)/10,0)*10&gt;'Tax Rates'!$A$7:$A$13)*(ROUND(MAX(0,A17-'Tax Rates'!$C$17)/10,0)*10-'Tax Rates'!$A$7:$A$13)*'Tax Rates'!$C$7:$C$13),ROUND(MAX(0,A17-'Tax Rates'!$C$17)/10,0)*10-'Tax Rates'!$C$19))*(1+'Tax Rates'!$C$23)/10,0)*10</f>
        <v>319800</v>
      </c>
      <c r="D17" s="42" t="str">
        <f aca="false">IF(B17=C17,"Same",IF(C17&lt;B17,"New","Old"))</f>
        <v>New</v>
      </c>
      <c r="E17" s="28" t="n">
        <f aca="false">ABS(B17-C17)</f>
        <v>195000</v>
      </c>
      <c r="F17" s="43" t="str">
        <f aca="false">IF(C17&lt;B17,"+ "&amp;TEXT((B17-C17)/12,"[&gt;=100000]₹##\,##\,##0;₹##,##0")&amp;" / month","")</f>
        <v>+ ₹16,250 / month</v>
      </c>
    </row>
    <row r="18" customFormat="false" ht="15" hidden="false" customHeight="false" outlineLevel="0" collapsed="false">
      <c r="A18" s="41" t="n">
        <v>3000000</v>
      </c>
      <c r="B18" s="28" t="n">
        <f aca="false">ROUND(MAX(0,SUMPRODUCT((ROUND(MAX(0,A18-'Tax Rates'!$C$18-$D$3)/10,0)*10&gt;'Tax Rates'!$E$7:$E$10)*(ROUND(MAX(0,A18-'Tax Rates'!$C$18-$D$3)/10,0)*10-'Tax Rates'!$E$7:$E$10)*'Tax Rates'!$G$7:$G$10)-IF(ROUND(MAX(0,A18-'Tax Rates'!$C$18-$D$3)/10,0)*10&lt;='Tax Rates'!$C$21,MIN(SUMPRODUCT((ROUND(MAX(0,A18-'Tax Rates'!$C$18-$D$3)/10,0)*10&gt;'Tax Rates'!$E$7:$E$10)*(ROUND(MAX(0,A18-'Tax Rates'!$C$18-$D$3)/10,0)*10-'Tax Rates'!$E$7:$E$10)*'Tax Rates'!$G$7:$G$10),'Tax Rates'!$C$22),0))*(1+'Tax Rates'!$C$23)/10,0)*10</f>
        <v>670800</v>
      </c>
      <c r="C18" s="28" t="n">
        <f aca="false">ROUND(IF(ROUND(MAX(0,A18-'Tax Rates'!$C$17)/10,0)*10&lt;='Tax Rates'!$C$19,0,MIN(SUMPRODUCT((ROUND(MAX(0,A18-'Tax Rates'!$C$17)/10,0)*10&gt;'Tax Rates'!$A$7:$A$13)*(ROUND(MAX(0,A18-'Tax Rates'!$C$17)/10,0)*10-'Tax Rates'!$A$7:$A$13)*'Tax Rates'!$C$7:$C$13),ROUND(MAX(0,A18-'Tax Rates'!$C$17)/10,0)*10-'Tax Rates'!$C$19))*(1+'Tax Rates'!$C$23)/10,0)*10</f>
        <v>475800</v>
      </c>
      <c r="D18" s="42" t="str">
        <f aca="false">IF(B18=C18,"Same",IF(C18&lt;B18,"New","Old"))</f>
        <v>New</v>
      </c>
      <c r="E18" s="28" t="n">
        <f aca="false">ABS(B18-C18)</f>
        <v>195000</v>
      </c>
      <c r="F18" s="43" t="str">
        <f aca="false">IF(C18&lt;B18,"+ "&amp;TEXT((B18-C18)/12,"[&gt;=100000]₹##\,##\,##0;₹##,##0")&amp;" / month","")</f>
        <v>+ ₹16,250 / month</v>
      </c>
    </row>
    <row r="19" customFormat="false" ht="15" hidden="false" customHeight="false" outlineLevel="0" collapsed="false">
      <c r="A19" s="41" t="n">
        <v>4000000</v>
      </c>
      <c r="B19" s="28" t="n">
        <f aca="false">ROUND(MAX(0,SUMPRODUCT((ROUND(MAX(0,A19-'Tax Rates'!$C$18-$D$3)/10,0)*10&gt;'Tax Rates'!$E$7:$E$10)*(ROUND(MAX(0,A19-'Tax Rates'!$C$18-$D$3)/10,0)*10-'Tax Rates'!$E$7:$E$10)*'Tax Rates'!$G$7:$G$10)-IF(ROUND(MAX(0,A19-'Tax Rates'!$C$18-$D$3)/10,0)*10&lt;='Tax Rates'!$C$21,MIN(SUMPRODUCT((ROUND(MAX(0,A19-'Tax Rates'!$C$18-$D$3)/10,0)*10&gt;'Tax Rates'!$E$7:$E$10)*(ROUND(MAX(0,A19-'Tax Rates'!$C$18-$D$3)/10,0)*10-'Tax Rates'!$E$7:$E$10)*'Tax Rates'!$G$7:$G$10),'Tax Rates'!$C$22),0))*(1+'Tax Rates'!$C$23)/10,0)*10</f>
        <v>982800</v>
      </c>
      <c r="C19" s="28" t="n">
        <f aca="false">ROUND(IF(ROUND(MAX(0,A19-'Tax Rates'!$C$17)/10,0)*10&lt;='Tax Rates'!$C$19,0,MIN(SUMPRODUCT((ROUND(MAX(0,A19-'Tax Rates'!$C$17)/10,0)*10&gt;'Tax Rates'!$A$7:$A$13)*(ROUND(MAX(0,A19-'Tax Rates'!$C$17)/10,0)*10-'Tax Rates'!$A$7:$A$13)*'Tax Rates'!$C$7:$C$13),ROUND(MAX(0,A19-'Tax Rates'!$C$17)/10,0)*10-'Tax Rates'!$C$19))*(1+'Tax Rates'!$C$23)/10,0)*10</f>
        <v>787800</v>
      </c>
      <c r="D19" s="42" t="str">
        <f aca="false">IF(B19=C19,"Same",IF(C19&lt;B19,"New","Old"))</f>
        <v>New</v>
      </c>
      <c r="E19" s="28" t="n">
        <f aca="false">ABS(B19-C19)</f>
        <v>195000</v>
      </c>
      <c r="F19" s="43" t="str">
        <f aca="false">IF(C19&lt;B19,"+ "&amp;TEXT((B19-C19)/12,"[&gt;=100000]₹##\,##\,##0;₹##,##0")&amp;" / month","")</f>
        <v>+ ₹16,250 / month</v>
      </c>
    </row>
    <row r="20" customFormat="false" ht="15" hidden="false" customHeight="false" outlineLevel="0" collapsed="false">
      <c r="A20" s="41" t="n">
        <v>5000000</v>
      </c>
      <c r="B20" s="28" t="n">
        <f aca="false">ROUND(MAX(0,SUMPRODUCT((ROUND(MAX(0,A20-'Tax Rates'!$C$18-$D$3)/10,0)*10&gt;'Tax Rates'!$E$7:$E$10)*(ROUND(MAX(0,A20-'Tax Rates'!$C$18-$D$3)/10,0)*10-'Tax Rates'!$E$7:$E$10)*'Tax Rates'!$G$7:$G$10)-IF(ROUND(MAX(0,A20-'Tax Rates'!$C$18-$D$3)/10,0)*10&lt;='Tax Rates'!$C$21,MIN(SUMPRODUCT((ROUND(MAX(0,A20-'Tax Rates'!$C$18-$D$3)/10,0)*10&gt;'Tax Rates'!$E$7:$E$10)*(ROUND(MAX(0,A20-'Tax Rates'!$C$18-$D$3)/10,0)*10-'Tax Rates'!$E$7:$E$10)*'Tax Rates'!$G$7:$G$10),'Tax Rates'!$C$22),0))*(1+'Tax Rates'!$C$23)/10,0)*10</f>
        <v>1294800</v>
      </c>
      <c r="C20" s="28" t="n">
        <f aca="false">ROUND(IF(ROUND(MAX(0,A20-'Tax Rates'!$C$17)/10,0)*10&lt;='Tax Rates'!$C$19,0,MIN(SUMPRODUCT((ROUND(MAX(0,A20-'Tax Rates'!$C$17)/10,0)*10&gt;'Tax Rates'!$A$7:$A$13)*(ROUND(MAX(0,A20-'Tax Rates'!$C$17)/10,0)*10-'Tax Rates'!$A$7:$A$13)*'Tax Rates'!$C$7:$C$13),ROUND(MAX(0,A20-'Tax Rates'!$C$17)/10,0)*10-'Tax Rates'!$C$19))*(1+'Tax Rates'!$C$23)/10,0)*10</f>
        <v>1099800</v>
      </c>
      <c r="D20" s="42" t="str">
        <f aca="false">IF(B20=C20,"Same",IF(C20&lt;B20,"New","Old"))</f>
        <v>New</v>
      </c>
      <c r="E20" s="28" t="n">
        <f aca="false">ABS(B20-C20)</f>
        <v>195000</v>
      </c>
      <c r="F20" s="43" t="str">
        <f aca="false">IF(C20&lt;B20,"+ "&amp;TEXT((B20-C20)/12,"[&gt;=100000]₹##\,##\,##0;₹##,##0")&amp;" / month","")</f>
        <v>+ ₹16,250 / month</v>
      </c>
    </row>
    <row r="22" customFormat="false" ht="15" hidden="false" customHeight="false" outlineLevel="0" collapsed="false">
      <c r="A22" s="24" t="s">
        <v>131</v>
      </c>
      <c r="B22" s="24"/>
      <c r="C22" s="24"/>
      <c r="D22" s="24"/>
      <c r="E22" s="24"/>
      <c r="F22" s="24"/>
    </row>
  </sheetData>
  <mergeCells count="4">
    <mergeCell ref="A2:F2"/>
    <mergeCell ref="A3:C3"/>
    <mergeCell ref="E3:F3"/>
    <mergeCell ref="A22:F22"/>
  </mergeCells>
  <conditionalFormatting sqref="D6:D20">
    <cfRule type="expression" priority="2" aboveAverage="0" equalAverage="0" bottom="0" percent="0" rank="0" text="" dxfId="0">
      <formula>D6="New"</formula>
    </cfRule>
    <cfRule type="expression" priority="3" aboveAverage="0" equalAverage="0" bottom="0" percent="0" rank="0" text="" dxfId="2">
      <formula>D6="Old"</formula>
    </cfRule>
  </conditionalFormatting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true"/>
  </sheetPr>
  <dimension ref="A1:H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20"/>
    <col collapsed="false" customWidth="true" hidden="false" outlineLevel="0" max="3" min="3" style="0" width="14"/>
    <col collapsed="false" customWidth="true" hidden="false" outlineLevel="0" max="4" min="4" style="0" width="3"/>
    <col collapsed="false" customWidth="true" hidden="false" outlineLevel="0" max="5" min="5" style="0" width="20"/>
    <col collapsed="false" customWidth="true" hidden="false" outlineLevel="0" max="7" min="6" style="0" width="12"/>
    <col collapsed="false" customWidth="true" hidden="false" outlineLevel="0" max="8" min="8" style="0" width="3"/>
  </cols>
  <sheetData>
    <row r="1" customFormat="false" ht="15" hidden="false" customHeight="false" outlineLevel="0" collapsed="false">
      <c r="A1" s="11" t="s">
        <v>15</v>
      </c>
    </row>
    <row r="2" customFormat="false" ht="27.75" hidden="false" customHeight="true" outlineLevel="0" collapsed="false">
      <c r="A2" s="38" t="s">
        <v>132</v>
      </c>
      <c r="B2" s="38"/>
      <c r="C2" s="38"/>
      <c r="D2" s="38"/>
      <c r="E2" s="38"/>
      <c r="F2" s="38"/>
      <c r="G2" s="38"/>
      <c r="H2" s="38"/>
    </row>
    <row r="3" customFormat="false" ht="15" hidden="false" customHeight="false" outlineLevel="0" collapsed="false">
      <c r="A3" s="44" t="s">
        <v>133</v>
      </c>
      <c r="B3" s="44"/>
      <c r="C3" s="44"/>
      <c r="D3" s="44"/>
      <c r="E3" s="44"/>
      <c r="F3" s="44"/>
      <c r="G3" s="44"/>
      <c r="H3" s="44"/>
    </row>
    <row r="5" customFormat="false" ht="15" hidden="false" customHeight="false" outlineLevel="0" collapsed="false">
      <c r="A5" s="3" t="s">
        <v>134</v>
      </c>
      <c r="E5" s="3" t="s">
        <v>135</v>
      </c>
    </row>
    <row r="6" customFormat="false" ht="27.75" hidden="false" customHeight="true" outlineLevel="0" collapsed="false">
      <c r="A6" s="26" t="s">
        <v>136</v>
      </c>
      <c r="B6" s="26" t="s">
        <v>137</v>
      </c>
      <c r="C6" s="26" t="s">
        <v>138</v>
      </c>
      <c r="E6" s="26" t="s">
        <v>136</v>
      </c>
      <c r="F6" s="26" t="s">
        <v>137</v>
      </c>
      <c r="G6" s="26" t="s">
        <v>138</v>
      </c>
    </row>
    <row r="7" customFormat="false" ht="15" hidden="false" customHeight="false" outlineLevel="0" collapsed="false">
      <c r="A7" s="45" t="n">
        <v>0</v>
      </c>
      <c r="B7" s="46" t="n">
        <v>0</v>
      </c>
      <c r="C7" s="47" t="n">
        <f aca="false">B7</f>
        <v>0</v>
      </c>
      <c r="E7" s="45" t="n">
        <v>0</v>
      </c>
      <c r="F7" s="46" t="n">
        <v>0</v>
      </c>
      <c r="G7" s="47" t="n">
        <f aca="false">F7</f>
        <v>0</v>
      </c>
    </row>
    <row r="8" customFormat="false" ht="15" hidden="false" customHeight="false" outlineLevel="0" collapsed="false">
      <c r="A8" s="45" t="n">
        <v>400000</v>
      </c>
      <c r="B8" s="46" t="n">
        <v>0.05</v>
      </c>
      <c r="C8" s="47" t="n">
        <f aca="false">B8-B7</f>
        <v>0.05</v>
      </c>
      <c r="E8" s="45" t="n">
        <v>250000</v>
      </c>
      <c r="F8" s="46" t="n">
        <v>0.05</v>
      </c>
      <c r="G8" s="47" t="n">
        <f aca="false">F8-F7</f>
        <v>0.05</v>
      </c>
    </row>
    <row r="9" customFormat="false" ht="15" hidden="false" customHeight="false" outlineLevel="0" collapsed="false">
      <c r="A9" s="45" t="n">
        <v>800000</v>
      </c>
      <c r="B9" s="46" t="n">
        <v>0.1</v>
      </c>
      <c r="C9" s="47" t="n">
        <f aca="false">B9-B8</f>
        <v>0.05</v>
      </c>
      <c r="E9" s="45" t="n">
        <v>500000</v>
      </c>
      <c r="F9" s="46" t="n">
        <v>0.2</v>
      </c>
      <c r="G9" s="47" t="n">
        <f aca="false">F9-F8</f>
        <v>0.15</v>
      </c>
    </row>
    <row r="10" customFormat="false" ht="15" hidden="false" customHeight="false" outlineLevel="0" collapsed="false">
      <c r="A10" s="45" t="n">
        <v>1200000</v>
      </c>
      <c r="B10" s="46" t="n">
        <v>0.15</v>
      </c>
      <c r="C10" s="47" t="n">
        <f aca="false">B10-B9</f>
        <v>0.05</v>
      </c>
      <c r="E10" s="45" t="n">
        <v>1000000</v>
      </c>
      <c r="F10" s="46" t="n">
        <v>0.3</v>
      </c>
      <c r="G10" s="47" t="n">
        <f aca="false">F10-F9</f>
        <v>0.1</v>
      </c>
    </row>
    <row r="11" customFormat="false" ht="15" hidden="false" customHeight="false" outlineLevel="0" collapsed="false">
      <c r="A11" s="45" t="n">
        <v>1600000</v>
      </c>
      <c r="B11" s="46" t="n">
        <v>0.2</v>
      </c>
      <c r="C11" s="47" t="n">
        <f aca="false">B11-B10</f>
        <v>0.05</v>
      </c>
    </row>
    <row r="12" customFormat="false" ht="15" hidden="false" customHeight="false" outlineLevel="0" collapsed="false">
      <c r="A12" s="45" t="n">
        <v>2000000</v>
      </c>
      <c r="B12" s="46" t="n">
        <v>0.25</v>
      </c>
      <c r="C12" s="47" t="n">
        <f aca="false">B12-B11</f>
        <v>0.05</v>
      </c>
      <c r="E12" s="3" t="s">
        <v>139</v>
      </c>
    </row>
    <row r="13" customFormat="false" ht="27.75" hidden="false" customHeight="true" outlineLevel="0" collapsed="false">
      <c r="A13" s="45" t="n">
        <v>2400000</v>
      </c>
      <c r="B13" s="46" t="n">
        <v>0.3</v>
      </c>
      <c r="C13" s="47" t="n">
        <f aca="false">B13-B12</f>
        <v>0.05</v>
      </c>
      <c r="E13" s="26" t="s">
        <v>136</v>
      </c>
      <c r="F13" s="26" t="s">
        <v>137</v>
      </c>
      <c r="G13" s="26" t="s">
        <v>138</v>
      </c>
    </row>
    <row r="14" customFormat="false" ht="15" hidden="false" customHeight="false" outlineLevel="0" collapsed="false">
      <c r="E14" s="45" t="n">
        <v>0</v>
      </c>
      <c r="F14" s="46" t="n">
        <v>0</v>
      </c>
      <c r="G14" s="47" t="n">
        <f aca="false">F14</f>
        <v>0</v>
      </c>
    </row>
    <row r="15" customFormat="false" ht="15" hidden="false" customHeight="false" outlineLevel="0" collapsed="false">
      <c r="E15" s="45" t="n">
        <v>300000</v>
      </c>
      <c r="F15" s="46" t="n">
        <v>0.05</v>
      </c>
      <c r="G15" s="47" t="n">
        <f aca="false">F15-F14</f>
        <v>0.05</v>
      </c>
    </row>
    <row r="16" customFormat="false" ht="15" hidden="false" customHeight="false" outlineLevel="0" collapsed="false">
      <c r="A16" s="3" t="s">
        <v>140</v>
      </c>
      <c r="E16" s="45" t="n">
        <v>500000</v>
      </c>
      <c r="F16" s="46" t="n">
        <v>0.2</v>
      </c>
      <c r="G16" s="47" t="n">
        <f aca="false">F16-F15</f>
        <v>0.15</v>
      </c>
    </row>
    <row r="17" customFormat="false" ht="15" hidden="false" customHeight="true" outlineLevel="0" collapsed="false">
      <c r="A17" s="48" t="s">
        <v>141</v>
      </c>
      <c r="B17" s="48"/>
      <c r="C17" s="23" t="n">
        <v>75000</v>
      </c>
      <c r="E17" s="45" t="n">
        <v>1000000</v>
      </c>
      <c r="F17" s="46" t="n">
        <v>0.3</v>
      </c>
      <c r="G17" s="47" t="n">
        <f aca="false">F17-F16</f>
        <v>0.1</v>
      </c>
    </row>
    <row r="18" customFormat="false" ht="15" hidden="false" customHeight="true" outlineLevel="0" collapsed="false">
      <c r="A18" s="48" t="s">
        <v>142</v>
      </c>
      <c r="B18" s="48"/>
      <c r="C18" s="23" t="n">
        <v>50000</v>
      </c>
    </row>
    <row r="19" customFormat="false" ht="15" hidden="false" customHeight="true" outlineLevel="0" collapsed="false">
      <c r="A19" s="48" t="s">
        <v>143</v>
      </c>
      <c r="B19" s="48"/>
      <c r="C19" s="23" t="n">
        <v>1200000</v>
      </c>
      <c r="E19" s="3" t="s">
        <v>144</v>
      </c>
    </row>
    <row r="20" customFormat="false" ht="27.75" hidden="false" customHeight="true" outlineLevel="0" collapsed="false">
      <c r="A20" s="48" t="s">
        <v>145</v>
      </c>
      <c r="B20" s="48"/>
      <c r="C20" s="23" t="n">
        <v>60000</v>
      </c>
      <c r="E20" s="26" t="s">
        <v>136</v>
      </c>
      <c r="F20" s="26" t="s">
        <v>137</v>
      </c>
      <c r="G20" s="26" t="s">
        <v>138</v>
      </c>
    </row>
    <row r="21" customFormat="false" ht="15" hidden="false" customHeight="true" outlineLevel="0" collapsed="false">
      <c r="A21" s="48" t="s">
        <v>146</v>
      </c>
      <c r="B21" s="48"/>
      <c r="C21" s="23" t="n">
        <v>500000</v>
      </c>
      <c r="E21" s="45" t="n">
        <v>0</v>
      </c>
      <c r="F21" s="46" t="n">
        <v>0</v>
      </c>
      <c r="G21" s="47" t="n">
        <f aca="false">F21</f>
        <v>0</v>
      </c>
    </row>
    <row r="22" customFormat="false" ht="15" hidden="false" customHeight="true" outlineLevel="0" collapsed="false">
      <c r="A22" s="48" t="s">
        <v>147</v>
      </c>
      <c r="B22" s="48"/>
      <c r="C22" s="23" t="n">
        <v>12500</v>
      </c>
      <c r="E22" s="45" t="n">
        <v>500000</v>
      </c>
      <c r="F22" s="46" t="n">
        <v>0.2</v>
      </c>
      <c r="G22" s="47" t="n">
        <f aca="false">F22-F21</f>
        <v>0.2</v>
      </c>
    </row>
    <row r="23" customFormat="false" ht="15" hidden="false" customHeight="true" outlineLevel="0" collapsed="false">
      <c r="A23" s="48" t="s">
        <v>148</v>
      </c>
      <c r="B23" s="48"/>
      <c r="C23" s="49" t="n">
        <v>0.04</v>
      </c>
      <c r="E23" s="45" t="n">
        <v>1000000</v>
      </c>
      <c r="F23" s="46" t="n">
        <v>0.3</v>
      </c>
      <c r="G23" s="47" t="n">
        <f aca="false">F23-F22</f>
        <v>0.1</v>
      </c>
    </row>
    <row r="24" customFormat="false" ht="15" hidden="false" customHeight="true" outlineLevel="0" collapsed="false">
      <c r="A24" s="48" t="s">
        <v>149</v>
      </c>
      <c r="B24" s="48"/>
      <c r="C24" s="49" t="n">
        <v>0.25</v>
      </c>
    </row>
    <row r="25" customFormat="false" ht="15" hidden="false" customHeight="true" outlineLevel="0" collapsed="false">
      <c r="A25" s="48" t="s">
        <v>150</v>
      </c>
      <c r="B25" s="48"/>
      <c r="C25" s="23" t="n">
        <v>150000</v>
      </c>
      <c r="E25" s="3" t="s">
        <v>151</v>
      </c>
    </row>
    <row r="26" customFormat="false" ht="27.75" hidden="false" customHeight="true" outlineLevel="0" collapsed="false">
      <c r="A26" s="48" t="s">
        <v>152</v>
      </c>
      <c r="B26" s="48"/>
      <c r="C26" s="23" t="n">
        <v>50000</v>
      </c>
      <c r="E26" s="26" t="s">
        <v>136</v>
      </c>
      <c r="F26" s="26" t="s">
        <v>137</v>
      </c>
    </row>
    <row r="27" customFormat="false" ht="15" hidden="false" customHeight="true" outlineLevel="0" collapsed="false">
      <c r="A27" s="48" t="s">
        <v>153</v>
      </c>
      <c r="B27" s="48"/>
      <c r="C27" s="23" t="n">
        <v>25000</v>
      </c>
      <c r="E27" s="45" t="n">
        <v>0</v>
      </c>
      <c r="F27" s="46" t="n">
        <v>0</v>
      </c>
    </row>
    <row r="28" customFormat="false" ht="15" hidden="false" customHeight="true" outlineLevel="0" collapsed="false">
      <c r="A28" s="48" t="s">
        <v>154</v>
      </c>
      <c r="B28" s="48"/>
      <c r="C28" s="23" t="n">
        <v>50000</v>
      </c>
      <c r="E28" s="45" t="n">
        <v>5000000</v>
      </c>
      <c r="F28" s="46" t="n">
        <v>0.1</v>
      </c>
    </row>
    <row r="29" customFormat="false" ht="15" hidden="false" customHeight="true" outlineLevel="0" collapsed="false">
      <c r="A29" s="48" t="s">
        <v>155</v>
      </c>
      <c r="B29" s="48"/>
      <c r="C29" s="23" t="n">
        <v>25000</v>
      </c>
      <c r="E29" s="45" t="n">
        <v>10000000</v>
      </c>
      <c r="F29" s="46" t="n">
        <v>0.15</v>
      </c>
    </row>
    <row r="30" customFormat="false" ht="15" hidden="false" customHeight="true" outlineLevel="0" collapsed="false">
      <c r="A30" s="48" t="s">
        <v>156</v>
      </c>
      <c r="B30" s="48"/>
      <c r="C30" s="23" t="n">
        <v>50000</v>
      </c>
      <c r="E30" s="45" t="n">
        <v>20000000</v>
      </c>
      <c r="F30" s="46" t="n">
        <v>0.25</v>
      </c>
    </row>
    <row r="31" customFormat="false" ht="15" hidden="false" customHeight="true" outlineLevel="0" collapsed="false">
      <c r="A31" s="48" t="s">
        <v>157</v>
      </c>
      <c r="B31" s="48"/>
      <c r="C31" s="23" t="n">
        <v>10000</v>
      </c>
      <c r="E31" s="45" t="n">
        <v>50000000</v>
      </c>
      <c r="F31" s="46" t="n">
        <v>0.37</v>
      </c>
    </row>
    <row r="32" customFormat="false" ht="15" hidden="false" customHeight="true" outlineLevel="0" collapsed="false">
      <c r="A32" s="48" t="s">
        <v>158</v>
      </c>
      <c r="B32" s="48"/>
      <c r="C32" s="23" t="n">
        <v>50000</v>
      </c>
    </row>
    <row r="33" customFormat="false" ht="15" hidden="false" customHeight="true" outlineLevel="0" collapsed="false">
      <c r="A33" s="48" t="s">
        <v>159</v>
      </c>
      <c r="B33" s="48"/>
      <c r="C33" s="23" t="n">
        <v>200000</v>
      </c>
    </row>
    <row r="34" customFormat="false" ht="15" hidden="false" customHeight="true" outlineLevel="0" collapsed="false">
      <c r="A34" s="48" t="s">
        <v>160</v>
      </c>
      <c r="B34" s="48"/>
      <c r="C34" s="23" t="n">
        <v>2500</v>
      </c>
    </row>
    <row r="35" customFormat="false" ht="15" hidden="false" customHeight="true" outlineLevel="0" collapsed="false">
      <c r="A35" s="48" t="s">
        <v>161</v>
      </c>
      <c r="B35" s="48"/>
      <c r="C35" s="49" t="n">
        <v>0.14</v>
      </c>
    </row>
    <row r="36" customFormat="false" ht="15" hidden="false" customHeight="true" outlineLevel="0" collapsed="false">
      <c r="A36" s="48" t="s">
        <v>162</v>
      </c>
      <c r="B36" s="48"/>
      <c r="C36" s="49" t="n">
        <v>0.1</v>
      </c>
    </row>
    <row r="37" customFormat="false" ht="15" hidden="false" customHeight="true" outlineLevel="0" collapsed="false">
      <c r="A37" s="48" t="s">
        <v>163</v>
      </c>
      <c r="B37" s="48"/>
      <c r="C37" s="49" t="n">
        <v>0.14</v>
      </c>
    </row>
  </sheetData>
  <mergeCells count="23">
    <mergeCell ref="A2:H2"/>
    <mergeCell ref="A3:H3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</mergeCell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D9D9"/>
    <pageSetUpPr fitToPage="false"/>
  </sheetPr>
  <dimension ref="A2:C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2" customFormat="false" ht="15" hidden="false" customHeight="false" outlineLevel="0" collapsed="false">
      <c r="A2" s="0" t="s">
        <v>42</v>
      </c>
      <c r="B2" s="0" t="s">
        <v>45</v>
      </c>
      <c r="C2" s="0" t="s">
        <v>164</v>
      </c>
    </row>
    <row r="3" customFormat="false" ht="15" hidden="false" customHeight="false" outlineLevel="0" collapsed="false">
      <c r="A3" s="0" t="s">
        <v>165</v>
      </c>
      <c r="B3" s="0" t="s">
        <v>166</v>
      </c>
      <c r="C3" s="0" t="s">
        <v>72</v>
      </c>
    </row>
    <row r="4" customFormat="false" ht="15" hidden="false" customHeight="false" outlineLevel="0" collapsed="false">
      <c r="A4" s="0" t="s">
        <v>167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2026-09-30T15:31:53Z</dcterms:created>
  <dc:creator>Xplorexcel.com</dc:creator>
  <dc:description/>
  <dc:language>en-US</dc:language>
  <cp:lastModifiedBy/>
  <dcterms:modified xsi:type="dcterms:W3CDTF">2026-09-30T15:31:55Z</dcterms:modified>
  <cp:revision>1</cp:revision>
  <dc:subject/>
  <dc:title>Income Tax Calculator FY 2026-27 Old vs New Regime 1.0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