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 lockStructure="1" workbookAlgorithmName="SHA-512" workbookHashValue="OqdOUhpweSivoSuFDbtU0NdJSoErhEsQgW7IujYijK/bW+9T9Z7fhGtkI26QYCe4oc0QPF7bt+Hv43NJJnKeqA==" workbookSaltValue="Brdw+E3gpP/q61hn1cPwGQ==" workbookSpinCount="100000"/>
  <bookViews>
    <workbookView showHorizontalScroll="true" showVerticalScroll="true" showSheetTabs="true" xWindow="0" yWindow="0" windowWidth="16384" windowHeight="8192" tabRatio="500" firstSheet="0" activeTab="0"/>
  </bookViews>
  <sheets>
    <sheet name="Dashboard" sheetId="1" state="visible" r:id="rId3"/>
    <sheet name="About Workbook" sheetId="2" state="visible" r:id="rId4"/>
    <sheet name="SIP Calculator" sheetId="3" state="visible" r:id="rId5"/>
    <sheet name="Year-wise Schedule" sheetId="4" state="visible" r:id="rId6"/>
    <sheet name="Goal Planner" sheetId="5" state="visible" r:id="rId7"/>
    <sheet name="SIP Table" sheetId="6" state="visible" r:id="rId8"/>
    <sheet name="Lists" sheetId="7" state="hidden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<sst xmlns="http://schemas.openxmlformats.org/spreadsheetml/2006/main" count="129" uniqueCount="109">
  <si>
    <t xml:space="preserve">SIP Calculator with Step-up &amp; Goal Planner</t>
  </si>
  <si>
    <t xml:space="preserve">GO TO SHEET</t>
  </si>
  <si>
    <t xml:space="preserve">YOUR RESULT</t>
  </si>
  <si>
    <t xml:space="preserve">Enter SIP, return, years</t>
  </si>
  <si>
    <t xml:space="preserve">Total invested</t>
  </si>
  <si>
    <t xml:space="preserve">Growth year by year</t>
  </si>
  <si>
    <t xml:space="preserve">Estimated value</t>
  </si>
  <si>
    <t xml:space="preserve">SIP needed for a goal</t>
  </si>
  <si>
    <t xml:space="preserve">Wealth gained</t>
  </si>
  <si>
    <t xml:space="preserve">Ready reckoner</t>
  </si>
  <si>
    <t xml:space="preserve">Value in today's money</t>
  </si>
  <si>
    <t xml:space="preserve">Features &amp; steps</t>
  </si>
  <si>
    <t xml:space="preserve">Value after LTCG tax</t>
  </si>
  <si>
    <t xml:space="preserve">Extra value from step-up</t>
  </si>
  <si>
    <t xml:space="preserve">Designed by</t>
  </si>
  <si>
    <t xml:space="preserve">Check out our templates @ xplorexcel.com</t>
  </si>
  <si>
    <t xml:space="preserve">◄ BACK TO DASHBOARD</t>
  </si>
  <si>
    <t xml:space="preserve">Features of SIP Calculator with Step-up &amp; Goal Planner 1.0 in Microsoft Excel :-</t>
  </si>
  <si>
    <t xml:space="preserve">Life-time free – no macros, works in Excel 2010+, Excel for Mac and Google Sheets</t>
  </si>
  <si>
    <t xml:space="preserve">SIP calculator: total invested, estimated value and wealth gained – same method as popular online SIP calculators</t>
  </si>
  <si>
    <t xml:space="preserve">Step-up SIP: raise your SIP by a fixed % every year and see the difference</t>
  </si>
  <si>
    <t xml:space="preserve">Optional one-time lump sum at the start</t>
  </si>
  <si>
    <t xml:space="preserve">Inflation-adjusted value – what the amount is worth in today's money</t>
  </si>
  <si>
    <t xml:space="preserve">Estimated long-term capital-gains tax and post-tax value (rates editable)</t>
  </si>
  <si>
    <t xml:space="preserve">Year-wise schedule up to 40 years with a plain-SIP comparison column</t>
  </si>
  <si>
    <t xml:space="preserve">Goal planner: future cost of a goal, SIP needed (with and without step-up) or lump sum needed</t>
  </si>
  <si>
    <t xml:space="preserve">SIP ready reckoner: value of ₹1,000 to ₹50,000 a month over 5 to 30 years</t>
  </si>
  <si>
    <t xml:space="preserve">Chart of amount invested vs estimated value, Indian number format (₹ 99,91,479)</t>
  </si>
  <si>
    <t xml:space="preserve">How to use it (3 steps)</t>
  </si>
  <si>
    <t xml:space="preserve">Step 1</t>
  </si>
  <si>
    <t xml:space="preserve">SIP Calculator – enter monthly SIP, expected return, years, step-up and inflation.</t>
  </si>
  <si>
    <t xml:space="preserve">Step 2</t>
  </si>
  <si>
    <t xml:space="preserve">Year-wise Schedule – see how the money grows each year. Dashboard shows the summary and chart.</t>
  </si>
  <si>
    <t xml:space="preserve">Step 3</t>
  </si>
  <si>
    <t xml:space="preserve">Goal Planner – enter a goal and years to find the SIP you need. SIP Table – quick reference values.</t>
  </si>
  <si>
    <t xml:space="preserve">Mutual fund investments are subject to market risks. Returns are not guaranteed – this calculator shows estimates based on the return you assume. It is not investment advice.</t>
  </si>
  <si>
    <t xml:space="preserve">SIP Calculator – your inputs</t>
  </si>
  <si>
    <t xml:space="preserve">Monthly SIP amount (₹)</t>
  </si>
  <si>
    <t xml:space="preserve">Amount invested at the start of every month</t>
  </si>
  <si>
    <t xml:space="preserve">Expected return (% per year)</t>
  </si>
  <si>
    <t xml:space="preserve">Long-term equity funds: 10–12% is a common assumption, not a promise</t>
  </si>
  <si>
    <t xml:space="preserve">Investment period (years)</t>
  </si>
  <si>
    <t xml:space="preserve">1 to 40 years</t>
  </si>
  <si>
    <t xml:space="preserve">Annual step-up (% increase in SIP each year)</t>
  </si>
  <si>
    <t xml:space="preserve">0% = plain SIP. 10% = SIP rises 10% every year</t>
  </si>
  <si>
    <t xml:space="preserve">One-time lump sum at start (₹)</t>
  </si>
  <si>
    <t xml:space="preserve">Optional</t>
  </si>
  <si>
    <t xml:space="preserve">Expected inflation (% per year)</t>
  </si>
  <si>
    <t xml:space="preserve">To show the value in today's money</t>
  </si>
  <si>
    <t xml:space="preserve">Estimate capital-gains tax?</t>
  </si>
  <si>
    <t xml:space="preserve">Yes</t>
  </si>
  <si>
    <t xml:space="preserve">Long-term equity rules: 12.5% on gains above ₹1.25 lakh</t>
  </si>
  <si>
    <t xml:space="preserve">LTCG tax rate</t>
  </si>
  <si>
    <t xml:space="preserve">Edit if rules change</t>
  </si>
  <si>
    <t xml:space="preserve">LTCG exemption per year (₹)</t>
  </si>
  <si>
    <t xml:space="preserve">RESULT</t>
  </si>
  <si>
    <t xml:space="preserve">Total amount invested</t>
  </si>
  <si>
    <t xml:space="preserve">Estimated value at the end</t>
  </si>
  <si>
    <t xml:space="preserve">Wealth gained (returns)</t>
  </si>
  <si>
    <t xml:space="preserve">Value in today's money (after inflation)</t>
  </si>
  <si>
    <t xml:space="preserve">Estimated LTCG tax on redemption</t>
  </si>
  <si>
    <t xml:space="preserve">Value after tax</t>
  </si>
  <si>
    <t xml:space="preserve">Value multiple (value ÷ invested)</t>
  </si>
  <si>
    <t xml:space="preserve">Last year's monthly SIP (after step-ups)</t>
  </si>
  <si>
    <t xml:space="preserve">Method: monthly rate = annual return ÷ 12, SIP paid at the start of each month (the same method most online SIP calculators use). Tax estimate treats all gains as long-term, which is a simplification – each instalment has its own holding period.</t>
  </si>
  <si>
    <t xml:space="preserve">Year-wise SIP Growth</t>
  </si>
  <si>
    <t xml:space="preserve">Rows after your investment period are greyed out. Plain SIP column shows the same SIP without step-up, for comparison.</t>
  </si>
  <si>
    <t xml:space="preserve">Year</t>
  </si>
  <si>
    <t xml:space="preserve">Monthly SIP this year</t>
  </si>
  <si>
    <t xml:space="preserve">Invested this year</t>
  </si>
  <si>
    <t xml:space="preserve">Lump sum</t>
  </si>
  <si>
    <t xml:space="preserve">Value at year end</t>
  </si>
  <si>
    <t xml:space="preserve">Plain SIP value (no step-up)</t>
  </si>
  <si>
    <t xml:space="preserve">Invested</t>
  </si>
  <si>
    <t xml:space="preserve">Value</t>
  </si>
  <si>
    <t xml:space="preserve">Goal Planner – how much SIP do I need?</t>
  </si>
  <si>
    <t xml:space="preserve">Goal</t>
  </si>
  <si>
    <t xml:space="preserve">Child's higher education</t>
  </si>
  <si>
    <t xml:space="preserve">Cost of the goal in today's money (₹)</t>
  </si>
  <si>
    <t xml:space="preserve">What it would cost if you paid today</t>
  </si>
  <si>
    <t xml:space="preserve">Years to goal</t>
  </si>
  <si>
    <t xml:space="preserve">1 to 40</t>
  </si>
  <si>
    <t xml:space="preserve">Expected inflation for this goal (% per year)</t>
  </si>
  <si>
    <t xml:space="preserve">Education inflation is often higher than general inflation</t>
  </si>
  <si>
    <t xml:space="preserve">Annual step-up you can manage</t>
  </si>
  <si>
    <t xml:space="preserve">0% = same SIP every year</t>
  </si>
  <si>
    <t xml:space="preserve">Money already saved for this goal (₹)</t>
  </si>
  <si>
    <t xml:space="preserve">Grows at the same return</t>
  </si>
  <si>
    <t xml:space="preserve">Future cost of the goal</t>
  </si>
  <si>
    <t xml:space="preserve">Existing savings will grow to</t>
  </si>
  <si>
    <t xml:space="preserve">Still needed from SIP</t>
  </si>
  <si>
    <t xml:space="preserve">Monthly SIP needed – starting amount (with step-up)</t>
  </si>
  <si>
    <t xml:space="preserve">Monthly SIP needed – flat (no step-up)</t>
  </si>
  <si>
    <t xml:space="preserve">OR one-time lump sum needed today</t>
  </si>
  <si>
    <t xml:space="preserve">Total you will invest (step-up plan)</t>
  </si>
  <si>
    <t xml:space="preserve">SIP amounts are rounded up to the next ₹100. Returns are assumptions; review the plan every year.</t>
  </si>
  <si>
    <t xml:space="preserve">SIP Ready Reckoner – value of a plain monthly SIP</t>
  </si>
  <si>
    <t xml:space="preserve">Return ►</t>
  </si>
  <si>
    <t xml:space="preserve">Change the return to see a different table. No step-up, SIP at the start of each month.</t>
  </si>
  <si>
    <t xml:space="preserve">Monthly SIP</t>
  </si>
  <si>
    <t xml:space="preserve">5 years</t>
  </si>
  <si>
    <t xml:space="preserve">10 years</t>
  </si>
  <si>
    <t xml:space="preserve">15 years</t>
  </si>
  <si>
    <t xml:space="preserve">20 years</t>
  </si>
  <si>
    <t xml:space="preserve">25 years</t>
  </si>
  <si>
    <t xml:space="preserve">30 years</t>
  </si>
  <si>
    <t xml:space="preserve">Amount invested</t>
  </si>
  <si>
    <t xml:space="preserve">k</t>
  </si>
  <si>
    <t xml:space="preserve">No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</si>
</sst>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[&gt;=10000000]&quot;₹ &quot;##\,##\,##\,##0;[&gt;=100000]&quot;₹ &quot;##\,##\,##0;&quot;₹ &quot;##,##0"/>
    <numFmt numFmtId="166" formatCode="###,##0"/>
    <numFmt numFmtId="167" formatCode="0.0%"/>
    <numFmt numFmtId="168" formatCode="0"/>
    <numFmt numFmtId="169" formatCode="0%"/>
    <numFmt numFmtId="170" formatCode="0.00\x"/>
  </numFmts>
  <fonts count="3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FFFFFF"/>
      <name val="Cambria"/>
      <family val="0"/>
      <charset val="1"/>
    </font>
    <font>
      <b val="true"/>
      <sz val="12"/>
      <color rgb="FF002060"/>
      <name val="Cambria"/>
      <family val="0"/>
      <charset val="1"/>
    </font>
    <font>
      <i val="true"/>
      <sz val="9"/>
      <color rgb="FF20AD96"/>
      <name val="Cambria"/>
      <family val="0"/>
      <charset val="1"/>
    </font>
    <font>
      <b val="true"/>
      <sz val="11"/>
      <color rgb="FF002060"/>
      <name val="Cambria"/>
      <family val="0"/>
      <charset val="1"/>
    </font>
    <font>
      <b val="true"/>
      <sz val="12"/>
      <color rgb="FF006838"/>
      <name val="Cambria"/>
      <family val="0"/>
      <charset val="1"/>
    </font>
    <font>
      <b val="true"/>
      <sz val="11"/>
      <color rgb="FF000000"/>
      <name val="Cambria"/>
      <family val="0"/>
      <charset val="1"/>
    </font>
    <font>
      <u val="single"/>
      <sz val="10"/>
      <color rgb="FF0563C1"/>
      <name val="Cambria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u val="single"/>
      <sz val="11"/>
      <color rgb="FF002060"/>
      <name val="Cambria"/>
      <family val="0"/>
      <charset val="1"/>
    </font>
    <font>
      <b val="true"/>
      <sz val="18"/>
      <color rgb="FF006838"/>
      <name val="Cambria"/>
      <family val="0"/>
      <charset val="1"/>
    </font>
    <font>
      <b val="true"/>
      <sz val="16"/>
      <color rgb="FF006838"/>
      <name val="Cambria"/>
      <family val="0"/>
      <charset val="1"/>
    </font>
    <font>
      <b val="true"/>
      <sz val="11"/>
      <color rgb="FFC00000"/>
      <name val="Cambria"/>
      <family val="0"/>
      <charset val="1"/>
    </font>
    <font>
      <sz val="11"/>
      <color rgb="FF002060"/>
      <name val="Cambria"/>
      <family val="0"/>
      <charset val="1"/>
    </font>
    <font>
      <i val="true"/>
      <sz val="10"/>
      <color rgb="FF7F7F7F"/>
      <name val="Cambria"/>
      <family val="0"/>
      <charset val="1"/>
    </font>
    <font>
      <b val="true"/>
      <sz val="18"/>
      <color rgb="FFFFFFFF"/>
      <name val="Cambria"/>
      <family val="0"/>
      <charset val="1"/>
    </font>
    <font>
      <b val="true"/>
      <sz val="11"/>
      <color rgb="FF006838"/>
      <name val="Cambria"/>
      <family val="0"/>
      <charset val="1"/>
    </font>
    <font>
      <b val="true"/>
      <sz val="13"/>
      <color rgb="FFFFFFFF"/>
      <name val="Cambria"/>
      <family val="0"/>
      <charset val="1"/>
    </font>
    <font>
      <b val="true"/>
      <sz val="12"/>
      <color rgb="FFFFFFFF"/>
      <name val="Cambria"/>
      <family val="0"/>
      <charset val="1"/>
    </font>
    <font>
      <i val="true"/>
      <sz val="9"/>
      <color rgb="FF7F7F7F"/>
      <name val="Cambria"/>
      <family val="0"/>
      <charset val="1"/>
    </font>
    <font>
      <b val="true"/>
      <sz val="12"/>
      <color rgb="FF000000"/>
      <name val="Cambria"/>
      <family val="0"/>
      <charset val="1"/>
    </font>
    <font>
      <b val="true"/>
      <sz val="16"/>
      <color rgb="FFFFFFFF"/>
      <name val="Cambria"/>
      <family val="0"/>
      <charset val="1"/>
    </font>
    <font>
      <b val="true"/>
      <sz val="10"/>
      <color rgb="FFFFFFFF"/>
      <name val="Cambria"/>
      <family val="0"/>
      <charset val="1"/>
    </font>
    <font>
      <b val="true"/>
      <sz val="9"/>
      <color rgb="FF808080"/>
      <name val="Cambria"/>
      <family val="0"/>
      <charset val="1"/>
    </font>
    <font>
      <b val="true"/>
      <sz val="10"/>
      <color rgb="FF002060"/>
      <name val="Cambria"/>
      <family val="0"/>
      <charset val="1"/>
    </font>
    <font>
      <sz val="10"/>
      <color rgb="FF000000"/>
      <name val="Cambria"/>
      <family val="0"/>
      <charset val="1"/>
    </font>
    <font>
      <b val="true"/>
      <sz val="10"/>
      <color rgb="FF006838"/>
      <name val="Cambria"/>
      <family val="0"/>
      <charset val="1"/>
    </font>
    <font>
      <sz val="8"/>
      <color rgb="FFBFBFBF"/>
      <name val="Cambria"/>
      <family val="0"/>
      <charset val="1"/>
    </font>
    <font>
      <sz val="10"/>
      <color rgb="FF595959"/>
      <name val="Cambria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006838"/>
        <bgColor rgb="FF008080"/>
      </patternFill>
    </fill>
    <fill>
      <patternFill patternType="solid">
        <fgColor rgb="FFDDEBF7"/>
        <bgColor rgb="FFE2EFDA"/>
      </patternFill>
    </fill>
    <fill>
      <patternFill patternType="solid">
        <fgColor rgb="FFF2F2F2"/>
        <bgColor rgb="FFF7F7F7"/>
      </patternFill>
    </fill>
    <fill>
      <patternFill patternType="solid">
        <fgColor rgb="FFFFFFFF"/>
        <bgColor rgb="FFF7F7F7"/>
      </patternFill>
    </fill>
    <fill>
      <patternFill patternType="solid">
        <fgColor rgb="FFE2EFDA"/>
        <bgColor rgb="FFDDEBF7"/>
      </patternFill>
    </fill>
    <fill>
      <patternFill patternType="solid">
        <fgColor rgb="FFFFF2CC"/>
        <bgColor rgb="FFF2F2F2"/>
      </patternFill>
    </fill>
    <fill>
      <patternFill patternType="solid">
        <fgColor rgb="FF002060"/>
        <bgColor rgb="FF000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9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8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2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applyProtection="true" numFmtId="165" fontId="5" fillId="7" borderId="1" xfId="0" applyFont="true" applyBorder="true" applyAlignment="true">
      <alignment horizontal="center" vertical="center" textRotation="0" wrapText="true" indent="0" shrinkToFit="false"/>
      <protection locked="false" hidden="false"/>
    </xf>
    <xf applyProtection="true" numFmtId="167" fontId="5" fillId="7" borderId="1" xfId="0" applyFont="true" applyBorder="true" applyAlignment="true">
      <alignment horizontal="center" vertical="center" textRotation="0" wrapText="true" indent="0" shrinkToFit="false"/>
      <protection locked="false" hidden="false"/>
    </xf>
    <xf applyProtection="true" numFmtId="168" fontId="5" fillId="7" borderId="1" xfId="0" applyFont="true" applyBorder="true" applyAlignment="true">
      <alignment horizontal="center" vertical="center" textRotation="0" wrapText="true" indent="0" shrinkToFit="false"/>
      <protection locked="false" hidden="false"/>
    </xf>
    <xf applyProtection="true" numFmtId="169" fontId="5" fillId="7" borderId="1" xfId="0" applyFont="true" applyBorder="true" applyAlignment="true">
      <alignment horizontal="center" vertical="center" textRotation="0" wrapText="true" indent="0" shrinkToFit="false"/>
      <protection locked="false" hidden="false"/>
    </xf>
    <xf applyProtection="true" numFmtId="164" fontId="5" fillId="7" borderId="1" xfId="0" applyFont="true" applyBorder="true" applyAlignment="true">
      <alignment horizontal="center" vertical="center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color rgb="FFBFBFBF"/>
      </font>
      <fill>
        <patternFill>
          <bgColor rgb="FFF7F7F7"/>
        </patternFill>
      </fill>
    </dxf>
    <dxf>
      <font>
        <b val="1"/>
      </font>
      <fill>
        <patternFill>
          <bgColor rgb="FFE2EFDA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6838"/>
      <rgbColor rgb="FF000080"/>
      <rgbColor rgb="FF7F7F7F"/>
      <rgbColor rgb="FF800080"/>
      <rgbColor rgb="FF008080"/>
      <rgbColor rgb="FFBFBFBF"/>
      <rgbColor rgb="FF808080"/>
      <rgbColor rgb="FFA6A6A6"/>
      <rgbColor rgb="FF993366"/>
      <rgbColor rgb="FFFFF2CC"/>
      <rgbColor rgb="FFDDEBF7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EFDA"/>
      <rgbColor rgb="FFF7F7F7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BF8F00"/>
      <rgbColor rgb="FFFF6600"/>
      <rgbColor rgb="FF595959"/>
      <rgbColor rgb="FF878787"/>
      <rgbColor rgb="FF002060"/>
      <rgbColor rgb="FF20AD9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Invested vs estimated value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'Year-wise Schedule'!L5</c:f>
              <c:strCache>
                <c:ptCount val="1"/>
                <c:pt idx="0">
                  <c:v>Invested</c:v>
                </c:pt>
              </c:strCache>
            </c:strRef>
          </c:tx>
          <c:spPr>
            <a:solidFill>
              <a:srgbClr val="a6a6a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'Year-wise Schedule'!$K$6:$K$15</c:f>
              <c:strCache>
                <c:ptCount val="10"/>
                <c:pt idx="0">
                  <c:v>Yr 2</c:v>
                </c:pt>
                <c:pt idx="1">
                  <c:v>Yr 4</c:v>
                </c:pt>
                <c:pt idx="2">
                  <c:v>Yr 6</c:v>
                </c:pt>
                <c:pt idx="3">
                  <c:v>Yr 8</c:v>
                </c:pt>
                <c:pt idx="4">
                  <c:v>Yr 10</c:v>
                </c:pt>
                <c:pt idx="5">
                  <c:v>Yr 12</c:v>
                </c:pt>
                <c:pt idx="6">
                  <c:v>Yr 14</c:v>
                </c:pt>
                <c:pt idx="7">
                  <c:v>Yr 16</c:v>
                </c:pt>
                <c:pt idx="8">
                  <c:v>Yr 18</c:v>
                </c:pt>
                <c:pt idx="9">
                  <c:v>Yr 20</c:v>
                </c:pt>
              </c:strCache>
            </c:strRef>
          </c:cat>
          <c:val>
            <c:numRef>
              <c:f>'Year-wise Schedule'!$L$6:$L$15</c:f>
              <c:numCache>
                <c:formatCode>[&gt;=10000000]"₹ "##\,##\,##\,##0;[&gt;=100000]"₹ "##\,##\,##0;"₹ "##,##0</c:formatCode>
                <c:ptCount val="10"/>
                <c:pt idx="0">
                  <c:v>252000</c:v>
                </c:pt>
                <c:pt idx="1">
                  <c:v>556920</c:v>
                </c:pt>
                <c:pt idx="2">
                  <c:v>925872</c:v>
                </c:pt>
                <c:pt idx="3">
                  <c:v>1372308</c:v>
                </c:pt>
                <c:pt idx="4">
                  <c:v>1912488</c:v>
                </c:pt>
                <c:pt idx="5">
                  <c:v>2566104</c:v>
                </c:pt>
                <c:pt idx="6">
                  <c:v>3356988</c:v>
                </c:pt>
                <c:pt idx="7">
                  <c:v>4313952</c:v>
                </c:pt>
                <c:pt idx="8">
                  <c:v>5471892</c:v>
                </c:pt>
                <c:pt idx="9">
                  <c:v>6872988</c:v>
                </c:pt>
              </c:numCache>
            </c:numRef>
          </c:val>
        </c:ser>
        <c:ser>
          <c:idx val="1"/>
          <c:order val="1"/>
          <c:tx>
            <c:strRef>
              <c:f>'Year-wise Schedule'!M5</c:f>
              <c:strCache>
                <c:ptCount val="1"/>
                <c:pt idx="0">
                  <c:v>Value</c:v>
                </c:pt>
              </c:strCache>
            </c:strRef>
          </c:tx>
          <c:spPr>
            <a:solidFill>
              <a:srgbClr val="006838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'Year-wise Schedule'!$K$6:$K$15</c:f>
              <c:strCache>
                <c:ptCount val="10"/>
                <c:pt idx="0">
                  <c:v>Yr 2</c:v>
                </c:pt>
                <c:pt idx="1">
                  <c:v>Yr 4</c:v>
                </c:pt>
                <c:pt idx="2">
                  <c:v>Yr 6</c:v>
                </c:pt>
                <c:pt idx="3">
                  <c:v>Yr 8</c:v>
                </c:pt>
                <c:pt idx="4">
                  <c:v>Yr 10</c:v>
                </c:pt>
                <c:pt idx="5">
                  <c:v>Yr 12</c:v>
                </c:pt>
                <c:pt idx="6">
                  <c:v>Yr 14</c:v>
                </c:pt>
                <c:pt idx="7">
                  <c:v>Yr 16</c:v>
                </c:pt>
                <c:pt idx="8">
                  <c:v>Yr 18</c:v>
                </c:pt>
                <c:pt idx="9">
                  <c:v>Yr 20</c:v>
                </c:pt>
              </c:strCache>
            </c:strRef>
          </c:cat>
          <c:val>
            <c:numRef>
              <c:f>'Year-wise Schedule'!$M$6:$M$15</c:f>
              <c:numCache>
                <c:formatCode>[&gt;=10000000]"₹ "##\,##\,##\,##0;[&gt;=100000]"₹ "##\,##\,##0;"₹ "##,##0</c:formatCode>
                <c:ptCount val="10"/>
                <c:pt idx="0">
                  <c:v>285241</c:v>
                </c:pt>
                <c:pt idx="1">
                  <c:v>707323</c:v>
                </c:pt>
                <c:pt idx="2">
                  <c:v>1315733</c:v>
                </c:pt>
                <c:pt idx="3">
                  <c:v>2175958</c:v>
                </c:pt>
                <c:pt idx="4">
                  <c:v>3374325</c:v>
                </c:pt>
                <c:pt idx="5">
                  <c:v>5024331</c:v>
                </c:pt>
                <c:pt idx="6">
                  <c:v>7274776</c:v>
                </c:pt>
                <c:pt idx="7">
                  <c:v>10320233</c:v>
                </c:pt>
                <c:pt idx="8">
                  <c:v>14414641</c:v>
                </c:pt>
                <c:pt idx="9">
                  <c:v>19888684</c:v>
                </c:pt>
              </c:numCache>
            </c:numRef>
          </c:val>
        </c:ser>
        <c:gapWidth val="150"/>
        <c:overlap val="0"/>
        <c:axId val="52601212"/>
        <c:axId val="65602876"/>
      </c:barChart>
      <c:catAx>
        <c:axId val="526012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5602876"/>
        <c:crosses val="autoZero"/>
        <c:auto val="1"/>
        <c:lblAlgn val="ctr"/>
        <c:lblOffset val="100"/>
        <c:noMultiLvlLbl val="0"/>
      </c:catAx>
      <c:valAx>
        <c:axId val="65602876"/>
        <c:scaling>
          <c:orientation val="minMax"/>
        </c:scaling>
        <c:delete val="0"/>
        <c:axPos val="l"/>
        <c:numFmt formatCode="##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2601212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0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png"/><Relationship Id="rId3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15</xdr:row>
      <xdr:rowOff>0</xdr:rowOff>
    </xdr:from>
    <xdr:to>
      <xdr:col>7</xdr:col>
      <xdr:colOff>25560</xdr:colOff>
      <xdr:row>30</xdr:row>
      <xdr:rowOff>21960</xdr:rowOff>
    </xdr:to>
    <xdr:graphicFrame>
      <xdr:nvGraphicFramePr>
        <xdr:cNvPr id="0" name="Chart 1"/>
        <xdr:cNvGraphicFramePr/>
      </xdr:nvGraphicFramePr>
      <xdr:xfrm>
        <a:off x="141120" y="3914640"/>
        <a:ext cx="791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1618920</xdr:colOff>
      <xdr:row>2</xdr:row>
      <xdr:rowOff>152280</xdr:rowOff>
    </xdr:to>
    <xdr:pic>
      <xdr:nvPicPr>
        <xdr:cNvPr id="1" name="Image 2" descr="Picture"/>
        <xdr:cNvPicPr/>
      </xdr:nvPicPr>
      <xdr:blipFill>
        <a:blip r:embed="rId2"/>
        <a:stretch/>
      </xdr:blipFill>
      <xdr:spPr>
        <a:xfrm>
          <a:off x="141120" y="0"/>
          <a:ext cx="1618920" cy="533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1142640</xdr:colOff>
      <xdr:row>33</xdr:row>
      <xdr:rowOff>190080</xdr:rowOff>
    </xdr:to>
    <xdr:pic>
      <xdr:nvPicPr>
        <xdr:cNvPr id="2" name="Image 3" descr="Picture"/>
        <xdr:cNvPicPr/>
      </xdr:nvPicPr>
      <xdr:blipFill>
        <a:blip r:embed="rId3"/>
        <a:stretch/>
      </xdr:blipFill>
      <xdr:spPr>
        <a:xfrm>
          <a:off x="6343560" y="7153200"/>
          <a:ext cx="1142640" cy="3805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18</xdr:row>
      <xdr:rowOff>253080</xdr:rowOff>
    </xdr:from>
    <xdr:to>
      <xdr:col>1</xdr:col>
      <xdr:colOff>1904760</xdr:colOff>
      <xdr:row>21</xdr:row>
      <xdr:rowOff>128880</xdr:rowOff>
    </xdr:to>
    <xdr:pic>
      <xdr:nvPicPr>
        <xdr:cNvPr id="3" name="Image 1" descr="Picture"/>
        <xdr:cNvPicPr/>
      </xdr:nvPicPr>
      <xdr:blipFill>
        <a:blip r:embed="rId1"/>
        <a:stretch/>
      </xdr:blipFill>
      <xdr:spPr>
        <a:xfrm>
          <a:off x="423000" y="4000680"/>
          <a:ext cx="1904760" cy="637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25</xdr:row>
      <xdr:rowOff>176040</xdr:rowOff>
    </xdr:from>
    <xdr:to>
      <xdr:col>2</xdr:col>
      <xdr:colOff>1238040</xdr:colOff>
      <xdr:row>28</xdr:row>
      <xdr:rowOff>13680</xdr:rowOff>
    </xdr:to>
    <xdr:pic>
      <xdr:nvPicPr>
        <xdr:cNvPr id="4" name="Image 1" descr="Picture"/>
        <xdr:cNvPicPr/>
      </xdr:nvPicPr>
      <xdr:blipFill>
        <a:blip r:embed="rId1"/>
        <a:stretch/>
      </xdr:blipFill>
      <xdr:spPr>
        <a:xfrm>
          <a:off x="3383280" y="7039080"/>
          <a:ext cx="1238040" cy="4093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xplorexcel.com/excel-templates/" TargetMode="External"/><Relationship Id="rId2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SIP%20Calculator%20with%20Step-up%20and%20Goal%20Planner%201.0%20by%20Xplorexcel.com.xlsx" TargetMode="External"/><Relationship Id="rId2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SIP%20Calculator%20with%20Step-up%20and%20Goal%20Planner%201.0%20by%20Xplorexcel.com.xlsx" TargetMode="External"/><Relationship Id="rId2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SIP%20Calculator%20with%20Step-up%20and%20Goal%20Planner%201.0%20by%20Xplorexcel.com.xlsx" TargetMode="Externa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SIP%20Calculator%20with%20Step-up%20and%20Goal%20Planner%201.0%20by%20Xplorexcel.com.xlsx" TargetMode="Externa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hyperlink" Target="SIP%20Calculator%20with%20Step-up%20and%20Goal%20Planner%201.0%20by%20Xplorexcel.com.xlsx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2060"/>
    <pageSetUpPr fitToPage="true"/>
  </sheetPr>
  <dimension ref="B5:F3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6"/>
    <col collapsed="false" customWidth="true" hidden="false" outlineLevel="0" max="3" min="3" style="0" width="24"/>
    <col collapsed="false" customWidth="true" hidden="false" outlineLevel="0" max="4" min="4" style="0" width="4"/>
    <col collapsed="false" customWidth="true" hidden="false" outlineLevel="0" max="5" min="5" style="0" width="34"/>
    <col collapsed="false" customWidth="true" hidden="false" outlineLevel="0" max="6" min="6" style="0" width="20"/>
    <col collapsed="false" customWidth="true" hidden="false" outlineLevel="0" max="7" min="7" style="0" width="4"/>
  </cols>
  <sheetData>
    <row r="5" customFormat="false" ht="37.5" hidden="false" customHeight="true" outlineLevel="0" collapsed="false">
      <c r="B5" s="1" t="s">
        <v>0</v>
      </c>
      <c r="C5" s="1"/>
      <c r="D5" s="1"/>
      <c r="E5" s="1"/>
      <c r="F5" s="1"/>
    </row>
    <row r="6" customFormat="false" ht="21.75" hidden="false" customHeight="true" outlineLevel="0" collapsed="false">
      <c r="B6" s="2" t="str">
        <f aca="false">TEXT('SIP Calculator'!$C$4,"₹#,##0")&amp;" / month  •  "&amp;TEXT('SIP Calculator'!$C$5,"0.0%")&amp;" return  •  "&amp;'SIP Calculator'!$C$6&amp;" years  •  "&amp;TEXT('SIP Calculator'!$C$7,"0%")&amp;" step-up"</f>
        <v>₹10,000 / month  •  12.0% return  •  20 years  •  10% step-up</v>
      </c>
      <c r="C6" s="2"/>
      <c r="D6" s="2"/>
      <c r="E6" s="2"/>
      <c r="F6" s="2"/>
    </row>
    <row r="8" customFormat="false" ht="15" hidden="false" customHeight="false" outlineLevel="0" collapsed="false">
      <c r="B8" s="3" t="s">
        <v>1</v>
      </c>
      <c r="E8" s="3" t="s">
        <v>2</v>
      </c>
    </row>
    <row r="9" customFormat="false" ht="24" hidden="false" customHeight="true" outlineLevel="0" collapsed="false">
      <c r="B9" s="4" t="str">
        <f aca="false">HYPERLINK("#'SIP Calculator'!A1","1. SIP Calculator  ►")</f>
        <v>1. SIP Calculator  ►</v>
      </c>
      <c r="C9" s="5" t="s">
        <v>3</v>
      </c>
      <c r="E9" s="6" t="s">
        <v>4</v>
      </c>
      <c r="F9" s="7" t="n">
        <f aca="false">'SIP Calculator'!C15</f>
        <v>6872988</v>
      </c>
    </row>
    <row r="10" customFormat="false" ht="24" hidden="false" customHeight="true" outlineLevel="0" collapsed="false">
      <c r="B10" s="4" t="str">
        <f aca="false">HYPERLINK("#'Year-wise Schedule'!A1","2. Year-wise Schedule  ►")</f>
        <v>2. Year-wise Schedule  ►</v>
      </c>
      <c r="C10" s="5" t="s">
        <v>5</v>
      </c>
      <c r="E10" s="6" t="s">
        <v>6</v>
      </c>
      <c r="F10" s="8" t="n">
        <f aca="false">'SIP Calculator'!C16</f>
        <v>19888684</v>
      </c>
    </row>
    <row r="11" customFormat="false" ht="24" hidden="false" customHeight="true" outlineLevel="0" collapsed="false">
      <c r="B11" s="4" t="str">
        <f aca="false">HYPERLINK("#'Goal Planner'!A1","3. Goal Planner  ►")</f>
        <v>3. Goal Planner  ►</v>
      </c>
      <c r="C11" s="5" t="s">
        <v>7</v>
      </c>
      <c r="E11" s="6" t="s">
        <v>8</v>
      </c>
      <c r="F11" s="7" t="n">
        <f aca="false">'SIP Calculator'!C17</f>
        <v>13015696</v>
      </c>
    </row>
    <row r="12" customFormat="false" ht="24" hidden="false" customHeight="true" outlineLevel="0" collapsed="false">
      <c r="B12" s="4" t="str">
        <f aca="false">HYPERLINK("#'SIP Table'!A1","4. SIP Table  ►")</f>
        <v>4. SIP Table  ►</v>
      </c>
      <c r="C12" s="5" t="s">
        <v>9</v>
      </c>
      <c r="E12" s="6" t="s">
        <v>10</v>
      </c>
      <c r="F12" s="7" t="n">
        <f aca="false">'SIP Calculator'!C18</f>
        <v>6201385.68274363</v>
      </c>
    </row>
    <row r="13" customFormat="false" ht="24" hidden="false" customHeight="true" outlineLevel="0" collapsed="false">
      <c r="B13" s="4" t="str">
        <f aca="false">HYPERLINK("#'About Workbook'!A1","How to use  ►")</f>
        <v>How to use  ►</v>
      </c>
      <c r="C13" s="5" t="s">
        <v>11</v>
      </c>
      <c r="E13" s="6" t="s">
        <v>12</v>
      </c>
      <c r="F13" s="7" t="n">
        <f aca="false">'SIP Calculator'!C20</f>
        <v>18277347</v>
      </c>
    </row>
    <row r="14" customFormat="false" ht="24" hidden="false" customHeight="true" outlineLevel="0" collapsed="false">
      <c r="E14" s="6" t="s">
        <v>13</v>
      </c>
      <c r="F14" s="7" t="n">
        <f aca="false">'SIP Calculator'!C16-INDEX('Year-wise Schedule'!$I$6:$I$45,'SIP Calculator'!$C$6)</f>
        <v>9897204</v>
      </c>
    </row>
    <row r="33" customFormat="false" ht="15" hidden="false" customHeight="false" outlineLevel="0" collapsed="false">
      <c r="E33" s="9" t="s">
        <v>14</v>
      </c>
    </row>
    <row r="36" customFormat="false" ht="15" hidden="false" customHeight="false" outlineLevel="0" collapsed="false">
      <c r="F36" s="10" t="s">
        <v>15</v>
      </c>
    </row>
  </sheetData>
  <sheetProtection sheet="1" objects="1" scenarios="1" formatColumns="0" formatRows="0" algorithmName="SHA-512" hashValue="W9dJiJXiurQVfPk7u1MTDfv31IphaImRWmbaFTA/lDnXI8RZlJnFjUCxh+jrzhP+ykozu68qhr4cOf54vmDMTg==" saltValue="4H/M+jPYSv4FQLo/R/9LCA==" spinCount="100000"/>
  <mergeCells count="2">
    <mergeCell ref="B5:F5"/>
    <mergeCell ref="B6:F6"/>
  </mergeCells>
  <hyperlinks>
    <hyperlink ref="F36" r:id="rId1" display="Check out our templates @ xplorexcel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0AD96"/>
    <pageSetUpPr fitToPage="true"/>
  </sheetPr>
  <dimension ref="A1:B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12"/>
  </cols>
  <sheetData>
    <row r="1" customFormat="false" ht="15" hidden="false" customHeight="false" outlineLevel="0" collapsed="false">
      <c r="A1" s="11" t="s">
        <v>16</v>
      </c>
    </row>
    <row r="2" customFormat="false" ht="22.05" hidden="false" customHeight="false" outlineLevel="0" collapsed="false">
      <c r="A2" s="12" t="s">
        <v>17</v>
      </c>
    </row>
    <row r="3" customFormat="false" ht="15" hidden="false" customHeight="false" outlineLevel="0" collapsed="false">
      <c r="A3" s="13" t="n">
        <v>1</v>
      </c>
      <c r="B3" s="14" t="s">
        <v>18</v>
      </c>
    </row>
    <row r="4" customFormat="false" ht="28.35" hidden="false" customHeight="false" outlineLevel="0" collapsed="false">
      <c r="A4" s="13" t="n">
        <v>2</v>
      </c>
      <c r="B4" s="14" t="s">
        <v>19</v>
      </c>
    </row>
    <row r="5" customFormat="false" ht="15" hidden="false" customHeight="false" outlineLevel="0" collapsed="false">
      <c r="A5" s="13" t="n">
        <v>3</v>
      </c>
      <c r="B5" s="14" t="s">
        <v>20</v>
      </c>
    </row>
    <row r="6" customFormat="false" ht="15" hidden="false" customHeight="false" outlineLevel="0" collapsed="false">
      <c r="A6" s="13" t="n">
        <v>4</v>
      </c>
      <c r="B6" s="14" t="s">
        <v>21</v>
      </c>
    </row>
    <row r="7" customFormat="false" ht="15" hidden="false" customHeight="false" outlineLevel="0" collapsed="false">
      <c r="A7" s="13" t="n">
        <v>5</v>
      </c>
      <c r="B7" s="14" t="s">
        <v>22</v>
      </c>
    </row>
    <row r="8" customFormat="false" ht="15" hidden="false" customHeight="false" outlineLevel="0" collapsed="false">
      <c r="A8" s="13" t="n">
        <v>6</v>
      </c>
      <c r="B8" s="14" t="s">
        <v>23</v>
      </c>
    </row>
    <row r="9" customFormat="false" ht="15" hidden="false" customHeight="false" outlineLevel="0" collapsed="false">
      <c r="A9" s="13" t="n">
        <v>7</v>
      </c>
      <c r="B9" s="14" t="s">
        <v>24</v>
      </c>
    </row>
    <row r="10" customFormat="false" ht="15" hidden="false" customHeight="false" outlineLevel="0" collapsed="false">
      <c r="A10" s="13" t="n">
        <v>8</v>
      </c>
      <c r="B10" s="14" t="s">
        <v>25</v>
      </c>
    </row>
    <row r="11" customFormat="false" ht="15" hidden="false" customHeight="false" outlineLevel="0" collapsed="false">
      <c r="A11" s="13" t="n">
        <v>9</v>
      </c>
      <c r="B11" s="14" t="s">
        <v>26</v>
      </c>
    </row>
    <row r="12" customFormat="false" ht="15" hidden="false" customHeight="false" outlineLevel="0" collapsed="false">
      <c r="A12" s="13" t="n">
        <v>10</v>
      </c>
      <c r="B12" s="14" t="s">
        <v>27</v>
      </c>
    </row>
    <row r="14" customFormat="false" ht="19.7" hidden="false" customHeight="false" outlineLevel="0" collapsed="false">
      <c r="A14" s="15" t="s">
        <v>28</v>
      </c>
      <c r="B14" s="15"/>
    </row>
    <row r="15" customFormat="false" ht="15" hidden="false" customHeight="false" outlineLevel="0" collapsed="false">
      <c r="A15" s="16" t="s">
        <v>29</v>
      </c>
      <c r="B15" s="17" t="s">
        <v>30</v>
      </c>
    </row>
    <row r="16" customFormat="false" ht="15" hidden="false" customHeight="false" outlineLevel="0" collapsed="false">
      <c r="A16" s="16" t="s">
        <v>31</v>
      </c>
      <c r="B16" s="17" t="s">
        <v>32</v>
      </c>
    </row>
    <row r="17" customFormat="false" ht="15" hidden="false" customHeight="false" outlineLevel="0" collapsed="false">
      <c r="A17" s="16" t="s">
        <v>33</v>
      </c>
      <c r="B17" s="17" t="s">
        <v>34</v>
      </c>
    </row>
    <row r="19" customFormat="false" ht="30" hidden="false" customHeight="true" outlineLevel="0" collapsed="false">
      <c r="B19" s="18" t="s">
        <v>35</v>
      </c>
    </row>
  </sheetData>
  <sheetProtection sheet="1" objects="1" scenarios="1" formatColumns="0" formatRows="0" algorithmName="SHA-512" hashValue="2xZn2jeygeHNr/ozpb2DHLeIcx1ujPHxnVBaDcYCzXg3dt9ltylfP6+3Y2XKgT8rndHMyuzDa06MlJagCFNMCw==" saltValue="PwrUHMtI5h8k32rVhwKasw==" spinCount="100000"/>
  <mergeCells count="1">
    <mergeCell ref="A14:B14"/>
  </mergeCells>
  <hyperlinks>
    <hyperlink ref="A1" r:id="rId1" location="'Dashboard'!A1" display="◄ BACK TO DASHBOARD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F8F00"/>
    <pageSetUpPr fitToPage="true"/>
  </sheetPr>
  <dimension ref="A1:E2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3" min="3" style="0" width="20"/>
    <col collapsed="false" customWidth="true" hidden="false" outlineLevel="0" max="5" min="4" style="0" width="30"/>
  </cols>
  <sheetData>
    <row r="1" customFormat="false" ht="15" hidden="false" customHeight="false" outlineLevel="0" collapsed="false">
      <c r="A1" s="11" t="s">
        <v>16</v>
      </c>
    </row>
    <row r="2" customFormat="false" ht="31.5" hidden="false" customHeight="true" outlineLevel="0" collapsed="false">
      <c r="A2" s="19" t="s">
        <v>36</v>
      </c>
      <c r="B2" s="19"/>
      <c r="C2" s="19"/>
      <c r="D2" s="19"/>
      <c r="E2" s="19"/>
    </row>
    <row r="4" customFormat="false" ht="21.75" hidden="false" customHeight="true" outlineLevel="0" collapsed="false">
      <c r="A4" s="20" t="s">
        <v>37</v>
      </c>
      <c r="B4" s="20"/>
      <c r="C4" s="49" t="n">
        <v>10000</v>
      </c>
      <c r="D4" s="22" t="s">
        <v>38</v>
      </c>
      <c r="E4" s="22"/>
    </row>
    <row r="5" customFormat="false" ht="21.75" hidden="false" customHeight="true" outlineLevel="0" collapsed="false">
      <c r="A5" s="20" t="s">
        <v>39</v>
      </c>
      <c r="B5" s="20"/>
      <c r="C5" s="50" t="n">
        <v>0.12</v>
      </c>
      <c r="D5" s="22" t="s">
        <v>40</v>
      </c>
      <c r="E5" s="22"/>
    </row>
    <row r="6" customFormat="false" ht="21.75" hidden="false" customHeight="true" outlineLevel="0" collapsed="false">
      <c r="A6" s="20" t="s">
        <v>41</v>
      </c>
      <c r="B6" s="20"/>
      <c r="C6" s="51" t="n">
        <v>20</v>
      </c>
      <c r="D6" s="22" t="s">
        <v>42</v>
      </c>
      <c r="E6" s="22"/>
    </row>
    <row r="7" customFormat="false" ht="21.75" hidden="false" customHeight="true" outlineLevel="0" collapsed="false">
      <c r="A7" s="20" t="s">
        <v>43</v>
      </c>
      <c r="B7" s="20"/>
      <c r="C7" s="52" t="n">
        <v>0.1</v>
      </c>
      <c r="D7" s="22" t="s">
        <v>44</v>
      </c>
      <c r="E7" s="22"/>
    </row>
    <row r="8" customFormat="false" ht="21.75" hidden="false" customHeight="true" outlineLevel="0" collapsed="false">
      <c r="A8" s="20" t="s">
        <v>45</v>
      </c>
      <c r="B8" s="20"/>
      <c r="C8" s="49" t="n">
        <v>0</v>
      </c>
      <c r="D8" s="22" t="s">
        <v>46</v>
      </c>
      <c r="E8" s="22"/>
    </row>
    <row r="9" customFormat="false" ht="21.75" hidden="false" customHeight="true" outlineLevel="0" collapsed="false">
      <c r="A9" s="20" t="s">
        <v>47</v>
      </c>
      <c r="B9" s="20"/>
      <c r="C9" s="50" t="n">
        <v>0.06</v>
      </c>
      <c r="D9" s="22" t="s">
        <v>48</v>
      </c>
      <c r="E9" s="22"/>
    </row>
    <row r="10" customFormat="false" ht="21.75" hidden="false" customHeight="true" outlineLevel="0" collapsed="false">
      <c r="A10" s="20" t="s">
        <v>49</v>
      </c>
      <c r="B10" s="20"/>
      <c r="C10" s="53" t="s">
        <v>50</v>
      </c>
      <c r="D10" s="22" t="s">
        <v>51</v>
      </c>
      <c r="E10" s="22"/>
    </row>
    <row r="11" customFormat="false" ht="21.75" hidden="false" customHeight="true" outlineLevel="0" collapsed="false">
      <c r="A11" s="20" t="s">
        <v>52</v>
      </c>
      <c r="B11" s="20"/>
      <c r="C11" s="50" t="n">
        <v>0.125</v>
      </c>
      <c r="D11" s="22" t="s">
        <v>53</v>
      </c>
      <c r="E11" s="22"/>
    </row>
    <row r="12" customFormat="false" ht="21.75" hidden="false" customHeight="true" outlineLevel="0" collapsed="false">
      <c r="A12" s="20" t="s">
        <v>54</v>
      </c>
      <c r="B12" s="20"/>
      <c r="C12" s="49" t="n">
        <v>125000</v>
      </c>
      <c r="D12" s="22" t="s">
        <v>53</v>
      </c>
      <c r="E12" s="22"/>
    </row>
    <row r="14" customFormat="false" ht="16.15" hidden="false" customHeight="true" outlineLevel="0" collapsed="false">
      <c r="A14" s="27" t="s">
        <v>55</v>
      </c>
      <c r="B14" s="27"/>
      <c r="C14" s="27"/>
      <c r="D14" s="27"/>
      <c r="E14" s="27"/>
    </row>
    <row r="15" customFormat="false" ht="24" hidden="false" customHeight="true" outlineLevel="0" collapsed="false">
      <c r="A15" s="6" t="s">
        <v>56</v>
      </c>
      <c r="B15" s="6"/>
      <c r="C15" s="28" t="n">
        <f aca="false">INDEX('Year-wise Schedule'!$E$6:$E$45,'SIP Calculator'!$C$6)</f>
        <v>6872988</v>
      </c>
      <c r="D15" s="29" t="str">
        <f aca="false">"₹ "&amp;TEXT(C4,"#,##0")&amp;" a month for "&amp;C6&amp;" years at "&amp;TEXT(C5,"0.0%")&amp;IF(C7&gt;0," with a "&amp;TEXT(C7,"0%")&amp;" yearly step-up","")&amp;" could grow to about "&amp;TEXT(C16,"[&gt;=10000000]₹##\,##\,##\,##0;[&gt;=100000]₹##\,##\,##0;₹##,##0")&amp;". You put in "&amp;TEXT(C15,"[&gt;=10000000]₹##\,##\,##\,##0;[&gt;=100000]₹##\,##\,##0;₹##,##0")&amp;" and the rest – "&amp;TEXT(C17,"[&gt;=10000000]₹##\,##\,##\,##0;[&gt;=100000]₹##\,##\,##0;₹##,##0")&amp;" – is estimated return. In today's money that is about "&amp;TEXT(C18,"[&gt;=10000000]₹##\,##\,##\,##0;[&gt;=100000]₹##\,##\,##0;₹##,##0")&amp;"."</f>
        <v>₹ 10,000 a month for 20 years at 12.0% with a 10% yearly step-up could grow to about ₹1,98,88,684. You put in ₹68,72,988 and the rest – ₹1,30,15,696 – is estimated return. In today's money that is about ₹62,01,386.</v>
      </c>
      <c r="E15" s="29"/>
    </row>
    <row r="16" customFormat="false" ht="24" hidden="false" customHeight="true" outlineLevel="0" collapsed="false">
      <c r="A16" s="30" t="s">
        <v>57</v>
      </c>
      <c r="B16" s="30"/>
      <c r="C16" s="31" t="n">
        <f aca="false">INDEX('Year-wise Schedule'!$F$6:$F$45,'SIP Calculator'!$C$6)</f>
        <v>19888684</v>
      </c>
      <c r="D16" s="29"/>
      <c r="E16" s="29"/>
    </row>
    <row r="17" customFormat="false" ht="24" hidden="false" customHeight="true" outlineLevel="0" collapsed="false">
      <c r="A17" s="6" t="s">
        <v>58</v>
      </c>
      <c r="B17" s="6"/>
      <c r="C17" s="28" t="n">
        <f aca="false">C16-C15</f>
        <v>13015696</v>
      </c>
      <c r="D17" s="29"/>
      <c r="E17" s="29"/>
    </row>
    <row r="18" customFormat="false" ht="24" hidden="false" customHeight="true" outlineLevel="0" collapsed="false">
      <c r="A18" s="6" t="s">
        <v>59</v>
      </c>
      <c r="B18" s="6"/>
      <c r="C18" s="28" t="n">
        <f aca="false">C16/(1+'SIP Calculator'!$C$9)^'SIP Calculator'!$C$6</f>
        <v>6201385.68274363</v>
      </c>
      <c r="D18" s="29"/>
      <c r="E18" s="29"/>
    </row>
    <row r="19" customFormat="false" ht="24" hidden="false" customHeight="true" outlineLevel="0" collapsed="false">
      <c r="A19" s="6" t="s">
        <v>60</v>
      </c>
      <c r="B19" s="6"/>
      <c r="C19" s="28" t="n">
        <f aca="false">IF(C10="Yes",MAX(0,C17-C12)*C11,0)</f>
        <v>1611337</v>
      </c>
      <c r="D19" s="29"/>
      <c r="E19" s="29"/>
    </row>
    <row r="20" customFormat="false" ht="24" hidden="false" customHeight="true" outlineLevel="0" collapsed="false">
      <c r="A20" s="30" t="s">
        <v>61</v>
      </c>
      <c r="B20" s="30"/>
      <c r="C20" s="31" t="n">
        <f aca="false">C16-C19</f>
        <v>18277347</v>
      </c>
      <c r="D20" s="29"/>
      <c r="E20" s="29"/>
    </row>
    <row r="21" customFormat="false" ht="24" hidden="false" customHeight="true" outlineLevel="0" collapsed="false">
      <c r="A21" s="6" t="s">
        <v>62</v>
      </c>
      <c r="B21" s="6"/>
      <c r="C21" s="32" t="n">
        <f aca="false">IFERROR(C16/C15,0)</f>
        <v>2.89374635893443</v>
      </c>
      <c r="D21" s="29"/>
      <c r="E21" s="29"/>
    </row>
    <row r="22" customFormat="false" ht="24" hidden="false" customHeight="true" outlineLevel="0" collapsed="false">
      <c r="A22" s="6" t="s">
        <v>63</v>
      </c>
      <c r="B22" s="6"/>
      <c r="C22" s="28" t="n">
        <f aca="false">INDEX('Year-wise Schedule'!$B$6:$B$45,'SIP Calculator'!$C$6)</f>
        <v>61159</v>
      </c>
      <c r="D22" s="29"/>
      <c r="E22" s="29"/>
    </row>
    <row r="24" customFormat="false" ht="30" hidden="false" customHeight="true" outlineLevel="0" collapsed="false">
      <c r="A24" s="33" t="s">
        <v>64</v>
      </c>
      <c r="B24" s="33"/>
      <c r="C24" s="33"/>
      <c r="D24" s="33"/>
      <c r="E24" s="33"/>
    </row>
    <row r="25" customFormat="false" ht="15" hidden="false" customHeight="false" outlineLevel="0" collapsed="false">
      <c r="A25" s="33"/>
      <c r="B25" s="33"/>
      <c r="C25" s="33"/>
      <c r="D25" s="33"/>
      <c r="E25" s="33"/>
    </row>
    <row r="27" customFormat="false" ht="15" hidden="false" customHeight="false" outlineLevel="0" collapsed="false">
      <c r="B27" s="34" t="s">
        <v>14</v>
      </c>
    </row>
  </sheetData>
  <sheetProtection sheet="1" objects="1" scenarios="1" formatColumns="0" formatRows="0" algorithmName="SHA-512" hashValue="uSPwc+O/OpAVMrz7OOBjbDoSduM7qsnrpAQjwsVFAy2nt2/i50WtmA4lSyvkUefLvrjrMPi8tWM1+3iOBLAveg==" saltValue="8epml21IZv2RBV6AnUOIBg==" spinCount="100000"/>
  <mergeCells count="30">
    <mergeCell ref="A2:E2"/>
    <mergeCell ref="A4:B4"/>
    <mergeCell ref="D4:E4"/>
    <mergeCell ref="A5:B5"/>
    <mergeCell ref="D5:E5"/>
    <mergeCell ref="A6:B6"/>
    <mergeCell ref="D6:E6"/>
    <mergeCell ref="A7:B7"/>
    <mergeCell ref="D7:E7"/>
    <mergeCell ref="A8:B8"/>
    <mergeCell ref="D8:E8"/>
    <mergeCell ref="A9:B9"/>
    <mergeCell ref="D9:E9"/>
    <mergeCell ref="A10:B10"/>
    <mergeCell ref="D10:E10"/>
    <mergeCell ref="A11:B11"/>
    <mergeCell ref="D11:E11"/>
    <mergeCell ref="A12:B12"/>
    <mergeCell ref="D12:E12"/>
    <mergeCell ref="A14:E14"/>
    <mergeCell ref="A15:B15"/>
    <mergeCell ref="D15:E22"/>
    <mergeCell ref="A16:B16"/>
    <mergeCell ref="A17:B17"/>
    <mergeCell ref="A18:B18"/>
    <mergeCell ref="A19:B19"/>
    <mergeCell ref="A20:B20"/>
    <mergeCell ref="A21:B21"/>
    <mergeCell ref="A22:B22"/>
    <mergeCell ref="A24:E25"/>
  </mergeCells>
  <dataValidations count="2">
    <dataValidation allowBlank="false" errorStyle="stop" operator="between" showDropDown="false" showErrorMessage="false" showInputMessage="false" sqref="C10" type="list">
      <formula1>Lists!$B$2:$B$3</formula1>
      <formula2>0</formula2>
    </dataValidation>
    <dataValidation allowBlank="false" error="1 to 40 years" errorStyle="stop" operator="between" showDropDown="false" showErrorMessage="true" showInputMessage="false" sqref="C6" type="whole">
      <formula1>1</formula1>
      <formula2>40</formula2>
    </dataValidation>
  </dataValidations>
  <hyperlinks>
    <hyperlink ref="A1" r:id="rId1" location="'Dashboard'!A1" display="◄ BACK TO DASHBOARD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6838"/>
    <pageSetUpPr fitToPage="true"/>
  </sheetPr>
  <dimension ref="A1:M4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3" min="2" style="0" width="15"/>
    <col collapsed="false" customWidth="true" hidden="false" outlineLevel="0" max="4" min="4" style="0" width="13"/>
    <col collapsed="false" customWidth="true" hidden="false" outlineLevel="0" max="5" min="5" style="0" width="16"/>
    <col collapsed="false" customWidth="true" hidden="false" outlineLevel="0" max="6" min="6" style="0" width="18"/>
    <col collapsed="false" customWidth="true" hidden="false" outlineLevel="0" max="8" min="7" style="0" width="16"/>
    <col collapsed="false" customWidth="true" hidden="false" outlineLevel="0" max="9" min="9" style="0" width="18"/>
    <col collapsed="false" customWidth="true" hidden="true" outlineLevel="0" max="13" min="11" style="0" width="13"/>
  </cols>
  <sheetData>
    <row r="1" customFormat="false" ht="15" hidden="false" customHeight="false" outlineLevel="0" collapsed="false">
      <c r="A1" s="11" t="s">
        <v>16</v>
      </c>
    </row>
    <row r="2" customFormat="false" ht="27.75" hidden="false" customHeight="true" outlineLevel="0" collapsed="false">
      <c r="A2" s="35" t="s">
        <v>65</v>
      </c>
      <c r="B2" s="35"/>
      <c r="C2" s="35"/>
      <c r="D2" s="35"/>
      <c r="E2" s="35"/>
      <c r="F2" s="35"/>
      <c r="G2" s="35"/>
      <c r="H2" s="35"/>
      <c r="I2" s="35"/>
    </row>
    <row r="3" customFormat="false" ht="15" hidden="false" customHeight="false" outlineLevel="0" collapsed="false">
      <c r="A3" s="36" t="s">
        <v>66</v>
      </c>
      <c r="B3" s="36"/>
      <c r="C3" s="36"/>
      <c r="D3" s="36"/>
      <c r="E3" s="36"/>
      <c r="F3" s="36"/>
      <c r="G3" s="36"/>
      <c r="H3" s="36"/>
      <c r="I3" s="36"/>
    </row>
    <row r="5" customFormat="false" ht="39.75" hidden="false" customHeight="true" outlineLevel="0" collapsed="false">
      <c r="A5" s="37" t="s">
        <v>67</v>
      </c>
      <c r="B5" s="37" t="s">
        <v>68</v>
      </c>
      <c r="C5" s="37" t="s">
        <v>69</v>
      </c>
      <c r="D5" s="37" t="s">
        <v>70</v>
      </c>
      <c r="E5" s="37" t="s">
        <v>4</v>
      </c>
      <c r="F5" s="37" t="s">
        <v>71</v>
      </c>
      <c r="G5" s="37" t="s">
        <v>8</v>
      </c>
      <c r="H5" s="37" t="s">
        <v>10</v>
      </c>
      <c r="I5" s="37" t="s">
        <v>72</v>
      </c>
      <c r="K5" s="38" t="s">
        <v>67</v>
      </c>
      <c r="L5" s="38" t="s">
        <v>73</v>
      </c>
      <c r="M5" s="38" t="s">
        <v>74</v>
      </c>
    </row>
    <row r="6" customFormat="false" ht="15" hidden="false" customHeight="false" outlineLevel="0" collapsed="false">
      <c r="A6" s="39" t="n">
        <v>1</v>
      </c>
      <c r="B6" s="40" t="n">
        <f aca="false">ROUND('SIP Calculator'!$C$4*(1+'SIP Calculator'!$C$7)^(A6-1),0)</f>
        <v>10000</v>
      </c>
      <c r="C6" s="40" t="n">
        <f aca="false">B6*12</f>
        <v>120000</v>
      </c>
      <c r="D6" s="40" t="n">
        <f aca="false">'SIP Calculator'!$C$8</f>
        <v>0</v>
      </c>
      <c r="E6" s="40" t="n">
        <f aca="false">C6+D6</f>
        <v>120000</v>
      </c>
      <c r="F6" s="41" t="n">
        <f aca="false">ROUND((0+D6)*(1+('SIP Calculator'!$C$5/12))^12+B6*(((1+('SIP Calculator'!$C$5/12))^12-1)/('SIP Calculator'!$C$5/12)*(1+('SIP Calculator'!$C$5/12))),0)</f>
        <v>128093</v>
      </c>
      <c r="G6" s="40" t="n">
        <f aca="false">F6-E6</f>
        <v>8093</v>
      </c>
      <c r="H6" s="40" t="n">
        <f aca="false">ROUND(F6/(1+'SIP Calculator'!$C$9)^A6,0)</f>
        <v>120842</v>
      </c>
      <c r="I6" s="40" t="n">
        <f aca="false">ROUND((0+D6)*(1+('SIP Calculator'!$C$5/12))^12+'SIP Calculator'!$C$4*(((1+('SIP Calculator'!$C$5/12))^12-1)/('SIP Calculator'!$C$5/12)*(1+('SIP Calculator'!$C$5/12))),0)</f>
        <v>128093</v>
      </c>
      <c r="K6" s="42" t="str">
        <f aca="false">"Yr "&amp;MAX(1,ROUND('SIP Calculator'!$C$6*1/10,0))</f>
        <v>Yr 2</v>
      </c>
      <c r="L6" s="43" t="n">
        <f aca="false">INDEX($E$6:$E$45,MAX(1,ROUND('SIP Calculator'!$C$6*1/10,0)))</f>
        <v>252000</v>
      </c>
      <c r="M6" s="43" t="n">
        <f aca="false">INDEX($F$6:$F$45,MAX(1,ROUND('SIP Calculator'!$C$6*1/10,0)))</f>
        <v>285241</v>
      </c>
    </row>
    <row r="7" customFormat="false" ht="15" hidden="false" customHeight="false" outlineLevel="0" collapsed="false">
      <c r="A7" s="39" t="n">
        <v>2</v>
      </c>
      <c r="B7" s="40" t="n">
        <f aca="false">ROUND('SIP Calculator'!$C$4*(1+'SIP Calculator'!$C$7)^(A7-1),0)</f>
        <v>11000</v>
      </c>
      <c r="C7" s="40" t="n">
        <f aca="false">B7*12</f>
        <v>132000</v>
      </c>
      <c r="D7" s="40" t="n">
        <v>0</v>
      </c>
      <c r="E7" s="40" t="n">
        <f aca="false">E6+C7+D7</f>
        <v>252000</v>
      </c>
      <c r="F7" s="41" t="n">
        <f aca="false">ROUND((F6+D7)*(1+('SIP Calculator'!$C$5/12))^12+B7*(((1+('SIP Calculator'!$C$5/12))^12-1)/('SIP Calculator'!$C$5/12)*(1+('SIP Calculator'!$C$5/12))),0)</f>
        <v>285241</v>
      </c>
      <c r="G7" s="40" t="n">
        <f aca="false">F7-E7</f>
        <v>33241</v>
      </c>
      <c r="H7" s="40" t="n">
        <f aca="false">ROUND(F7/(1+'SIP Calculator'!$C$9)^A7,0)</f>
        <v>253863</v>
      </c>
      <c r="I7" s="40" t="n">
        <f aca="false">ROUND((I6+D7)*(1+('SIP Calculator'!$C$5/12))^12+'SIP Calculator'!$C$4*(((1+('SIP Calculator'!$C$5/12))^12-1)/('SIP Calculator'!$C$5/12)*(1+('SIP Calculator'!$C$5/12))),0)</f>
        <v>272432</v>
      </c>
      <c r="K7" s="42" t="str">
        <f aca="false">"Yr "&amp;MAX(1,ROUND('SIP Calculator'!$C$6*2/10,0))</f>
        <v>Yr 4</v>
      </c>
      <c r="L7" s="43" t="n">
        <f aca="false">INDEX($E$6:$E$45,MAX(1,ROUND('SIP Calculator'!$C$6*2/10,0)))</f>
        <v>556920</v>
      </c>
      <c r="M7" s="43" t="n">
        <f aca="false">INDEX($F$6:$F$45,MAX(1,ROUND('SIP Calculator'!$C$6*2/10,0)))</f>
        <v>707323</v>
      </c>
    </row>
    <row r="8" customFormat="false" ht="15" hidden="false" customHeight="false" outlineLevel="0" collapsed="false">
      <c r="A8" s="39" t="n">
        <v>3</v>
      </c>
      <c r="B8" s="40" t="n">
        <f aca="false">ROUND('SIP Calculator'!$C$4*(1+'SIP Calculator'!$C$7)^(A8-1),0)</f>
        <v>12100</v>
      </c>
      <c r="C8" s="40" t="n">
        <f aca="false">B8*12</f>
        <v>145200</v>
      </c>
      <c r="D8" s="40" t="n">
        <v>0</v>
      </c>
      <c r="E8" s="40" t="n">
        <f aca="false">E7+C8+D8</f>
        <v>397200</v>
      </c>
      <c r="F8" s="41" t="n">
        <f aca="false">ROUND((F7+D8)*(1+('SIP Calculator'!$C$5/12))^12+B8*(((1+('SIP Calculator'!$C$5/12))^12-1)/('SIP Calculator'!$C$5/12)*(1+('SIP Calculator'!$C$5/12))),0)</f>
        <v>476410</v>
      </c>
      <c r="G8" s="40" t="n">
        <f aca="false">F8-E8</f>
        <v>79210</v>
      </c>
      <c r="H8" s="40" t="n">
        <f aca="false">ROUND(F8/(1+'SIP Calculator'!$C$9)^A8,0)</f>
        <v>400003</v>
      </c>
      <c r="I8" s="40" t="n">
        <f aca="false">ROUND((I7+D8)*(1+('SIP Calculator'!$C$5/12))^12+'SIP Calculator'!$C$4*(((1+('SIP Calculator'!$C$5/12))^12-1)/('SIP Calculator'!$C$5/12)*(1+('SIP Calculator'!$C$5/12))),0)</f>
        <v>435076</v>
      </c>
      <c r="K8" s="42" t="str">
        <f aca="false">"Yr "&amp;MAX(1,ROUND('SIP Calculator'!$C$6*3/10,0))</f>
        <v>Yr 6</v>
      </c>
      <c r="L8" s="43" t="n">
        <f aca="false">INDEX($E$6:$E$45,MAX(1,ROUND('SIP Calculator'!$C$6*3/10,0)))</f>
        <v>925872</v>
      </c>
      <c r="M8" s="43" t="n">
        <f aca="false">INDEX($F$6:$F$45,MAX(1,ROUND('SIP Calculator'!$C$6*3/10,0)))</f>
        <v>1315733</v>
      </c>
    </row>
    <row r="9" customFormat="false" ht="15" hidden="false" customHeight="false" outlineLevel="0" collapsed="false">
      <c r="A9" s="39" t="n">
        <v>4</v>
      </c>
      <c r="B9" s="40" t="n">
        <f aca="false">ROUND('SIP Calculator'!$C$4*(1+'SIP Calculator'!$C$7)^(A9-1),0)</f>
        <v>13310</v>
      </c>
      <c r="C9" s="40" t="n">
        <f aca="false">B9*12</f>
        <v>159720</v>
      </c>
      <c r="D9" s="40" t="n">
        <v>0</v>
      </c>
      <c r="E9" s="40" t="n">
        <f aca="false">E8+C9+D9</f>
        <v>556920</v>
      </c>
      <c r="F9" s="41" t="n">
        <f aca="false">ROUND((F8+D9)*(1+('SIP Calculator'!$C$5/12))^12+B9*(((1+('SIP Calculator'!$C$5/12))^12-1)/('SIP Calculator'!$C$5/12)*(1+('SIP Calculator'!$C$5/12))),0)</f>
        <v>707323</v>
      </c>
      <c r="G9" s="40" t="n">
        <f aca="false">F9-E9</f>
        <v>150403</v>
      </c>
      <c r="H9" s="40" t="n">
        <f aca="false">ROUND(F9/(1+'SIP Calculator'!$C$9)^A9,0)</f>
        <v>560266</v>
      </c>
      <c r="I9" s="40" t="n">
        <f aca="false">ROUND((I8+D9)*(1+('SIP Calculator'!$C$5/12))^12+'SIP Calculator'!$C$4*(((1+('SIP Calculator'!$C$5/12))^12-1)/('SIP Calculator'!$C$5/12)*(1+('SIP Calculator'!$C$5/12))),0)</f>
        <v>618348</v>
      </c>
      <c r="K9" s="42" t="str">
        <f aca="false">"Yr "&amp;MAX(1,ROUND('SIP Calculator'!$C$6*4/10,0))</f>
        <v>Yr 8</v>
      </c>
      <c r="L9" s="43" t="n">
        <f aca="false">INDEX($E$6:$E$45,MAX(1,ROUND('SIP Calculator'!$C$6*4/10,0)))</f>
        <v>1372308</v>
      </c>
      <c r="M9" s="43" t="n">
        <f aca="false">INDEX($F$6:$F$45,MAX(1,ROUND('SIP Calculator'!$C$6*4/10,0)))</f>
        <v>2175958</v>
      </c>
    </row>
    <row r="10" customFormat="false" ht="15" hidden="false" customHeight="false" outlineLevel="0" collapsed="false">
      <c r="A10" s="39" t="n">
        <v>5</v>
      </c>
      <c r="B10" s="40" t="n">
        <f aca="false">ROUND('SIP Calculator'!$C$4*(1+'SIP Calculator'!$C$7)^(A10-1),0)</f>
        <v>14641</v>
      </c>
      <c r="C10" s="40" t="n">
        <f aca="false">B10*12</f>
        <v>175692</v>
      </c>
      <c r="D10" s="40" t="n">
        <v>0</v>
      </c>
      <c r="E10" s="40" t="n">
        <f aca="false">E9+C10+D10</f>
        <v>732612</v>
      </c>
      <c r="F10" s="41" t="n">
        <f aca="false">ROUND((F9+D10)*(1+('SIP Calculator'!$C$5/12))^12+B10*(((1+('SIP Calculator'!$C$5/12))^12-1)/('SIP Calculator'!$C$5/12)*(1+('SIP Calculator'!$C$5/12))),0)</f>
        <v>984571</v>
      </c>
      <c r="G10" s="40" t="n">
        <f aca="false">F10-E10</f>
        <v>251959</v>
      </c>
      <c r="H10" s="40" t="n">
        <f aca="false">ROUND(F10/(1+'SIP Calculator'!$C$9)^A10,0)</f>
        <v>735729</v>
      </c>
      <c r="I10" s="40" t="n">
        <f aca="false">ROUND((I9+D10)*(1+('SIP Calculator'!$C$5/12))^12+'SIP Calculator'!$C$4*(((1+('SIP Calculator'!$C$5/12))^12-1)/('SIP Calculator'!$C$5/12)*(1+('SIP Calculator'!$C$5/12))),0)</f>
        <v>824863</v>
      </c>
      <c r="K10" s="42" t="str">
        <f aca="false">"Yr "&amp;MAX(1,ROUND('SIP Calculator'!$C$6*5/10,0))</f>
        <v>Yr 10</v>
      </c>
      <c r="L10" s="43" t="n">
        <f aca="false">INDEX($E$6:$E$45,MAX(1,ROUND('SIP Calculator'!$C$6*5/10,0)))</f>
        <v>1912488</v>
      </c>
      <c r="M10" s="43" t="n">
        <f aca="false">INDEX($F$6:$F$45,MAX(1,ROUND('SIP Calculator'!$C$6*5/10,0)))</f>
        <v>3374325</v>
      </c>
    </row>
    <row r="11" customFormat="false" ht="15" hidden="false" customHeight="false" outlineLevel="0" collapsed="false">
      <c r="A11" s="39" t="n">
        <v>6</v>
      </c>
      <c r="B11" s="40" t="n">
        <f aca="false">ROUND('SIP Calculator'!$C$4*(1+'SIP Calculator'!$C$7)^(A11-1),0)</f>
        <v>16105</v>
      </c>
      <c r="C11" s="40" t="n">
        <f aca="false">B11*12</f>
        <v>193260</v>
      </c>
      <c r="D11" s="40" t="n">
        <v>0</v>
      </c>
      <c r="E11" s="40" t="n">
        <f aca="false">E10+C11+D11</f>
        <v>925872</v>
      </c>
      <c r="F11" s="41" t="n">
        <f aca="false">ROUND((F10+D11)*(1+('SIP Calculator'!$C$5/12))^12+B11*(((1+('SIP Calculator'!$C$5/12))^12-1)/('SIP Calculator'!$C$5/12)*(1+('SIP Calculator'!$C$5/12))),0)</f>
        <v>1315733</v>
      </c>
      <c r="G11" s="40" t="n">
        <f aca="false">F11-E11</f>
        <v>389861</v>
      </c>
      <c r="H11" s="40" t="n">
        <f aca="false">ROUND(F11/(1+'SIP Calculator'!$C$9)^A11,0)</f>
        <v>927540</v>
      </c>
      <c r="I11" s="40" t="n">
        <f aca="false">ROUND((I10+D11)*(1+('SIP Calculator'!$C$5/12))^12+'SIP Calculator'!$C$4*(((1+('SIP Calculator'!$C$5/12))^12-1)/('SIP Calculator'!$C$5/12)*(1+('SIP Calculator'!$C$5/12))),0)</f>
        <v>1057570</v>
      </c>
      <c r="K11" s="42" t="str">
        <f aca="false">"Yr "&amp;MAX(1,ROUND('SIP Calculator'!$C$6*6/10,0))</f>
        <v>Yr 12</v>
      </c>
      <c r="L11" s="43" t="n">
        <f aca="false">INDEX($E$6:$E$45,MAX(1,ROUND('SIP Calculator'!$C$6*6/10,0)))</f>
        <v>2566104</v>
      </c>
      <c r="M11" s="43" t="n">
        <f aca="false">INDEX($F$6:$F$45,MAX(1,ROUND('SIP Calculator'!$C$6*6/10,0)))</f>
        <v>5024331</v>
      </c>
    </row>
    <row r="12" customFormat="false" ht="15" hidden="false" customHeight="false" outlineLevel="0" collapsed="false">
      <c r="A12" s="39" t="n">
        <v>7</v>
      </c>
      <c r="B12" s="40" t="n">
        <f aca="false">ROUND('SIP Calculator'!$C$4*(1+'SIP Calculator'!$C$7)^(A12-1),0)</f>
        <v>17716</v>
      </c>
      <c r="C12" s="40" t="n">
        <f aca="false">B12*12</f>
        <v>212592</v>
      </c>
      <c r="D12" s="40" t="n">
        <v>0</v>
      </c>
      <c r="E12" s="40" t="n">
        <f aca="false">E11+C12+D12</f>
        <v>1138464</v>
      </c>
      <c r="F12" s="41" t="n">
        <f aca="false">ROUND((F11+D12)*(1+('SIP Calculator'!$C$5/12))^12+B12*(((1+('SIP Calculator'!$C$5/12))^12-1)/('SIP Calculator'!$C$5/12)*(1+('SIP Calculator'!$C$5/12))),0)</f>
        <v>1709531</v>
      </c>
      <c r="G12" s="40" t="n">
        <f aca="false">F12-E12</f>
        <v>571067</v>
      </c>
      <c r="H12" s="40" t="n">
        <f aca="false">ROUND(F12/(1+'SIP Calculator'!$C$9)^A12,0)</f>
        <v>1136936</v>
      </c>
      <c r="I12" s="40" t="n">
        <f aca="false">ROUND((I11+D12)*(1+('SIP Calculator'!$C$5/12))^12+'SIP Calculator'!$C$4*(((1+('SIP Calculator'!$C$5/12))^12-1)/('SIP Calculator'!$C$5/12)*(1+('SIP Calculator'!$C$5/12))),0)</f>
        <v>1319790</v>
      </c>
      <c r="K12" s="42" t="str">
        <f aca="false">"Yr "&amp;MAX(1,ROUND('SIP Calculator'!$C$6*7/10,0))</f>
        <v>Yr 14</v>
      </c>
      <c r="L12" s="43" t="n">
        <f aca="false">INDEX($E$6:$E$45,MAX(1,ROUND('SIP Calculator'!$C$6*7/10,0)))</f>
        <v>3356988</v>
      </c>
      <c r="M12" s="43" t="n">
        <f aca="false">INDEX($F$6:$F$45,MAX(1,ROUND('SIP Calculator'!$C$6*7/10,0)))</f>
        <v>7274776</v>
      </c>
    </row>
    <row r="13" customFormat="false" ht="15" hidden="false" customHeight="false" outlineLevel="0" collapsed="false">
      <c r="A13" s="39" t="n">
        <v>8</v>
      </c>
      <c r="B13" s="40" t="n">
        <f aca="false">ROUND('SIP Calculator'!$C$4*(1+'SIP Calculator'!$C$7)^(A13-1),0)</f>
        <v>19487</v>
      </c>
      <c r="C13" s="40" t="n">
        <f aca="false">B13*12</f>
        <v>233844</v>
      </c>
      <c r="D13" s="40" t="n">
        <v>0</v>
      </c>
      <c r="E13" s="40" t="n">
        <f aca="false">E12+C13+D13</f>
        <v>1372308</v>
      </c>
      <c r="F13" s="41" t="n">
        <f aca="false">ROUND((F12+D13)*(1+('SIP Calculator'!$C$5/12))^12+B13*(((1+('SIP Calculator'!$C$5/12))^12-1)/('SIP Calculator'!$C$5/12)*(1+('SIP Calculator'!$C$5/12))),0)</f>
        <v>2175958</v>
      </c>
      <c r="G13" s="40" t="n">
        <f aca="false">F13-E13</f>
        <v>803650</v>
      </c>
      <c r="H13" s="40" t="n">
        <f aca="false">ROUND(F13/(1+'SIP Calculator'!$C$9)^A13,0)</f>
        <v>1365223</v>
      </c>
      <c r="I13" s="40" t="n">
        <f aca="false">ROUND((I12+D13)*(1+('SIP Calculator'!$C$5/12))^12+'SIP Calculator'!$C$4*(((1+('SIP Calculator'!$C$5/12))^12-1)/('SIP Calculator'!$C$5/12)*(1+('SIP Calculator'!$C$5/12))),0)</f>
        <v>1615266</v>
      </c>
      <c r="K13" s="42" t="str">
        <f aca="false">"Yr "&amp;MAX(1,ROUND('SIP Calculator'!$C$6*8/10,0))</f>
        <v>Yr 16</v>
      </c>
      <c r="L13" s="43" t="n">
        <f aca="false">INDEX($E$6:$E$45,MAX(1,ROUND('SIP Calculator'!$C$6*8/10,0)))</f>
        <v>4313952</v>
      </c>
      <c r="M13" s="43" t="n">
        <f aca="false">INDEX($F$6:$F$45,MAX(1,ROUND('SIP Calculator'!$C$6*8/10,0)))</f>
        <v>10320233</v>
      </c>
    </row>
    <row r="14" customFormat="false" ht="15" hidden="false" customHeight="false" outlineLevel="0" collapsed="false">
      <c r="A14" s="39" t="n">
        <v>9</v>
      </c>
      <c r="B14" s="40" t="n">
        <f aca="false">ROUND('SIP Calculator'!$C$4*(1+'SIP Calculator'!$C$7)^(A14-1),0)</f>
        <v>21436</v>
      </c>
      <c r="C14" s="40" t="n">
        <f aca="false">B14*12</f>
        <v>257232</v>
      </c>
      <c r="D14" s="40" t="n">
        <v>0</v>
      </c>
      <c r="E14" s="40" t="n">
        <f aca="false">E13+C14+D14</f>
        <v>1629540</v>
      </c>
      <c r="F14" s="41" t="n">
        <f aca="false">ROUND((F13+D14)*(1+('SIP Calculator'!$C$5/12))^12+B14*(((1+('SIP Calculator'!$C$5/12))^12-1)/('SIP Calculator'!$C$5/12)*(1+('SIP Calculator'!$C$5/12))),0)</f>
        <v>2726505</v>
      </c>
      <c r="G14" s="40" t="n">
        <f aca="false">F14-E14</f>
        <v>1096965</v>
      </c>
      <c r="H14" s="40" t="n">
        <f aca="false">ROUND(F14/(1+'SIP Calculator'!$C$9)^A14,0)</f>
        <v>1613814</v>
      </c>
      <c r="I14" s="40" t="n">
        <f aca="false">ROUND((I13+D14)*(1+('SIP Calculator'!$C$5/12))^12+'SIP Calculator'!$C$4*(((1+('SIP Calculator'!$C$5/12))^12-1)/('SIP Calculator'!$C$5/12)*(1+('SIP Calculator'!$C$5/12))),0)</f>
        <v>1948215</v>
      </c>
      <c r="K14" s="42" t="str">
        <f aca="false">"Yr "&amp;MAX(1,ROUND('SIP Calculator'!$C$6*9/10,0))</f>
        <v>Yr 18</v>
      </c>
      <c r="L14" s="43" t="n">
        <f aca="false">INDEX($E$6:$E$45,MAX(1,ROUND('SIP Calculator'!$C$6*9/10,0)))</f>
        <v>5471892</v>
      </c>
      <c r="M14" s="43" t="n">
        <f aca="false">INDEX($F$6:$F$45,MAX(1,ROUND('SIP Calculator'!$C$6*9/10,0)))</f>
        <v>14414641</v>
      </c>
    </row>
    <row r="15" customFormat="false" ht="15" hidden="false" customHeight="false" outlineLevel="0" collapsed="false">
      <c r="A15" s="39" t="n">
        <v>10</v>
      </c>
      <c r="B15" s="40" t="n">
        <f aca="false">ROUND('SIP Calculator'!$C$4*(1+'SIP Calculator'!$C$7)^(A15-1),0)</f>
        <v>23579</v>
      </c>
      <c r="C15" s="40" t="n">
        <f aca="false">B15*12</f>
        <v>282948</v>
      </c>
      <c r="D15" s="40" t="n">
        <v>0</v>
      </c>
      <c r="E15" s="40" t="n">
        <f aca="false">E14+C15+D15</f>
        <v>1912488</v>
      </c>
      <c r="F15" s="41" t="n">
        <f aca="false">ROUND((F14+D15)*(1+('SIP Calculator'!$C$5/12))^12+B15*(((1+('SIP Calculator'!$C$5/12))^12-1)/('SIP Calculator'!$C$5/12)*(1+('SIP Calculator'!$C$5/12))),0)</f>
        <v>3374325</v>
      </c>
      <c r="G15" s="40" t="n">
        <f aca="false">F15-E15</f>
        <v>1461837</v>
      </c>
      <c r="H15" s="40" t="n">
        <f aca="false">ROUND(F15/(1+'SIP Calculator'!$C$9)^A15,0)</f>
        <v>1884205</v>
      </c>
      <c r="I15" s="40" t="n">
        <f aca="false">ROUND((I14+D15)*(1+('SIP Calculator'!$C$5/12))^12+'SIP Calculator'!$C$4*(((1+('SIP Calculator'!$C$5/12))^12-1)/('SIP Calculator'!$C$5/12)*(1+('SIP Calculator'!$C$5/12))),0)</f>
        <v>2323391</v>
      </c>
      <c r="K15" s="42" t="str">
        <f aca="false">"Yr "&amp;MAX(1,ROUND('SIP Calculator'!$C$6*10/10,0))</f>
        <v>Yr 20</v>
      </c>
      <c r="L15" s="43" t="n">
        <f aca="false">INDEX($E$6:$E$45,MAX(1,ROUND('SIP Calculator'!$C$6*10/10,0)))</f>
        <v>6872988</v>
      </c>
      <c r="M15" s="43" t="n">
        <f aca="false">INDEX($F$6:$F$45,MAX(1,ROUND('SIP Calculator'!$C$6*10/10,0)))</f>
        <v>19888684</v>
      </c>
    </row>
    <row r="16" customFormat="false" ht="15" hidden="false" customHeight="false" outlineLevel="0" collapsed="false">
      <c r="A16" s="39" t="n">
        <v>11</v>
      </c>
      <c r="B16" s="40" t="n">
        <f aca="false">ROUND('SIP Calculator'!$C$4*(1+'SIP Calculator'!$C$7)^(A16-1),0)</f>
        <v>25937</v>
      </c>
      <c r="C16" s="40" t="n">
        <f aca="false">B16*12</f>
        <v>311244</v>
      </c>
      <c r="D16" s="40" t="n">
        <v>0</v>
      </c>
      <c r="E16" s="40" t="n">
        <f aca="false">E15+C16+D16</f>
        <v>2223732</v>
      </c>
      <c r="F16" s="41" t="n">
        <f aca="false">ROUND((F15+D16)*(1+('SIP Calculator'!$C$5/12))^12+B16*(((1+('SIP Calculator'!$C$5/12))^12-1)/('SIP Calculator'!$C$5/12)*(1+('SIP Calculator'!$C$5/12))),0)</f>
        <v>4134509</v>
      </c>
      <c r="G16" s="40" t="n">
        <f aca="false">F16-E16</f>
        <v>1910777</v>
      </c>
      <c r="H16" s="40" t="n">
        <f aca="false">ROUND(F16/(1+'SIP Calculator'!$C$9)^A16,0)</f>
        <v>2178008</v>
      </c>
      <c r="I16" s="40" t="n">
        <f aca="false">ROUND((I15+D16)*(1+('SIP Calculator'!$C$5/12))^12+'SIP Calculator'!$C$4*(((1+('SIP Calculator'!$C$5/12))^12-1)/('SIP Calculator'!$C$5/12)*(1+('SIP Calculator'!$C$5/12))),0)</f>
        <v>2746148</v>
      </c>
    </row>
    <row r="17" customFormat="false" ht="15" hidden="false" customHeight="false" outlineLevel="0" collapsed="false">
      <c r="A17" s="39" t="n">
        <v>12</v>
      </c>
      <c r="B17" s="40" t="n">
        <f aca="false">ROUND('SIP Calculator'!$C$4*(1+'SIP Calculator'!$C$7)^(A17-1),0)</f>
        <v>28531</v>
      </c>
      <c r="C17" s="40" t="n">
        <f aca="false">B17*12</f>
        <v>342372</v>
      </c>
      <c r="D17" s="40" t="n">
        <v>0</v>
      </c>
      <c r="E17" s="40" t="n">
        <f aca="false">E16+C17+D17</f>
        <v>2566104</v>
      </c>
      <c r="F17" s="41" t="n">
        <f aca="false">ROUND((F16+D17)*(1+('SIP Calculator'!$C$5/12))^12+B17*(((1+('SIP Calculator'!$C$5/12))^12-1)/('SIP Calculator'!$C$5/12)*(1+('SIP Calculator'!$C$5/12))),0)</f>
        <v>5024331</v>
      </c>
      <c r="G17" s="40" t="n">
        <f aca="false">F17-E17</f>
        <v>2458227</v>
      </c>
      <c r="H17" s="40" t="n">
        <f aca="false">ROUND(F17/(1+'SIP Calculator'!$C$9)^A17,0)</f>
        <v>2496939</v>
      </c>
      <c r="I17" s="40" t="n">
        <f aca="false">ROUND((I16+D17)*(1+('SIP Calculator'!$C$5/12))^12+'SIP Calculator'!$C$4*(((1+('SIP Calculator'!$C$5/12))^12-1)/('SIP Calculator'!$C$5/12)*(1+('SIP Calculator'!$C$5/12))),0)</f>
        <v>3222522</v>
      </c>
    </row>
    <row r="18" customFormat="false" ht="15" hidden="false" customHeight="false" outlineLevel="0" collapsed="false">
      <c r="A18" s="39" t="n">
        <v>13</v>
      </c>
      <c r="B18" s="40" t="n">
        <f aca="false">ROUND('SIP Calculator'!$C$4*(1+'SIP Calculator'!$C$7)^(A18-1),0)</f>
        <v>31384</v>
      </c>
      <c r="C18" s="40" t="n">
        <f aca="false">B18*12</f>
        <v>376608</v>
      </c>
      <c r="D18" s="40" t="n">
        <v>0</v>
      </c>
      <c r="E18" s="40" t="n">
        <f aca="false">E17+C18+D18</f>
        <v>2942712</v>
      </c>
      <c r="F18" s="41" t="n">
        <f aca="false">ROUND((F17+D18)*(1+('SIP Calculator'!$C$5/12))^12+B18*(((1+('SIP Calculator'!$C$5/12))^12-1)/('SIP Calculator'!$C$5/12)*(1+('SIP Calculator'!$C$5/12))),0)</f>
        <v>6063550</v>
      </c>
      <c r="G18" s="40" t="n">
        <f aca="false">F18-E18</f>
        <v>3120838</v>
      </c>
      <c r="H18" s="40" t="n">
        <f aca="false">ROUND(F18/(1+'SIP Calculator'!$C$9)^A18,0)</f>
        <v>2842829</v>
      </c>
      <c r="I18" s="40" t="n">
        <f aca="false">ROUND((I17+D18)*(1+('SIP Calculator'!$C$5/12))^12+'SIP Calculator'!$C$4*(((1+('SIP Calculator'!$C$5/12))^12-1)/('SIP Calculator'!$C$5/12)*(1+('SIP Calculator'!$C$5/12))),0)</f>
        <v>3759312</v>
      </c>
    </row>
    <row r="19" customFormat="false" ht="15" hidden="false" customHeight="false" outlineLevel="0" collapsed="false">
      <c r="A19" s="39" t="n">
        <v>14</v>
      </c>
      <c r="B19" s="40" t="n">
        <f aca="false">ROUND('SIP Calculator'!$C$4*(1+'SIP Calculator'!$C$7)^(A19-1),0)</f>
        <v>34523</v>
      </c>
      <c r="C19" s="40" t="n">
        <f aca="false">B19*12</f>
        <v>414276</v>
      </c>
      <c r="D19" s="40" t="n">
        <v>0</v>
      </c>
      <c r="E19" s="40" t="n">
        <f aca="false">E18+C19+D19</f>
        <v>3356988</v>
      </c>
      <c r="F19" s="41" t="n">
        <f aca="false">ROUND((F18+D19)*(1+('SIP Calculator'!$C$5/12))^12+B19*(((1+('SIP Calculator'!$C$5/12))^12-1)/('SIP Calculator'!$C$5/12)*(1+('SIP Calculator'!$C$5/12))),0)</f>
        <v>7274776</v>
      </c>
      <c r="G19" s="40" t="n">
        <f aca="false">F19-E19</f>
        <v>3917788</v>
      </c>
      <c r="H19" s="40" t="n">
        <f aca="false">ROUND(F19/(1+'SIP Calculator'!$C$9)^A19,0)</f>
        <v>3217640</v>
      </c>
      <c r="I19" s="40" t="n">
        <f aca="false">ROUND((I18+D19)*(1+('SIP Calculator'!$C$5/12))^12+'SIP Calculator'!$C$4*(((1+('SIP Calculator'!$C$5/12))^12-1)/('SIP Calculator'!$C$5/12)*(1+('SIP Calculator'!$C$5/12))),0)</f>
        <v>4364180</v>
      </c>
    </row>
    <row r="20" customFormat="false" ht="15" hidden="false" customHeight="false" outlineLevel="0" collapsed="false">
      <c r="A20" s="39" t="n">
        <v>15</v>
      </c>
      <c r="B20" s="40" t="n">
        <f aca="false">ROUND('SIP Calculator'!$C$4*(1+'SIP Calculator'!$C$7)^(A20-1),0)</f>
        <v>37975</v>
      </c>
      <c r="C20" s="40" t="n">
        <f aca="false">B20*12</f>
        <v>455700</v>
      </c>
      <c r="D20" s="40" t="n">
        <v>0</v>
      </c>
      <c r="E20" s="40" t="n">
        <f aca="false">E19+C20+D20</f>
        <v>3812688</v>
      </c>
      <c r="F20" s="41" t="n">
        <f aca="false">ROUND((F19+D20)*(1+('SIP Calculator'!$C$5/12))^12+B20*(((1+('SIP Calculator'!$C$5/12))^12-1)/('SIP Calculator'!$C$5/12)*(1+('SIP Calculator'!$C$5/12))),0)</f>
        <v>8683834</v>
      </c>
      <c r="G20" s="40" t="n">
        <f aca="false">F20-E20</f>
        <v>4871146</v>
      </c>
      <c r="H20" s="40" t="n">
        <f aca="false">ROUND(F20/(1+'SIP Calculator'!$C$9)^A20,0)</f>
        <v>3623461</v>
      </c>
      <c r="I20" s="40" t="n">
        <f aca="false">ROUND((I19+D20)*(1+('SIP Calculator'!$C$5/12))^12+'SIP Calculator'!$C$4*(((1+('SIP Calculator'!$C$5/12))^12-1)/('SIP Calculator'!$C$5/12)*(1+('SIP Calculator'!$C$5/12))),0)</f>
        <v>5045761</v>
      </c>
    </row>
    <row r="21" customFormat="false" ht="15" hidden="false" customHeight="false" outlineLevel="0" collapsed="false">
      <c r="A21" s="39" t="n">
        <v>16</v>
      </c>
      <c r="B21" s="40" t="n">
        <f aca="false">ROUND('SIP Calculator'!$C$4*(1+'SIP Calculator'!$C$7)^(A21-1),0)</f>
        <v>41772</v>
      </c>
      <c r="C21" s="40" t="n">
        <f aca="false">B21*12</f>
        <v>501264</v>
      </c>
      <c r="D21" s="40" t="n">
        <v>0</v>
      </c>
      <c r="E21" s="40" t="n">
        <f aca="false">E20+C21+D21</f>
        <v>4313952</v>
      </c>
      <c r="F21" s="41" t="n">
        <f aca="false">ROUND((F20+D21)*(1+('SIP Calculator'!$C$5/12))^12+B21*(((1+('SIP Calculator'!$C$5/12))^12-1)/('SIP Calculator'!$C$5/12)*(1+('SIP Calculator'!$C$5/12))),0)</f>
        <v>10320233</v>
      </c>
      <c r="G21" s="40" t="n">
        <f aca="false">F21-E21</f>
        <v>6006281</v>
      </c>
      <c r="H21" s="40" t="n">
        <f aca="false">ROUND(F21/(1+'SIP Calculator'!$C$9)^A21,0)</f>
        <v>4062521</v>
      </c>
      <c r="I21" s="40" t="n">
        <f aca="false">ROUND((I20+D21)*(1+('SIP Calculator'!$C$5/12))^12+'SIP Calculator'!$C$4*(((1+('SIP Calculator'!$C$5/12))^12-1)/('SIP Calculator'!$C$5/12)*(1+('SIP Calculator'!$C$5/12))),0)</f>
        <v>5813783</v>
      </c>
    </row>
    <row r="22" customFormat="false" ht="15" hidden="false" customHeight="false" outlineLevel="0" collapsed="false">
      <c r="A22" s="39" t="n">
        <v>17</v>
      </c>
      <c r="B22" s="40" t="n">
        <f aca="false">ROUND('SIP Calculator'!$C$4*(1+'SIP Calculator'!$C$7)^(A22-1),0)</f>
        <v>45950</v>
      </c>
      <c r="C22" s="40" t="n">
        <f aca="false">B22*12</f>
        <v>551400</v>
      </c>
      <c r="D22" s="40" t="n">
        <v>0</v>
      </c>
      <c r="E22" s="40" t="n">
        <f aca="false">E21+C22+D22</f>
        <v>4865352</v>
      </c>
      <c r="F22" s="41" t="n">
        <f aca="false">ROUND((F21+D22)*(1+('SIP Calculator'!$C$5/12))^12+B22*(((1+('SIP Calculator'!$C$5/12))^12-1)/('SIP Calculator'!$C$5/12)*(1+('SIP Calculator'!$C$5/12))),0)</f>
        <v>12217685</v>
      </c>
      <c r="G22" s="40" t="n">
        <f aca="false">F22-E22</f>
        <v>7352333</v>
      </c>
      <c r="H22" s="40" t="n">
        <f aca="false">ROUND(F22/(1+'SIP Calculator'!$C$9)^A22,0)</f>
        <v>4537213</v>
      </c>
      <c r="I22" s="40" t="n">
        <f aca="false">ROUND((I21+D22)*(1+('SIP Calculator'!$C$5/12))^12+'SIP Calculator'!$C$4*(((1+('SIP Calculator'!$C$5/12))^12-1)/('SIP Calculator'!$C$5/12)*(1+('SIP Calculator'!$C$5/12))),0)</f>
        <v>6679209</v>
      </c>
    </row>
    <row r="23" customFormat="false" ht="15" hidden="false" customHeight="false" outlineLevel="0" collapsed="false">
      <c r="A23" s="39" t="n">
        <v>18</v>
      </c>
      <c r="B23" s="40" t="n">
        <f aca="false">ROUND('SIP Calculator'!$C$4*(1+'SIP Calculator'!$C$7)^(A23-1),0)</f>
        <v>50545</v>
      </c>
      <c r="C23" s="40" t="n">
        <f aca="false">B23*12</f>
        <v>606540</v>
      </c>
      <c r="D23" s="40" t="n">
        <v>0</v>
      </c>
      <c r="E23" s="40" t="n">
        <f aca="false">E22+C23+D23</f>
        <v>5471892</v>
      </c>
      <c r="F23" s="41" t="n">
        <f aca="false">ROUND((F22+D23)*(1+('SIP Calculator'!$C$5/12))^12+B23*(((1+('SIP Calculator'!$C$5/12))^12-1)/('SIP Calculator'!$C$5/12)*(1+('SIP Calculator'!$C$5/12))),0)</f>
        <v>14414641</v>
      </c>
      <c r="G23" s="40" t="n">
        <f aca="false">F23-E23</f>
        <v>8942749</v>
      </c>
      <c r="H23" s="40" t="n">
        <f aca="false">ROUND(F23/(1+'SIP Calculator'!$C$9)^A23,0)</f>
        <v>5050080</v>
      </c>
      <c r="I23" s="40" t="n">
        <f aca="false">ROUND((I22+D23)*(1+('SIP Calculator'!$C$5/12))^12+'SIP Calculator'!$C$4*(((1+('SIP Calculator'!$C$5/12))^12-1)/('SIP Calculator'!$C$5/12)*(1+('SIP Calculator'!$C$5/12))),0)</f>
        <v>7654393</v>
      </c>
    </row>
    <row r="24" customFormat="false" ht="15" hidden="false" customHeight="false" outlineLevel="0" collapsed="false">
      <c r="A24" s="39" t="n">
        <v>19</v>
      </c>
      <c r="B24" s="40" t="n">
        <f aca="false">ROUND('SIP Calculator'!$C$4*(1+'SIP Calculator'!$C$7)^(A24-1),0)</f>
        <v>55599</v>
      </c>
      <c r="C24" s="40" t="n">
        <f aca="false">B24*12</f>
        <v>667188</v>
      </c>
      <c r="D24" s="40" t="n">
        <v>0</v>
      </c>
      <c r="E24" s="40" t="n">
        <f aca="false">E23+C24+D24</f>
        <v>6139080</v>
      </c>
      <c r="F24" s="41" t="n">
        <f aca="false">ROUND((F23+D24)*(1+('SIP Calculator'!$C$5/12))^12+B24*(((1+('SIP Calculator'!$C$5/12))^12-1)/('SIP Calculator'!$C$5/12)*(1+('SIP Calculator'!$C$5/12))),0)</f>
        <v>16954964</v>
      </c>
      <c r="G24" s="40" t="n">
        <f aca="false">F24-E24</f>
        <v>10815884</v>
      </c>
      <c r="H24" s="40" t="n">
        <f aca="false">ROUND(F24/(1+'SIP Calculator'!$C$9)^A24,0)</f>
        <v>5603836</v>
      </c>
      <c r="I24" s="40" t="n">
        <f aca="false">ROUND((I23+D24)*(1+('SIP Calculator'!$C$5/12))^12+'SIP Calculator'!$C$4*(((1+('SIP Calculator'!$C$5/12))^12-1)/('SIP Calculator'!$C$5/12)*(1+('SIP Calculator'!$C$5/12))),0)</f>
        <v>8753255</v>
      </c>
    </row>
    <row r="25" customFormat="false" ht="15" hidden="false" customHeight="false" outlineLevel="0" collapsed="false">
      <c r="A25" s="39" t="n">
        <v>20</v>
      </c>
      <c r="B25" s="40" t="n">
        <f aca="false">ROUND('SIP Calculator'!$C$4*(1+'SIP Calculator'!$C$7)^(A25-1),0)</f>
        <v>61159</v>
      </c>
      <c r="C25" s="40" t="n">
        <f aca="false">B25*12</f>
        <v>733908</v>
      </c>
      <c r="D25" s="40" t="n">
        <v>0</v>
      </c>
      <c r="E25" s="40" t="n">
        <f aca="false">E24+C25+D25</f>
        <v>6872988</v>
      </c>
      <c r="F25" s="41" t="n">
        <f aca="false">ROUND((F24+D25)*(1+('SIP Calculator'!$C$5/12))^12+B25*(((1+('SIP Calculator'!$C$5/12))^12-1)/('SIP Calculator'!$C$5/12)*(1+('SIP Calculator'!$C$5/12))),0)</f>
        <v>19888684</v>
      </c>
      <c r="G25" s="40" t="n">
        <f aca="false">F25-E25</f>
        <v>13015696</v>
      </c>
      <c r="H25" s="40" t="n">
        <f aca="false">ROUND(F25/(1+'SIP Calculator'!$C$9)^A25,0)</f>
        <v>6201386</v>
      </c>
      <c r="I25" s="40" t="n">
        <f aca="false">ROUND((I24+D25)*(1+('SIP Calculator'!$C$5/12))^12+'SIP Calculator'!$C$4*(((1+('SIP Calculator'!$C$5/12))^12-1)/('SIP Calculator'!$C$5/12)*(1+('SIP Calculator'!$C$5/12))),0)</f>
        <v>9991480</v>
      </c>
    </row>
    <row r="26" customFormat="false" ht="15" hidden="false" customHeight="false" outlineLevel="0" collapsed="false">
      <c r="A26" s="39" t="n">
        <v>21</v>
      </c>
      <c r="B26" s="40" t="n">
        <f aca="false">ROUND('SIP Calculator'!$C$4*(1+'SIP Calculator'!$C$7)^(A26-1),0)</f>
        <v>67275</v>
      </c>
      <c r="C26" s="40" t="n">
        <f aca="false">B26*12</f>
        <v>807300</v>
      </c>
      <c r="D26" s="40" t="n">
        <v>0</v>
      </c>
      <c r="E26" s="40" t="n">
        <f aca="false">E25+C26+D26</f>
        <v>7680288</v>
      </c>
      <c r="F26" s="41" t="n">
        <f aca="false">ROUND((F25+D26)*(1+('SIP Calculator'!$C$5/12))^12+B26*(((1+('SIP Calculator'!$C$5/12))^12-1)/('SIP Calculator'!$C$5/12)*(1+('SIP Calculator'!$C$5/12))),0)</f>
        <v>23272814</v>
      </c>
      <c r="G26" s="40" t="n">
        <f aca="false">F26-E26</f>
        <v>15592526</v>
      </c>
      <c r="H26" s="40" t="n">
        <f aca="false">ROUND(F26/(1+'SIP Calculator'!$C$9)^A26,0)</f>
        <v>6845824</v>
      </c>
      <c r="I26" s="40" t="n">
        <f aca="false">ROUND((I25+D26)*(1+('SIP Calculator'!$C$5/12))^12+'SIP Calculator'!$C$4*(((1+('SIP Calculator'!$C$5/12))^12-1)/('SIP Calculator'!$C$5/12)*(1+('SIP Calculator'!$C$5/12))),0)</f>
        <v>11386743</v>
      </c>
    </row>
    <row r="27" customFormat="false" ht="15" hidden="false" customHeight="false" outlineLevel="0" collapsed="false">
      <c r="A27" s="39" t="n">
        <v>22</v>
      </c>
      <c r="B27" s="40" t="n">
        <f aca="false">ROUND('SIP Calculator'!$C$4*(1+'SIP Calculator'!$C$7)^(A27-1),0)</f>
        <v>74002</v>
      </c>
      <c r="C27" s="40" t="n">
        <f aca="false">B27*12</f>
        <v>888024</v>
      </c>
      <c r="D27" s="40" t="n">
        <v>0</v>
      </c>
      <c r="E27" s="40" t="n">
        <f aca="false">E26+C27+D27</f>
        <v>8568312</v>
      </c>
      <c r="F27" s="41" t="n">
        <f aca="false">ROUND((F26+D27)*(1+('SIP Calculator'!$C$5/12))^12+B27*(((1+('SIP Calculator'!$C$5/12))^12-1)/('SIP Calculator'!$C$5/12)*(1+('SIP Calculator'!$C$5/12))),0)</f>
        <v>27172305</v>
      </c>
      <c r="G27" s="40" t="n">
        <f aca="false">F27-E27</f>
        <v>18603993</v>
      </c>
      <c r="H27" s="40" t="n">
        <f aca="false">ROUND(F27/(1+'SIP Calculator'!$C$9)^A27,0)</f>
        <v>7540453</v>
      </c>
      <c r="I27" s="40" t="n">
        <f aca="false">ROUND((I26+D27)*(1+('SIP Calculator'!$C$5/12))^12+'SIP Calculator'!$C$4*(((1+('SIP Calculator'!$C$5/12))^12-1)/('SIP Calculator'!$C$5/12)*(1+('SIP Calculator'!$C$5/12))),0)</f>
        <v>12958960</v>
      </c>
    </row>
    <row r="28" customFormat="false" ht="15" hidden="false" customHeight="false" outlineLevel="0" collapsed="false">
      <c r="A28" s="39" t="n">
        <v>23</v>
      </c>
      <c r="B28" s="40" t="n">
        <f aca="false">ROUND('SIP Calculator'!$C$4*(1+'SIP Calculator'!$C$7)^(A28-1),0)</f>
        <v>81403</v>
      </c>
      <c r="C28" s="40" t="n">
        <f aca="false">B28*12</f>
        <v>976836</v>
      </c>
      <c r="D28" s="40" t="n">
        <v>0</v>
      </c>
      <c r="E28" s="40" t="n">
        <f aca="false">E27+C28+D28</f>
        <v>9545148</v>
      </c>
      <c r="F28" s="41" t="n">
        <f aca="false">ROUND((F27+D28)*(1+('SIP Calculator'!$C$5/12))^12+B28*(((1+('SIP Calculator'!$C$5/12))^12-1)/('SIP Calculator'!$C$5/12)*(1+('SIP Calculator'!$C$5/12))),0)</f>
        <v>31661151</v>
      </c>
      <c r="G28" s="40" t="n">
        <f aca="false">F28-E28</f>
        <v>22116003</v>
      </c>
      <c r="H28" s="40" t="n">
        <f aca="false">ROUND(F28/(1+'SIP Calculator'!$C$9)^A28,0)</f>
        <v>8288803</v>
      </c>
      <c r="I28" s="40" t="n">
        <f aca="false">ROUND((I27+D28)*(1+('SIP Calculator'!$C$5/12))^12+'SIP Calculator'!$C$4*(((1+('SIP Calculator'!$C$5/12))^12-1)/('SIP Calculator'!$C$5/12)*(1+('SIP Calculator'!$C$5/12))),0)</f>
        <v>14730574</v>
      </c>
    </row>
    <row r="29" customFormat="false" ht="15" hidden="false" customHeight="false" outlineLevel="0" collapsed="false">
      <c r="A29" s="39" t="n">
        <v>24</v>
      </c>
      <c r="B29" s="40" t="n">
        <f aca="false">ROUND('SIP Calculator'!$C$4*(1+'SIP Calculator'!$C$7)^(A29-1),0)</f>
        <v>89543</v>
      </c>
      <c r="C29" s="40" t="n">
        <f aca="false">B29*12</f>
        <v>1074516</v>
      </c>
      <c r="D29" s="40" t="n">
        <v>0</v>
      </c>
      <c r="E29" s="40" t="n">
        <f aca="false">E28+C29+D29</f>
        <v>10619664</v>
      </c>
      <c r="F29" s="41" t="n">
        <f aca="false">ROUND((F28+D29)*(1+('SIP Calculator'!$C$5/12))^12+B29*(((1+('SIP Calculator'!$C$5/12))^12-1)/('SIP Calculator'!$C$5/12)*(1+('SIP Calculator'!$C$5/12))),0)</f>
        <v>36823563</v>
      </c>
      <c r="G29" s="40" t="n">
        <f aca="false">F29-E29</f>
        <v>26203899</v>
      </c>
      <c r="H29" s="40" t="n">
        <f aca="false">ROUND(F29/(1+'SIP Calculator'!$C$9)^A29,0)</f>
        <v>9094630</v>
      </c>
      <c r="I29" s="40" t="n">
        <f aca="false">ROUND((I28+D29)*(1+('SIP Calculator'!$C$5/12))^12+'SIP Calculator'!$C$4*(((1+('SIP Calculator'!$C$5/12))^12-1)/('SIP Calculator'!$C$5/12)*(1+('SIP Calculator'!$C$5/12))),0)</f>
        <v>16726873</v>
      </c>
    </row>
    <row r="30" customFormat="false" ht="15" hidden="false" customHeight="false" outlineLevel="0" collapsed="false">
      <c r="A30" s="39" t="n">
        <v>25</v>
      </c>
      <c r="B30" s="40" t="n">
        <f aca="false">ROUND('SIP Calculator'!$C$4*(1+'SIP Calculator'!$C$7)^(A30-1),0)</f>
        <v>98497</v>
      </c>
      <c r="C30" s="40" t="n">
        <f aca="false">B30*12</f>
        <v>1181964</v>
      </c>
      <c r="D30" s="40" t="n">
        <v>0</v>
      </c>
      <c r="E30" s="40" t="n">
        <f aca="false">E29+C30+D30</f>
        <v>11801628</v>
      </c>
      <c r="F30" s="41" t="n">
        <f aca="false">ROUND((F29+D30)*(1+('SIP Calculator'!$C$5/12))^12+B30*(((1+('SIP Calculator'!$C$5/12))^12-1)/('SIP Calculator'!$C$5/12)*(1+('SIP Calculator'!$C$5/12))),0)</f>
        <v>42755393</v>
      </c>
      <c r="G30" s="40" t="n">
        <f aca="false">F30-E30</f>
        <v>30953765</v>
      </c>
      <c r="H30" s="40" t="n">
        <f aca="false">ROUND(F30/(1+'SIP Calculator'!$C$9)^A30,0)</f>
        <v>9961948</v>
      </c>
      <c r="I30" s="40" t="n">
        <f aca="false">ROUND((I29+D30)*(1+('SIP Calculator'!$C$5/12))^12+'SIP Calculator'!$C$4*(((1+('SIP Calculator'!$C$5/12))^12-1)/('SIP Calculator'!$C$5/12)*(1+('SIP Calculator'!$C$5/12))),0)</f>
        <v>18976352</v>
      </c>
    </row>
    <row r="31" customFormat="false" ht="15" hidden="false" customHeight="false" outlineLevel="0" collapsed="false">
      <c r="A31" s="39" t="n">
        <v>26</v>
      </c>
      <c r="B31" s="40" t="n">
        <f aca="false">ROUND('SIP Calculator'!$C$4*(1+'SIP Calculator'!$C$7)^(A31-1),0)</f>
        <v>108347</v>
      </c>
      <c r="C31" s="40" t="n">
        <f aca="false">B31*12</f>
        <v>1300164</v>
      </c>
      <c r="D31" s="40" t="n">
        <v>0</v>
      </c>
      <c r="E31" s="40" t="n">
        <f aca="false">E30+C31+D31</f>
        <v>13101792</v>
      </c>
      <c r="F31" s="41" t="n">
        <f aca="false">ROUND((F30+D31)*(1+('SIP Calculator'!$C$5/12))^12+B31*(((1+('SIP Calculator'!$C$5/12))^12-1)/('SIP Calculator'!$C$5/12)*(1+('SIP Calculator'!$C$5/12))),0)</f>
        <v>49565699</v>
      </c>
      <c r="G31" s="40" t="n">
        <f aca="false">F31-E31</f>
        <v>36463907</v>
      </c>
      <c r="H31" s="40" t="n">
        <f aca="false">ROUND(F31/(1+'SIP Calculator'!$C$9)^A31,0)</f>
        <v>10895038</v>
      </c>
      <c r="I31" s="40" t="n">
        <f aca="false">ROUND((I30+D31)*(1+('SIP Calculator'!$C$5/12))^12+'SIP Calculator'!$C$4*(((1+('SIP Calculator'!$C$5/12))^12-1)/('SIP Calculator'!$C$5/12)*(1+('SIP Calculator'!$C$5/12))),0)</f>
        <v>21511122</v>
      </c>
    </row>
    <row r="32" customFormat="false" ht="15" hidden="false" customHeight="false" outlineLevel="0" collapsed="false">
      <c r="A32" s="39" t="n">
        <v>27</v>
      </c>
      <c r="B32" s="40" t="n">
        <f aca="false">ROUND('SIP Calculator'!$C$4*(1+'SIP Calculator'!$C$7)^(A32-1),0)</f>
        <v>119182</v>
      </c>
      <c r="C32" s="40" t="n">
        <f aca="false">B32*12</f>
        <v>1430184</v>
      </c>
      <c r="D32" s="40" t="n">
        <v>0</v>
      </c>
      <c r="E32" s="40" t="n">
        <f aca="false">E31+C32+D32</f>
        <v>14531976</v>
      </c>
      <c r="F32" s="41" t="n">
        <f aca="false">ROUND((F31+D32)*(1+('SIP Calculator'!$C$5/12))^12+B32*(((1+('SIP Calculator'!$C$5/12))^12-1)/('SIP Calculator'!$C$5/12)*(1+('SIP Calculator'!$C$5/12))),0)</f>
        <v>57378512</v>
      </c>
      <c r="G32" s="40" t="n">
        <f aca="false">F32-E32</f>
        <v>42846536</v>
      </c>
      <c r="H32" s="40" t="n">
        <f aca="false">ROUND(F32/(1+'SIP Calculator'!$C$9)^A32,0)</f>
        <v>11898465</v>
      </c>
      <c r="I32" s="40" t="n">
        <f aca="false">ROUND((I31+D32)*(1+('SIP Calculator'!$C$5/12))^12+'SIP Calculator'!$C$4*(((1+('SIP Calculator'!$C$5/12))^12-1)/('SIP Calculator'!$C$5/12)*(1+('SIP Calculator'!$C$5/12))),0)</f>
        <v>24367364</v>
      </c>
    </row>
    <row r="33" customFormat="false" ht="15" hidden="false" customHeight="false" outlineLevel="0" collapsed="false">
      <c r="A33" s="39" t="n">
        <v>28</v>
      </c>
      <c r="B33" s="40" t="n">
        <f aca="false">ROUND('SIP Calculator'!$C$4*(1+'SIP Calculator'!$C$7)^(A33-1),0)</f>
        <v>131100</v>
      </c>
      <c r="C33" s="40" t="n">
        <f aca="false">B33*12</f>
        <v>1573200</v>
      </c>
      <c r="D33" s="40" t="n">
        <v>0</v>
      </c>
      <c r="E33" s="40" t="n">
        <f aca="false">E32+C33+D33</f>
        <v>16105176</v>
      </c>
      <c r="F33" s="41" t="n">
        <f aca="false">ROUND((F32+D33)*(1+('SIP Calculator'!$C$5/12))^12+B33*(((1+('SIP Calculator'!$C$5/12))^12-1)/('SIP Calculator'!$C$5/12)*(1+('SIP Calculator'!$C$5/12))),0)</f>
        <v>66334846</v>
      </c>
      <c r="G33" s="40" t="n">
        <f aca="false">F33-E33</f>
        <v>50229670</v>
      </c>
      <c r="H33" s="40" t="n">
        <f aca="false">ROUND(F33/(1+'SIP Calculator'!$C$9)^A33,0)</f>
        <v>12977095</v>
      </c>
      <c r="I33" s="40" t="n">
        <f aca="false">ROUND((I32+D33)*(1+('SIP Calculator'!$C$5/12))^12+'SIP Calculator'!$C$4*(((1+('SIP Calculator'!$C$5/12))^12-1)/('SIP Calculator'!$C$5/12)*(1+('SIP Calculator'!$C$5/12))),0)</f>
        <v>27585849</v>
      </c>
    </row>
    <row r="34" customFormat="false" ht="15" hidden="false" customHeight="false" outlineLevel="0" collapsed="false">
      <c r="A34" s="39" t="n">
        <v>29</v>
      </c>
      <c r="B34" s="40" t="n">
        <f aca="false">ROUND('SIP Calculator'!$C$4*(1+'SIP Calculator'!$C$7)^(A34-1),0)</f>
        <v>144210</v>
      </c>
      <c r="C34" s="40" t="n">
        <f aca="false">B34*12</f>
        <v>1730520</v>
      </c>
      <c r="D34" s="40" t="n">
        <v>0</v>
      </c>
      <c r="E34" s="40" t="n">
        <f aca="false">E33+C34+D34</f>
        <v>17835696</v>
      </c>
      <c r="F34" s="41" t="n">
        <f aca="false">ROUND((F33+D34)*(1+('SIP Calculator'!$C$5/12))^12+B34*(((1+('SIP Calculator'!$C$5/12))^12-1)/('SIP Calculator'!$C$5/12)*(1+('SIP Calculator'!$C$5/12))),0)</f>
        <v>76594998</v>
      </c>
      <c r="G34" s="40" t="n">
        <f aca="false">F34-E34</f>
        <v>58759302</v>
      </c>
      <c r="H34" s="40" t="n">
        <f aca="false">ROUND(F34/(1+'SIP Calculator'!$C$9)^A34,0)</f>
        <v>14136123</v>
      </c>
      <c r="I34" s="40" t="n">
        <f aca="false">ROUND((I33+D34)*(1+('SIP Calculator'!$C$5/12))^12+'SIP Calculator'!$C$4*(((1+('SIP Calculator'!$C$5/12))^12-1)/('SIP Calculator'!$C$5/12)*(1+('SIP Calculator'!$C$5/12))),0)</f>
        <v>31212518</v>
      </c>
    </row>
    <row r="35" customFormat="false" ht="15" hidden="false" customHeight="false" outlineLevel="0" collapsed="false">
      <c r="A35" s="39" t="n">
        <v>30</v>
      </c>
      <c r="B35" s="40" t="n">
        <f aca="false">ROUND('SIP Calculator'!$C$4*(1+'SIP Calculator'!$C$7)^(A35-1),0)</f>
        <v>158631</v>
      </c>
      <c r="C35" s="40" t="n">
        <f aca="false">B35*12</f>
        <v>1903572</v>
      </c>
      <c r="D35" s="40" t="n">
        <v>0</v>
      </c>
      <c r="E35" s="40" t="n">
        <f aca="false">E34+C35+D35</f>
        <v>19739268</v>
      </c>
      <c r="F35" s="41" t="n">
        <f aca="false">ROUND((F34+D35)*(1+('SIP Calculator'!$C$5/12))^12+B35*(((1+('SIP Calculator'!$C$5/12))^12-1)/('SIP Calculator'!$C$5/12)*(1+('SIP Calculator'!$C$5/12))),0)</f>
        <v>88341117</v>
      </c>
      <c r="G35" s="40" t="n">
        <f aca="false">F35-E35</f>
        <v>68601849</v>
      </c>
      <c r="H35" s="40" t="n">
        <f aca="false">ROUND(F35/(1+'SIP Calculator'!$C$9)^A35,0)</f>
        <v>15381083</v>
      </c>
      <c r="I35" s="40" t="n">
        <f aca="false">ROUND((I34+D35)*(1+('SIP Calculator'!$C$5/12))^12+'SIP Calculator'!$C$4*(((1+('SIP Calculator'!$C$5/12))^12-1)/('SIP Calculator'!$C$5/12)*(1+('SIP Calculator'!$C$5/12))),0)</f>
        <v>35299140</v>
      </c>
    </row>
    <row r="36" customFormat="false" ht="15" hidden="false" customHeight="false" outlineLevel="0" collapsed="false">
      <c r="A36" s="39" t="n">
        <v>31</v>
      </c>
      <c r="B36" s="40" t="n">
        <f aca="false">ROUND('SIP Calculator'!$C$4*(1+'SIP Calculator'!$C$7)^(A36-1),0)</f>
        <v>174494</v>
      </c>
      <c r="C36" s="40" t="n">
        <f aca="false">B36*12</f>
        <v>2093928</v>
      </c>
      <c r="D36" s="40" t="n">
        <v>0</v>
      </c>
      <c r="E36" s="40" t="n">
        <f aca="false">E35+C36+D36</f>
        <v>21833196</v>
      </c>
      <c r="F36" s="41" t="n">
        <f aca="false">ROUND((F35+D36)*(1+('SIP Calculator'!$C$5/12))^12+B36*(((1+('SIP Calculator'!$C$5/12))^12-1)/('SIP Calculator'!$C$5/12)*(1+('SIP Calculator'!$C$5/12))),0)</f>
        <v>101780133</v>
      </c>
      <c r="G36" s="40" t="n">
        <f aca="false">F36-E36</f>
        <v>79946937</v>
      </c>
      <c r="H36" s="40" t="n">
        <f aca="false">ROUND(F36/(1+'SIP Calculator'!$C$9)^A36,0)</f>
        <v>16717880</v>
      </c>
      <c r="I36" s="40" t="n">
        <f aca="false">ROUND((I35+D36)*(1+('SIP Calculator'!$C$5/12))^12+'SIP Calculator'!$C$4*(((1+('SIP Calculator'!$C$5/12))^12-1)/('SIP Calculator'!$C$5/12)*(1+('SIP Calculator'!$C$5/12))),0)</f>
        <v>39904048</v>
      </c>
    </row>
    <row r="37" customFormat="false" ht="15" hidden="false" customHeight="false" outlineLevel="0" collapsed="false">
      <c r="A37" s="39" t="n">
        <v>32</v>
      </c>
      <c r="B37" s="40" t="n">
        <f aca="false">ROUND('SIP Calculator'!$C$4*(1+'SIP Calculator'!$C$7)^(A37-1),0)</f>
        <v>191943</v>
      </c>
      <c r="C37" s="40" t="n">
        <f aca="false">B37*12</f>
        <v>2303316</v>
      </c>
      <c r="D37" s="40" t="n">
        <v>0</v>
      </c>
      <c r="E37" s="40" t="n">
        <f aca="false">E36+C37+D37</f>
        <v>24136512</v>
      </c>
      <c r="F37" s="41" t="n">
        <f aca="false">ROUND((F36+D37)*(1+('SIP Calculator'!$C$5/12))^12+B37*(((1+('SIP Calculator'!$C$5/12))^12-1)/('SIP Calculator'!$C$5/12)*(1+('SIP Calculator'!$C$5/12))),0)</f>
        <v>117147062</v>
      </c>
      <c r="G37" s="40" t="n">
        <f aca="false">F37-E37</f>
        <v>93010550</v>
      </c>
      <c r="H37" s="40" t="n">
        <f aca="false">ROUND(F37/(1+'SIP Calculator'!$C$9)^A37,0)</f>
        <v>18152804</v>
      </c>
      <c r="I37" s="40" t="n">
        <f aca="false">ROUND((I36+D37)*(1+('SIP Calculator'!$C$5/12))^12+'SIP Calculator'!$C$4*(((1+('SIP Calculator'!$C$5/12))^12-1)/('SIP Calculator'!$C$5/12)*(1+('SIP Calculator'!$C$5/12))),0)</f>
        <v>45092973</v>
      </c>
    </row>
    <row r="38" customFormat="false" ht="15" hidden="false" customHeight="false" outlineLevel="0" collapsed="false">
      <c r="A38" s="39" t="n">
        <v>33</v>
      </c>
      <c r="B38" s="40" t="n">
        <f aca="false">ROUND('SIP Calculator'!$C$4*(1+'SIP Calculator'!$C$7)^(A38-1),0)</f>
        <v>211138</v>
      </c>
      <c r="C38" s="40" t="n">
        <f aca="false">B38*12</f>
        <v>2533656</v>
      </c>
      <c r="D38" s="40" t="n">
        <v>0</v>
      </c>
      <c r="E38" s="40" t="n">
        <f aca="false">E37+C38+D38</f>
        <v>26670168</v>
      </c>
      <c r="F38" s="41" t="n">
        <f aca="false">ROUND((F37+D38)*(1+('SIP Calculator'!$C$5/12))^12+B38*(((1+('SIP Calculator'!$C$5/12))^12-1)/('SIP Calculator'!$C$5/12)*(1+('SIP Calculator'!$C$5/12))),0)</f>
        <v>134708778</v>
      </c>
      <c r="G38" s="40" t="n">
        <f aca="false">F38-E38</f>
        <v>108038610</v>
      </c>
      <c r="H38" s="40" t="n">
        <f aca="false">ROUND(F38/(1+'SIP Calculator'!$C$9)^A38,0)</f>
        <v>19692567</v>
      </c>
      <c r="I38" s="40" t="n">
        <f aca="false">ROUND((I37+D38)*(1+('SIP Calculator'!$C$5/12))^12+'SIP Calculator'!$C$4*(((1+('SIP Calculator'!$C$5/12))^12-1)/('SIP Calculator'!$C$5/12)*(1+('SIP Calculator'!$C$5/12))),0)</f>
        <v>50939984</v>
      </c>
    </row>
    <row r="39" customFormat="false" ht="15" hidden="false" customHeight="false" outlineLevel="0" collapsed="false">
      <c r="A39" s="39" t="n">
        <v>34</v>
      </c>
      <c r="B39" s="40" t="n">
        <f aca="false">ROUND('SIP Calculator'!$C$4*(1+'SIP Calculator'!$C$7)^(A39-1),0)</f>
        <v>232252</v>
      </c>
      <c r="C39" s="40" t="n">
        <f aca="false">B39*12</f>
        <v>2787024</v>
      </c>
      <c r="D39" s="40" t="n">
        <v>0</v>
      </c>
      <c r="E39" s="40" t="n">
        <f aca="false">E38+C39+D39</f>
        <v>29457192</v>
      </c>
      <c r="F39" s="41" t="n">
        <f aca="false">ROUND((F38+D39)*(1+('SIP Calculator'!$C$5/12))^12+B39*(((1+('SIP Calculator'!$C$5/12))^12-1)/('SIP Calculator'!$C$5/12)*(1+('SIP Calculator'!$C$5/12))),0)</f>
        <v>154768215</v>
      </c>
      <c r="G39" s="40" t="n">
        <f aca="false">F39-E39</f>
        <v>125311023</v>
      </c>
      <c r="H39" s="40" t="n">
        <f aca="false">ROUND(F39/(1+'SIP Calculator'!$C$9)^A39,0)</f>
        <v>21344322</v>
      </c>
      <c r="I39" s="40" t="n">
        <f aca="false">ROUND((I38+D39)*(1+('SIP Calculator'!$C$5/12))^12+'SIP Calculator'!$C$4*(((1+('SIP Calculator'!$C$5/12))^12-1)/('SIP Calculator'!$C$5/12)*(1+('SIP Calculator'!$C$5/12))),0)</f>
        <v>57528542</v>
      </c>
    </row>
    <row r="40" customFormat="false" ht="15" hidden="false" customHeight="false" outlineLevel="0" collapsed="false">
      <c r="A40" s="39" t="n">
        <v>35</v>
      </c>
      <c r="B40" s="40" t="n">
        <f aca="false">ROUND('SIP Calculator'!$C$4*(1+'SIP Calculator'!$C$7)^(A40-1),0)</f>
        <v>255477</v>
      </c>
      <c r="C40" s="40" t="n">
        <f aca="false">B40*12</f>
        <v>3065724</v>
      </c>
      <c r="D40" s="40" t="n">
        <v>0</v>
      </c>
      <c r="E40" s="40" t="n">
        <f aca="false">E39+C40+D40</f>
        <v>32522916</v>
      </c>
      <c r="F40" s="41" t="n">
        <f aca="false">ROUND((F39+D40)*(1+('SIP Calculator'!$C$5/12))^12+B40*(((1+('SIP Calculator'!$C$5/12))^12-1)/('SIP Calculator'!$C$5/12)*(1+('SIP Calculator'!$C$5/12))),0)</f>
        <v>177669187</v>
      </c>
      <c r="G40" s="40" t="n">
        <f aca="false">F40-E40</f>
        <v>145146271</v>
      </c>
      <c r="H40" s="40" t="n">
        <f aca="false">ROUND(F40/(1+'SIP Calculator'!$C$9)^A40,0)</f>
        <v>23115688</v>
      </c>
      <c r="I40" s="40" t="n">
        <f aca="false">ROUND((I39+D40)*(1+('SIP Calculator'!$C$5/12))^12+'SIP Calculator'!$C$4*(((1+('SIP Calculator'!$C$5/12))^12-1)/('SIP Calculator'!$C$5/12)*(1+('SIP Calculator'!$C$5/12))),0)</f>
        <v>64952694</v>
      </c>
    </row>
    <row r="41" customFormat="false" ht="15" hidden="false" customHeight="false" outlineLevel="0" collapsed="false">
      <c r="A41" s="39" t="n">
        <v>36</v>
      </c>
      <c r="B41" s="40" t="n">
        <f aca="false">ROUND('SIP Calculator'!$C$4*(1+'SIP Calculator'!$C$7)^(A41-1),0)</f>
        <v>281024</v>
      </c>
      <c r="C41" s="40" t="n">
        <f aca="false">B41*12</f>
        <v>3372288</v>
      </c>
      <c r="D41" s="40" t="n">
        <v>0</v>
      </c>
      <c r="E41" s="40" t="n">
        <f aca="false">E40+C41+D41</f>
        <v>35895204</v>
      </c>
      <c r="F41" s="41" t="n">
        <f aca="false">ROUND((F40+D41)*(1+('SIP Calculator'!$C$5/12))^12+B41*(((1+('SIP Calculator'!$C$5/12))^12-1)/('SIP Calculator'!$C$5/12)*(1+('SIP Calculator'!$C$5/12))),0)</f>
        <v>203801816</v>
      </c>
      <c r="G41" s="40" t="n">
        <f aca="false">F41-E41</f>
        <v>167906612</v>
      </c>
      <c r="H41" s="40" t="n">
        <f aca="false">ROUND(F41/(1+'SIP Calculator'!$C$9)^A41,0)</f>
        <v>25014792</v>
      </c>
      <c r="I41" s="40" t="n">
        <f aca="false">ROUND((I40+D41)*(1+('SIP Calculator'!$C$5/12))^12+'SIP Calculator'!$C$4*(((1+('SIP Calculator'!$C$5/12))^12-1)/('SIP Calculator'!$C$5/12)*(1+('SIP Calculator'!$C$5/12))),0)</f>
        <v>73318415</v>
      </c>
    </row>
    <row r="42" customFormat="false" ht="15" hidden="false" customHeight="false" outlineLevel="0" collapsed="false">
      <c r="A42" s="39" t="n">
        <v>37</v>
      </c>
      <c r="B42" s="40" t="n">
        <f aca="false">ROUND('SIP Calculator'!$C$4*(1+'SIP Calculator'!$C$7)^(A42-1),0)</f>
        <v>309127</v>
      </c>
      <c r="C42" s="40" t="n">
        <f aca="false">B42*12</f>
        <v>3709524</v>
      </c>
      <c r="D42" s="40" t="n">
        <v>0</v>
      </c>
      <c r="E42" s="40" t="n">
        <f aca="false">E41+C42+D42</f>
        <v>39604728</v>
      </c>
      <c r="F42" s="41" t="n">
        <f aca="false">ROUND((F41+D42)*(1+('SIP Calculator'!$C$5/12))^12+B42*(((1+('SIP Calculator'!$C$5/12))^12-1)/('SIP Calculator'!$C$5/12)*(1+('SIP Calculator'!$C$5/12))),0)</f>
        <v>233608697</v>
      </c>
      <c r="G42" s="40" t="n">
        <f aca="false">F42-E42</f>
        <v>194003969</v>
      </c>
      <c r="H42" s="40" t="n">
        <f aca="false">ROUND(F42/(1+'SIP Calculator'!$C$9)^A42,0)</f>
        <v>27050294</v>
      </c>
      <c r="I42" s="40" t="n">
        <f aca="false">ROUND((I41+D42)*(1+('SIP Calculator'!$C$5/12))^12+'SIP Calculator'!$C$4*(((1+('SIP Calculator'!$C$5/12))^12-1)/('SIP Calculator'!$C$5/12)*(1+('SIP Calculator'!$C$5/12))),0)</f>
        <v>82745118</v>
      </c>
    </row>
    <row r="43" customFormat="false" ht="15" hidden="false" customHeight="false" outlineLevel="0" collapsed="false">
      <c r="A43" s="39" t="n">
        <v>38</v>
      </c>
      <c r="B43" s="40" t="n">
        <f aca="false">ROUND('SIP Calculator'!$C$4*(1+'SIP Calculator'!$C$7)^(A43-1),0)</f>
        <v>340039</v>
      </c>
      <c r="C43" s="40" t="n">
        <f aca="false">B43*12</f>
        <v>4080468</v>
      </c>
      <c r="D43" s="40" t="n">
        <v>0</v>
      </c>
      <c r="E43" s="40" t="n">
        <f aca="false">E42+C43+D43</f>
        <v>43685196</v>
      </c>
      <c r="F43" s="41" t="n">
        <f aca="false">ROUND((F42+D43)*(1+('SIP Calculator'!$C$5/12))^12+B43*(((1+('SIP Calculator'!$C$5/12))^12-1)/('SIP Calculator'!$C$5/12)*(1+('SIP Calculator'!$C$5/12))),0)</f>
        <v>267591798</v>
      </c>
      <c r="G43" s="40" t="n">
        <f aca="false">F43-E43</f>
        <v>223906602</v>
      </c>
      <c r="H43" s="40" t="n">
        <f aca="false">ROUND(F43/(1+'SIP Calculator'!$C$9)^A43,0)</f>
        <v>29231420</v>
      </c>
      <c r="I43" s="40" t="n">
        <f aca="false">ROUND((I42+D43)*(1+('SIP Calculator'!$C$5/12))^12+'SIP Calculator'!$C$4*(((1+('SIP Calculator'!$C$5/12))^12-1)/('SIP Calculator'!$C$5/12)*(1+('SIP Calculator'!$C$5/12))),0)</f>
        <v>93367363</v>
      </c>
    </row>
    <row r="44" customFormat="false" ht="15" hidden="false" customHeight="false" outlineLevel="0" collapsed="false">
      <c r="A44" s="39" t="n">
        <v>39</v>
      </c>
      <c r="B44" s="40" t="n">
        <f aca="false">ROUND('SIP Calculator'!$C$4*(1+'SIP Calculator'!$C$7)^(A44-1),0)</f>
        <v>374043</v>
      </c>
      <c r="C44" s="40" t="n">
        <f aca="false">B44*12</f>
        <v>4488516</v>
      </c>
      <c r="D44" s="40" t="n">
        <v>0</v>
      </c>
      <c r="E44" s="40" t="n">
        <f aca="false">E43+C44+D44</f>
        <v>48173712</v>
      </c>
      <c r="F44" s="41" t="n">
        <f aca="false">ROUND((F43+D44)*(1+('SIP Calculator'!$C$5/12))^12+B44*(((1+('SIP Calculator'!$C$5/12))^12-1)/('SIP Calculator'!$C$5/12)*(1+('SIP Calculator'!$C$5/12))),0)</f>
        <v>306320375</v>
      </c>
      <c r="G44" s="40" t="n">
        <f aca="false">F44-E44</f>
        <v>258146663</v>
      </c>
      <c r="H44" s="40" t="n">
        <f aca="false">ROUND(F44/(1+'SIP Calculator'!$C$9)^A44,0)</f>
        <v>31568005</v>
      </c>
      <c r="I44" s="40" t="n">
        <f aca="false">ROUND((I43+D44)*(1+('SIP Calculator'!$C$5/12))^12+'SIP Calculator'!$C$4*(((1+('SIP Calculator'!$C$5/12))^12-1)/('SIP Calculator'!$C$5/12)*(1+('SIP Calculator'!$C$5/12))),0)</f>
        <v>105336775</v>
      </c>
    </row>
    <row r="45" customFormat="false" ht="15" hidden="false" customHeight="false" outlineLevel="0" collapsed="false">
      <c r="A45" s="39" t="n">
        <v>40</v>
      </c>
      <c r="B45" s="40" t="n">
        <f aca="false">ROUND('SIP Calculator'!$C$4*(1+'SIP Calculator'!$C$7)^(A45-1),0)</f>
        <v>411448</v>
      </c>
      <c r="C45" s="40" t="n">
        <f aca="false">B45*12</f>
        <v>4937376</v>
      </c>
      <c r="D45" s="40" t="n">
        <v>0</v>
      </c>
      <c r="E45" s="40" t="n">
        <f aca="false">E44+C45+D45</f>
        <v>53111088</v>
      </c>
      <c r="F45" s="41" t="n">
        <f aca="false">ROUND((F44+D45)*(1+('SIP Calculator'!$C$5/12))^12+B45*(((1+('SIP Calculator'!$C$5/12))^12-1)/('SIP Calculator'!$C$5/12)*(1+('SIP Calculator'!$C$5/12))),0)</f>
        <v>350439838</v>
      </c>
      <c r="G45" s="40" t="n">
        <f aca="false">F45-E45</f>
        <v>297328750</v>
      </c>
      <c r="H45" s="40" t="n">
        <f aca="false">ROUND(F45/(1+'SIP Calculator'!$C$9)^A45,0)</f>
        <v>34070528</v>
      </c>
      <c r="I45" s="40" t="n">
        <f aca="false">ROUND((I44+D45)*(1+('SIP Calculator'!$C$5/12))^12+'SIP Calculator'!$C$4*(((1+('SIP Calculator'!$C$5/12))^12-1)/('SIP Calculator'!$C$5/12)*(1+('SIP Calculator'!$C$5/12))),0)</f>
        <v>118824208</v>
      </c>
    </row>
  </sheetData>
  <sheetProtection sheet="1" objects="1" scenarios="1" formatColumns="0" formatRows="0" algorithmName="SHA-512" hashValue="1xo+q8gKG3S1/rl7mtKJdb6la8uzgsIwG+j6A7Ye+thdh4DgshsksDFLojYuiYio2OLcr1r0TdbSzU6+Hm/J9g==" saltValue="o1OkPnB9gTki1NA8cz+acA==" spinCount="100000"/>
  <mergeCells count="2">
    <mergeCell ref="A2:I2"/>
    <mergeCell ref="A3:I3"/>
  </mergeCells>
  <conditionalFormatting sqref="A6:I45">
    <cfRule type="expression" priority="2" aboveAverage="0" equalAverage="0" bottom="0" percent="0" rank="0" text="" dxfId="0">
      <formula>$A6&gt;'SIP Calculator'!$C$6</formula>
    </cfRule>
    <cfRule type="expression" priority="3" aboveAverage="0" equalAverage="0" bottom="0" percent="0" rank="0" text="" dxfId="1">
      <formula>$A6='SIP Calculator'!$C$6</formula>
    </cfRule>
  </conditionalFormatting>
  <hyperlinks>
    <hyperlink ref="A1" r:id="rId1" location="'Dashboard'!A1" display="◄ BACK TO DASHBOARD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00000"/>
    <pageSetUpPr fitToPage="true"/>
  </sheetPr>
  <dimension ref="A1:E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22"/>
    <col collapsed="false" customWidth="true" hidden="false" outlineLevel="0" max="3" min="3" style="0" width="20"/>
    <col collapsed="false" customWidth="true" hidden="false" outlineLevel="0" max="5" min="4" style="0" width="30"/>
  </cols>
  <sheetData>
    <row r="1" customFormat="false" ht="15" hidden="false" customHeight="false" outlineLevel="0" collapsed="false">
      <c r="A1" s="11" t="s">
        <v>16</v>
      </c>
    </row>
    <row r="2" customFormat="false" ht="31.5" hidden="false" customHeight="true" outlineLevel="0" collapsed="false">
      <c r="A2" s="19" t="s">
        <v>75</v>
      </c>
      <c r="B2" s="19"/>
      <c r="C2" s="19"/>
      <c r="D2" s="19"/>
      <c r="E2" s="19"/>
    </row>
    <row r="4" customFormat="false" ht="21.75" hidden="false" customHeight="true" outlineLevel="0" collapsed="false">
      <c r="A4" s="20" t="s">
        <v>76</v>
      </c>
      <c r="B4" s="20"/>
      <c r="C4" s="53" t="s">
        <v>77</v>
      </c>
      <c r="D4" s="22"/>
      <c r="E4" s="22"/>
    </row>
    <row r="5" customFormat="false" ht="21.75" hidden="false" customHeight="true" outlineLevel="0" collapsed="false">
      <c r="A5" s="20" t="s">
        <v>78</v>
      </c>
      <c r="B5" s="20"/>
      <c r="C5" s="49" t="n">
        <v>2500000</v>
      </c>
      <c r="D5" s="22" t="s">
        <v>79</v>
      </c>
      <c r="E5" s="22"/>
    </row>
    <row r="6" customFormat="false" ht="21.75" hidden="false" customHeight="true" outlineLevel="0" collapsed="false">
      <c r="A6" s="20" t="s">
        <v>80</v>
      </c>
      <c r="B6" s="20"/>
      <c r="C6" s="51" t="n">
        <v>15</v>
      </c>
      <c r="D6" s="22" t="s">
        <v>81</v>
      </c>
      <c r="E6" s="22"/>
    </row>
    <row r="7" customFormat="false" ht="21.75" hidden="false" customHeight="true" outlineLevel="0" collapsed="false">
      <c r="A7" s="20" t="s">
        <v>82</v>
      </c>
      <c r="B7" s="20"/>
      <c r="C7" s="50" t="n">
        <v>0.08</v>
      </c>
      <c r="D7" s="22" t="s">
        <v>83</v>
      </c>
      <c r="E7" s="22"/>
    </row>
    <row r="8" customFormat="false" ht="21.75" hidden="false" customHeight="true" outlineLevel="0" collapsed="false">
      <c r="A8" s="20" t="s">
        <v>39</v>
      </c>
      <c r="B8" s="20"/>
      <c r="C8" s="50" t="n">
        <v>0.12</v>
      </c>
      <c r="D8" s="22"/>
      <c r="E8" s="22"/>
    </row>
    <row r="9" customFormat="false" ht="21.75" hidden="false" customHeight="true" outlineLevel="0" collapsed="false">
      <c r="A9" s="20" t="s">
        <v>84</v>
      </c>
      <c r="B9" s="20"/>
      <c r="C9" s="52" t="n">
        <v>0.1</v>
      </c>
      <c r="D9" s="22" t="s">
        <v>85</v>
      </c>
      <c r="E9" s="22"/>
    </row>
    <row r="10" customFormat="false" ht="21.75" hidden="false" customHeight="true" outlineLevel="0" collapsed="false">
      <c r="A10" s="20" t="s">
        <v>86</v>
      </c>
      <c r="B10" s="20"/>
      <c r="C10" s="49" t="n">
        <v>200000</v>
      </c>
      <c r="D10" s="22" t="s">
        <v>87</v>
      </c>
      <c r="E10" s="22"/>
    </row>
    <row r="12" customFormat="false" ht="16.15" hidden="false" customHeight="true" outlineLevel="0" collapsed="false">
      <c r="A12" s="27" t="s">
        <v>55</v>
      </c>
      <c r="B12" s="27"/>
      <c r="C12" s="27"/>
      <c r="D12" s="27"/>
      <c r="E12" s="27"/>
    </row>
    <row r="13" customFormat="false" ht="24" hidden="false" customHeight="true" outlineLevel="0" collapsed="false">
      <c r="A13" s="6" t="s">
        <v>88</v>
      </c>
      <c r="B13" s="6"/>
      <c r="C13" s="28" t="n">
        <f aca="false">ROUND(C5*(1+C7)^C6,0)</f>
        <v>7930423</v>
      </c>
      <c r="D13" s="29" t="str">
        <f aca="false">"To reach "&amp;C4&amp;" – about "&amp;TEXT(C13,"[&gt;=10000000]₹##\,##\,##\,##0;[&gt;=100000]₹##\,##\,##0;₹##,##0")&amp;" in "&amp;C6&amp;" years – start a SIP of "&amp;TEXT(C16,"[&gt;=10000000]₹##\,##\,##\,##0;[&gt;=100000]₹##\,##\,##0;₹##,##0")&amp;" a month and raise it by "&amp;TEXT(C9,"0%")&amp;" every year. Without step-up you would need "&amp;TEXT(C17,"[&gt;=10000000]₹##\,##\,##\,##0;[&gt;=100000]₹##\,##\,##0;₹##,##0")&amp;" a month."</f>
        <v>To reach Child's higher education – about ₹79,30,423 in 15 years – start a SIP of ₹7,800 a month and raise it by 10% every year. Without step-up you would need ₹13,400 a month.</v>
      </c>
      <c r="E13" s="29"/>
    </row>
    <row r="14" customFormat="false" ht="24" hidden="false" customHeight="true" outlineLevel="0" collapsed="false">
      <c r="A14" s="6" t="s">
        <v>89</v>
      </c>
      <c r="B14" s="6"/>
      <c r="C14" s="28" t="n">
        <f aca="false">ROUND(C10*(1+(C8/12))^(12*C6),0)</f>
        <v>1199160</v>
      </c>
      <c r="D14" s="29"/>
      <c r="E14" s="29"/>
    </row>
    <row r="15" customFormat="false" ht="24" hidden="false" customHeight="true" outlineLevel="0" collapsed="false">
      <c r="A15" s="6" t="s">
        <v>90</v>
      </c>
      <c r="B15" s="6"/>
      <c r="C15" s="28" t="n">
        <f aca="false">MAX(0,C13-C14)</f>
        <v>6731263</v>
      </c>
      <c r="D15" s="29"/>
      <c r="E15" s="29"/>
    </row>
    <row r="16" customFormat="false" ht="24" hidden="false" customHeight="true" outlineLevel="0" collapsed="false">
      <c r="A16" s="30" t="s">
        <v>91</v>
      </c>
      <c r="B16" s="30"/>
      <c r="C16" s="31" t="n">
        <f aca="false">IFERROR(ROUNDUP(C15/SUMPRODUCT((Lists!$A$2:$A$41&lt;=C6)*(1+C9)^(Lists!$A$2:$A$41-1)*(1+(C8/12))^(12*(C6-Lists!$A$2:$A$41)))/(((1+(C8/12))^12-1)/(C8/12)*(1+(C8/12))),-2),0)</f>
        <v>7800</v>
      </c>
      <c r="D16" s="29"/>
      <c r="E16" s="29"/>
    </row>
    <row r="17" customFormat="false" ht="24" hidden="false" customHeight="true" outlineLevel="0" collapsed="false">
      <c r="A17" s="6" t="s">
        <v>92</v>
      </c>
      <c r="B17" s="6"/>
      <c r="C17" s="28" t="n">
        <f aca="false">IFERROR(ROUNDUP(C15/SUMPRODUCT((Lists!$A$2:$A$41&lt;=C6)*(1+(C8/12))^(12*(C6-Lists!$A$2:$A$41)))/(((1+(C8/12))^12-1)/(C8/12)*(1+(C8/12))),-2),0)</f>
        <v>13400</v>
      </c>
      <c r="D17" s="29"/>
      <c r="E17" s="29"/>
    </row>
    <row r="18" customFormat="false" ht="24" hidden="false" customHeight="true" outlineLevel="0" collapsed="false">
      <c r="A18" s="6" t="s">
        <v>93</v>
      </c>
      <c r="B18" s="6"/>
      <c r="C18" s="28" t="n">
        <f aca="false">ROUNDUP(C15/(1+(C8/12))^(12*C6),-3)</f>
        <v>1123000</v>
      </c>
      <c r="D18" s="29"/>
      <c r="E18" s="29"/>
    </row>
    <row r="19" customFormat="false" ht="24" hidden="false" customHeight="true" outlineLevel="0" collapsed="false">
      <c r="A19" s="6" t="s">
        <v>94</v>
      </c>
      <c r="B19" s="6"/>
      <c r="C19" s="28" t="n">
        <f aca="false">ROUND(C16*12*IF(C9=0,C6,((1+C9)^C6-1)/C9),0)</f>
        <v>2973904</v>
      </c>
      <c r="D19" s="29"/>
      <c r="E19" s="29"/>
    </row>
    <row r="21" customFormat="false" ht="15" hidden="false" customHeight="false" outlineLevel="0" collapsed="false">
      <c r="A21" s="44" t="s">
        <v>95</v>
      </c>
      <c r="B21" s="44"/>
      <c r="C21" s="44"/>
      <c r="D21" s="44"/>
      <c r="E21" s="44"/>
    </row>
  </sheetData>
  <sheetProtection sheet="1" objects="1" scenarios="1" formatColumns="0" formatRows="0" algorithmName="SHA-512" hashValue="O5LXv8cntxcFgqksIhGUMOSGO6CNGWpHDHXAFD/Na8IXxWpXJZGkaRPt0XvJBTgnt3sG8N7JyZliCSJtbVwccw==" saltValue="FD+0L57FQYuu5zW5p/n+xg==" spinCount="100000"/>
  <mergeCells count="25">
    <mergeCell ref="A2:E2"/>
    <mergeCell ref="A4:B4"/>
    <mergeCell ref="D4:E4"/>
    <mergeCell ref="A5:B5"/>
    <mergeCell ref="D5:E5"/>
    <mergeCell ref="A6:B6"/>
    <mergeCell ref="D6:E6"/>
    <mergeCell ref="A7:B7"/>
    <mergeCell ref="D7:E7"/>
    <mergeCell ref="A8:B8"/>
    <mergeCell ref="D8:E8"/>
    <mergeCell ref="A9:B9"/>
    <mergeCell ref="D9:E9"/>
    <mergeCell ref="A10:B10"/>
    <mergeCell ref="D10:E10"/>
    <mergeCell ref="A12:E12"/>
    <mergeCell ref="A13:B13"/>
    <mergeCell ref="D13:E19"/>
    <mergeCell ref="A14:B14"/>
    <mergeCell ref="A15:B15"/>
    <mergeCell ref="A16:B16"/>
    <mergeCell ref="A17:B17"/>
    <mergeCell ref="A18:B18"/>
    <mergeCell ref="A19:B19"/>
    <mergeCell ref="A21:E21"/>
  </mergeCells>
  <hyperlinks>
    <hyperlink ref="A1" r:id="rId1" location="'Dashboard'!A1" display="◄ BACK TO DASHBOARD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6838"/>
    <pageSetUpPr fitToPage="true"/>
  </sheetPr>
  <dimension ref="A1:H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6"/>
    <col collapsed="false" customWidth="true" hidden="false" outlineLevel="0" max="5" min="3" style="0" width="15"/>
    <col collapsed="false" customWidth="true" hidden="false" outlineLevel="0" max="8" min="6" style="0" width="16"/>
  </cols>
  <sheetData>
    <row r="1" customFormat="false" ht="15" hidden="false" customHeight="false" outlineLevel="0" collapsed="false">
      <c r="A1" s="11" t="s">
        <v>16</v>
      </c>
    </row>
    <row r="2" customFormat="false" ht="27.75" hidden="false" customHeight="true" outlineLevel="0" collapsed="false">
      <c r="A2" s="35" t="s">
        <v>96</v>
      </c>
      <c r="B2" s="35"/>
      <c r="C2" s="35"/>
      <c r="D2" s="35"/>
      <c r="E2" s="35"/>
      <c r="F2" s="35"/>
      <c r="G2" s="35"/>
      <c r="H2" s="35"/>
    </row>
    <row r="3" customFormat="false" ht="15" hidden="false" customHeight="false" outlineLevel="0" collapsed="false">
      <c r="A3" s="45" t="s">
        <v>97</v>
      </c>
      <c r="B3" s="45"/>
      <c r="C3" s="50" t="n">
        <v>0.12</v>
      </c>
      <c r="D3" s="36" t="s">
        <v>98</v>
      </c>
      <c r="E3" s="36"/>
      <c r="F3" s="36"/>
      <c r="G3" s="36"/>
      <c r="H3" s="36"/>
    </row>
    <row r="5" customFormat="false" ht="15" hidden="false" customHeight="true" outlineLevel="0" collapsed="false">
      <c r="A5" s="46" t="s">
        <v>99</v>
      </c>
      <c r="B5" s="46"/>
      <c r="C5" s="37" t="s">
        <v>100</v>
      </c>
      <c r="D5" s="37" t="s">
        <v>101</v>
      </c>
      <c r="E5" s="37" t="s">
        <v>102</v>
      </c>
      <c r="F5" s="37" t="s">
        <v>103</v>
      </c>
      <c r="G5" s="37" t="s">
        <v>104</v>
      </c>
      <c r="H5" s="37" t="s">
        <v>105</v>
      </c>
    </row>
    <row r="6" customFormat="false" ht="15" hidden="false" customHeight="false" outlineLevel="0" collapsed="false">
      <c r="A6" s="47" t="n">
        <v>1000</v>
      </c>
      <c r="B6" s="47"/>
      <c r="C6" s="40" t="n">
        <f aca="false">ROUND($A6*((1+($C$3/12))^(5*12)-1)/($C$3/12)*(1+($C$3/12)),0)</f>
        <v>82486</v>
      </c>
      <c r="D6" s="40" t="n">
        <f aca="false">ROUND($A6*((1+($C$3/12))^(10*12)-1)/($C$3/12)*(1+($C$3/12)),0)</f>
        <v>232339</v>
      </c>
      <c r="E6" s="40" t="n">
        <f aca="false">ROUND($A6*((1+($C$3/12))^(15*12)-1)/($C$3/12)*(1+($C$3/12)),0)</f>
        <v>504576</v>
      </c>
      <c r="F6" s="40" t="n">
        <f aca="false">ROUND($A6*((1+($C$3/12))^(20*12)-1)/($C$3/12)*(1+($C$3/12)),0)</f>
        <v>999148</v>
      </c>
      <c r="G6" s="40" t="n">
        <f aca="false">ROUND($A6*((1+($C$3/12))^(25*12)-1)/($C$3/12)*(1+($C$3/12)),0)</f>
        <v>1897635</v>
      </c>
      <c r="H6" s="40" t="n">
        <f aca="false">ROUND($A6*((1+($C$3/12))^(30*12)-1)/($C$3/12)*(1+($C$3/12)),0)</f>
        <v>3529914</v>
      </c>
    </row>
    <row r="7" customFormat="false" ht="15" hidden="false" customHeight="false" outlineLevel="0" collapsed="false">
      <c r="A7" s="47" t="n">
        <v>2000</v>
      </c>
      <c r="B7" s="47"/>
      <c r="C7" s="40" t="n">
        <f aca="false">ROUND($A7*((1+($C$3/12))^(5*12)-1)/($C$3/12)*(1+($C$3/12)),0)</f>
        <v>164973</v>
      </c>
      <c r="D7" s="40" t="n">
        <f aca="false">ROUND($A7*((1+($C$3/12))^(10*12)-1)/($C$3/12)*(1+($C$3/12)),0)</f>
        <v>464678</v>
      </c>
      <c r="E7" s="40" t="n">
        <f aca="false">ROUND($A7*((1+($C$3/12))^(15*12)-1)/($C$3/12)*(1+($C$3/12)),0)</f>
        <v>1009152</v>
      </c>
      <c r="F7" s="40" t="n">
        <f aca="false">ROUND($A7*((1+($C$3/12))^(20*12)-1)/($C$3/12)*(1+($C$3/12)),0)</f>
        <v>1998296</v>
      </c>
      <c r="G7" s="40" t="n">
        <f aca="false">ROUND($A7*((1+($C$3/12))^(25*12)-1)/($C$3/12)*(1+($C$3/12)),0)</f>
        <v>3795270</v>
      </c>
      <c r="H7" s="40" t="n">
        <f aca="false">ROUND($A7*((1+($C$3/12))^(30*12)-1)/($C$3/12)*(1+($C$3/12)),0)</f>
        <v>7059828</v>
      </c>
    </row>
    <row r="8" customFormat="false" ht="15" hidden="false" customHeight="false" outlineLevel="0" collapsed="false">
      <c r="A8" s="47" t="n">
        <v>3000</v>
      </c>
      <c r="B8" s="47"/>
      <c r="C8" s="40" t="n">
        <f aca="false">ROUND($A8*((1+($C$3/12))^(5*12)-1)/($C$3/12)*(1+($C$3/12)),0)</f>
        <v>247459</v>
      </c>
      <c r="D8" s="40" t="n">
        <f aca="false">ROUND($A8*((1+($C$3/12))^(10*12)-1)/($C$3/12)*(1+($C$3/12)),0)</f>
        <v>697017</v>
      </c>
      <c r="E8" s="40" t="n">
        <f aca="false">ROUND($A8*((1+($C$3/12))^(15*12)-1)/($C$3/12)*(1+($C$3/12)),0)</f>
        <v>1513728</v>
      </c>
      <c r="F8" s="40" t="n">
        <f aca="false">ROUND($A8*((1+($C$3/12))^(20*12)-1)/($C$3/12)*(1+($C$3/12)),0)</f>
        <v>2997444</v>
      </c>
      <c r="G8" s="40" t="n">
        <f aca="false">ROUND($A8*((1+($C$3/12))^(25*12)-1)/($C$3/12)*(1+($C$3/12)),0)</f>
        <v>5692905</v>
      </c>
      <c r="H8" s="40" t="n">
        <f aca="false">ROUND($A8*((1+($C$3/12))^(30*12)-1)/($C$3/12)*(1+($C$3/12)),0)</f>
        <v>10589741</v>
      </c>
    </row>
    <row r="9" customFormat="false" ht="15" hidden="false" customHeight="false" outlineLevel="0" collapsed="false">
      <c r="A9" s="47" t="n">
        <v>5000</v>
      </c>
      <c r="B9" s="47"/>
      <c r="C9" s="40" t="n">
        <f aca="false">ROUND($A9*((1+($C$3/12))^(5*12)-1)/($C$3/12)*(1+($C$3/12)),0)</f>
        <v>412432</v>
      </c>
      <c r="D9" s="40" t="n">
        <f aca="false">ROUND($A9*((1+($C$3/12))^(10*12)-1)/($C$3/12)*(1+($C$3/12)),0)</f>
        <v>1161695</v>
      </c>
      <c r="E9" s="40" t="n">
        <f aca="false">ROUND($A9*((1+($C$3/12))^(15*12)-1)/($C$3/12)*(1+($C$3/12)),0)</f>
        <v>2522880</v>
      </c>
      <c r="F9" s="40" t="n">
        <f aca="false">ROUND($A9*((1+($C$3/12))^(20*12)-1)/($C$3/12)*(1+($C$3/12)),0)</f>
        <v>4995740</v>
      </c>
      <c r="G9" s="40" t="n">
        <f aca="false">ROUND($A9*((1+($C$3/12))^(25*12)-1)/($C$3/12)*(1+($C$3/12)),0)</f>
        <v>9488175</v>
      </c>
      <c r="H9" s="40" t="n">
        <f aca="false">ROUND($A9*((1+($C$3/12))^(30*12)-1)/($C$3/12)*(1+($C$3/12)),0)</f>
        <v>17649569</v>
      </c>
    </row>
    <row r="10" customFormat="false" ht="15" hidden="false" customHeight="false" outlineLevel="0" collapsed="false">
      <c r="A10" s="47" t="n">
        <v>10000</v>
      </c>
      <c r="B10" s="47"/>
      <c r="C10" s="40" t="n">
        <f aca="false">ROUND($A10*((1+($C$3/12))^(5*12)-1)/($C$3/12)*(1+($C$3/12)),0)</f>
        <v>824864</v>
      </c>
      <c r="D10" s="40" t="n">
        <f aca="false">ROUND($A10*((1+($C$3/12))^(10*12)-1)/($C$3/12)*(1+($C$3/12)),0)</f>
        <v>2323391</v>
      </c>
      <c r="E10" s="40" t="n">
        <f aca="false">ROUND($A10*((1+($C$3/12))^(15*12)-1)/($C$3/12)*(1+($C$3/12)),0)</f>
        <v>5045760</v>
      </c>
      <c r="F10" s="40" t="n">
        <f aca="false">ROUND($A10*((1+($C$3/12))^(20*12)-1)/($C$3/12)*(1+($C$3/12)),0)</f>
        <v>9991479</v>
      </c>
      <c r="G10" s="40" t="n">
        <f aca="false">ROUND($A10*((1+($C$3/12))^(25*12)-1)/($C$3/12)*(1+($C$3/12)),0)</f>
        <v>18976351</v>
      </c>
      <c r="H10" s="40" t="n">
        <f aca="false">ROUND($A10*((1+($C$3/12))^(30*12)-1)/($C$3/12)*(1+($C$3/12)),0)</f>
        <v>35299138</v>
      </c>
    </row>
    <row r="11" customFormat="false" ht="15" hidden="false" customHeight="false" outlineLevel="0" collapsed="false">
      <c r="A11" s="47" t="n">
        <v>15000</v>
      </c>
      <c r="B11" s="47"/>
      <c r="C11" s="40" t="n">
        <f aca="false">ROUND($A11*((1+($C$3/12))^(5*12)-1)/($C$3/12)*(1+($C$3/12)),0)</f>
        <v>1237295</v>
      </c>
      <c r="D11" s="40" t="n">
        <f aca="false">ROUND($A11*((1+($C$3/12))^(10*12)-1)/($C$3/12)*(1+($C$3/12)),0)</f>
        <v>3485086</v>
      </c>
      <c r="E11" s="40" t="n">
        <f aca="false">ROUND($A11*((1+($C$3/12))^(15*12)-1)/($C$3/12)*(1+($C$3/12)),0)</f>
        <v>7568640</v>
      </c>
      <c r="F11" s="40" t="n">
        <f aca="false">ROUND($A11*((1+($C$3/12))^(20*12)-1)/($C$3/12)*(1+($C$3/12)),0)</f>
        <v>14987219</v>
      </c>
      <c r="G11" s="40" t="n">
        <f aca="false">ROUND($A11*((1+($C$3/12))^(25*12)-1)/($C$3/12)*(1+($C$3/12)),0)</f>
        <v>28464526</v>
      </c>
      <c r="H11" s="40" t="n">
        <f aca="false">ROUND($A11*((1+($C$3/12))^(30*12)-1)/($C$3/12)*(1+($C$3/12)),0)</f>
        <v>52948707</v>
      </c>
    </row>
    <row r="12" customFormat="false" ht="15" hidden="false" customHeight="false" outlineLevel="0" collapsed="false">
      <c r="A12" s="47" t="n">
        <v>25000</v>
      </c>
      <c r="B12" s="47"/>
      <c r="C12" s="40" t="n">
        <f aca="false">ROUND($A12*((1+($C$3/12))^(5*12)-1)/($C$3/12)*(1+($C$3/12)),0)</f>
        <v>2062159</v>
      </c>
      <c r="D12" s="40" t="n">
        <f aca="false">ROUND($A12*((1+($C$3/12))^(10*12)-1)/($C$3/12)*(1+($C$3/12)),0)</f>
        <v>5808477</v>
      </c>
      <c r="E12" s="40" t="n">
        <f aca="false">ROUND($A12*((1+($C$3/12))^(15*12)-1)/($C$3/12)*(1+($C$3/12)),0)</f>
        <v>12614400</v>
      </c>
      <c r="F12" s="40" t="n">
        <f aca="false">ROUND($A12*((1+($C$3/12))^(20*12)-1)/($C$3/12)*(1+($C$3/12)),0)</f>
        <v>24978698</v>
      </c>
      <c r="G12" s="40" t="n">
        <f aca="false">ROUND($A12*((1+($C$3/12))^(25*12)-1)/($C$3/12)*(1+($C$3/12)),0)</f>
        <v>47440877</v>
      </c>
      <c r="H12" s="40" t="n">
        <f aca="false">ROUND($A12*((1+($C$3/12))^(30*12)-1)/($C$3/12)*(1+($C$3/12)),0)</f>
        <v>88247844</v>
      </c>
    </row>
    <row r="13" customFormat="false" ht="15" hidden="false" customHeight="false" outlineLevel="0" collapsed="false">
      <c r="A13" s="47" t="n">
        <v>50000</v>
      </c>
      <c r="B13" s="47"/>
      <c r="C13" s="40" t="n">
        <f aca="false">ROUND($A13*((1+($C$3/12))^(5*12)-1)/($C$3/12)*(1+($C$3/12)),0)</f>
        <v>4124318</v>
      </c>
      <c r="D13" s="40" t="n">
        <f aca="false">ROUND($A13*((1+($C$3/12))^(10*12)-1)/($C$3/12)*(1+($C$3/12)),0)</f>
        <v>11616954</v>
      </c>
      <c r="E13" s="40" t="n">
        <f aca="false">ROUND($A13*((1+($C$3/12))^(15*12)-1)/($C$3/12)*(1+($C$3/12)),0)</f>
        <v>25228800</v>
      </c>
      <c r="F13" s="40" t="n">
        <f aca="false">ROUND($A13*((1+($C$3/12))^(20*12)-1)/($C$3/12)*(1+($C$3/12)),0)</f>
        <v>49957396</v>
      </c>
      <c r="G13" s="40" t="n">
        <f aca="false">ROUND($A13*((1+($C$3/12))^(25*12)-1)/($C$3/12)*(1+($C$3/12)),0)</f>
        <v>94881755</v>
      </c>
      <c r="H13" s="40" t="n">
        <f aca="false">ROUND($A13*((1+($C$3/12))^(30*12)-1)/($C$3/12)*(1+($C$3/12)),0)</f>
        <v>176495689</v>
      </c>
    </row>
    <row r="15" customFormat="false" ht="15" hidden="false" customHeight="true" outlineLevel="0" collapsed="false">
      <c r="A15" s="46" t="s">
        <v>106</v>
      </c>
      <c r="B15" s="46"/>
      <c r="C15" s="46"/>
      <c r="D15" s="46"/>
      <c r="E15" s="46"/>
      <c r="F15" s="46"/>
      <c r="G15" s="46"/>
      <c r="H15" s="46"/>
    </row>
    <row r="16" customFormat="false" ht="15" hidden="false" customHeight="true" outlineLevel="0" collapsed="false">
      <c r="A16" s="46" t="s">
        <v>99</v>
      </c>
      <c r="B16" s="46"/>
      <c r="C16" s="37" t="s">
        <v>100</v>
      </c>
      <c r="D16" s="37" t="s">
        <v>101</v>
      </c>
      <c r="E16" s="37" t="s">
        <v>102</v>
      </c>
      <c r="F16" s="37" t="s">
        <v>103</v>
      </c>
      <c r="G16" s="37" t="s">
        <v>104</v>
      </c>
      <c r="H16" s="37" t="s">
        <v>105</v>
      </c>
    </row>
    <row r="17" customFormat="false" ht="15" hidden="false" customHeight="false" outlineLevel="0" collapsed="false">
      <c r="A17" s="47" t="n">
        <v>1000</v>
      </c>
      <c r="B17" s="47"/>
      <c r="C17" s="48" t="n">
        <v>60000</v>
      </c>
      <c r="D17" s="48" t="n">
        <v>120000</v>
      </c>
      <c r="E17" s="48" t="n">
        <v>180000</v>
      </c>
      <c r="F17" s="48" t="n">
        <v>240000</v>
      </c>
      <c r="G17" s="48" t="n">
        <v>300000</v>
      </c>
      <c r="H17" s="48" t="n">
        <v>360000</v>
      </c>
    </row>
    <row r="18" customFormat="false" ht="15" hidden="false" customHeight="false" outlineLevel="0" collapsed="false">
      <c r="A18" s="47" t="n">
        <v>2000</v>
      </c>
      <c r="B18" s="47"/>
      <c r="C18" s="48" t="n">
        <v>120000</v>
      </c>
      <c r="D18" s="48" t="n">
        <v>240000</v>
      </c>
      <c r="E18" s="48" t="n">
        <v>360000</v>
      </c>
      <c r="F18" s="48" t="n">
        <v>480000</v>
      </c>
      <c r="G18" s="48" t="n">
        <v>600000</v>
      </c>
      <c r="H18" s="48" t="n">
        <v>720000</v>
      </c>
    </row>
    <row r="19" customFormat="false" ht="15" hidden="false" customHeight="false" outlineLevel="0" collapsed="false">
      <c r="A19" s="47" t="n">
        <v>3000</v>
      </c>
      <c r="B19" s="47"/>
      <c r="C19" s="48" t="n">
        <v>180000</v>
      </c>
      <c r="D19" s="48" t="n">
        <v>360000</v>
      </c>
      <c r="E19" s="48" t="n">
        <v>540000</v>
      </c>
      <c r="F19" s="48" t="n">
        <v>720000</v>
      </c>
      <c r="G19" s="48" t="n">
        <v>900000</v>
      </c>
      <c r="H19" s="48" t="n">
        <v>1080000</v>
      </c>
    </row>
    <row r="20" customFormat="false" ht="15" hidden="false" customHeight="false" outlineLevel="0" collapsed="false">
      <c r="A20" s="47" t="n">
        <v>5000</v>
      </c>
      <c r="B20" s="47"/>
      <c r="C20" s="48" t="n">
        <v>300000</v>
      </c>
      <c r="D20" s="48" t="n">
        <v>600000</v>
      </c>
      <c r="E20" s="48" t="n">
        <v>900000</v>
      </c>
      <c r="F20" s="48" t="n">
        <v>1200000</v>
      </c>
      <c r="G20" s="48" t="n">
        <v>1500000</v>
      </c>
      <c r="H20" s="48" t="n">
        <v>1800000</v>
      </c>
    </row>
    <row r="21" customFormat="false" ht="15" hidden="false" customHeight="false" outlineLevel="0" collapsed="false">
      <c r="A21" s="47" t="n">
        <v>10000</v>
      </c>
      <c r="B21" s="47"/>
      <c r="C21" s="48" t="n">
        <v>600000</v>
      </c>
      <c r="D21" s="48" t="n">
        <v>1200000</v>
      </c>
      <c r="E21" s="48" t="n">
        <v>1800000</v>
      </c>
      <c r="F21" s="48" t="n">
        <v>2400000</v>
      </c>
      <c r="G21" s="48" t="n">
        <v>3000000</v>
      </c>
      <c r="H21" s="48" t="n">
        <v>3600000</v>
      </c>
    </row>
    <row r="22" customFormat="false" ht="15" hidden="false" customHeight="false" outlineLevel="0" collapsed="false">
      <c r="A22" s="47" t="n">
        <v>15000</v>
      </c>
      <c r="B22" s="47"/>
      <c r="C22" s="48" t="n">
        <v>900000</v>
      </c>
      <c r="D22" s="48" t="n">
        <v>1800000</v>
      </c>
      <c r="E22" s="48" t="n">
        <v>2700000</v>
      </c>
      <c r="F22" s="48" t="n">
        <v>3600000</v>
      </c>
      <c r="G22" s="48" t="n">
        <v>4500000</v>
      </c>
      <c r="H22" s="48" t="n">
        <v>5400000</v>
      </c>
    </row>
    <row r="23" customFormat="false" ht="15" hidden="false" customHeight="false" outlineLevel="0" collapsed="false">
      <c r="A23" s="47" t="n">
        <v>25000</v>
      </c>
      <c r="B23" s="47"/>
      <c r="C23" s="48" t="n">
        <v>1500000</v>
      </c>
      <c r="D23" s="48" t="n">
        <v>3000000</v>
      </c>
      <c r="E23" s="48" t="n">
        <v>4500000</v>
      </c>
      <c r="F23" s="48" t="n">
        <v>6000000</v>
      </c>
      <c r="G23" s="48" t="n">
        <v>7500000</v>
      </c>
      <c r="H23" s="48" t="n">
        <v>9000000</v>
      </c>
    </row>
    <row r="24" customFormat="false" ht="15" hidden="false" customHeight="false" outlineLevel="0" collapsed="false">
      <c r="A24" s="47" t="n">
        <v>50000</v>
      </c>
      <c r="B24" s="47"/>
      <c r="C24" s="48" t="n">
        <v>3000000</v>
      </c>
      <c r="D24" s="48" t="n">
        <v>6000000</v>
      </c>
      <c r="E24" s="48" t="n">
        <v>9000000</v>
      </c>
      <c r="F24" s="48" t="n">
        <v>12000000</v>
      </c>
      <c r="G24" s="48" t="n">
        <v>15000000</v>
      </c>
      <c r="H24" s="48" t="n">
        <v>18000000</v>
      </c>
    </row>
  </sheetData>
  <sheetProtection sheet="1" objects="1" scenarios="1" formatColumns="0" formatRows="0" algorithmName="SHA-512" hashValue="HpYvB4ykIdMqztwI8kO7Km+cBUAIWkVhgjZP8YoWBfVY/fxnFMOy9WrHqR9FYrTCQ4G5NEPeSP47FskxB4nRVA==" saltValue="gPFsMD+mx+aiBU7c1oD0xA==" spinCount="100000"/>
  <mergeCells count="22">
    <mergeCell ref="A2:H2"/>
    <mergeCell ref="A3:B3"/>
    <mergeCell ref="D3:H3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5:H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</mergeCells>
  <hyperlinks>
    <hyperlink ref="A1" r:id="rId1" location="'Dashboard'!A1" display="◄ BACK TO DASHBOARD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D9D9D9"/>
    <pageSetUpPr fitToPage="false"/>
  </sheetPr>
  <dimension ref="A1:B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5" hidden="false" customHeight="false" outlineLevel="0" collapsed="false">
      <c r="A1" s="0" t="s">
        <v>107</v>
      </c>
    </row>
    <row r="2" customFormat="false" ht="15" hidden="false" customHeight="false" outlineLevel="0" collapsed="false">
      <c r="A2" s="0" t="n">
        <v>1</v>
      </c>
      <c r="B2" s="0" t="s">
        <v>50</v>
      </c>
    </row>
    <row r="3" customFormat="false" ht="15" hidden="false" customHeight="false" outlineLevel="0" collapsed="false">
      <c r="A3" s="0" t="n">
        <v>2</v>
      </c>
      <c r="B3" s="0" t="s">
        <v>108</v>
      </c>
    </row>
    <row r="4" customFormat="false" ht="15" hidden="false" customHeight="false" outlineLevel="0" collapsed="false">
      <c r="A4" s="0" t="n">
        <v>3</v>
      </c>
    </row>
    <row r="5" customFormat="false" ht="15" hidden="false" customHeight="false" outlineLevel="0" collapsed="false">
      <c r="A5" s="0" t="n">
        <v>4</v>
      </c>
    </row>
    <row r="6" customFormat="false" ht="15" hidden="false" customHeight="false" outlineLevel="0" collapsed="false">
      <c r="A6" s="0" t="n">
        <v>5</v>
      </c>
    </row>
    <row r="7" customFormat="false" ht="15" hidden="false" customHeight="false" outlineLevel="0" collapsed="false">
      <c r="A7" s="0" t="n">
        <v>6</v>
      </c>
    </row>
    <row r="8" customFormat="false" ht="15" hidden="false" customHeight="false" outlineLevel="0" collapsed="false">
      <c r="A8" s="0" t="n">
        <v>7</v>
      </c>
    </row>
    <row r="9" customFormat="false" ht="15" hidden="false" customHeight="false" outlineLevel="0" collapsed="false">
      <c r="A9" s="0" t="n">
        <v>8</v>
      </c>
    </row>
    <row r="10" customFormat="false" ht="15" hidden="false" customHeight="false" outlineLevel="0" collapsed="false">
      <c r="A10" s="0" t="n">
        <v>9</v>
      </c>
    </row>
    <row r="11" customFormat="false" ht="15" hidden="false" customHeight="false" outlineLevel="0" collapsed="false">
      <c r="A11" s="0" t="n">
        <v>10</v>
      </c>
    </row>
    <row r="12" customFormat="false" ht="15" hidden="false" customHeight="false" outlineLevel="0" collapsed="false">
      <c r="A12" s="0" t="n">
        <v>11</v>
      </c>
    </row>
    <row r="13" customFormat="false" ht="15" hidden="false" customHeight="false" outlineLevel="0" collapsed="false">
      <c r="A13" s="0" t="n">
        <v>12</v>
      </c>
    </row>
    <row r="14" customFormat="false" ht="15" hidden="false" customHeight="false" outlineLevel="0" collapsed="false">
      <c r="A14" s="0" t="n">
        <v>13</v>
      </c>
    </row>
    <row r="15" customFormat="false" ht="15" hidden="false" customHeight="false" outlineLevel="0" collapsed="false">
      <c r="A15" s="0" t="n">
        <v>14</v>
      </c>
    </row>
    <row r="16" customFormat="false" ht="15" hidden="false" customHeight="false" outlineLevel="0" collapsed="false">
      <c r="A16" s="0" t="n">
        <v>15</v>
      </c>
    </row>
    <row r="17" customFormat="false" ht="15" hidden="false" customHeight="false" outlineLevel="0" collapsed="false">
      <c r="A17" s="0" t="n">
        <v>16</v>
      </c>
    </row>
    <row r="18" customFormat="false" ht="15" hidden="false" customHeight="false" outlineLevel="0" collapsed="false">
      <c r="A18" s="0" t="n">
        <v>17</v>
      </c>
    </row>
    <row r="19" customFormat="false" ht="15" hidden="false" customHeight="false" outlineLevel="0" collapsed="false">
      <c r="A19" s="0" t="n">
        <v>18</v>
      </c>
    </row>
    <row r="20" customFormat="false" ht="15" hidden="false" customHeight="false" outlineLevel="0" collapsed="false">
      <c r="A20" s="0" t="n">
        <v>19</v>
      </c>
    </row>
    <row r="21" customFormat="false" ht="15" hidden="false" customHeight="false" outlineLevel="0" collapsed="false">
      <c r="A21" s="0" t="n">
        <v>20</v>
      </c>
    </row>
    <row r="22" customFormat="false" ht="15" hidden="false" customHeight="false" outlineLevel="0" collapsed="false">
      <c r="A22" s="0" t="n">
        <v>21</v>
      </c>
    </row>
    <row r="23" customFormat="false" ht="15" hidden="false" customHeight="false" outlineLevel="0" collapsed="false">
      <c r="A23" s="0" t="n">
        <v>22</v>
      </c>
    </row>
    <row r="24" customFormat="false" ht="15" hidden="false" customHeight="false" outlineLevel="0" collapsed="false">
      <c r="A24" s="0" t="n">
        <v>23</v>
      </c>
    </row>
    <row r="25" customFormat="false" ht="15" hidden="false" customHeight="false" outlineLevel="0" collapsed="false">
      <c r="A25" s="0" t="n">
        <v>24</v>
      </c>
    </row>
    <row r="26" customFormat="false" ht="15" hidden="false" customHeight="false" outlineLevel="0" collapsed="false">
      <c r="A26" s="0" t="n">
        <v>25</v>
      </c>
    </row>
    <row r="27" customFormat="false" ht="15" hidden="false" customHeight="false" outlineLevel="0" collapsed="false">
      <c r="A27" s="0" t="n">
        <v>26</v>
      </c>
    </row>
    <row r="28" customFormat="false" ht="15" hidden="false" customHeight="false" outlineLevel="0" collapsed="false">
      <c r="A28" s="0" t="n">
        <v>27</v>
      </c>
    </row>
    <row r="29" customFormat="false" ht="15" hidden="false" customHeight="false" outlineLevel="0" collapsed="false">
      <c r="A29" s="0" t="n">
        <v>28</v>
      </c>
    </row>
    <row r="30" customFormat="false" ht="15" hidden="false" customHeight="false" outlineLevel="0" collapsed="false">
      <c r="A30" s="0" t="n">
        <v>29</v>
      </c>
    </row>
    <row r="31" customFormat="false" ht="15" hidden="false" customHeight="false" outlineLevel="0" collapsed="false">
      <c r="A31" s="0" t="n">
        <v>30</v>
      </c>
    </row>
    <row r="32" customFormat="false" ht="15" hidden="false" customHeight="false" outlineLevel="0" collapsed="false">
      <c r="A32" s="0" t="n">
        <v>31</v>
      </c>
    </row>
    <row r="33" customFormat="false" ht="15" hidden="false" customHeight="false" outlineLevel="0" collapsed="false">
      <c r="A33" s="0" t="n">
        <v>32</v>
      </c>
    </row>
    <row r="34" customFormat="false" ht="15" hidden="false" customHeight="false" outlineLevel="0" collapsed="false">
      <c r="A34" s="0" t="n">
        <v>33</v>
      </c>
    </row>
    <row r="35" customFormat="false" ht="15" hidden="false" customHeight="false" outlineLevel="0" collapsed="false">
      <c r="A35" s="0" t="n">
        <v>34</v>
      </c>
    </row>
    <row r="36" customFormat="false" ht="15" hidden="false" customHeight="false" outlineLevel="0" collapsed="false">
      <c r="A36" s="0" t="n">
        <v>35</v>
      </c>
    </row>
    <row r="37" customFormat="false" ht="15" hidden="false" customHeight="false" outlineLevel="0" collapsed="false">
      <c r="A37" s="0" t="n">
        <v>36</v>
      </c>
    </row>
    <row r="38" customFormat="false" ht="15" hidden="false" customHeight="false" outlineLevel="0" collapsed="false">
      <c r="A38" s="0" t="n">
        <v>37</v>
      </c>
    </row>
    <row r="39" customFormat="false" ht="15" hidden="false" customHeight="false" outlineLevel="0" collapsed="false">
      <c r="A39" s="0" t="n">
        <v>38</v>
      </c>
    </row>
    <row r="40" customFormat="false" ht="15" hidden="false" customHeight="false" outlineLevel="0" collapsed="false">
      <c r="A40" s="0" t="n">
        <v>39</v>
      </c>
    </row>
    <row r="41" customFormat="false" ht="15" hidden="false" customHeight="false" outlineLevel="0" collapsed="false">
      <c r="A41" s="0" t="n">
        <v>40</v>
      </c>
    </row>
  </sheetData>
  <sheetProtection sheet="1" objects="1" scenarios="1" formatColumns="0" formatRows="0" algorithmName="SHA-512" hashValue="4fARChtnLA04hY7SHZTcwHrUCn+LZem8a8br1bm7H+e0rBc3BXSuGsKr2k+rX4qr6MpnadltWuantIeys/Wd9Q==" saltValue="z4L9rl0FGhVuxTf4H5cD+A==" spinCount="100000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2026-10-08T11:28:32Z</dcterms:created>
  <dc:creator>Xplorexcel.com</dc:creator>
  <dc:description/>
  <dc:language>en-US</dc:language>
  <cp:lastModifiedBy/>
  <dcterms:modified xsi:type="dcterms:W3CDTF">2026-10-08T11:28:34Z</dcterms:modified>
  <cp:revision>1</cp:revision>
  <dc:subject/>
  <dc:title>SIP Calculator with Step-up and Goal Planner 1.0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