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ojANQqpKH5l+hs/e4mEIZ+3TUZTbcpa2J3pfUg8+dAbbloAwQJ51Yi71ewOfuQ5IlNN0mWBDiqxU5zAzv8VJRA==" workbookSaltValue="a1cPb3DXsS9JCKjgXrx1ww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Setup" sheetId="3" state="visible" r:id="rId5"/>
    <sheet name="Item Master" sheetId="4" state="visible" r:id="rId6"/>
    <sheet name="Stock Register" sheetId="5" state="visible" r:id="rId7"/>
    <sheet name="Valuation" sheetId="6" state="visible" r:id="rId8"/>
    <sheet name="Stock Ledger" sheetId="7" state="visible" r:id="rId9"/>
    <sheet name="Lists" sheetId="8" state="hidden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<sst xmlns="http://schemas.openxmlformats.org/spreadsheetml/2006/main" count="246" uniqueCount="154">
  <si>
    <t xml:space="preserve">Stock Register &amp; Inventory Valuation</t>
  </si>
  <si>
    <t xml:space="preserve">GO TO SHEET</t>
  </si>
  <si>
    <t xml:space="preserve">THIS PERIOD</t>
  </si>
  <si>
    <t xml:space="preserve">FIFO</t>
  </si>
  <si>
    <t xml:space="preserve">Weighted Average</t>
  </si>
  <si>
    <t xml:space="preserve">Business, period</t>
  </si>
  <si>
    <t xml:space="preserve">Items in stock</t>
  </si>
  <si>
    <t xml:space="preserve">Items, opening stock, reorder level</t>
  </si>
  <si>
    <t xml:space="preserve">Closing stock – FIFO</t>
  </si>
  <si>
    <t xml:space="preserve">Every purchase and sale</t>
  </si>
  <si>
    <t xml:space="preserve">Closing stock – Weighted Average</t>
  </si>
  <si>
    <t xml:space="preserve">FIFO vs weighted average</t>
  </si>
  <si>
    <t xml:space="preserve">Purchases (In)</t>
  </si>
  <si>
    <t xml:space="preserve">Item card for any item</t>
  </si>
  <si>
    <t xml:space="preserve">Sales (Out, at sale rate)</t>
  </si>
  <si>
    <t xml:space="preserve">Features &amp; steps</t>
  </si>
  <si>
    <t xml:space="preserve">Gross profit – FIFO</t>
  </si>
  <si>
    <t xml:space="preserve">Items to reorder</t>
  </si>
  <si>
    <t xml:space="preserve">Reorder now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</si>
  <si>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</si>
  <si>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</si>
  <si>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</si>
  <si>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</si>
  <si>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Stock Register &amp; Inventory Valuation 1.0 in Microsoft Excel :-</t>
  </si>
  <si>
    <t xml:space="preserve">Life-time free – no macros, works in Excel 2010+, Excel for Mac and Google Sheets</t>
  </si>
  <si>
    <t xml:space="preserve">Item Master for up to 100 items with unit, opening stock, opening rate and reorder level</t>
  </si>
  <si>
    <t xml:space="preserve">Stock Register for up to 500 movements – In (purchase) and Out (sale / issue) with a running balance per item</t>
  </si>
  <si>
    <t xml:space="preserve">Closing stock valued by FIFO and by Weighted Average side by side, with cost of goods sold and gross profit under each</t>
  </si>
  <si>
    <t xml:space="preserve">Entries can be in any order – the date decides the sequence</t>
  </si>
  <si>
    <t xml:space="preserve">Stock Ledger (item card) for any item: opening, every movement, running balance and value</t>
  </si>
  <si>
    <t xml:space="preserve">Reorder alerts on the dashboard; status for each item (OK, Reorder, Out of stock, Negative)</t>
  </si>
  <si>
    <t xml:space="preserve">Checks: unknown item code, missing rate or quantity, stock going negative, duplicate codes, dates outside the period</t>
  </si>
  <si>
    <t xml:space="preserve">How to use it (4 steps)</t>
  </si>
  <si>
    <t xml:space="preserve">Step 1</t>
  </si>
  <si>
    <t xml:space="preserve">Setup – business name and the period (the closing date is the valuation date).</t>
  </si>
  <si>
    <t xml:space="preserve">Step 2</t>
  </si>
  <si>
    <t xml:space="preserve">Item Master – one row per item with opening quantity, opening rate and reorder level.</t>
  </si>
  <si>
    <t xml:space="preserve">Step 3</t>
  </si>
  <si>
    <t xml:space="preserve">Stock Register – enter every purchase (In, with rate) and every sale or issue (Out). Fix anything the Check column flags.</t>
  </si>
  <si>
    <t xml:space="preserve">Step 4</t>
  </si>
  <si>
    <t xml:space="preserve">Read the Valuation sheet and the Dashboard; open the Stock Ledger for any item's card.</t>
  </si>
  <si>
    <t xml:space="preserve">Weighted Average here is the periodic method: one average rate for the period. Closing stock in the final accounts is valued at cost or net realisable value, whichever is lower (AS 2).</t>
  </si>
  <si>
    <t xml:space="preserve">Business &amp; Period</t>
  </si>
  <si>
    <t xml:space="preserve">Business name</t>
  </si>
  <si>
    <t xml:space="preserve">M/s Xplore Electricals</t>
  </si>
  <si>
    <t xml:space="preserve">Godown / location</t>
  </si>
  <si>
    <t xml:space="preserve">Main Store, Hoshiarpur</t>
  </si>
  <si>
    <t xml:space="preserve">Period from</t>
  </si>
  <si>
    <t xml:space="preserve">Period to (valuation date)</t>
  </si>
  <si>
    <t xml:space="preserve">How it works</t>
  </si>
  <si>
    <t xml:space="preserve">1. Item Master – add each item with its unit, opening quantity, opening rate and reorder level.</t>
  </si>
  <si>
    <t xml:space="preserve">2. Stock Register – enter every purchase (In, with rate) and every sale or issue (Out). Sale rate is optional.</t>
  </si>
  <si>
    <t xml:space="preserve">3. Valuation – closing stock is valued by FIFO and by Weighted Average automatically; Stock Ledger shows any one item's card.</t>
  </si>
  <si>
    <t xml:space="preserve">One row per item. Item Code must be unique – it is what you pick on the Stock Register. Opening quantity and rate are the stock at the start of the period.</t>
  </si>
  <si>
    <t xml:space="preserve">Item Code</t>
  </si>
  <si>
    <t xml:space="preserve">Item name</t>
  </si>
  <si>
    <t xml:space="preserve">Category</t>
  </si>
  <si>
    <t xml:space="preserve">Unit</t>
  </si>
  <si>
    <t xml:space="preserve">Opening qty</t>
  </si>
  <si>
    <t xml:space="preserve">Opening rate (₹)</t>
  </si>
  <si>
    <t xml:space="preserve">Reorder level</t>
  </si>
  <si>
    <t xml:space="preserve">Opening value (₹)</t>
  </si>
  <si>
    <t xml:space="preserve">In qty</t>
  </si>
  <si>
    <t xml:space="preserve">Out qty</t>
  </si>
  <si>
    <t xml:space="preserve">Closing qty</t>
  </si>
  <si>
    <t xml:space="preserve">Status</t>
  </si>
  <si>
    <t xml:space="preserve">E01</t>
  </si>
  <si>
    <t xml:space="preserve">LED Bulb 9W</t>
  </si>
  <si>
    <t xml:space="preserve">Lighting</t>
  </si>
  <si>
    <t xml:space="preserve">Pcs</t>
  </si>
  <si>
    <t xml:space="preserve">E02</t>
  </si>
  <si>
    <t xml:space="preserve">Ceiling Fan 1200 mm</t>
  </si>
  <si>
    <t xml:space="preserve">Fans</t>
  </si>
  <si>
    <t xml:space="preserve">E03</t>
  </si>
  <si>
    <t xml:space="preserve">Copper Wire 1.5 sq mm (90 m)</t>
  </si>
  <si>
    <t xml:space="preserve">Wires</t>
  </si>
  <si>
    <t xml:space="preserve">Coil</t>
  </si>
  <si>
    <t xml:space="preserve">E04</t>
  </si>
  <si>
    <t xml:space="preserve">MCB 32A Single Pole</t>
  </si>
  <si>
    <t xml:space="preserve">Switchgear</t>
  </si>
  <si>
    <t xml:space="preserve">E05</t>
  </si>
  <si>
    <t xml:space="preserve">Extension Board 4-way</t>
  </si>
  <si>
    <t xml:space="preserve">Accessories</t>
  </si>
  <si>
    <t xml:space="preserve">E06</t>
  </si>
  <si>
    <t xml:space="preserve">LED Tube Light 20W</t>
  </si>
  <si>
    <t xml:space="preserve">One row per movement. In = purchase / receipt (enter the purchase rate). Out = sale / issue (rate optional – enter the sale rate to see gross profit). Rows can be in any order; dates decide the sequence.</t>
  </si>
  <si>
    <t xml:space="preserve">S.No</t>
  </si>
  <si>
    <t xml:space="preserve">Date</t>
  </si>
  <si>
    <t xml:space="preserve">In / Out</t>
  </si>
  <si>
    <t xml:space="preserve">Quantity</t>
  </si>
  <si>
    <t xml:space="preserve">Rate (₹)</t>
  </si>
  <si>
    <t xml:space="preserve">Party / Remarks</t>
  </si>
  <si>
    <t xml:space="preserve">Voucher / Bill no.</t>
  </si>
  <si>
    <t xml:space="preserve">Amount (₹)</t>
  </si>
  <si>
    <t xml:space="preserve">Balance qty</t>
  </si>
  <si>
    <t xml:space="preserve">Check</t>
  </si>
  <si>
    <t xml:space="preserve">In</t>
  </si>
  <si>
    <t xml:space="preserve">Sharma Lighting</t>
  </si>
  <si>
    <t xml:space="preserve">P-101</t>
  </si>
  <si>
    <t xml:space="preserve">Out</t>
  </si>
  <si>
    <t xml:space="preserve">Counter sales</t>
  </si>
  <si>
    <t xml:space="preserve">S-201</t>
  </si>
  <si>
    <t xml:space="preserve">S-202</t>
  </si>
  <si>
    <t xml:space="preserve">Crompton Distributor</t>
  </si>
  <si>
    <t xml:space="preserve">P-102</t>
  </si>
  <si>
    <t xml:space="preserve">Gupta Builders</t>
  </si>
  <si>
    <t xml:space="preserve">S-203</t>
  </si>
  <si>
    <t xml:space="preserve">Wire House</t>
  </si>
  <si>
    <t xml:space="preserve">P-103</t>
  </si>
  <si>
    <t xml:space="preserve">S-204</t>
  </si>
  <si>
    <t xml:space="preserve">S-205</t>
  </si>
  <si>
    <t xml:space="preserve">Havells Distributor</t>
  </si>
  <si>
    <t xml:space="preserve">P-104</t>
  </si>
  <si>
    <t xml:space="preserve">S-206</t>
  </si>
  <si>
    <t xml:space="preserve">S-207</t>
  </si>
  <si>
    <t xml:space="preserve">P-105</t>
  </si>
  <si>
    <t xml:space="preserve">Kapoor Electricals</t>
  </si>
  <si>
    <t xml:space="preserve">S-208</t>
  </si>
  <si>
    <t xml:space="preserve">S-209</t>
  </si>
  <si>
    <t xml:space="preserve">P-106</t>
  </si>
  <si>
    <t xml:space="preserve">S-210</t>
  </si>
  <si>
    <t xml:space="preserve">S-211</t>
  </si>
  <si>
    <t xml:space="preserve">S-212</t>
  </si>
  <si>
    <t xml:space="preserve">P-107</t>
  </si>
  <si>
    <t xml:space="preserve">S-213</t>
  </si>
  <si>
    <t xml:space="preserve">S-214</t>
  </si>
  <si>
    <t xml:space="preserve">Everything here is calculated. FIFO: closing stock is valued at the latest purchase rates. Weighted Average: (opening value + purchases) ÷ (opening qty + purchased qty).</t>
  </si>
  <si>
    <t xml:space="preserve">OPENING</t>
  </si>
  <si>
    <t xml:space="preserve">PURCHASES (IN)</t>
  </si>
  <si>
    <t xml:space="preserve">SALES (OUT)</t>
  </si>
  <si>
    <t xml:space="preserve">CLOSING STOCK VALUE</t>
  </si>
  <si>
    <t xml:space="preserve">COST OF GOODS SOLD</t>
  </si>
  <si>
    <t xml:space="preserve">GROSS PROFIT</t>
  </si>
  <si>
    <t xml:space="preserve">Code</t>
  </si>
  <si>
    <t xml:space="preserve">Qty</t>
  </si>
  <si>
    <t xml:space="preserve">Value (₹)</t>
  </si>
  <si>
    <t xml:space="preserve">Sales value (₹)</t>
  </si>
  <si>
    <t xml:space="preserve">FIFO (₹)</t>
  </si>
  <si>
    <t xml:space="preserve">Wtd. avg rate (₹)</t>
  </si>
  <si>
    <t xml:space="preserve">Wtd. avg (₹)</t>
  </si>
  <si>
    <t xml:space="preserve">TOTAL</t>
  </si>
  <si>
    <t xml:space="preserve">Effect of the method</t>
  </si>
  <si>
    <t xml:space="preserve">Difference (FIFO − Weighted Average)</t>
  </si>
  <si>
    <t xml:space="preserve">Meaning</t>
  </si>
  <si>
    <t xml:space="preserve">Stock Ledger – Item Card</t>
  </si>
  <si>
    <t xml:space="preserve">Pick Item Code ►</t>
  </si>
  <si>
    <t xml:space="preserve">Value – FIFO (₹)</t>
  </si>
  <si>
    <t xml:space="preserve">Value – Wtd. avg (₹)</t>
  </si>
  <si>
    <t xml:space="preserve">Voucher</t>
  </si>
  <si>
    <t xml:space="preserve">Particulars</t>
  </si>
  <si>
    <t xml:space="preserve">In value (₹)</t>
  </si>
  <si>
    <t xml:space="preserve">Out value at sale rate (₹)</t>
  </si>
  <si>
    <t xml:space="preserve">Opening balance</t>
  </si>
  <si>
    <t xml:space="preserve">Type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</si>
</sst>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###,##0;\(###,##0\);\-"/>
    <numFmt numFmtId="167" formatCode="###,##0"/>
    <numFmt numFmtId="168" formatCode="dd\ mmmm\ yyyy"/>
    <numFmt numFmtId="169" formatCode="@"/>
    <numFmt numFmtId="170" formatCode="#,##0.##;\(#,##0.##\);\-"/>
    <numFmt numFmtId="171" formatCode="[&gt;=10000000]##\,##\,##\,##0;[&gt;=100000]##\,##\,##0;##,##0"/>
    <numFmt numFmtId="172" formatCode="General"/>
    <numFmt numFmtId="173" formatCode="dd\-mmm\-yy"/>
    <numFmt numFmtId="174" formatCode="mm/dd/yy"/>
    <numFmt numFmtId="175" formatCode="#,##0.00"/>
  </numFmts>
  <fonts count="3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5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0"/>
      <color rgb="FF006838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sz val="10"/>
      <color rgb="FF006838"/>
      <name val="Cambria"/>
      <family val="0"/>
      <charset val="1"/>
    </font>
    <font>
      <sz val="10"/>
      <color rgb="FFC00000"/>
      <name val="Cambria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FFF2CC"/>
        <bgColor rgb="FFF2F2F2"/>
      </patternFill>
    </fill>
    <fill>
      <patternFill patternType="solid">
        <fgColor rgb="FFBF8F00"/>
        <bgColor rgb="FF808000"/>
      </patternFill>
    </fill>
    <fill>
      <patternFill patternType="solid">
        <fgColor rgb="FF002060"/>
        <bgColor rgb="FF000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applyProtection="true" numFmtId="164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3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0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3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b val="1"/>
        <color rgb="FF006838"/>
      </font>
    </dxf>
    <dxf>
      <font>
        <b val="1"/>
        <color rgb="FF9C5700"/>
      </font>
      <fill>
        <patternFill>
          <bgColor rgb="FFFFEB9C"/>
        </patternFill>
      </fill>
    </dxf>
    <dxf>
      <font>
        <b val="1"/>
        <color rgb="FFC00000"/>
      </font>
      <fill>
        <patternFill>
          <bgColor rgb="FFFFC7CE"/>
        </patternFill>
      </fill>
    </dxf>
    <dxf>
      <font>
        <b val="1"/>
        <color rgb="FFC00000"/>
      </font>
    </dxf>
    <dxf>
      <fill>
        <patternFill>
          <bgColor rgb="FFFFC7CE"/>
        </patternFill>
      </fill>
    </dxf>
    <dxf>
      <font>
        <color rgb="FFFFFFFF"/>
      </font>
    </dxf>
    <dxf/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A6A6A6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666699"/>
      <rgbColor rgb="FF878787"/>
      <rgbColor rgb="FF002060"/>
      <rgbColor rgb="FF20AD9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Closing stock value by item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Dashboard!J8</c:f>
              <c:strCache>
                <c:ptCount val="1"/>
                <c:pt idx="0">
                  <c:v>FIFO</c:v>
                </c:pt>
              </c:strCache>
            </c:strRef>
          </c:tx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Dashboard!$I$9:$I$18</c:f>
              <c:strCache>
                <c:ptCount val="10"/>
                <c:pt idx="0">
                  <c:v>LED Bulb 9W</c:v>
                </c:pt>
                <c:pt idx="1">
                  <c:v>Ceiling Fan 1200 mm</c:v>
                </c:pt>
                <c:pt idx="2">
                  <c:v>Copper Wire 1.5 sq mm (90 m)</c:v>
                </c:pt>
                <c:pt idx="3">
                  <c:v>MCB 32A Single Pole</c:v>
                </c:pt>
                <c:pt idx="4">
                  <c:v>Extension Board 4-way</c:v>
                </c:pt>
                <c:pt idx="5">
                  <c:v>LED Tube Light 20W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Dashboard!$J$9:$J$18</c:f>
              <c:numCache>
                <c:formatCode>###,##0;\(###,##0\);\-</c:formatCode>
                <c:ptCount val="10"/>
                <c:pt idx="0">
                  <c:v>9000</c:v>
                </c:pt>
                <c:pt idx="1">
                  <c:v>13500</c:v>
                </c:pt>
                <c:pt idx="2">
                  <c:v>37130</c:v>
                </c:pt>
                <c:pt idx="3">
                  <c:v>6475</c:v>
                </c:pt>
                <c:pt idx="4">
                  <c:v>1260</c:v>
                </c:pt>
                <c:pt idx="5">
                  <c:v>7600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Dashboard!K8</c:f>
              <c:strCache>
                <c:ptCount val="1"/>
                <c:pt idx="0">
                  <c:v>Weighted Average</c:v>
                </c:pt>
              </c:strCache>
            </c:strRef>
          </c:tx>
          <c:spPr>
            <a:solidFill>
              <a:srgbClr val="00206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Dashboard!$I$9:$I$18</c:f>
              <c:strCache>
                <c:ptCount val="10"/>
                <c:pt idx="0">
                  <c:v>LED Bulb 9W</c:v>
                </c:pt>
                <c:pt idx="1">
                  <c:v>Ceiling Fan 1200 mm</c:v>
                </c:pt>
                <c:pt idx="2">
                  <c:v>Copper Wire 1.5 sq mm (90 m)</c:v>
                </c:pt>
                <c:pt idx="3">
                  <c:v>MCB 32A Single Pole</c:v>
                </c:pt>
                <c:pt idx="4">
                  <c:v>Extension Board 4-way</c:v>
                </c:pt>
                <c:pt idx="5">
                  <c:v>LED Tube Light 20W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Dashboard!$K$9:$K$18</c:f>
              <c:numCache>
                <c:formatCode>###,##0;\(###,##0\);\-</c:formatCode>
                <c:ptCount val="10"/>
                <c:pt idx="0">
                  <c:v>8657</c:v>
                </c:pt>
                <c:pt idx="1">
                  <c:v>13243</c:v>
                </c:pt>
                <c:pt idx="2">
                  <c:v>36098</c:v>
                </c:pt>
                <c:pt idx="3">
                  <c:v>6395</c:v>
                </c:pt>
                <c:pt idx="4">
                  <c:v>1260</c:v>
                </c:pt>
                <c:pt idx="5">
                  <c:v>7380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150"/>
        <c:overlap val="0"/>
        <c:axId val="68793951"/>
        <c:axId val="11721598"/>
      </c:barChart>
      <c:catAx>
        <c:axId val="6879395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721598"/>
        <c:crosses val="autoZero"/>
        <c:auto val="1"/>
        <c:lblAlgn val="ctr"/>
        <c:lblOffset val="100"/>
        <c:noMultiLvlLbl val="0"/>
      </c:catAx>
      <c:valAx>
        <c:axId val="11721598"/>
        <c:scaling>
          <c:orientation val="minMax"/>
        </c:scaling>
        <c:delete val="0"/>
        <c:axPos val="l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79395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0</xdr:rowOff>
    </xdr:from>
    <xdr:to>
      <xdr:col>5</xdr:col>
      <xdr:colOff>856080</xdr:colOff>
      <xdr:row>41</xdr:row>
      <xdr:rowOff>1080</xdr:rowOff>
    </xdr:to>
    <xdr:graphicFrame>
      <xdr:nvGraphicFramePr>
        <xdr:cNvPr id="0" name="Chart 1"/>
        <xdr:cNvGraphicFramePr/>
      </xdr:nvGraphicFramePr>
      <xdr:xfrm>
        <a:off x="141120" y="574344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1142640</xdr:colOff>
      <xdr:row>44</xdr:row>
      <xdr:rowOff>190080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6484680" y="936324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15</xdr:row>
      <xdr:rowOff>273600</xdr:rowOff>
    </xdr:from>
    <xdr:to>
      <xdr:col>1</xdr:col>
      <xdr:colOff>1904760</xdr:colOff>
      <xdr:row>18</xdr:row>
      <xdr:rowOff>57960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423000" y="361944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2</xdr:col>
      <xdr:colOff>1238040</xdr:colOff>
      <xdr:row>16</xdr:row>
      <xdr:rowOff>28080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2678400" y="370512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Stock%20Register%20and%20Inventory%20Valuation%20FIFO%20Weighted%20Average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Stock%20Register%20and%20Inventory%20Valuation%20FIFO%20Weighted%20Average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Stock%20Register%20and%20Inventory%20Valuation%20FIFO%20Weighted%20Average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Stock%20Register%20and%20Inventory%20Valuation%20FIFO%20Weighted%20Average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Stock%20Register%20and%20Inventory%20Valuation%20FIFO%20Weighted%20Average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Stock%20Register%20and%20Inventory%20Valuation%20FIFO%20Weighted%20Average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K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6"/>
    <col collapsed="false" customWidth="true" hidden="false" outlineLevel="0" max="6" min="6" style="0" width="18"/>
    <col collapsed="false" customWidth="true" hidden="false" outlineLevel="0" max="7" min="7" style="0" width="4"/>
    <col collapsed="false" customWidth="true" hidden="true" outlineLevel="0" max="11" min="9" style="0" width="13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Setup!$C$4&amp;"  •  "&amp;TEXT(Setup!$C$6,"dd mmm yyyy")&amp;" to "&amp;TEXT(Setup!$C$7,"dd mmm yyyy")</f>
        <v>M/s Xplore Electricals  •  01 Oct 2026 to 31 Oct 2026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  <c r="J8" s="4" t="s">
        <v>3</v>
      </c>
      <c r="K8" s="4" t="s">
        <v>4</v>
      </c>
    </row>
    <row r="9" customFormat="false" ht="24" hidden="false" customHeight="true" outlineLevel="0" collapsed="false">
      <c r="B9" s="5" t="str">
        <f aca="false">HYPERLINK("#'Setup'!A1","1. Setup  ►")</f>
        <v>1. Setup  ►</v>
      </c>
      <c r="C9" s="6" t="s">
        <v>5</v>
      </c>
      <c r="E9" s="7" t="s">
        <v>6</v>
      </c>
      <c r="F9" s="8" t="n">
        <f aca="false">COUNTIF('Item Master'!$K$6:$K$105,"&gt;0")</f>
        <v>6</v>
      </c>
      <c r="I9" s="9" t="str">
        <f aca="false">IFERROR(INDEX(Valuation!$B$6:$B$105,MATCH(1,Valuation!$Q$6:$Q$105,0)),"")</f>
        <v>LED Bulb 9W</v>
      </c>
      <c r="J9" s="10" t="n">
        <f aca="false">IFERROR(INDEX(Valuation!$J$6:$J$105,MATCH(1,Valuation!$Q$6:$Q$105,0)),0)</f>
        <v>9000</v>
      </c>
      <c r="K9" s="10" t="n">
        <f aca="false">IFERROR(INDEX(Valuation!$L$6:$L$105,MATCH(1,Valuation!$Q$6:$Q$105,0)),0)</f>
        <v>8657</v>
      </c>
    </row>
    <row r="10" customFormat="false" ht="24" hidden="false" customHeight="true" outlineLevel="0" collapsed="false">
      <c r="B10" s="5" t="str">
        <f aca="false">HYPERLINK("#'Item Master'!A1","2. Item Master  ►")</f>
        <v>2. Item Master  ►</v>
      </c>
      <c r="C10" s="6" t="s">
        <v>7</v>
      </c>
      <c r="E10" s="7" t="s">
        <v>8</v>
      </c>
      <c r="F10" s="11" t="n">
        <f aca="false">Valuation!J106</f>
        <v>74965</v>
      </c>
      <c r="I10" s="9" t="str">
        <f aca="false">IFERROR(INDEX(Valuation!$B$6:$B$105,MATCH(2,Valuation!$Q$6:$Q$105,0)),"")</f>
        <v>Ceiling Fan 1200 mm</v>
      </c>
      <c r="J10" s="10" t="n">
        <f aca="false">IFERROR(INDEX(Valuation!$J$6:$J$105,MATCH(2,Valuation!$Q$6:$Q$105,0)),0)</f>
        <v>13500</v>
      </c>
      <c r="K10" s="10" t="n">
        <f aca="false">IFERROR(INDEX(Valuation!$L$6:$L$105,MATCH(2,Valuation!$Q$6:$Q$105,0)),0)</f>
        <v>13243</v>
      </c>
    </row>
    <row r="11" customFormat="false" ht="24" hidden="false" customHeight="true" outlineLevel="0" collapsed="false">
      <c r="B11" s="5" t="str">
        <f aca="false">HYPERLINK("#'Stock Register'!A1","3. Stock Register  ►")</f>
        <v>3. Stock Register  ►</v>
      </c>
      <c r="C11" s="6" t="s">
        <v>9</v>
      </c>
      <c r="E11" s="7" t="s">
        <v>10</v>
      </c>
      <c r="F11" s="11" t="n">
        <f aca="false">Valuation!L106</f>
        <v>73033</v>
      </c>
      <c r="I11" s="9" t="str">
        <f aca="false">IFERROR(INDEX(Valuation!$B$6:$B$105,MATCH(3,Valuation!$Q$6:$Q$105,0)),"")</f>
        <v>Copper Wire 1.5 sq mm (90 m)</v>
      </c>
      <c r="J11" s="10" t="n">
        <f aca="false">IFERROR(INDEX(Valuation!$J$6:$J$105,MATCH(3,Valuation!$Q$6:$Q$105,0)),0)</f>
        <v>37130</v>
      </c>
      <c r="K11" s="10" t="n">
        <f aca="false">IFERROR(INDEX(Valuation!$L$6:$L$105,MATCH(3,Valuation!$Q$6:$Q$105,0)),0)</f>
        <v>36098</v>
      </c>
    </row>
    <row r="12" customFormat="false" ht="24" hidden="false" customHeight="true" outlineLevel="0" collapsed="false">
      <c r="B12" s="5" t="str">
        <f aca="false">HYPERLINK("#'Valuation'!A1","4. Valuation  ►")</f>
        <v>4. Valuation  ►</v>
      </c>
      <c r="C12" s="6" t="s">
        <v>11</v>
      </c>
      <c r="E12" s="7" t="s">
        <v>12</v>
      </c>
      <c r="F12" s="12" t="n">
        <f aca="false">Valuation!F106</f>
        <v>116100</v>
      </c>
      <c r="I12" s="9" t="str">
        <f aca="false">IFERROR(INDEX(Valuation!$B$6:$B$105,MATCH(4,Valuation!$Q$6:$Q$105,0)),"")</f>
        <v>MCB 32A Single Pole</v>
      </c>
      <c r="J12" s="10" t="n">
        <f aca="false">IFERROR(INDEX(Valuation!$J$6:$J$105,MATCH(4,Valuation!$Q$6:$Q$105,0)),0)</f>
        <v>6475</v>
      </c>
      <c r="K12" s="10" t="n">
        <f aca="false">IFERROR(INDEX(Valuation!$L$6:$L$105,MATCH(4,Valuation!$Q$6:$Q$105,0)),0)</f>
        <v>6395</v>
      </c>
    </row>
    <row r="13" customFormat="false" ht="24" hidden="false" customHeight="true" outlineLevel="0" collapsed="false">
      <c r="B13" s="5" t="str">
        <f aca="false">HYPERLINK("#'Stock Ledger'!A1","5. Stock Ledger  ►")</f>
        <v>5. Stock Ledger  ►</v>
      </c>
      <c r="C13" s="6" t="s">
        <v>13</v>
      </c>
      <c r="E13" s="7" t="s">
        <v>14</v>
      </c>
      <c r="F13" s="12" t="n">
        <f aca="false">Valuation!H106</f>
        <v>200216</v>
      </c>
      <c r="I13" s="9" t="str">
        <f aca="false">IFERROR(INDEX(Valuation!$B$6:$B$105,MATCH(5,Valuation!$Q$6:$Q$105,0)),"")</f>
        <v>Extension Board 4-way</v>
      </c>
      <c r="J13" s="10" t="n">
        <f aca="false">IFERROR(INDEX(Valuation!$J$6:$J$105,MATCH(5,Valuation!$Q$6:$Q$105,0)),0)</f>
        <v>1260</v>
      </c>
      <c r="K13" s="10" t="n">
        <f aca="false">IFERROR(INDEX(Valuation!$L$6:$L$105,MATCH(5,Valuation!$Q$6:$Q$105,0)),0)</f>
        <v>1260</v>
      </c>
    </row>
    <row r="14" customFormat="false" ht="24" hidden="false" customHeight="true" outlineLevel="0" collapsed="false">
      <c r="B14" s="5" t="str">
        <f aca="false">HYPERLINK("#'About Workbook'!A1","How to use  ►")</f>
        <v>How to use  ►</v>
      </c>
      <c r="C14" s="6" t="s">
        <v>15</v>
      </c>
      <c r="E14" s="7" t="s">
        <v>16</v>
      </c>
      <c r="F14" s="12" t="n">
        <f aca="false">Valuation!O106</f>
        <v>54581</v>
      </c>
      <c r="I14" s="9" t="str">
        <f aca="false">IFERROR(INDEX(Valuation!$B$6:$B$105,MATCH(6,Valuation!$Q$6:$Q$105,0)),"")</f>
        <v>LED Tube Light 20W</v>
      </c>
      <c r="J14" s="10" t="n">
        <f aca="false">IFERROR(INDEX(Valuation!$J$6:$J$105,MATCH(6,Valuation!$Q$6:$Q$105,0)),0)</f>
        <v>7600</v>
      </c>
      <c r="K14" s="10" t="n">
        <f aca="false">IFERROR(INDEX(Valuation!$L$6:$L$105,MATCH(6,Valuation!$Q$6:$Q$105,0)),0)</f>
        <v>7380</v>
      </c>
    </row>
    <row r="15" customFormat="false" ht="24" hidden="false" customHeight="true" outlineLevel="0" collapsed="false">
      <c r="E15" s="7" t="s">
        <v>17</v>
      </c>
      <c r="F15" s="13" t="n">
        <f aca="false">COUNTIF('Item Master'!$L$6:$L$105,"Reorder")+COUNTIF('Item Master'!$L$6:$L$105,"Out of stock")</f>
        <v>3</v>
      </c>
      <c r="I15" s="9" t="str">
        <f aca="false">IFERROR(INDEX(Valuation!$B$6:$B$105,MATCH(7,Valuation!$Q$6:$Q$105,0)),"")</f>
        <v/>
      </c>
      <c r="J15" s="9" t="n">
        <f aca="false">IFERROR(INDEX(Valuation!$J$6:$J$105,MATCH(7,Valuation!$Q$6:$Q$105,0)),0)</f>
        <v>0</v>
      </c>
      <c r="K15" s="9" t="n">
        <f aca="false">IFERROR(INDEX(Valuation!$L$6:$L$105,MATCH(7,Valuation!$Q$6:$Q$105,0)),0)</f>
        <v>0</v>
      </c>
    </row>
    <row r="16" customFormat="false" ht="15" hidden="false" customHeight="false" outlineLevel="0" collapsed="false">
      <c r="I16" s="9" t="str">
        <f aca="false">IFERROR(INDEX(Valuation!$B$6:$B$105,MATCH(8,Valuation!$Q$6:$Q$105,0)),"")</f>
        <v/>
      </c>
      <c r="J16" s="9" t="n">
        <f aca="false">IFERROR(INDEX(Valuation!$J$6:$J$105,MATCH(8,Valuation!$Q$6:$Q$105,0)),0)</f>
        <v>0</v>
      </c>
      <c r="K16" s="9" t="n">
        <f aca="false">IFERROR(INDEX(Valuation!$L$6:$L$105,MATCH(8,Valuation!$Q$6:$Q$105,0)),0)</f>
        <v>0</v>
      </c>
    </row>
    <row r="17" customFormat="false" ht="15" hidden="false" customHeight="false" outlineLevel="0" collapsed="false">
      <c r="B17" s="14" t="s">
        <v>18</v>
      </c>
      <c r="E17" s="14" t="s">
        <v>19</v>
      </c>
      <c r="I17" s="9" t="str">
        <f aca="false">IFERROR(INDEX(Valuation!$B$6:$B$105,MATCH(9,Valuation!$Q$6:$Q$105,0)),"")</f>
        <v/>
      </c>
      <c r="J17" s="9" t="n">
        <f aca="false">IFERROR(INDEX(Valuation!$J$6:$J$105,MATCH(9,Valuation!$Q$6:$Q$105,0)),0)</f>
        <v>0</v>
      </c>
      <c r="K17" s="9" t="n">
        <f aca="false">IFERROR(INDEX(Valuation!$L$6:$L$105,MATCH(9,Valuation!$Q$6:$Q$105,0)),0)</f>
        <v>0</v>
      </c>
    </row>
    <row r="18" customFormat="false" ht="15" hidden="false" customHeight="false" outlineLevel="0" collapsed="false">
      <c r="B18" s="15" t="str">
        <f aca="false">IFERROR(INDEX('Item Master'!$B$6:$B$105,MATCH(1,'Item Master'!$M$6:$M$105,0))&amp;"  –  "&amp;TEXT(INDEX('Item Master'!$K$6:$K$105,MATCH(1,'Item Master'!$M$6:$M$105,0)),"#,##0")&amp;" "&amp;INDEX('Item Master'!$D$6:$D$105,MATCH(1,'Item Master'!$M$6:$M$105,0))&amp;" left (reorder at "&amp;INDEX('Item Master'!$G$6:$G$105,MATCH(1,'Item Master'!$M$6:$M$105,0))&amp;")",IF(0=0,"✔ Nothing to reorder",""))</f>
        <v>Ceiling Fan 1200 mm  –  9 Pcs left (reorder at 10)</v>
      </c>
      <c r="C18" s="15"/>
      <c r="E18" s="15" t="str">
        <f aca="false">IF(COUNTIF('Stock Register'!$L$7:$L$506,"⚠*")&gt;0,"⚠ "&amp;COUNTIF('Stock Register'!$L$7:$L$506,"⚠*")&amp;" register row(s) need attention.","✔ All register rows are complete.")</f>
        <v>✔ All register rows are complete.</v>
      </c>
      <c r="F18" s="15"/>
      <c r="I18" s="9" t="str">
        <f aca="false">IFERROR(INDEX(Valuation!$B$6:$B$105,MATCH(10,Valuation!$Q$6:$Q$105,0)),"")</f>
        <v/>
      </c>
      <c r="J18" s="9" t="n">
        <f aca="false">IFERROR(INDEX(Valuation!$J$6:$J$105,MATCH(10,Valuation!$Q$6:$Q$105,0)),0)</f>
        <v>0</v>
      </c>
      <c r="K18" s="9" t="n">
        <f aca="false">IFERROR(INDEX(Valuation!$L$6:$L$105,MATCH(10,Valuation!$Q$6:$Q$105,0)),0)</f>
        <v>0</v>
      </c>
    </row>
    <row r="19" customFormat="false" ht="15" hidden="false" customHeight="false" outlineLevel="0" collapsed="false">
      <c r="B19" s="15" t="str">
        <f aca="false">IFERROR(INDEX('Item Master'!$B$6:$B$105,MATCH(2,'Item Master'!$M$6:$M$105,0))&amp;"  –  "&amp;TEXT(INDEX('Item Master'!$K$6:$K$105,MATCH(2,'Item Master'!$M$6:$M$105,0)),"#,##0")&amp;" "&amp;INDEX('Item Master'!$D$6:$D$105,MATCH(2,'Item Master'!$M$6:$M$105,0))&amp;" left (reorder at "&amp;INDEX('Item Master'!$G$6:$G$105,MATCH(2,'Item Master'!$M$6:$M$105,0))&amp;")",IF(1=0,"✔ Nothing to reorder",""))</f>
        <v>MCB 32A Single Pole  –  35 Pcs left (reorder at 40)</v>
      </c>
      <c r="C19" s="15"/>
      <c r="E19" s="15" t="str">
        <f aca="false">IF(COUNTIF('Item Master'!$L$6:$L$105,"⚠*")&gt;0,"⚠ "&amp;COUNTIF('Item Master'!$L$6:$L$105,"⚠*")&amp;" item(s) with duplicate code or negative stock.","✔ No negative stock or duplicate codes.")</f>
        <v>✔ No negative stock or duplicate codes.</v>
      </c>
      <c r="F19" s="15"/>
    </row>
    <row r="20" customFormat="false" ht="15" hidden="false" customHeight="false" outlineLevel="0" collapsed="false">
      <c r="B20" s="15" t="str">
        <f aca="false">IFERROR(INDEX('Item Master'!$B$6:$B$105,MATCH(3,'Item Master'!$M$6:$M$105,0))&amp;"  –  "&amp;TEXT(INDEX('Item Master'!$K$6:$K$105,MATCH(3,'Item Master'!$M$6:$M$105,0)),"#,##0")&amp;" "&amp;INDEX('Item Master'!$D$6:$D$105,MATCH(3,'Item Master'!$M$6:$M$105,0))&amp;" left (reorder at "&amp;INDEX('Item Master'!$G$6:$G$105,MATCH(3,'Item Master'!$M$6:$M$105,0))&amp;")",IF(2=0,"✔ Nothing to reorder",""))</f>
        <v>Extension Board 4-way  –  6 Pcs left (reorder at 25)</v>
      </c>
      <c r="C20" s="15"/>
      <c r="E20" s="15" t="str">
        <f aca="false">IF(COUNTIF('Stock Register'!$L$7:$L$506,"Outside period")&gt;0,COUNTIF('Stock Register'!$L$7:$L$506,"Outside period")&amp;" entr(ies) dated outside the period.","✔ All entries are inside the period.")</f>
        <v>✔ All entries are inside the period.</v>
      </c>
      <c r="F20" s="15"/>
    </row>
    <row r="21" customFormat="false" ht="15" hidden="false" customHeight="false" outlineLevel="0" collapsed="false">
      <c r="B21" s="15" t="str">
        <f aca="false">IFERROR(INDEX('Item Master'!$B$6:$B$105,MATCH(4,'Item Master'!$M$6:$M$105,0))&amp;"  –  "&amp;TEXT(INDEX('Item Master'!$K$6:$K$105,MATCH(4,'Item Master'!$M$6:$M$105,0)),"#,##0")&amp;" "&amp;INDEX('Item Master'!$D$6:$D$105,MATCH(4,'Item Master'!$M$6:$M$105,0))&amp;" left (reorder at "&amp;INDEX('Item Master'!$G$6:$G$105,MATCH(4,'Item Master'!$M$6:$M$105,0))&amp;")",IF(3=0,"✔ Nothing to reorder",""))</f>
        <v/>
      </c>
      <c r="C21" s="15"/>
    </row>
    <row r="22" customFormat="false" ht="15" hidden="false" customHeight="false" outlineLevel="0" collapsed="false">
      <c r="B22" s="15" t="str">
        <f aca="false">IFERROR(INDEX('Item Master'!$B$6:$B$105,MATCH(5,'Item Master'!$M$6:$M$105,0))&amp;"  –  "&amp;TEXT(INDEX('Item Master'!$K$6:$K$105,MATCH(5,'Item Master'!$M$6:$M$105,0)),"#,##0")&amp;" "&amp;INDEX('Item Master'!$D$6:$D$105,MATCH(5,'Item Master'!$M$6:$M$105,0))&amp;" left (reorder at "&amp;INDEX('Item Master'!$G$6:$G$105,MATCH(5,'Item Master'!$M$6:$M$105,0))&amp;")",IF(4=0,"✔ Nothing to reorder",""))</f>
        <v/>
      </c>
      <c r="C22" s="15"/>
    </row>
    <row r="23" customFormat="false" ht="15" hidden="false" customHeight="false" outlineLevel="0" collapsed="false">
      <c r="B23" s="15" t="str">
        <f aca="false">IFERROR(INDEX('Item Master'!$B$6:$B$105,MATCH(6,'Item Master'!$M$6:$M$105,0))&amp;"  –  "&amp;TEXT(INDEX('Item Master'!$K$6:$K$105,MATCH(6,'Item Master'!$M$6:$M$105,0)),"#,##0")&amp;" "&amp;INDEX('Item Master'!$D$6:$D$105,MATCH(6,'Item Master'!$M$6:$M$105,0))&amp;" left (reorder at "&amp;INDEX('Item Master'!$G$6:$G$105,MATCH(6,'Item Master'!$M$6:$M$105,0))&amp;")",IF(5=0,"✔ Nothing to reorder",""))</f>
        <v/>
      </c>
      <c r="C23" s="15"/>
    </row>
    <row r="44" customFormat="false" ht="15" hidden="false" customHeight="false" outlineLevel="0" collapsed="false">
      <c r="E44" s="16" t="s">
        <v>20</v>
      </c>
    </row>
    <row r="47" customFormat="false" ht="15" hidden="false" customHeight="false" outlineLevel="0" collapsed="false">
      <c r="F47" s="17" t="s">
        <v>21</v>
      </c>
    </row>
  </sheetData>
  <sheetProtection sheet="1" objects="1" scenarios="1" formatColumns="0" formatRows="0" algorithmName="SHA-512" hashValue="enmbY8CwKQqj69jT0JuE4Oizz9zgkVWX4sPqmHOoxJ+uVQO44MfV8ck55iS28dClMs7s1XVILRLedkGiADjsFQ==" saltValue="Z0WF1VVZEx3N2dtn8Ool0A==" spinCount="100000"/>
  <mergeCells count="11">
    <mergeCell ref="B5:F5"/>
    <mergeCell ref="B6:F6"/>
    <mergeCell ref="B18:C18"/>
    <mergeCell ref="E18:F18"/>
    <mergeCell ref="B19:C19"/>
    <mergeCell ref="E19:F19"/>
    <mergeCell ref="B20:C20"/>
    <mergeCell ref="E20:F20"/>
    <mergeCell ref="B21:C21"/>
    <mergeCell ref="B22:C22"/>
    <mergeCell ref="B23:C23"/>
  </mergeCells>
  <hyperlinks>
    <hyperlink ref="F47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8" t="s">
        <v>22</v>
      </c>
    </row>
    <row r="2" customFormat="false" ht="22.05" hidden="false" customHeight="false" outlineLevel="0" collapsed="false">
      <c r="A2" s="19" t="s">
        <v>23</v>
      </c>
    </row>
    <row r="3" customFormat="false" ht="15" hidden="false" customHeight="false" outlineLevel="0" collapsed="false">
      <c r="A3" s="20" t="n">
        <v>1</v>
      </c>
      <c r="B3" s="21" t="s">
        <v>24</v>
      </c>
    </row>
    <row r="4" customFormat="false" ht="15" hidden="false" customHeight="false" outlineLevel="0" collapsed="false">
      <c r="A4" s="20" t="n">
        <v>2</v>
      </c>
      <c r="B4" s="21" t="s">
        <v>25</v>
      </c>
    </row>
    <row r="5" customFormat="false" ht="15" hidden="false" customHeight="false" outlineLevel="0" collapsed="false">
      <c r="A5" s="20" t="n">
        <v>3</v>
      </c>
      <c r="B5" s="21" t="s">
        <v>26</v>
      </c>
    </row>
    <row r="6" customFormat="false" ht="28.35" hidden="false" customHeight="false" outlineLevel="0" collapsed="false">
      <c r="A6" s="20" t="n">
        <v>4</v>
      </c>
      <c r="B6" s="21" t="s">
        <v>27</v>
      </c>
    </row>
    <row r="7" customFormat="false" ht="15" hidden="false" customHeight="false" outlineLevel="0" collapsed="false">
      <c r="A7" s="20" t="n">
        <v>5</v>
      </c>
      <c r="B7" s="21" t="s">
        <v>28</v>
      </c>
    </row>
    <row r="8" customFormat="false" ht="15" hidden="false" customHeight="false" outlineLevel="0" collapsed="false">
      <c r="A8" s="20" t="n">
        <v>6</v>
      </c>
      <c r="B8" s="21" t="s">
        <v>29</v>
      </c>
    </row>
    <row r="9" customFormat="false" ht="15" hidden="false" customHeight="false" outlineLevel="0" collapsed="false">
      <c r="A9" s="20" t="n">
        <v>7</v>
      </c>
      <c r="B9" s="21" t="s">
        <v>30</v>
      </c>
    </row>
    <row r="10" customFormat="false" ht="28.35" hidden="false" customHeight="false" outlineLevel="0" collapsed="false">
      <c r="A10" s="20" t="n">
        <v>8</v>
      </c>
      <c r="B10" s="21" t="s">
        <v>31</v>
      </c>
    </row>
    <row r="12" customFormat="false" ht="19.7" hidden="false" customHeight="false" outlineLevel="0" collapsed="false">
      <c r="A12" s="22" t="s">
        <v>32</v>
      </c>
      <c r="B12" s="22"/>
    </row>
    <row r="13" customFormat="false" ht="15" hidden="false" customHeight="false" outlineLevel="0" collapsed="false">
      <c r="A13" s="23" t="s">
        <v>33</v>
      </c>
      <c r="B13" s="24" t="s">
        <v>34</v>
      </c>
    </row>
    <row r="14" customFormat="false" ht="15" hidden="false" customHeight="false" outlineLevel="0" collapsed="false">
      <c r="A14" s="23" t="s">
        <v>35</v>
      </c>
      <c r="B14" s="24" t="s">
        <v>36</v>
      </c>
    </row>
    <row r="15" customFormat="false" ht="15" hidden="false" customHeight="false" outlineLevel="0" collapsed="false">
      <c r="A15" s="23" t="s">
        <v>37</v>
      </c>
      <c r="B15" s="24" t="s">
        <v>38</v>
      </c>
    </row>
    <row r="16" customFormat="false" ht="28.35" hidden="false" customHeight="false" outlineLevel="0" collapsed="false">
      <c r="A16" s="23" t="s">
        <v>39</v>
      </c>
      <c r="B16" s="24" t="s">
        <v>40</v>
      </c>
    </row>
    <row r="18" customFormat="false" ht="23.85" hidden="false" customHeight="false" outlineLevel="0" collapsed="false">
      <c r="B18" s="25" t="s">
        <v>41</v>
      </c>
    </row>
  </sheetData>
  <sheetProtection sheet="1" objects="1" scenarios="1" formatColumns="0" formatRows="0" algorithmName="SHA-512" hashValue="tNxj1KjCXL73q/Zd2HZKz98byYQqKi5/QFs86R1qBy6PA/nAAZsggY+CfLEHTwhi1WVuLornHJpm+eonDEmjYQ==" saltValue="HHomlp2k3lzBrQdq+2HPXw==" spinCount="100000"/>
  <mergeCells count="1">
    <mergeCell ref="A12:B12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44"/>
  </cols>
  <sheetData>
    <row r="1" customFormat="false" ht="15" hidden="false" customHeight="false" outlineLevel="0" collapsed="false">
      <c r="A1" s="18" t="s">
        <v>22</v>
      </c>
    </row>
    <row r="2" customFormat="false" ht="31.5" hidden="false" customHeight="true" outlineLevel="0" collapsed="false">
      <c r="A2" s="26" t="s">
        <v>42</v>
      </c>
      <c r="B2" s="26"/>
      <c r="C2" s="26"/>
      <c r="D2" s="26"/>
    </row>
    <row r="4" customFormat="false" ht="21.75" hidden="false" customHeight="true" outlineLevel="0" collapsed="false">
      <c r="A4" s="27" t="s">
        <v>43</v>
      </c>
      <c r="B4" s="27"/>
      <c r="C4" s="78" t="s">
        <v>44</v>
      </c>
    </row>
    <row r="5" customFormat="false" ht="21.75" hidden="false" customHeight="true" outlineLevel="0" collapsed="false">
      <c r="A5" s="27" t="s">
        <v>45</v>
      </c>
      <c r="B5" s="27"/>
      <c r="C5" s="78" t="s">
        <v>46</v>
      </c>
    </row>
    <row r="6" customFormat="false" ht="21.75" hidden="false" customHeight="true" outlineLevel="0" collapsed="false">
      <c r="A6" s="27" t="s">
        <v>47</v>
      </c>
      <c r="B6" s="27"/>
      <c r="C6" s="79" t="n">
        <v>46296</v>
      </c>
    </row>
    <row r="7" customFormat="false" ht="21.75" hidden="false" customHeight="true" outlineLevel="0" collapsed="false">
      <c r="A7" s="27" t="s">
        <v>48</v>
      </c>
      <c r="B7" s="27"/>
      <c r="C7" s="79" t="n">
        <v>46326</v>
      </c>
    </row>
    <row r="9" customFormat="false" ht="15" hidden="false" customHeight="false" outlineLevel="0" collapsed="false">
      <c r="A9" s="3" t="s">
        <v>49</v>
      </c>
    </row>
    <row r="10" customFormat="false" ht="27.75" hidden="false" customHeight="true" outlineLevel="0" collapsed="false">
      <c r="A10" s="30" t="s">
        <v>50</v>
      </c>
      <c r="B10" s="30"/>
      <c r="C10" s="30"/>
      <c r="D10" s="30"/>
    </row>
    <row r="11" customFormat="false" ht="27.75" hidden="false" customHeight="true" outlineLevel="0" collapsed="false">
      <c r="A11" s="30" t="s">
        <v>51</v>
      </c>
      <c r="B11" s="30"/>
      <c r="C11" s="30"/>
      <c r="D11" s="30"/>
    </row>
    <row r="12" customFormat="false" ht="27.75" hidden="false" customHeight="true" outlineLevel="0" collapsed="false">
      <c r="A12" s="30" t="s">
        <v>52</v>
      </c>
      <c r="B12" s="30"/>
      <c r="C12" s="30"/>
      <c r="D12" s="30"/>
    </row>
    <row r="15" customFormat="false" ht="15" hidden="false" customHeight="false" outlineLevel="0" collapsed="false">
      <c r="B15" s="31" t="s">
        <v>20</v>
      </c>
    </row>
  </sheetData>
  <sheetProtection sheet="1" objects="1" scenarios="1" formatColumns="0" formatRows="0" algorithmName="SHA-512" hashValue="ts7JQikZikrP5Nsdt4KJpTgxJoWXwiBif1Fq5FTgm9DtnsXZh+P0Yq0JdhUsdl+OQFhRxrVt/ioyipxYGgRmRw==" saltValue="hJId5djKV6GRynlMsAdbHA==" spinCount="100000"/>
  <mergeCells count="8">
    <mergeCell ref="A2:D2"/>
    <mergeCell ref="A4:B4"/>
    <mergeCell ref="A5:B5"/>
    <mergeCell ref="A6:B6"/>
    <mergeCell ref="A7:B7"/>
    <mergeCell ref="A10:D10"/>
    <mergeCell ref="A11:D11"/>
    <mergeCell ref="A12:D12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M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10" min="9" style="0" width="10"/>
    <col collapsed="false" customWidth="true" hidden="false" outlineLevel="0" max="11" min="11" style="0" width="11"/>
    <col collapsed="false" customWidth="true" hidden="false" outlineLevel="0" max="12" min="12" style="0" width="17"/>
    <col collapsed="false" customWidth="true" hidden="true" outlineLevel="0" max="13" min="13" style="0" width="13"/>
  </cols>
  <sheetData>
    <row r="1" customFormat="false" ht="15" hidden="false" customHeight="false" outlineLevel="0" collapsed="false">
      <c r="A1" s="18" t="s">
        <v>22</v>
      </c>
    </row>
    <row r="2" customFormat="false" ht="27.75" hidden="false" customHeight="true" outlineLevel="0" collapsed="false">
      <c r="A2" s="32" t="str">
        <f aca="false">"Item Master – "&amp;Setup!$C$4</f>
        <v>Item Master – M/s Xplore Electricals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customFormat="false" ht="15" hidden="false" customHeight="false" outlineLevel="0" collapsed="false">
      <c r="A3" s="33" t="s">
        <v>53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5" customFormat="false" ht="39.75" hidden="false" customHeight="true" outlineLevel="0" collapsed="false">
      <c r="A5" s="34" t="s">
        <v>54</v>
      </c>
      <c r="B5" s="34" t="s">
        <v>55</v>
      </c>
      <c r="C5" s="34" t="s">
        <v>56</v>
      </c>
      <c r="D5" s="34" t="s">
        <v>57</v>
      </c>
      <c r="E5" s="34" t="s">
        <v>58</v>
      </c>
      <c r="F5" s="34" t="s">
        <v>59</v>
      </c>
      <c r="G5" s="34" t="s">
        <v>60</v>
      </c>
      <c r="H5" s="35" t="s">
        <v>61</v>
      </c>
      <c r="I5" s="35" t="s">
        <v>62</v>
      </c>
      <c r="J5" s="35" t="s">
        <v>63</v>
      </c>
      <c r="K5" s="35" t="s">
        <v>64</v>
      </c>
      <c r="L5" s="35" t="s">
        <v>65</v>
      </c>
    </row>
    <row r="6" customFormat="false" ht="15" hidden="false" customHeight="false" outlineLevel="0" collapsed="false">
      <c r="A6" s="80" t="s">
        <v>66</v>
      </c>
      <c r="B6" s="81" t="s">
        <v>67</v>
      </c>
      <c r="C6" s="81" t="s">
        <v>68</v>
      </c>
      <c r="D6" s="82" t="s">
        <v>69</v>
      </c>
      <c r="E6" s="83" t="n">
        <v>200</v>
      </c>
      <c r="F6" s="84" t="n">
        <v>55</v>
      </c>
      <c r="G6" s="83" t="n">
        <v>100</v>
      </c>
      <c r="H6" s="41" t="n">
        <f aca="false">IF(A6="","",N(E6)*N(F6))</f>
        <v>11000</v>
      </c>
      <c r="I6" s="42" t="n">
        <f aca="false">IF(A6="","",SUMIFS('Stock Register'!$F$7:$F$506,'Stock Register'!$C$7:$C$506,A6,'Stock Register'!$E$7:$E$506,"In"))</f>
        <v>500</v>
      </c>
      <c r="J6" s="42" t="n">
        <f aca="false">IF(A6="","",SUMIFS('Stock Register'!$F$7:$F$506,'Stock Register'!$C$7:$C$506,A6,'Stock Register'!$E$7:$E$506,"Out"))</f>
        <v>550</v>
      </c>
      <c r="K6" s="43" t="n">
        <f aca="false">IF(A6="","",N(E6)+I6-J6)</f>
        <v>150</v>
      </c>
      <c r="L6" s="44" t="str">
        <f aca="false">IF(A6="","",IF(COUNTIF($A$6:$A$105,A6)&gt;1,"⚠ Duplicate code",IF(K6&lt;0,"⚠ Negative stock",IF(K6=0,"Out of stock",IF(K6&lt;=N(G6),"Reorder","✔ OK")))))</f>
        <v>✔ OK</v>
      </c>
      <c r="M6" s="9" t="str">
        <f aca="false">IF(AND(A6&lt;&gt;"",OR(L6="Reorder",L6="Out of stock",L6="⚠ Negative stock")),COUNTIF($L$6:L6,"Reorder")+COUNTIF($L$6:L6,"Out of stock")+COUNTIF($L$6:L6,"⚠ Negative stock"),"")</f>
        <v/>
      </c>
    </row>
    <row r="7" customFormat="false" ht="15" hidden="false" customHeight="false" outlineLevel="0" collapsed="false">
      <c r="A7" s="80" t="s">
        <v>70</v>
      </c>
      <c r="B7" s="81" t="s">
        <v>71</v>
      </c>
      <c r="C7" s="81" t="s">
        <v>72</v>
      </c>
      <c r="D7" s="82" t="s">
        <v>69</v>
      </c>
      <c r="E7" s="83" t="n">
        <v>20</v>
      </c>
      <c r="F7" s="84" t="n">
        <v>1450</v>
      </c>
      <c r="G7" s="83" t="n">
        <v>10</v>
      </c>
      <c r="H7" s="41" t="n">
        <f aca="false">IF(A7="","",N(E7)*N(F7))</f>
        <v>29000</v>
      </c>
      <c r="I7" s="42" t="n">
        <f aca="false">IF(A7="","",SUMIFS('Stock Register'!$F$7:$F$506,'Stock Register'!$C$7:$C$506,A7,'Stock Register'!$E$7:$E$506,"In"))</f>
        <v>15</v>
      </c>
      <c r="J7" s="42" t="n">
        <f aca="false">IF(A7="","",SUMIFS('Stock Register'!$F$7:$F$506,'Stock Register'!$C$7:$C$506,A7,'Stock Register'!$E$7:$E$506,"Out"))</f>
        <v>26</v>
      </c>
      <c r="K7" s="43" t="n">
        <f aca="false">IF(A7="","",N(E7)+I7-J7)</f>
        <v>9</v>
      </c>
      <c r="L7" s="44" t="str">
        <f aca="false">IF(A7="","",IF(COUNTIF($A$6:$A$105,A7)&gt;1,"⚠ Duplicate code",IF(K7&lt;0,"⚠ Negative stock",IF(K7=0,"Out of stock",IF(K7&lt;=N(G7),"Reorder","✔ OK")))))</f>
        <v>Reorder</v>
      </c>
      <c r="M7" s="9" t="n">
        <f aca="false">IF(AND(A7&lt;&gt;"",OR(L7="Reorder",L7="Out of stock",L7="⚠ Negative stock")),COUNTIF($L$6:L7,"Reorder")+COUNTIF($L$6:L7,"Out of stock")+COUNTIF($L$6:L7,"⚠ Negative stock"),"")</f>
        <v>1</v>
      </c>
    </row>
    <row r="8" customFormat="false" ht="15" hidden="false" customHeight="false" outlineLevel="0" collapsed="false">
      <c r="A8" s="80" t="s">
        <v>73</v>
      </c>
      <c r="B8" s="81" t="s">
        <v>74</v>
      </c>
      <c r="C8" s="81" t="s">
        <v>75</v>
      </c>
      <c r="D8" s="82" t="s">
        <v>76</v>
      </c>
      <c r="E8" s="83" t="n">
        <v>30</v>
      </c>
      <c r="F8" s="84" t="n">
        <v>1250</v>
      </c>
      <c r="G8" s="83" t="n">
        <v>15</v>
      </c>
      <c r="H8" s="41" t="n">
        <f aca="false">IF(A8="","",N(E8)*N(F8))</f>
        <v>37500</v>
      </c>
      <c r="I8" s="42" t="n">
        <f aca="false">IF(A8="","",SUMIFS('Stock Register'!$F$7:$F$506,'Stock Register'!$C$7:$C$506,A8,'Stock Register'!$E$7:$E$506,"In"))</f>
        <v>35</v>
      </c>
      <c r="J8" s="42" t="n">
        <f aca="false">IF(A8="","",SUMIFS('Stock Register'!$F$7:$F$506,'Stock Register'!$C$7:$C$506,A8,'Stock Register'!$E$7:$E$506,"Out"))</f>
        <v>37</v>
      </c>
      <c r="K8" s="43" t="n">
        <f aca="false">IF(A8="","",N(E8)+I8-J8)</f>
        <v>28</v>
      </c>
      <c r="L8" s="44" t="str">
        <f aca="false">IF(A8="","",IF(COUNTIF($A$6:$A$105,A8)&gt;1,"⚠ Duplicate code",IF(K8&lt;0,"⚠ Negative stock",IF(K8=0,"Out of stock",IF(K8&lt;=N(G8),"Reorder","✔ OK")))))</f>
        <v>✔ OK</v>
      </c>
      <c r="M8" s="9" t="str">
        <f aca="false">IF(AND(A8&lt;&gt;"",OR(L8="Reorder",L8="Out of stock",L8="⚠ Negative stock")),COUNTIF($L$6:L8,"Reorder")+COUNTIF($L$6:L8,"Out of stock")+COUNTIF($L$6:L8,"⚠ Negative stock"),"")</f>
        <v/>
      </c>
    </row>
    <row r="9" customFormat="false" ht="15" hidden="false" customHeight="false" outlineLevel="0" collapsed="false">
      <c r="A9" s="80" t="s">
        <v>77</v>
      </c>
      <c r="B9" s="81" t="s">
        <v>78</v>
      </c>
      <c r="C9" s="81" t="s">
        <v>79</v>
      </c>
      <c r="D9" s="82" t="s">
        <v>69</v>
      </c>
      <c r="E9" s="83" t="n">
        <v>50</v>
      </c>
      <c r="F9" s="84" t="n">
        <v>180</v>
      </c>
      <c r="G9" s="83" t="n">
        <v>40</v>
      </c>
      <c r="H9" s="41" t="n">
        <f aca="false">IF(A9="","",N(E9)*N(F9))</f>
        <v>9000</v>
      </c>
      <c r="I9" s="42" t="n">
        <f aca="false">IF(A9="","",SUMIFS('Stock Register'!$F$7:$F$506,'Stock Register'!$C$7:$C$506,A9,'Stock Register'!$E$7:$E$506,"In"))</f>
        <v>60</v>
      </c>
      <c r="J9" s="42" t="n">
        <f aca="false">IF(A9="","",SUMIFS('Stock Register'!$F$7:$F$506,'Stock Register'!$C$7:$C$506,A9,'Stock Register'!$E$7:$E$506,"Out"))</f>
        <v>75</v>
      </c>
      <c r="K9" s="43" t="n">
        <f aca="false">IF(A9="","",N(E9)+I9-J9)</f>
        <v>35</v>
      </c>
      <c r="L9" s="44" t="str">
        <f aca="false">IF(A9="","",IF(COUNTIF($A$6:$A$105,A9)&gt;1,"⚠ Duplicate code",IF(K9&lt;0,"⚠ Negative stock",IF(K9=0,"Out of stock",IF(K9&lt;=N(G9),"Reorder","✔ OK")))))</f>
        <v>Reorder</v>
      </c>
      <c r="M9" s="9" t="n">
        <f aca="false">IF(AND(A9&lt;&gt;"",OR(L9="Reorder",L9="Out of stock",L9="⚠ Negative stock")),COUNTIF($L$6:L9,"Reorder")+COUNTIF($L$6:L9,"Out of stock")+COUNTIF($L$6:L9,"⚠ Negative stock"),"")</f>
        <v>2</v>
      </c>
    </row>
    <row r="10" customFormat="false" ht="15" hidden="false" customHeight="false" outlineLevel="0" collapsed="false">
      <c r="A10" s="80" t="s">
        <v>80</v>
      </c>
      <c r="B10" s="81" t="s">
        <v>81</v>
      </c>
      <c r="C10" s="81" t="s">
        <v>82</v>
      </c>
      <c r="D10" s="82" t="s">
        <v>69</v>
      </c>
      <c r="E10" s="83" t="n">
        <v>40</v>
      </c>
      <c r="F10" s="84" t="n">
        <v>210</v>
      </c>
      <c r="G10" s="83" t="n">
        <v>25</v>
      </c>
      <c r="H10" s="41" t="n">
        <f aca="false">IF(A10="","",N(E10)*N(F10))</f>
        <v>8400</v>
      </c>
      <c r="I10" s="42" t="n">
        <f aca="false">IF(A10="","",SUMIFS('Stock Register'!$F$7:$F$506,'Stock Register'!$C$7:$C$506,A10,'Stock Register'!$E$7:$E$506,"In"))</f>
        <v>0</v>
      </c>
      <c r="J10" s="42" t="n">
        <f aca="false">IF(A10="","",SUMIFS('Stock Register'!$F$7:$F$506,'Stock Register'!$C$7:$C$506,A10,'Stock Register'!$E$7:$E$506,"Out"))</f>
        <v>34</v>
      </c>
      <c r="K10" s="43" t="n">
        <f aca="false">IF(A10="","",N(E10)+I10-J10)</f>
        <v>6</v>
      </c>
      <c r="L10" s="44" t="str">
        <f aca="false">IF(A10="","",IF(COUNTIF($A$6:$A$105,A10)&gt;1,"⚠ Duplicate code",IF(K10&lt;0,"⚠ Negative stock",IF(K10=0,"Out of stock",IF(K10&lt;=N(G10),"Reorder","✔ OK")))))</f>
        <v>Reorder</v>
      </c>
      <c r="M10" s="9" t="n">
        <f aca="false">IF(AND(A10&lt;&gt;"",OR(L10="Reorder",L10="Out of stock",L10="⚠ Negative stock")),COUNTIF($L$6:L10,"Reorder")+COUNTIF($L$6:L10,"Out of stock")+COUNTIF($L$6:L10,"⚠ Negative stock"),"")</f>
        <v>3</v>
      </c>
    </row>
    <row r="11" customFormat="false" ht="15" hidden="false" customHeight="false" outlineLevel="0" collapsed="false">
      <c r="A11" s="80" t="s">
        <v>83</v>
      </c>
      <c r="B11" s="81" t="s">
        <v>84</v>
      </c>
      <c r="C11" s="81" t="s">
        <v>68</v>
      </c>
      <c r="D11" s="82" t="s">
        <v>69</v>
      </c>
      <c r="E11" s="83" t="n">
        <v>60</v>
      </c>
      <c r="F11" s="84" t="n">
        <v>160</v>
      </c>
      <c r="G11" s="83" t="n">
        <v>30</v>
      </c>
      <c r="H11" s="41" t="n">
        <f aca="false">IF(A11="","",N(E11)*N(F11))</f>
        <v>9600</v>
      </c>
      <c r="I11" s="42" t="n">
        <f aca="false">IF(A11="","",SUMIFS('Stock Register'!$F$7:$F$506,'Stock Register'!$C$7:$C$506,A11,'Stock Register'!$E$7:$E$506,"In"))</f>
        <v>40</v>
      </c>
      <c r="J11" s="42" t="n">
        <f aca="false">IF(A11="","",SUMIFS('Stock Register'!$F$7:$F$506,'Stock Register'!$C$7:$C$506,A11,'Stock Register'!$E$7:$E$506,"Out"))</f>
        <v>55</v>
      </c>
      <c r="K11" s="43" t="n">
        <f aca="false">IF(A11="","",N(E11)+I11-J11)</f>
        <v>45</v>
      </c>
      <c r="L11" s="44" t="str">
        <f aca="false">IF(A11="","",IF(COUNTIF($A$6:$A$105,A11)&gt;1,"⚠ Duplicate code",IF(K11&lt;0,"⚠ Negative stock",IF(K11=0,"Out of stock",IF(K11&lt;=N(G11),"Reorder","✔ OK")))))</f>
        <v>✔ OK</v>
      </c>
      <c r="M11" s="9" t="str">
        <f aca="false">IF(AND(A11&lt;&gt;"",OR(L11="Reorder",L11="Out of stock",L11="⚠ Negative stock")),COUNTIF($L$6:L11,"Reorder")+COUNTIF($L$6:L11,"Out of stock")+COUNTIF($L$6:L11,"⚠ Negative stock"),"")</f>
        <v/>
      </c>
    </row>
    <row r="12" customFormat="false" ht="15" hidden="false" customHeight="false" outlineLevel="0" collapsed="false">
      <c r="A12" s="80"/>
      <c r="B12" s="81"/>
      <c r="C12" s="81"/>
      <c r="D12" s="82"/>
      <c r="E12" s="83"/>
      <c r="F12" s="84"/>
      <c r="G12" s="83"/>
      <c r="H12" s="41" t="str">
        <f aca="false">IF(A12="","",N(E12)*N(F12))</f>
        <v/>
      </c>
      <c r="I12" s="42" t="str">
        <f aca="false">IF(A12="","",SUMIFS('Stock Register'!$F$7:$F$506,'Stock Register'!$C$7:$C$506,A12,'Stock Register'!$E$7:$E$506,"In"))</f>
        <v/>
      </c>
      <c r="J12" s="42" t="str">
        <f aca="false">IF(A12="","",SUMIFS('Stock Register'!$F$7:$F$506,'Stock Register'!$C$7:$C$506,A12,'Stock Register'!$E$7:$E$506,"Out"))</f>
        <v/>
      </c>
      <c r="K12" s="43" t="str">
        <f aca="false">IF(A12="","",N(E12)+I12-J12)</f>
        <v/>
      </c>
      <c r="L12" s="44" t="str">
        <f aca="false">IF(A12="","",IF(COUNTIF($A$6:$A$105,A12)&gt;1,"⚠ Duplicate code",IF(K12&lt;0,"⚠ Negative stock",IF(K12=0,"Out of stock",IF(K12&lt;=N(G12),"Reorder","✔ OK")))))</f>
        <v/>
      </c>
      <c r="M12" s="9" t="str">
        <f aca="false">IF(AND(A12&lt;&gt;"",OR(L12="Reorder",L12="Out of stock",L12="⚠ Negative stock")),COUNTIF($L$6:L12,"Reorder")+COUNTIF($L$6:L12,"Out of stock")+COUNTIF($L$6:L12,"⚠ Negative stock"),"")</f>
        <v/>
      </c>
    </row>
    <row r="13" customFormat="false" ht="15" hidden="false" customHeight="false" outlineLevel="0" collapsed="false">
      <c r="A13" s="80"/>
      <c r="B13" s="81"/>
      <c r="C13" s="81"/>
      <c r="D13" s="82"/>
      <c r="E13" s="83"/>
      <c r="F13" s="84"/>
      <c r="G13" s="83"/>
      <c r="H13" s="41" t="str">
        <f aca="false">IF(A13="","",N(E13)*N(F13))</f>
        <v/>
      </c>
      <c r="I13" s="42" t="str">
        <f aca="false">IF(A13="","",SUMIFS('Stock Register'!$F$7:$F$506,'Stock Register'!$C$7:$C$506,A13,'Stock Register'!$E$7:$E$506,"In"))</f>
        <v/>
      </c>
      <c r="J13" s="42" t="str">
        <f aca="false">IF(A13="","",SUMIFS('Stock Register'!$F$7:$F$506,'Stock Register'!$C$7:$C$506,A13,'Stock Register'!$E$7:$E$506,"Out"))</f>
        <v/>
      </c>
      <c r="K13" s="43" t="str">
        <f aca="false">IF(A13="","",N(E13)+I13-J13)</f>
        <v/>
      </c>
      <c r="L13" s="44" t="str">
        <f aca="false">IF(A13="","",IF(COUNTIF($A$6:$A$105,A13)&gt;1,"⚠ Duplicate code",IF(K13&lt;0,"⚠ Negative stock",IF(K13=0,"Out of stock",IF(K13&lt;=N(G13),"Reorder","✔ OK")))))</f>
        <v/>
      </c>
      <c r="M13" s="9" t="str">
        <f aca="false">IF(AND(A13&lt;&gt;"",OR(L13="Reorder",L13="Out of stock",L13="⚠ Negative stock")),COUNTIF($L$6:L13,"Reorder")+COUNTIF($L$6:L13,"Out of stock")+COUNTIF($L$6:L13,"⚠ Negative stock"),"")</f>
        <v/>
      </c>
    </row>
    <row r="14" customFormat="false" ht="15" hidden="false" customHeight="false" outlineLevel="0" collapsed="false">
      <c r="A14" s="80"/>
      <c r="B14" s="81"/>
      <c r="C14" s="81"/>
      <c r="D14" s="82"/>
      <c r="E14" s="83"/>
      <c r="F14" s="84"/>
      <c r="G14" s="83"/>
      <c r="H14" s="41" t="str">
        <f aca="false">IF(A14="","",N(E14)*N(F14))</f>
        <v/>
      </c>
      <c r="I14" s="42" t="str">
        <f aca="false">IF(A14="","",SUMIFS('Stock Register'!$F$7:$F$506,'Stock Register'!$C$7:$C$506,A14,'Stock Register'!$E$7:$E$506,"In"))</f>
        <v/>
      </c>
      <c r="J14" s="42" t="str">
        <f aca="false">IF(A14="","",SUMIFS('Stock Register'!$F$7:$F$506,'Stock Register'!$C$7:$C$506,A14,'Stock Register'!$E$7:$E$506,"Out"))</f>
        <v/>
      </c>
      <c r="K14" s="43" t="str">
        <f aca="false">IF(A14="","",N(E14)+I14-J14)</f>
        <v/>
      </c>
      <c r="L14" s="44" t="str">
        <f aca="false">IF(A14="","",IF(COUNTIF($A$6:$A$105,A14)&gt;1,"⚠ Duplicate code",IF(K14&lt;0,"⚠ Negative stock",IF(K14=0,"Out of stock",IF(K14&lt;=N(G14),"Reorder","✔ OK")))))</f>
        <v/>
      </c>
      <c r="M14" s="9" t="str">
        <f aca="false">IF(AND(A14&lt;&gt;"",OR(L14="Reorder",L14="Out of stock",L14="⚠ Negative stock")),COUNTIF($L$6:L14,"Reorder")+COUNTIF($L$6:L14,"Out of stock")+COUNTIF($L$6:L14,"⚠ Negative stock"),"")</f>
        <v/>
      </c>
    </row>
    <row r="15" customFormat="false" ht="15" hidden="false" customHeight="false" outlineLevel="0" collapsed="false">
      <c r="A15" s="80"/>
      <c r="B15" s="81"/>
      <c r="C15" s="81"/>
      <c r="D15" s="82"/>
      <c r="E15" s="83"/>
      <c r="F15" s="84"/>
      <c r="G15" s="83"/>
      <c r="H15" s="41" t="str">
        <f aca="false">IF(A15="","",N(E15)*N(F15))</f>
        <v/>
      </c>
      <c r="I15" s="42" t="str">
        <f aca="false">IF(A15="","",SUMIFS('Stock Register'!$F$7:$F$506,'Stock Register'!$C$7:$C$506,A15,'Stock Register'!$E$7:$E$506,"In"))</f>
        <v/>
      </c>
      <c r="J15" s="42" t="str">
        <f aca="false">IF(A15="","",SUMIFS('Stock Register'!$F$7:$F$506,'Stock Register'!$C$7:$C$506,A15,'Stock Register'!$E$7:$E$506,"Out"))</f>
        <v/>
      </c>
      <c r="K15" s="43" t="str">
        <f aca="false">IF(A15="","",N(E15)+I15-J15)</f>
        <v/>
      </c>
      <c r="L15" s="44" t="str">
        <f aca="false">IF(A15="","",IF(COUNTIF($A$6:$A$105,A15)&gt;1,"⚠ Duplicate code",IF(K15&lt;0,"⚠ Negative stock",IF(K15=0,"Out of stock",IF(K15&lt;=N(G15),"Reorder","✔ OK")))))</f>
        <v/>
      </c>
      <c r="M15" s="9" t="str">
        <f aca="false">IF(AND(A15&lt;&gt;"",OR(L15="Reorder",L15="Out of stock",L15="⚠ Negative stock")),COUNTIF($L$6:L15,"Reorder")+COUNTIF($L$6:L15,"Out of stock")+COUNTIF($L$6:L15,"⚠ Negative stock"),"")</f>
        <v/>
      </c>
    </row>
    <row r="16" customFormat="false" ht="15" hidden="false" customHeight="false" outlineLevel="0" collapsed="false">
      <c r="A16" s="80"/>
      <c r="B16" s="81"/>
      <c r="C16" s="81"/>
      <c r="D16" s="82"/>
      <c r="E16" s="83"/>
      <c r="F16" s="84"/>
      <c r="G16" s="83"/>
      <c r="H16" s="41" t="str">
        <f aca="false">IF(A16="","",N(E16)*N(F16))</f>
        <v/>
      </c>
      <c r="I16" s="42" t="str">
        <f aca="false">IF(A16="","",SUMIFS('Stock Register'!$F$7:$F$506,'Stock Register'!$C$7:$C$506,A16,'Stock Register'!$E$7:$E$506,"In"))</f>
        <v/>
      </c>
      <c r="J16" s="42" t="str">
        <f aca="false">IF(A16="","",SUMIFS('Stock Register'!$F$7:$F$506,'Stock Register'!$C$7:$C$506,A16,'Stock Register'!$E$7:$E$506,"Out"))</f>
        <v/>
      </c>
      <c r="K16" s="43" t="str">
        <f aca="false">IF(A16="","",N(E16)+I16-J16)</f>
        <v/>
      </c>
      <c r="L16" s="44" t="str">
        <f aca="false">IF(A16="","",IF(COUNTIF($A$6:$A$105,A16)&gt;1,"⚠ Duplicate code",IF(K16&lt;0,"⚠ Negative stock",IF(K16=0,"Out of stock",IF(K16&lt;=N(G16),"Reorder","✔ OK")))))</f>
        <v/>
      </c>
      <c r="M16" s="9" t="str">
        <f aca="false">IF(AND(A16&lt;&gt;"",OR(L16="Reorder",L16="Out of stock",L16="⚠ Negative stock")),COUNTIF($L$6:L16,"Reorder")+COUNTIF($L$6:L16,"Out of stock")+COUNTIF($L$6:L16,"⚠ Negative stock"),"")</f>
        <v/>
      </c>
    </row>
    <row r="17" customFormat="false" ht="15" hidden="false" customHeight="false" outlineLevel="0" collapsed="false">
      <c r="A17" s="80"/>
      <c r="B17" s="81"/>
      <c r="C17" s="81"/>
      <c r="D17" s="82"/>
      <c r="E17" s="83"/>
      <c r="F17" s="84"/>
      <c r="G17" s="83"/>
      <c r="H17" s="41" t="str">
        <f aca="false">IF(A17="","",N(E17)*N(F17))</f>
        <v/>
      </c>
      <c r="I17" s="42" t="str">
        <f aca="false">IF(A17="","",SUMIFS('Stock Register'!$F$7:$F$506,'Stock Register'!$C$7:$C$506,A17,'Stock Register'!$E$7:$E$506,"In"))</f>
        <v/>
      </c>
      <c r="J17" s="42" t="str">
        <f aca="false">IF(A17="","",SUMIFS('Stock Register'!$F$7:$F$506,'Stock Register'!$C$7:$C$506,A17,'Stock Register'!$E$7:$E$506,"Out"))</f>
        <v/>
      </c>
      <c r="K17" s="43" t="str">
        <f aca="false">IF(A17="","",N(E17)+I17-J17)</f>
        <v/>
      </c>
      <c r="L17" s="44" t="str">
        <f aca="false">IF(A17="","",IF(COUNTIF($A$6:$A$105,A17)&gt;1,"⚠ Duplicate code",IF(K17&lt;0,"⚠ Negative stock",IF(K17=0,"Out of stock",IF(K17&lt;=N(G17),"Reorder","✔ OK")))))</f>
        <v/>
      </c>
      <c r="M17" s="9" t="str">
        <f aca="false">IF(AND(A17&lt;&gt;"",OR(L17="Reorder",L17="Out of stock",L17="⚠ Negative stock")),COUNTIF($L$6:L17,"Reorder")+COUNTIF($L$6:L17,"Out of stock")+COUNTIF($L$6:L17,"⚠ Negative stock"),"")</f>
        <v/>
      </c>
    </row>
    <row r="18" customFormat="false" ht="15" hidden="false" customHeight="false" outlineLevel="0" collapsed="false">
      <c r="A18" s="80"/>
      <c r="B18" s="81"/>
      <c r="C18" s="81"/>
      <c r="D18" s="82"/>
      <c r="E18" s="83"/>
      <c r="F18" s="84"/>
      <c r="G18" s="83"/>
      <c r="H18" s="41" t="str">
        <f aca="false">IF(A18="","",N(E18)*N(F18))</f>
        <v/>
      </c>
      <c r="I18" s="42" t="str">
        <f aca="false">IF(A18="","",SUMIFS('Stock Register'!$F$7:$F$506,'Stock Register'!$C$7:$C$506,A18,'Stock Register'!$E$7:$E$506,"In"))</f>
        <v/>
      </c>
      <c r="J18" s="42" t="str">
        <f aca="false">IF(A18="","",SUMIFS('Stock Register'!$F$7:$F$506,'Stock Register'!$C$7:$C$506,A18,'Stock Register'!$E$7:$E$506,"Out"))</f>
        <v/>
      </c>
      <c r="K18" s="43" t="str">
        <f aca="false">IF(A18="","",N(E18)+I18-J18)</f>
        <v/>
      </c>
      <c r="L18" s="44" t="str">
        <f aca="false">IF(A18="","",IF(COUNTIF($A$6:$A$105,A18)&gt;1,"⚠ Duplicate code",IF(K18&lt;0,"⚠ Negative stock",IF(K18=0,"Out of stock",IF(K18&lt;=N(G18),"Reorder","✔ OK")))))</f>
        <v/>
      </c>
      <c r="M18" s="9" t="str">
        <f aca="false">IF(AND(A18&lt;&gt;"",OR(L18="Reorder",L18="Out of stock",L18="⚠ Negative stock")),COUNTIF($L$6:L18,"Reorder")+COUNTIF($L$6:L18,"Out of stock")+COUNTIF($L$6:L18,"⚠ Negative stock"),"")</f>
        <v/>
      </c>
    </row>
    <row r="19" customFormat="false" ht="15" hidden="false" customHeight="false" outlineLevel="0" collapsed="false">
      <c r="A19" s="80"/>
      <c r="B19" s="81"/>
      <c r="C19" s="81"/>
      <c r="D19" s="82"/>
      <c r="E19" s="83"/>
      <c r="F19" s="84"/>
      <c r="G19" s="83"/>
      <c r="H19" s="41" t="str">
        <f aca="false">IF(A19="","",N(E19)*N(F19))</f>
        <v/>
      </c>
      <c r="I19" s="42" t="str">
        <f aca="false">IF(A19="","",SUMIFS('Stock Register'!$F$7:$F$506,'Stock Register'!$C$7:$C$506,A19,'Stock Register'!$E$7:$E$506,"In"))</f>
        <v/>
      </c>
      <c r="J19" s="42" t="str">
        <f aca="false">IF(A19="","",SUMIFS('Stock Register'!$F$7:$F$506,'Stock Register'!$C$7:$C$506,A19,'Stock Register'!$E$7:$E$506,"Out"))</f>
        <v/>
      </c>
      <c r="K19" s="43" t="str">
        <f aca="false">IF(A19="","",N(E19)+I19-J19)</f>
        <v/>
      </c>
      <c r="L19" s="44" t="str">
        <f aca="false">IF(A19="","",IF(COUNTIF($A$6:$A$105,A19)&gt;1,"⚠ Duplicate code",IF(K19&lt;0,"⚠ Negative stock",IF(K19=0,"Out of stock",IF(K19&lt;=N(G19),"Reorder","✔ OK")))))</f>
        <v/>
      </c>
      <c r="M19" s="9" t="str">
        <f aca="false">IF(AND(A19&lt;&gt;"",OR(L19="Reorder",L19="Out of stock",L19="⚠ Negative stock")),COUNTIF($L$6:L19,"Reorder")+COUNTIF($L$6:L19,"Out of stock")+COUNTIF($L$6:L19,"⚠ Negative stock"),"")</f>
        <v/>
      </c>
    </row>
    <row r="20" customFormat="false" ht="15" hidden="false" customHeight="false" outlineLevel="0" collapsed="false">
      <c r="A20" s="80"/>
      <c r="B20" s="81"/>
      <c r="C20" s="81"/>
      <c r="D20" s="82"/>
      <c r="E20" s="83"/>
      <c r="F20" s="84"/>
      <c r="G20" s="83"/>
      <c r="H20" s="41" t="str">
        <f aca="false">IF(A20="","",N(E20)*N(F20))</f>
        <v/>
      </c>
      <c r="I20" s="42" t="str">
        <f aca="false">IF(A20="","",SUMIFS('Stock Register'!$F$7:$F$506,'Stock Register'!$C$7:$C$506,A20,'Stock Register'!$E$7:$E$506,"In"))</f>
        <v/>
      </c>
      <c r="J20" s="42" t="str">
        <f aca="false">IF(A20="","",SUMIFS('Stock Register'!$F$7:$F$506,'Stock Register'!$C$7:$C$506,A20,'Stock Register'!$E$7:$E$506,"Out"))</f>
        <v/>
      </c>
      <c r="K20" s="43" t="str">
        <f aca="false">IF(A20="","",N(E20)+I20-J20)</f>
        <v/>
      </c>
      <c r="L20" s="44" t="str">
        <f aca="false">IF(A20="","",IF(COUNTIF($A$6:$A$105,A20)&gt;1,"⚠ Duplicate code",IF(K20&lt;0,"⚠ Negative stock",IF(K20=0,"Out of stock",IF(K20&lt;=N(G20),"Reorder","✔ OK")))))</f>
        <v/>
      </c>
      <c r="M20" s="9" t="str">
        <f aca="false">IF(AND(A20&lt;&gt;"",OR(L20="Reorder",L20="Out of stock",L20="⚠ Negative stock")),COUNTIF($L$6:L20,"Reorder")+COUNTIF($L$6:L20,"Out of stock")+COUNTIF($L$6:L20,"⚠ Negative stock"),"")</f>
        <v/>
      </c>
    </row>
    <row r="21" customFormat="false" ht="15" hidden="false" customHeight="false" outlineLevel="0" collapsed="false">
      <c r="A21" s="80"/>
      <c r="B21" s="81"/>
      <c r="C21" s="81"/>
      <c r="D21" s="82"/>
      <c r="E21" s="83"/>
      <c r="F21" s="84"/>
      <c r="G21" s="83"/>
      <c r="H21" s="41" t="str">
        <f aca="false">IF(A21="","",N(E21)*N(F21))</f>
        <v/>
      </c>
      <c r="I21" s="42" t="str">
        <f aca="false">IF(A21="","",SUMIFS('Stock Register'!$F$7:$F$506,'Stock Register'!$C$7:$C$506,A21,'Stock Register'!$E$7:$E$506,"In"))</f>
        <v/>
      </c>
      <c r="J21" s="42" t="str">
        <f aca="false">IF(A21="","",SUMIFS('Stock Register'!$F$7:$F$506,'Stock Register'!$C$7:$C$506,A21,'Stock Register'!$E$7:$E$506,"Out"))</f>
        <v/>
      </c>
      <c r="K21" s="43" t="str">
        <f aca="false">IF(A21="","",N(E21)+I21-J21)</f>
        <v/>
      </c>
      <c r="L21" s="44" t="str">
        <f aca="false">IF(A21="","",IF(COUNTIF($A$6:$A$105,A21)&gt;1,"⚠ Duplicate code",IF(K21&lt;0,"⚠ Negative stock",IF(K21=0,"Out of stock",IF(K21&lt;=N(G21),"Reorder","✔ OK")))))</f>
        <v/>
      </c>
      <c r="M21" s="9" t="str">
        <f aca="false">IF(AND(A21&lt;&gt;"",OR(L21="Reorder",L21="Out of stock",L21="⚠ Negative stock")),COUNTIF($L$6:L21,"Reorder")+COUNTIF($L$6:L21,"Out of stock")+COUNTIF($L$6:L21,"⚠ Negative stock"),"")</f>
        <v/>
      </c>
    </row>
    <row r="22" customFormat="false" ht="15" hidden="false" customHeight="false" outlineLevel="0" collapsed="false">
      <c r="A22" s="80"/>
      <c r="B22" s="81"/>
      <c r="C22" s="81"/>
      <c r="D22" s="82"/>
      <c r="E22" s="83"/>
      <c r="F22" s="84"/>
      <c r="G22" s="83"/>
      <c r="H22" s="41" t="str">
        <f aca="false">IF(A22="","",N(E22)*N(F22))</f>
        <v/>
      </c>
      <c r="I22" s="42" t="str">
        <f aca="false">IF(A22="","",SUMIFS('Stock Register'!$F$7:$F$506,'Stock Register'!$C$7:$C$506,A22,'Stock Register'!$E$7:$E$506,"In"))</f>
        <v/>
      </c>
      <c r="J22" s="42" t="str">
        <f aca="false">IF(A22="","",SUMIFS('Stock Register'!$F$7:$F$506,'Stock Register'!$C$7:$C$506,A22,'Stock Register'!$E$7:$E$506,"Out"))</f>
        <v/>
      </c>
      <c r="K22" s="43" t="str">
        <f aca="false">IF(A22="","",N(E22)+I22-J22)</f>
        <v/>
      </c>
      <c r="L22" s="44" t="str">
        <f aca="false">IF(A22="","",IF(COUNTIF($A$6:$A$105,A22)&gt;1,"⚠ Duplicate code",IF(K22&lt;0,"⚠ Negative stock",IF(K22=0,"Out of stock",IF(K22&lt;=N(G22),"Reorder","✔ OK")))))</f>
        <v/>
      </c>
      <c r="M22" s="9" t="str">
        <f aca="false">IF(AND(A22&lt;&gt;"",OR(L22="Reorder",L22="Out of stock",L22="⚠ Negative stock")),COUNTIF($L$6:L22,"Reorder")+COUNTIF($L$6:L22,"Out of stock")+COUNTIF($L$6:L22,"⚠ Negative stock"),"")</f>
        <v/>
      </c>
    </row>
    <row r="23" customFormat="false" ht="15" hidden="false" customHeight="false" outlineLevel="0" collapsed="false">
      <c r="A23" s="80"/>
      <c r="B23" s="81"/>
      <c r="C23" s="81"/>
      <c r="D23" s="82"/>
      <c r="E23" s="83"/>
      <c r="F23" s="84"/>
      <c r="G23" s="83"/>
      <c r="H23" s="41" t="str">
        <f aca="false">IF(A23="","",N(E23)*N(F23))</f>
        <v/>
      </c>
      <c r="I23" s="42" t="str">
        <f aca="false">IF(A23="","",SUMIFS('Stock Register'!$F$7:$F$506,'Stock Register'!$C$7:$C$506,A23,'Stock Register'!$E$7:$E$506,"In"))</f>
        <v/>
      </c>
      <c r="J23" s="42" t="str">
        <f aca="false">IF(A23="","",SUMIFS('Stock Register'!$F$7:$F$506,'Stock Register'!$C$7:$C$506,A23,'Stock Register'!$E$7:$E$506,"Out"))</f>
        <v/>
      </c>
      <c r="K23" s="43" t="str">
        <f aca="false">IF(A23="","",N(E23)+I23-J23)</f>
        <v/>
      </c>
      <c r="L23" s="44" t="str">
        <f aca="false">IF(A23="","",IF(COUNTIF($A$6:$A$105,A23)&gt;1,"⚠ Duplicate code",IF(K23&lt;0,"⚠ Negative stock",IF(K23=0,"Out of stock",IF(K23&lt;=N(G23),"Reorder","✔ OK")))))</f>
        <v/>
      </c>
      <c r="M23" s="9" t="str">
        <f aca="false">IF(AND(A23&lt;&gt;"",OR(L23="Reorder",L23="Out of stock",L23="⚠ Negative stock")),COUNTIF($L$6:L23,"Reorder")+COUNTIF($L$6:L23,"Out of stock")+COUNTIF($L$6:L23,"⚠ Negative stock"),"")</f>
        <v/>
      </c>
    </row>
    <row r="24" customFormat="false" ht="15" hidden="false" customHeight="false" outlineLevel="0" collapsed="false">
      <c r="A24" s="80"/>
      <c r="B24" s="81"/>
      <c r="C24" s="81"/>
      <c r="D24" s="82"/>
      <c r="E24" s="83"/>
      <c r="F24" s="84"/>
      <c r="G24" s="83"/>
      <c r="H24" s="41" t="str">
        <f aca="false">IF(A24="","",N(E24)*N(F24))</f>
        <v/>
      </c>
      <c r="I24" s="42" t="str">
        <f aca="false">IF(A24="","",SUMIFS('Stock Register'!$F$7:$F$506,'Stock Register'!$C$7:$C$506,A24,'Stock Register'!$E$7:$E$506,"In"))</f>
        <v/>
      </c>
      <c r="J24" s="42" t="str">
        <f aca="false">IF(A24="","",SUMIFS('Stock Register'!$F$7:$F$506,'Stock Register'!$C$7:$C$506,A24,'Stock Register'!$E$7:$E$506,"Out"))</f>
        <v/>
      </c>
      <c r="K24" s="43" t="str">
        <f aca="false">IF(A24="","",N(E24)+I24-J24)</f>
        <v/>
      </c>
      <c r="L24" s="44" t="str">
        <f aca="false">IF(A24="","",IF(COUNTIF($A$6:$A$105,A24)&gt;1,"⚠ Duplicate code",IF(K24&lt;0,"⚠ Negative stock",IF(K24=0,"Out of stock",IF(K24&lt;=N(G24),"Reorder","✔ OK")))))</f>
        <v/>
      </c>
      <c r="M24" s="9" t="str">
        <f aca="false">IF(AND(A24&lt;&gt;"",OR(L24="Reorder",L24="Out of stock",L24="⚠ Negative stock")),COUNTIF($L$6:L24,"Reorder")+COUNTIF($L$6:L24,"Out of stock")+COUNTIF($L$6:L24,"⚠ Negative stock"),"")</f>
        <v/>
      </c>
    </row>
    <row r="25" customFormat="false" ht="15" hidden="false" customHeight="false" outlineLevel="0" collapsed="false">
      <c r="A25" s="80"/>
      <c r="B25" s="81"/>
      <c r="C25" s="81"/>
      <c r="D25" s="82"/>
      <c r="E25" s="83"/>
      <c r="F25" s="84"/>
      <c r="G25" s="83"/>
      <c r="H25" s="41" t="str">
        <f aca="false">IF(A25="","",N(E25)*N(F25))</f>
        <v/>
      </c>
      <c r="I25" s="42" t="str">
        <f aca="false">IF(A25="","",SUMIFS('Stock Register'!$F$7:$F$506,'Stock Register'!$C$7:$C$506,A25,'Stock Register'!$E$7:$E$506,"In"))</f>
        <v/>
      </c>
      <c r="J25" s="42" t="str">
        <f aca="false">IF(A25="","",SUMIFS('Stock Register'!$F$7:$F$506,'Stock Register'!$C$7:$C$506,A25,'Stock Register'!$E$7:$E$506,"Out"))</f>
        <v/>
      </c>
      <c r="K25" s="43" t="str">
        <f aca="false">IF(A25="","",N(E25)+I25-J25)</f>
        <v/>
      </c>
      <c r="L25" s="44" t="str">
        <f aca="false">IF(A25="","",IF(COUNTIF($A$6:$A$105,A25)&gt;1,"⚠ Duplicate code",IF(K25&lt;0,"⚠ Negative stock",IF(K25=0,"Out of stock",IF(K25&lt;=N(G25),"Reorder","✔ OK")))))</f>
        <v/>
      </c>
      <c r="M25" s="9" t="str">
        <f aca="false">IF(AND(A25&lt;&gt;"",OR(L25="Reorder",L25="Out of stock",L25="⚠ Negative stock")),COUNTIF($L$6:L25,"Reorder")+COUNTIF($L$6:L25,"Out of stock")+COUNTIF($L$6:L25,"⚠ Negative stock"),"")</f>
        <v/>
      </c>
    </row>
    <row r="26" customFormat="false" ht="15" hidden="false" customHeight="false" outlineLevel="0" collapsed="false">
      <c r="A26" s="80"/>
      <c r="B26" s="81"/>
      <c r="C26" s="81"/>
      <c r="D26" s="82"/>
      <c r="E26" s="83"/>
      <c r="F26" s="84"/>
      <c r="G26" s="83"/>
      <c r="H26" s="41" t="str">
        <f aca="false">IF(A26="","",N(E26)*N(F26))</f>
        <v/>
      </c>
      <c r="I26" s="42" t="str">
        <f aca="false">IF(A26="","",SUMIFS('Stock Register'!$F$7:$F$506,'Stock Register'!$C$7:$C$506,A26,'Stock Register'!$E$7:$E$506,"In"))</f>
        <v/>
      </c>
      <c r="J26" s="42" t="str">
        <f aca="false">IF(A26="","",SUMIFS('Stock Register'!$F$7:$F$506,'Stock Register'!$C$7:$C$506,A26,'Stock Register'!$E$7:$E$506,"Out"))</f>
        <v/>
      </c>
      <c r="K26" s="43" t="str">
        <f aca="false">IF(A26="","",N(E26)+I26-J26)</f>
        <v/>
      </c>
      <c r="L26" s="44" t="str">
        <f aca="false">IF(A26="","",IF(COUNTIF($A$6:$A$105,A26)&gt;1,"⚠ Duplicate code",IF(K26&lt;0,"⚠ Negative stock",IF(K26=0,"Out of stock",IF(K26&lt;=N(G26),"Reorder","✔ OK")))))</f>
        <v/>
      </c>
      <c r="M26" s="9" t="str">
        <f aca="false">IF(AND(A26&lt;&gt;"",OR(L26="Reorder",L26="Out of stock",L26="⚠ Negative stock")),COUNTIF($L$6:L26,"Reorder")+COUNTIF($L$6:L26,"Out of stock")+COUNTIF($L$6:L26,"⚠ Negative stock"),"")</f>
        <v/>
      </c>
    </row>
    <row r="27" customFormat="false" ht="15" hidden="false" customHeight="false" outlineLevel="0" collapsed="false">
      <c r="A27" s="80"/>
      <c r="B27" s="81"/>
      <c r="C27" s="81"/>
      <c r="D27" s="82"/>
      <c r="E27" s="83"/>
      <c r="F27" s="84"/>
      <c r="G27" s="83"/>
      <c r="H27" s="41" t="str">
        <f aca="false">IF(A27="","",N(E27)*N(F27))</f>
        <v/>
      </c>
      <c r="I27" s="42" t="str">
        <f aca="false">IF(A27="","",SUMIFS('Stock Register'!$F$7:$F$506,'Stock Register'!$C$7:$C$506,A27,'Stock Register'!$E$7:$E$506,"In"))</f>
        <v/>
      </c>
      <c r="J27" s="42" t="str">
        <f aca="false">IF(A27="","",SUMIFS('Stock Register'!$F$7:$F$506,'Stock Register'!$C$7:$C$506,A27,'Stock Register'!$E$7:$E$506,"Out"))</f>
        <v/>
      </c>
      <c r="K27" s="43" t="str">
        <f aca="false">IF(A27="","",N(E27)+I27-J27)</f>
        <v/>
      </c>
      <c r="L27" s="44" t="str">
        <f aca="false">IF(A27="","",IF(COUNTIF($A$6:$A$105,A27)&gt;1,"⚠ Duplicate code",IF(K27&lt;0,"⚠ Negative stock",IF(K27=0,"Out of stock",IF(K27&lt;=N(G27),"Reorder","✔ OK")))))</f>
        <v/>
      </c>
      <c r="M27" s="9" t="str">
        <f aca="false">IF(AND(A27&lt;&gt;"",OR(L27="Reorder",L27="Out of stock",L27="⚠ Negative stock")),COUNTIF($L$6:L27,"Reorder")+COUNTIF($L$6:L27,"Out of stock")+COUNTIF($L$6:L27,"⚠ Negative stock"),"")</f>
        <v/>
      </c>
    </row>
    <row r="28" customFormat="false" ht="15" hidden="false" customHeight="false" outlineLevel="0" collapsed="false">
      <c r="A28" s="80"/>
      <c r="B28" s="81"/>
      <c r="C28" s="81"/>
      <c r="D28" s="82"/>
      <c r="E28" s="83"/>
      <c r="F28" s="84"/>
      <c r="G28" s="83"/>
      <c r="H28" s="41" t="str">
        <f aca="false">IF(A28="","",N(E28)*N(F28))</f>
        <v/>
      </c>
      <c r="I28" s="42" t="str">
        <f aca="false">IF(A28="","",SUMIFS('Stock Register'!$F$7:$F$506,'Stock Register'!$C$7:$C$506,A28,'Stock Register'!$E$7:$E$506,"In"))</f>
        <v/>
      </c>
      <c r="J28" s="42" t="str">
        <f aca="false">IF(A28="","",SUMIFS('Stock Register'!$F$7:$F$506,'Stock Register'!$C$7:$C$506,A28,'Stock Register'!$E$7:$E$506,"Out"))</f>
        <v/>
      </c>
      <c r="K28" s="43" t="str">
        <f aca="false">IF(A28="","",N(E28)+I28-J28)</f>
        <v/>
      </c>
      <c r="L28" s="44" t="str">
        <f aca="false">IF(A28="","",IF(COUNTIF($A$6:$A$105,A28)&gt;1,"⚠ Duplicate code",IF(K28&lt;0,"⚠ Negative stock",IF(K28=0,"Out of stock",IF(K28&lt;=N(G28),"Reorder","✔ OK")))))</f>
        <v/>
      </c>
      <c r="M28" s="9" t="str">
        <f aca="false">IF(AND(A28&lt;&gt;"",OR(L28="Reorder",L28="Out of stock",L28="⚠ Negative stock")),COUNTIF($L$6:L28,"Reorder")+COUNTIF($L$6:L28,"Out of stock")+COUNTIF($L$6:L28,"⚠ Negative stock"),"")</f>
        <v/>
      </c>
    </row>
    <row r="29" customFormat="false" ht="15" hidden="false" customHeight="false" outlineLevel="0" collapsed="false">
      <c r="A29" s="80"/>
      <c r="B29" s="81"/>
      <c r="C29" s="81"/>
      <c r="D29" s="82"/>
      <c r="E29" s="83"/>
      <c r="F29" s="84"/>
      <c r="G29" s="83"/>
      <c r="H29" s="41" t="str">
        <f aca="false">IF(A29="","",N(E29)*N(F29))</f>
        <v/>
      </c>
      <c r="I29" s="42" t="str">
        <f aca="false">IF(A29="","",SUMIFS('Stock Register'!$F$7:$F$506,'Stock Register'!$C$7:$C$506,A29,'Stock Register'!$E$7:$E$506,"In"))</f>
        <v/>
      </c>
      <c r="J29" s="42" t="str">
        <f aca="false">IF(A29="","",SUMIFS('Stock Register'!$F$7:$F$506,'Stock Register'!$C$7:$C$506,A29,'Stock Register'!$E$7:$E$506,"Out"))</f>
        <v/>
      </c>
      <c r="K29" s="43" t="str">
        <f aca="false">IF(A29="","",N(E29)+I29-J29)</f>
        <v/>
      </c>
      <c r="L29" s="44" t="str">
        <f aca="false">IF(A29="","",IF(COUNTIF($A$6:$A$105,A29)&gt;1,"⚠ Duplicate code",IF(K29&lt;0,"⚠ Negative stock",IF(K29=0,"Out of stock",IF(K29&lt;=N(G29),"Reorder","✔ OK")))))</f>
        <v/>
      </c>
      <c r="M29" s="9" t="str">
        <f aca="false">IF(AND(A29&lt;&gt;"",OR(L29="Reorder",L29="Out of stock",L29="⚠ Negative stock")),COUNTIF($L$6:L29,"Reorder")+COUNTIF($L$6:L29,"Out of stock")+COUNTIF($L$6:L29,"⚠ Negative stock"),"")</f>
        <v/>
      </c>
    </row>
    <row r="30" customFormat="false" ht="15" hidden="false" customHeight="false" outlineLevel="0" collapsed="false">
      <c r="A30" s="80"/>
      <c r="B30" s="81"/>
      <c r="C30" s="81"/>
      <c r="D30" s="82"/>
      <c r="E30" s="83"/>
      <c r="F30" s="84"/>
      <c r="G30" s="83"/>
      <c r="H30" s="41" t="str">
        <f aca="false">IF(A30="","",N(E30)*N(F30))</f>
        <v/>
      </c>
      <c r="I30" s="42" t="str">
        <f aca="false">IF(A30="","",SUMIFS('Stock Register'!$F$7:$F$506,'Stock Register'!$C$7:$C$506,A30,'Stock Register'!$E$7:$E$506,"In"))</f>
        <v/>
      </c>
      <c r="J30" s="42" t="str">
        <f aca="false">IF(A30="","",SUMIFS('Stock Register'!$F$7:$F$506,'Stock Register'!$C$7:$C$506,A30,'Stock Register'!$E$7:$E$506,"Out"))</f>
        <v/>
      </c>
      <c r="K30" s="43" t="str">
        <f aca="false">IF(A30="","",N(E30)+I30-J30)</f>
        <v/>
      </c>
      <c r="L30" s="44" t="str">
        <f aca="false">IF(A30="","",IF(COUNTIF($A$6:$A$105,A30)&gt;1,"⚠ Duplicate code",IF(K30&lt;0,"⚠ Negative stock",IF(K30=0,"Out of stock",IF(K30&lt;=N(G30),"Reorder","✔ OK")))))</f>
        <v/>
      </c>
      <c r="M30" s="9" t="str">
        <f aca="false">IF(AND(A30&lt;&gt;"",OR(L30="Reorder",L30="Out of stock",L30="⚠ Negative stock")),COUNTIF($L$6:L30,"Reorder")+COUNTIF($L$6:L30,"Out of stock")+COUNTIF($L$6:L30,"⚠ Negative stock"),"")</f>
        <v/>
      </c>
    </row>
    <row r="31" customFormat="false" ht="15" hidden="false" customHeight="false" outlineLevel="0" collapsed="false">
      <c r="A31" s="80"/>
      <c r="B31" s="81"/>
      <c r="C31" s="81"/>
      <c r="D31" s="82"/>
      <c r="E31" s="83"/>
      <c r="F31" s="84"/>
      <c r="G31" s="83"/>
      <c r="H31" s="41" t="str">
        <f aca="false">IF(A31="","",N(E31)*N(F31))</f>
        <v/>
      </c>
      <c r="I31" s="42" t="str">
        <f aca="false">IF(A31="","",SUMIFS('Stock Register'!$F$7:$F$506,'Stock Register'!$C$7:$C$506,A31,'Stock Register'!$E$7:$E$506,"In"))</f>
        <v/>
      </c>
      <c r="J31" s="42" t="str">
        <f aca="false">IF(A31="","",SUMIFS('Stock Register'!$F$7:$F$506,'Stock Register'!$C$7:$C$506,A31,'Stock Register'!$E$7:$E$506,"Out"))</f>
        <v/>
      </c>
      <c r="K31" s="43" t="str">
        <f aca="false">IF(A31="","",N(E31)+I31-J31)</f>
        <v/>
      </c>
      <c r="L31" s="44" t="str">
        <f aca="false">IF(A31="","",IF(COUNTIF($A$6:$A$105,A31)&gt;1,"⚠ Duplicate code",IF(K31&lt;0,"⚠ Negative stock",IF(K31=0,"Out of stock",IF(K31&lt;=N(G31),"Reorder","✔ OK")))))</f>
        <v/>
      </c>
      <c r="M31" s="9" t="str">
        <f aca="false">IF(AND(A31&lt;&gt;"",OR(L31="Reorder",L31="Out of stock",L31="⚠ Negative stock")),COUNTIF($L$6:L31,"Reorder")+COUNTIF($L$6:L31,"Out of stock")+COUNTIF($L$6:L31,"⚠ Negative stock"),"")</f>
        <v/>
      </c>
    </row>
    <row r="32" customFormat="false" ht="15" hidden="false" customHeight="false" outlineLevel="0" collapsed="false">
      <c r="A32" s="80"/>
      <c r="B32" s="81"/>
      <c r="C32" s="81"/>
      <c r="D32" s="82"/>
      <c r="E32" s="83"/>
      <c r="F32" s="84"/>
      <c r="G32" s="83"/>
      <c r="H32" s="41" t="str">
        <f aca="false">IF(A32="","",N(E32)*N(F32))</f>
        <v/>
      </c>
      <c r="I32" s="42" t="str">
        <f aca="false">IF(A32="","",SUMIFS('Stock Register'!$F$7:$F$506,'Stock Register'!$C$7:$C$506,A32,'Stock Register'!$E$7:$E$506,"In"))</f>
        <v/>
      </c>
      <c r="J32" s="42" t="str">
        <f aca="false">IF(A32="","",SUMIFS('Stock Register'!$F$7:$F$506,'Stock Register'!$C$7:$C$506,A32,'Stock Register'!$E$7:$E$506,"Out"))</f>
        <v/>
      </c>
      <c r="K32" s="43" t="str">
        <f aca="false">IF(A32="","",N(E32)+I32-J32)</f>
        <v/>
      </c>
      <c r="L32" s="44" t="str">
        <f aca="false">IF(A32="","",IF(COUNTIF($A$6:$A$105,A32)&gt;1,"⚠ Duplicate code",IF(K32&lt;0,"⚠ Negative stock",IF(K32=0,"Out of stock",IF(K32&lt;=N(G32),"Reorder","✔ OK")))))</f>
        <v/>
      </c>
      <c r="M32" s="9" t="str">
        <f aca="false">IF(AND(A32&lt;&gt;"",OR(L32="Reorder",L32="Out of stock",L32="⚠ Negative stock")),COUNTIF($L$6:L32,"Reorder")+COUNTIF($L$6:L32,"Out of stock")+COUNTIF($L$6:L32,"⚠ Negative stock"),"")</f>
        <v/>
      </c>
    </row>
    <row r="33" customFormat="false" ht="15" hidden="false" customHeight="false" outlineLevel="0" collapsed="false">
      <c r="A33" s="80"/>
      <c r="B33" s="81"/>
      <c r="C33" s="81"/>
      <c r="D33" s="82"/>
      <c r="E33" s="83"/>
      <c r="F33" s="84"/>
      <c r="G33" s="83"/>
      <c r="H33" s="41" t="str">
        <f aca="false">IF(A33="","",N(E33)*N(F33))</f>
        <v/>
      </c>
      <c r="I33" s="42" t="str">
        <f aca="false">IF(A33="","",SUMIFS('Stock Register'!$F$7:$F$506,'Stock Register'!$C$7:$C$506,A33,'Stock Register'!$E$7:$E$506,"In"))</f>
        <v/>
      </c>
      <c r="J33" s="42" t="str">
        <f aca="false">IF(A33="","",SUMIFS('Stock Register'!$F$7:$F$506,'Stock Register'!$C$7:$C$506,A33,'Stock Register'!$E$7:$E$506,"Out"))</f>
        <v/>
      </c>
      <c r="K33" s="43" t="str">
        <f aca="false">IF(A33="","",N(E33)+I33-J33)</f>
        <v/>
      </c>
      <c r="L33" s="44" t="str">
        <f aca="false">IF(A33="","",IF(COUNTIF($A$6:$A$105,A33)&gt;1,"⚠ Duplicate code",IF(K33&lt;0,"⚠ Negative stock",IF(K33=0,"Out of stock",IF(K33&lt;=N(G33),"Reorder","✔ OK")))))</f>
        <v/>
      </c>
      <c r="M33" s="9" t="str">
        <f aca="false">IF(AND(A33&lt;&gt;"",OR(L33="Reorder",L33="Out of stock",L33="⚠ Negative stock")),COUNTIF($L$6:L33,"Reorder")+COUNTIF($L$6:L33,"Out of stock")+COUNTIF($L$6:L33,"⚠ Negative stock"),"")</f>
        <v/>
      </c>
    </row>
    <row r="34" customFormat="false" ht="15" hidden="false" customHeight="false" outlineLevel="0" collapsed="false">
      <c r="A34" s="80"/>
      <c r="B34" s="81"/>
      <c r="C34" s="81"/>
      <c r="D34" s="82"/>
      <c r="E34" s="83"/>
      <c r="F34" s="84"/>
      <c r="G34" s="83"/>
      <c r="H34" s="41" t="str">
        <f aca="false">IF(A34="","",N(E34)*N(F34))</f>
        <v/>
      </c>
      <c r="I34" s="42" t="str">
        <f aca="false">IF(A34="","",SUMIFS('Stock Register'!$F$7:$F$506,'Stock Register'!$C$7:$C$506,A34,'Stock Register'!$E$7:$E$506,"In"))</f>
        <v/>
      </c>
      <c r="J34" s="42" t="str">
        <f aca="false">IF(A34="","",SUMIFS('Stock Register'!$F$7:$F$506,'Stock Register'!$C$7:$C$506,A34,'Stock Register'!$E$7:$E$506,"Out"))</f>
        <v/>
      </c>
      <c r="K34" s="43" t="str">
        <f aca="false">IF(A34="","",N(E34)+I34-J34)</f>
        <v/>
      </c>
      <c r="L34" s="44" t="str">
        <f aca="false">IF(A34="","",IF(COUNTIF($A$6:$A$105,A34)&gt;1,"⚠ Duplicate code",IF(K34&lt;0,"⚠ Negative stock",IF(K34=0,"Out of stock",IF(K34&lt;=N(G34),"Reorder","✔ OK")))))</f>
        <v/>
      </c>
      <c r="M34" s="9" t="str">
        <f aca="false">IF(AND(A34&lt;&gt;"",OR(L34="Reorder",L34="Out of stock",L34="⚠ Negative stock")),COUNTIF($L$6:L34,"Reorder")+COUNTIF($L$6:L34,"Out of stock")+COUNTIF($L$6:L34,"⚠ Negative stock"),"")</f>
        <v/>
      </c>
    </row>
    <row r="35" customFormat="false" ht="15" hidden="false" customHeight="false" outlineLevel="0" collapsed="false">
      <c r="A35" s="80"/>
      <c r="B35" s="81"/>
      <c r="C35" s="81"/>
      <c r="D35" s="82"/>
      <c r="E35" s="83"/>
      <c r="F35" s="84"/>
      <c r="G35" s="83"/>
      <c r="H35" s="41" t="str">
        <f aca="false">IF(A35="","",N(E35)*N(F35))</f>
        <v/>
      </c>
      <c r="I35" s="42" t="str">
        <f aca="false">IF(A35="","",SUMIFS('Stock Register'!$F$7:$F$506,'Stock Register'!$C$7:$C$506,A35,'Stock Register'!$E$7:$E$506,"In"))</f>
        <v/>
      </c>
      <c r="J35" s="42" t="str">
        <f aca="false">IF(A35="","",SUMIFS('Stock Register'!$F$7:$F$506,'Stock Register'!$C$7:$C$506,A35,'Stock Register'!$E$7:$E$506,"Out"))</f>
        <v/>
      </c>
      <c r="K35" s="43" t="str">
        <f aca="false">IF(A35="","",N(E35)+I35-J35)</f>
        <v/>
      </c>
      <c r="L35" s="44" t="str">
        <f aca="false">IF(A35="","",IF(COUNTIF($A$6:$A$105,A35)&gt;1,"⚠ Duplicate code",IF(K35&lt;0,"⚠ Negative stock",IF(K35=0,"Out of stock",IF(K35&lt;=N(G35),"Reorder","✔ OK")))))</f>
        <v/>
      </c>
      <c r="M35" s="9" t="str">
        <f aca="false">IF(AND(A35&lt;&gt;"",OR(L35="Reorder",L35="Out of stock",L35="⚠ Negative stock")),COUNTIF($L$6:L35,"Reorder")+COUNTIF($L$6:L35,"Out of stock")+COUNTIF($L$6:L35,"⚠ Negative stock"),"")</f>
        <v/>
      </c>
    </row>
    <row r="36" customFormat="false" ht="15" hidden="false" customHeight="false" outlineLevel="0" collapsed="false">
      <c r="A36" s="80"/>
      <c r="B36" s="81"/>
      <c r="C36" s="81"/>
      <c r="D36" s="82"/>
      <c r="E36" s="83"/>
      <c r="F36" s="84"/>
      <c r="G36" s="83"/>
      <c r="H36" s="41" t="str">
        <f aca="false">IF(A36="","",N(E36)*N(F36))</f>
        <v/>
      </c>
      <c r="I36" s="42" t="str">
        <f aca="false">IF(A36="","",SUMIFS('Stock Register'!$F$7:$F$506,'Stock Register'!$C$7:$C$506,A36,'Stock Register'!$E$7:$E$506,"In"))</f>
        <v/>
      </c>
      <c r="J36" s="42" t="str">
        <f aca="false">IF(A36="","",SUMIFS('Stock Register'!$F$7:$F$506,'Stock Register'!$C$7:$C$506,A36,'Stock Register'!$E$7:$E$506,"Out"))</f>
        <v/>
      </c>
      <c r="K36" s="43" t="str">
        <f aca="false">IF(A36="","",N(E36)+I36-J36)</f>
        <v/>
      </c>
      <c r="L36" s="44" t="str">
        <f aca="false">IF(A36="","",IF(COUNTIF($A$6:$A$105,A36)&gt;1,"⚠ Duplicate code",IF(K36&lt;0,"⚠ Negative stock",IF(K36=0,"Out of stock",IF(K36&lt;=N(G36),"Reorder","✔ OK")))))</f>
        <v/>
      </c>
      <c r="M36" s="9" t="str">
        <f aca="false">IF(AND(A36&lt;&gt;"",OR(L36="Reorder",L36="Out of stock",L36="⚠ Negative stock")),COUNTIF($L$6:L36,"Reorder")+COUNTIF($L$6:L36,"Out of stock")+COUNTIF($L$6:L36,"⚠ Negative stock"),"")</f>
        <v/>
      </c>
    </row>
    <row r="37" customFormat="false" ht="15" hidden="false" customHeight="false" outlineLevel="0" collapsed="false">
      <c r="A37" s="80"/>
      <c r="B37" s="81"/>
      <c r="C37" s="81"/>
      <c r="D37" s="82"/>
      <c r="E37" s="83"/>
      <c r="F37" s="84"/>
      <c r="G37" s="83"/>
      <c r="H37" s="41" t="str">
        <f aca="false">IF(A37="","",N(E37)*N(F37))</f>
        <v/>
      </c>
      <c r="I37" s="42" t="str">
        <f aca="false">IF(A37="","",SUMIFS('Stock Register'!$F$7:$F$506,'Stock Register'!$C$7:$C$506,A37,'Stock Register'!$E$7:$E$506,"In"))</f>
        <v/>
      </c>
      <c r="J37" s="42" t="str">
        <f aca="false">IF(A37="","",SUMIFS('Stock Register'!$F$7:$F$506,'Stock Register'!$C$7:$C$506,A37,'Stock Register'!$E$7:$E$506,"Out"))</f>
        <v/>
      </c>
      <c r="K37" s="43" t="str">
        <f aca="false">IF(A37="","",N(E37)+I37-J37)</f>
        <v/>
      </c>
      <c r="L37" s="44" t="str">
        <f aca="false">IF(A37="","",IF(COUNTIF($A$6:$A$105,A37)&gt;1,"⚠ Duplicate code",IF(K37&lt;0,"⚠ Negative stock",IF(K37=0,"Out of stock",IF(K37&lt;=N(G37),"Reorder","✔ OK")))))</f>
        <v/>
      </c>
      <c r="M37" s="9" t="str">
        <f aca="false">IF(AND(A37&lt;&gt;"",OR(L37="Reorder",L37="Out of stock",L37="⚠ Negative stock")),COUNTIF($L$6:L37,"Reorder")+COUNTIF($L$6:L37,"Out of stock")+COUNTIF($L$6:L37,"⚠ Negative stock"),"")</f>
        <v/>
      </c>
    </row>
    <row r="38" customFormat="false" ht="15" hidden="false" customHeight="false" outlineLevel="0" collapsed="false">
      <c r="A38" s="80"/>
      <c r="B38" s="81"/>
      <c r="C38" s="81"/>
      <c r="D38" s="82"/>
      <c r="E38" s="83"/>
      <c r="F38" s="84"/>
      <c r="G38" s="83"/>
      <c r="H38" s="41" t="str">
        <f aca="false">IF(A38="","",N(E38)*N(F38))</f>
        <v/>
      </c>
      <c r="I38" s="42" t="str">
        <f aca="false">IF(A38="","",SUMIFS('Stock Register'!$F$7:$F$506,'Stock Register'!$C$7:$C$506,A38,'Stock Register'!$E$7:$E$506,"In"))</f>
        <v/>
      </c>
      <c r="J38" s="42" t="str">
        <f aca="false">IF(A38="","",SUMIFS('Stock Register'!$F$7:$F$506,'Stock Register'!$C$7:$C$506,A38,'Stock Register'!$E$7:$E$506,"Out"))</f>
        <v/>
      </c>
      <c r="K38" s="43" t="str">
        <f aca="false">IF(A38="","",N(E38)+I38-J38)</f>
        <v/>
      </c>
      <c r="L38" s="44" t="str">
        <f aca="false">IF(A38="","",IF(COUNTIF($A$6:$A$105,A38)&gt;1,"⚠ Duplicate code",IF(K38&lt;0,"⚠ Negative stock",IF(K38=0,"Out of stock",IF(K38&lt;=N(G38),"Reorder","✔ OK")))))</f>
        <v/>
      </c>
      <c r="M38" s="9" t="str">
        <f aca="false">IF(AND(A38&lt;&gt;"",OR(L38="Reorder",L38="Out of stock",L38="⚠ Negative stock")),COUNTIF($L$6:L38,"Reorder")+COUNTIF($L$6:L38,"Out of stock")+COUNTIF($L$6:L38,"⚠ Negative stock"),"")</f>
        <v/>
      </c>
    </row>
    <row r="39" customFormat="false" ht="15" hidden="false" customHeight="false" outlineLevel="0" collapsed="false">
      <c r="A39" s="80"/>
      <c r="B39" s="81"/>
      <c r="C39" s="81"/>
      <c r="D39" s="82"/>
      <c r="E39" s="83"/>
      <c r="F39" s="84"/>
      <c r="G39" s="83"/>
      <c r="H39" s="41" t="str">
        <f aca="false">IF(A39="","",N(E39)*N(F39))</f>
        <v/>
      </c>
      <c r="I39" s="42" t="str">
        <f aca="false">IF(A39="","",SUMIFS('Stock Register'!$F$7:$F$506,'Stock Register'!$C$7:$C$506,A39,'Stock Register'!$E$7:$E$506,"In"))</f>
        <v/>
      </c>
      <c r="J39" s="42" t="str">
        <f aca="false">IF(A39="","",SUMIFS('Stock Register'!$F$7:$F$506,'Stock Register'!$C$7:$C$506,A39,'Stock Register'!$E$7:$E$506,"Out"))</f>
        <v/>
      </c>
      <c r="K39" s="43" t="str">
        <f aca="false">IF(A39="","",N(E39)+I39-J39)</f>
        <v/>
      </c>
      <c r="L39" s="44" t="str">
        <f aca="false">IF(A39="","",IF(COUNTIF($A$6:$A$105,A39)&gt;1,"⚠ Duplicate code",IF(K39&lt;0,"⚠ Negative stock",IF(K39=0,"Out of stock",IF(K39&lt;=N(G39),"Reorder","✔ OK")))))</f>
        <v/>
      </c>
      <c r="M39" s="9" t="str">
        <f aca="false">IF(AND(A39&lt;&gt;"",OR(L39="Reorder",L39="Out of stock",L39="⚠ Negative stock")),COUNTIF($L$6:L39,"Reorder")+COUNTIF($L$6:L39,"Out of stock")+COUNTIF($L$6:L39,"⚠ Negative stock"),"")</f>
        <v/>
      </c>
    </row>
    <row r="40" customFormat="false" ht="15" hidden="false" customHeight="false" outlineLevel="0" collapsed="false">
      <c r="A40" s="80"/>
      <c r="B40" s="81"/>
      <c r="C40" s="81"/>
      <c r="D40" s="82"/>
      <c r="E40" s="83"/>
      <c r="F40" s="84"/>
      <c r="G40" s="83"/>
      <c r="H40" s="41" t="str">
        <f aca="false">IF(A40="","",N(E40)*N(F40))</f>
        <v/>
      </c>
      <c r="I40" s="42" t="str">
        <f aca="false">IF(A40="","",SUMIFS('Stock Register'!$F$7:$F$506,'Stock Register'!$C$7:$C$506,A40,'Stock Register'!$E$7:$E$506,"In"))</f>
        <v/>
      </c>
      <c r="J40" s="42" t="str">
        <f aca="false">IF(A40="","",SUMIFS('Stock Register'!$F$7:$F$506,'Stock Register'!$C$7:$C$506,A40,'Stock Register'!$E$7:$E$506,"Out"))</f>
        <v/>
      </c>
      <c r="K40" s="43" t="str">
        <f aca="false">IF(A40="","",N(E40)+I40-J40)</f>
        <v/>
      </c>
      <c r="L40" s="44" t="str">
        <f aca="false">IF(A40="","",IF(COUNTIF($A$6:$A$105,A40)&gt;1,"⚠ Duplicate code",IF(K40&lt;0,"⚠ Negative stock",IF(K40=0,"Out of stock",IF(K40&lt;=N(G40),"Reorder","✔ OK")))))</f>
        <v/>
      </c>
      <c r="M40" s="9" t="str">
        <f aca="false">IF(AND(A40&lt;&gt;"",OR(L40="Reorder",L40="Out of stock",L40="⚠ Negative stock")),COUNTIF($L$6:L40,"Reorder")+COUNTIF($L$6:L40,"Out of stock")+COUNTIF($L$6:L40,"⚠ Negative stock"),"")</f>
        <v/>
      </c>
    </row>
    <row r="41" customFormat="false" ht="15" hidden="false" customHeight="false" outlineLevel="0" collapsed="false">
      <c r="A41" s="80"/>
      <c r="B41" s="81"/>
      <c r="C41" s="81"/>
      <c r="D41" s="82"/>
      <c r="E41" s="83"/>
      <c r="F41" s="84"/>
      <c r="G41" s="83"/>
      <c r="H41" s="41" t="str">
        <f aca="false">IF(A41="","",N(E41)*N(F41))</f>
        <v/>
      </c>
      <c r="I41" s="42" t="str">
        <f aca="false">IF(A41="","",SUMIFS('Stock Register'!$F$7:$F$506,'Stock Register'!$C$7:$C$506,A41,'Stock Register'!$E$7:$E$506,"In"))</f>
        <v/>
      </c>
      <c r="J41" s="42" t="str">
        <f aca="false">IF(A41="","",SUMIFS('Stock Register'!$F$7:$F$506,'Stock Register'!$C$7:$C$506,A41,'Stock Register'!$E$7:$E$506,"Out"))</f>
        <v/>
      </c>
      <c r="K41" s="43" t="str">
        <f aca="false">IF(A41="","",N(E41)+I41-J41)</f>
        <v/>
      </c>
      <c r="L41" s="44" t="str">
        <f aca="false">IF(A41="","",IF(COUNTIF($A$6:$A$105,A41)&gt;1,"⚠ Duplicate code",IF(K41&lt;0,"⚠ Negative stock",IF(K41=0,"Out of stock",IF(K41&lt;=N(G41),"Reorder","✔ OK")))))</f>
        <v/>
      </c>
      <c r="M41" s="9" t="str">
        <f aca="false">IF(AND(A41&lt;&gt;"",OR(L41="Reorder",L41="Out of stock",L41="⚠ Negative stock")),COUNTIF($L$6:L41,"Reorder")+COUNTIF($L$6:L41,"Out of stock")+COUNTIF($L$6:L41,"⚠ Negative stock"),"")</f>
        <v/>
      </c>
    </row>
    <row r="42" customFormat="false" ht="15" hidden="false" customHeight="false" outlineLevel="0" collapsed="false">
      <c r="A42" s="80"/>
      <c r="B42" s="81"/>
      <c r="C42" s="81"/>
      <c r="D42" s="82"/>
      <c r="E42" s="83"/>
      <c r="F42" s="84"/>
      <c r="G42" s="83"/>
      <c r="H42" s="41" t="str">
        <f aca="false">IF(A42="","",N(E42)*N(F42))</f>
        <v/>
      </c>
      <c r="I42" s="42" t="str">
        <f aca="false">IF(A42="","",SUMIFS('Stock Register'!$F$7:$F$506,'Stock Register'!$C$7:$C$506,A42,'Stock Register'!$E$7:$E$506,"In"))</f>
        <v/>
      </c>
      <c r="J42" s="42" t="str">
        <f aca="false">IF(A42="","",SUMIFS('Stock Register'!$F$7:$F$506,'Stock Register'!$C$7:$C$506,A42,'Stock Register'!$E$7:$E$506,"Out"))</f>
        <v/>
      </c>
      <c r="K42" s="43" t="str">
        <f aca="false">IF(A42="","",N(E42)+I42-J42)</f>
        <v/>
      </c>
      <c r="L42" s="44" t="str">
        <f aca="false">IF(A42="","",IF(COUNTIF($A$6:$A$105,A42)&gt;1,"⚠ Duplicate code",IF(K42&lt;0,"⚠ Negative stock",IF(K42=0,"Out of stock",IF(K42&lt;=N(G42),"Reorder","✔ OK")))))</f>
        <v/>
      </c>
      <c r="M42" s="9" t="str">
        <f aca="false">IF(AND(A42&lt;&gt;"",OR(L42="Reorder",L42="Out of stock",L42="⚠ Negative stock")),COUNTIF($L$6:L42,"Reorder")+COUNTIF($L$6:L42,"Out of stock")+COUNTIF($L$6:L42,"⚠ Negative stock"),"")</f>
        <v/>
      </c>
    </row>
    <row r="43" customFormat="false" ht="15" hidden="false" customHeight="false" outlineLevel="0" collapsed="false">
      <c r="A43" s="80"/>
      <c r="B43" s="81"/>
      <c r="C43" s="81"/>
      <c r="D43" s="82"/>
      <c r="E43" s="83"/>
      <c r="F43" s="84"/>
      <c r="G43" s="83"/>
      <c r="H43" s="41" t="str">
        <f aca="false">IF(A43="","",N(E43)*N(F43))</f>
        <v/>
      </c>
      <c r="I43" s="42" t="str">
        <f aca="false">IF(A43="","",SUMIFS('Stock Register'!$F$7:$F$506,'Stock Register'!$C$7:$C$506,A43,'Stock Register'!$E$7:$E$506,"In"))</f>
        <v/>
      </c>
      <c r="J43" s="42" t="str">
        <f aca="false">IF(A43="","",SUMIFS('Stock Register'!$F$7:$F$506,'Stock Register'!$C$7:$C$506,A43,'Stock Register'!$E$7:$E$506,"Out"))</f>
        <v/>
      </c>
      <c r="K43" s="43" t="str">
        <f aca="false">IF(A43="","",N(E43)+I43-J43)</f>
        <v/>
      </c>
      <c r="L43" s="44" t="str">
        <f aca="false">IF(A43="","",IF(COUNTIF($A$6:$A$105,A43)&gt;1,"⚠ Duplicate code",IF(K43&lt;0,"⚠ Negative stock",IF(K43=0,"Out of stock",IF(K43&lt;=N(G43),"Reorder","✔ OK")))))</f>
        <v/>
      </c>
      <c r="M43" s="9" t="str">
        <f aca="false">IF(AND(A43&lt;&gt;"",OR(L43="Reorder",L43="Out of stock",L43="⚠ Negative stock")),COUNTIF($L$6:L43,"Reorder")+COUNTIF($L$6:L43,"Out of stock")+COUNTIF($L$6:L43,"⚠ Negative stock"),"")</f>
        <v/>
      </c>
    </row>
    <row r="44" customFormat="false" ht="15" hidden="false" customHeight="false" outlineLevel="0" collapsed="false">
      <c r="A44" s="80"/>
      <c r="B44" s="81"/>
      <c r="C44" s="81"/>
      <c r="D44" s="82"/>
      <c r="E44" s="83"/>
      <c r="F44" s="84"/>
      <c r="G44" s="83"/>
      <c r="H44" s="41" t="str">
        <f aca="false">IF(A44="","",N(E44)*N(F44))</f>
        <v/>
      </c>
      <c r="I44" s="42" t="str">
        <f aca="false">IF(A44="","",SUMIFS('Stock Register'!$F$7:$F$506,'Stock Register'!$C$7:$C$506,A44,'Stock Register'!$E$7:$E$506,"In"))</f>
        <v/>
      </c>
      <c r="J44" s="42" t="str">
        <f aca="false">IF(A44="","",SUMIFS('Stock Register'!$F$7:$F$506,'Stock Register'!$C$7:$C$506,A44,'Stock Register'!$E$7:$E$506,"Out"))</f>
        <v/>
      </c>
      <c r="K44" s="43" t="str">
        <f aca="false">IF(A44="","",N(E44)+I44-J44)</f>
        <v/>
      </c>
      <c r="L44" s="44" t="str">
        <f aca="false">IF(A44="","",IF(COUNTIF($A$6:$A$105,A44)&gt;1,"⚠ Duplicate code",IF(K44&lt;0,"⚠ Negative stock",IF(K44=0,"Out of stock",IF(K44&lt;=N(G44),"Reorder","✔ OK")))))</f>
        <v/>
      </c>
      <c r="M44" s="9" t="str">
        <f aca="false">IF(AND(A44&lt;&gt;"",OR(L44="Reorder",L44="Out of stock",L44="⚠ Negative stock")),COUNTIF($L$6:L44,"Reorder")+COUNTIF($L$6:L44,"Out of stock")+COUNTIF($L$6:L44,"⚠ Negative stock"),"")</f>
        <v/>
      </c>
    </row>
    <row r="45" customFormat="false" ht="15" hidden="false" customHeight="false" outlineLevel="0" collapsed="false">
      <c r="A45" s="80"/>
      <c r="B45" s="81"/>
      <c r="C45" s="81"/>
      <c r="D45" s="82"/>
      <c r="E45" s="83"/>
      <c r="F45" s="84"/>
      <c r="G45" s="83"/>
      <c r="H45" s="41" t="str">
        <f aca="false">IF(A45="","",N(E45)*N(F45))</f>
        <v/>
      </c>
      <c r="I45" s="42" t="str">
        <f aca="false">IF(A45="","",SUMIFS('Stock Register'!$F$7:$F$506,'Stock Register'!$C$7:$C$506,A45,'Stock Register'!$E$7:$E$506,"In"))</f>
        <v/>
      </c>
      <c r="J45" s="42" t="str">
        <f aca="false">IF(A45="","",SUMIFS('Stock Register'!$F$7:$F$506,'Stock Register'!$C$7:$C$506,A45,'Stock Register'!$E$7:$E$506,"Out"))</f>
        <v/>
      </c>
      <c r="K45" s="43" t="str">
        <f aca="false">IF(A45="","",N(E45)+I45-J45)</f>
        <v/>
      </c>
      <c r="L45" s="44" t="str">
        <f aca="false">IF(A45="","",IF(COUNTIF($A$6:$A$105,A45)&gt;1,"⚠ Duplicate code",IF(K45&lt;0,"⚠ Negative stock",IF(K45=0,"Out of stock",IF(K45&lt;=N(G45),"Reorder","✔ OK")))))</f>
        <v/>
      </c>
      <c r="M45" s="9" t="str">
        <f aca="false">IF(AND(A45&lt;&gt;"",OR(L45="Reorder",L45="Out of stock",L45="⚠ Negative stock")),COUNTIF($L$6:L45,"Reorder")+COUNTIF($L$6:L45,"Out of stock")+COUNTIF($L$6:L45,"⚠ Negative stock"),"")</f>
        <v/>
      </c>
    </row>
    <row r="46" customFormat="false" ht="15" hidden="false" customHeight="false" outlineLevel="0" collapsed="false">
      <c r="A46" s="80"/>
      <c r="B46" s="81"/>
      <c r="C46" s="81"/>
      <c r="D46" s="82"/>
      <c r="E46" s="83"/>
      <c r="F46" s="84"/>
      <c r="G46" s="83"/>
      <c r="H46" s="41" t="str">
        <f aca="false">IF(A46="","",N(E46)*N(F46))</f>
        <v/>
      </c>
      <c r="I46" s="42" t="str">
        <f aca="false">IF(A46="","",SUMIFS('Stock Register'!$F$7:$F$506,'Stock Register'!$C$7:$C$506,A46,'Stock Register'!$E$7:$E$506,"In"))</f>
        <v/>
      </c>
      <c r="J46" s="42" t="str">
        <f aca="false">IF(A46="","",SUMIFS('Stock Register'!$F$7:$F$506,'Stock Register'!$C$7:$C$506,A46,'Stock Register'!$E$7:$E$506,"Out"))</f>
        <v/>
      </c>
      <c r="K46" s="43" t="str">
        <f aca="false">IF(A46="","",N(E46)+I46-J46)</f>
        <v/>
      </c>
      <c r="L46" s="44" t="str">
        <f aca="false">IF(A46="","",IF(COUNTIF($A$6:$A$105,A46)&gt;1,"⚠ Duplicate code",IF(K46&lt;0,"⚠ Negative stock",IF(K46=0,"Out of stock",IF(K46&lt;=N(G46),"Reorder","✔ OK")))))</f>
        <v/>
      </c>
      <c r="M46" s="9" t="str">
        <f aca="false">IF(AND(A46&lt;&gt;"",OR(L46="Reorder",L46="Out of stock",L46="⚠ Negative stock")),COUNTIF($L$6:L46,"Reorder")+COUNTIF($L$6:L46,"Out of stock")+COUNTIF($L$6:L46,"⚠ Negative stock"),"")</f>
        <v/>
      </c>
    </row>
    <row r="47" customFormat="false" ht="15" hidden="false" customHeight="false" outlineLevel="0" collapsed="false">
      <c r="A47" s="80"/>
      <c r="B47" s="81"/>
      <c r="C47" s="81"/>
      <c r="D47" s="82"/>
      <c r="E47" s="83"/>
      <c r="F47" s="84"/>
      <c r="G47" s="83"/>
      <c r="H47" s="41" t="str">
        <f aca="false">IF(A47="","",N(E47)*N(F47))</f>
        <v/>
      </c>
      <c r="I47" s="42" t="str">
        <f aca="false">IF(A47="","",SUMIFS('Stock Register'!$F$7:$F$506,'Stock Register'!$C$7:$C$506,A47,'Stock Register'!$E$7:$E$506,"In"))</f>
        <v/>
      </c>
      <c r="J47" s="42" t="str">
        <f aca="false">IF(A47="","",SUMIFS('Stock Register'!$F$7:$F$506,'Stock Register'!$C$7:$C$506,A47,'Stock Register'!$E$7:$E$506,"Out"))</f>
        <v/>
      </c>
      <c r="K47" s="43" t="str">
        <f aca="false">IF(A47="","",N(E47)+I47-J47)</f>
        <v/>
      </c>
      <c r="L47" s="44" t="str">
        <f aca="false">IF(A47="","",IF(COUNTIF($A$6:$A$105,A47)&gt;1,"⚠ Duplicate code",IF(K47&lt;0,"⚠ Negative stock",IF(K47=0,"Out of stock",IF(K47&lt;=N(G47),"Reorder","✔ OK")))))</f>
        <v/>
      </c>
      <c r="M47" s="9" t="str">
        <f aca="false">IF(AND(A47&lt;&gt;"",OR(L47="Reorder",L47="Out of stock",L47="⚠ Negative stock")),COUNTIF($L$6:L47,"Reorder")+COUNTIF($L$6:L47,"Out of stock")+COUNTIF($L$6:L47,"⚠ Negative stock"),"")</f>
        <v/>
      </c>
    </row>
    <row r="48" customFormat="false" ht="15" hidden="false" customHeight="false" outlineLevel="0" collapsed="false">
      <c r="A48" s="80"/>
      <c r="B48" s="81"/>
      <c r="C48" s="81"/>
      <c r="D48" s="82"/>
      <c r="E48" s="83"/>
      <c r="F48" s="84"/>
      <c r="G48" s="83"/>
      <c r="H48" s="41" t="str">
        <f aca="false">IF(A48="","",N(E48)*N(F48))</f>
        <v/>
      </c>
      <c r="I48" s="42" t="str">
        <f aca="false">IF(A48="","",SUMIFS('Stock Register'!$F$7:$F$506,'Stock Register'!$C$7:$C$506,A48,'Stock Register'!$E$7:$E$506,"In"))</f>
        <v/>
      </c>
      <c r="J48" s="42" t="str">
        <f aca="false">IF(A48="","",SUMIFS('Stock Register'!$F$7:$F$506,'Stock Register'!$C$7:$C$506,A48,'Stock Register'!$E$7:$E$506,"Out"))</f>
        <v/>
      </c>
      <c r="K48" s="43" t="str">
        <f aca="false">IF(A48="","",N(E48)+I48-J48)</f>
        <v/>
      </c>
      <c r="L48" s="44" t="str">
        <f aca="false">IF(A48="","",IF(COUNTIF($A$6:$A$105,A48)&gt;1,"⚠ Duplicate code",IF(K48&lt;0,"⚠ Negative stock",IF(K48=0,"Out of stock",IF(K48&lt;=N(G48),"Reorder","✔ OK")))))</f>
        <v/>
      </c>
      <c r="M48" s="9" t="str">
        <f aca="false">IF(AND(A48&lt;&gt;"",OR(L48="Reorder",L48="Out of stock",L48="⚠ Negative stock")),COUNTIF($L$6:L48,"Reorder")+COUNTIF($L$6:L48,"Out of stock")+COUNTIF($L$6:L48,"⚠ Negative stock"),"")</f>
        <v/>
      </c>
    </row>
    <row r="49" customFormat="false" ht="15" hidden="false" customHeight="false" outlineLevel="0" collapsed="false">
      <c r="A49" s="80"/>
      <c r="B49" s="81"/>
      <c r="C49" s="81"/>
      <c r="D49" s="82"/>
      <c r="E49" s="83"/>
      <c r="F49" s="84"/>
      <c r="G49" s="83"/>
      <c r="H49" s="41" t="str">
        <f aca="false">IF(A49="","",N(E49)*N(F49))</f>
        <v/>
      </c>
      <c r="I49" s="42" t="str">
        <f aca="false">IF(A49="","",SUMIFS('Stock Register'!$F$7:$F$506,'Stock Register'!$C$7:$C$506,A49,'Stock Register'!$E$7:$E$506,"In"))</f>
        <v/>
      </c>
      <c r="J49" s="42" t="str">
        <f aca="false">IF(A49="","",SUMIFS('Stock Register'!$F$7:$F$506,'Stock Register'!$C$7:$C$506,A49,'Stock Register'!$E$7:$E$506,"Out"))</f>
        <v/>
      </c>
      <c r="K49" s="43" t="str">
        <f aca="false">IF(A49="","",N(E49)+I49-J49)</f>
        <v/>
      </c>
      <c r="L49" s="44" t="str">
        <f aca="false">IF(A49="","",IF(COUNTIF($A$6:$A$105,A49)&gt;1,"⚠ Duplicate code",IF(K49&lt;0,"⚠ Negative stock",IF(K49=0,"Out of stock",IF(K49&lt;=N(G49),"Reorder","✔ OK")))))</f>
        <v/>
      </c>
      <c r="M49" s="9" t="str">
        <f aca="false">IF(AND(A49&lt;&gt;"",OR(L49="Reorder",L49="Out of stock",L49="⚠ Negative stock")),COUNTIF($L$6:L49,"Reorder")+COUNTIF($L$6:L49,"Out of stock")+COUNTIF($L$6:L49,"⚠ Negative stock"),"")</f>
        <v/>
      </c>
    </row>
    <row r="50" customFormat="false" ht="15" hidden="false" customHeight="false" outlineLevel="0" collapsed="false">
      <c r="A50" s="80"/>
      <c r="B50" s="81"/>
      <c r="C50" s="81"/>
      <c r="D50" s="82"/>
      <c r="E50" s="83"/>
      <c r="F50" s="84"/>
      <c r="G50" s="83"/>
      <c r="H50" s="41" t="str">
        <f aca="false">IF(A50="","",N(E50)*N(F50))</f>
        <v/>
      </c>
      <c r="I50" s="42" t="str">
        <f aca="false">IF(A50="","",SUMIFS('Stock Register'!$F$7:$F$506,'Stock Register'!$C$7:$C$506,A50,'Stock Register'!$E$7:$E$506,"In"))</f>
        <v/>
      </c>
      <c r="J50" s="42" t="str">
        <f aca="false">IF(A50="","",SUMIFS('Stock Register'!$F$7:$F$506,'Stock Register'!$C$7:$C$506,A50,'Stock Register'!$E$7:$E$506,"Out"))</f>
        <v/>
      </c>
      <c r="K50" s="43" t="str">
        <f aca="false">IF(A50="","",N(E50)+I50-J50)</f>
        <v/>
      </c>
      <c r="L50" s="44" t="str">
        <f aca="false">IF(A50="","",IF(COUNTIF($A$6:$A$105,A50)&gt;1,"⚠ Duplicate code",IF(K50&lt;0,"⚠ Negative stock",IF(K50=0,"Out of stock",IF(K50&lt;=N(G50),"Reorder","✔ OK")))))</f>
        <v/>
      </c>
      <c r="M50" s="9" t="str">
        <f aca="false">IF(AND(A50&lt;&gt;"",OR(L50="Reorder",L50="Out of stock",L50="⚠ Negative stock")),COUNTIF($L$6:L50,"Reorder")+COUNTIF($L$6:L50,"Out of stock")+COUNTIF($L$6:L50,"⚠ Negative stock"),"")</f>
        <v/>
      </c>
    </row>
    <row r="51" customFormat="false" ht="15" hidden="false" customHeight="false" outlineLevel="0" collapsed="false">
      <c r="A51" s="80"/>
      <c r="B51" s="81"/>
      <c r="C51" s="81"/>
      <c r="D51" s="82"/>
      <c r="E51" s="83"/>
      <c r="F51" s="84"/>
      <c r="G51" s="83"/>
      <c r="H51" s="41" t="str">
        <f aca="false">IF(A51="","",N(E51)*N(F51))</f>
        <v/>
      </c>
      <c r="I51" s="42" t="str">
        <f aca="false">IF(A51="","",SUMIFS('Stock Register'!$F$7:$F$506,'Stock Register'!$C$7:$C$506,A51,'Stock Register'!$E$7:$E$506,"In"))</f>
        <v/>
      </c>
      <c r="J51" s="42" t="str">
        <f aca="false">IF(A51="","",SUMIFS('Stock Register'!$F$7:$F$506,'Stock Register'!$C$7:$C$506,A51,'Stock Register'!$E$7:$E$506,"Out"))</f>
        <v/>
      </c>
      <c r="K51" s="43" t="str">
        <f aca="false">IF(A51="","",N(E51)+I51-J51)</f>
        <v/>
      </c>
      <c r="L51" s="44" t="str">
        <f aca="false">IF(A51="","",IF(COUNTIF($A$6:$A$105,A51)&gt;1,"⚠ Duplicate code",IF(K51&lt;0,"⚠ Negative stock",IF(K51=0,"Out of stock",IF(K51&lt;=N(G51),"Reorder","✔ OK")))))</f>
        <v/>
      </c>
      <c r="M51" s="9" t="str">
        <f aca="false">IF(AND(A51&lt;&gt;"",OR(L51="Reorder",L51="Out of stock",L51="⚠ Negative stock")),COUNTIF($L$6:L51,"Reorder")+COUNTIF($L$6:L51,"Out of stock")+COUNTIF($L$6:L51,"⚠ Negative stock"),"")</f>
        <v/>
      </c>
    </row>
    <row r="52" customFormat="false" ht="15" hidden="false" customHeight="false" outlineLevel="0" collapsed="false">
      <c r="A52" s="80"/>
      <c r="B52" s="81"/>
      <c r="C52" s="81"/>
      <c r="D52" s="82"/>
      <c r="E52" s="83"/>
      <c r="F52" s="84"/>
      <c r="G52" s="83"/>
      <c r="H52" s="41" t="str">
        <f aca="false">IF(A52="","",N(E52)*N(F52))</f>
        <v/>
      </c>
      <c r="I52" s="42" t="str">
        <f aca="false">IF(A52="","",SUMIFS('Stock Register'!$F$7:$F$506,'Stock Register'!$C$7:$C$506,A52,'Stock Register'!$E$7:$E$506,"In"))</f>
        <v/>
      </c>
      <c r="J52" s="42" t="str">
        <f aca="false">IF(A52="","",SUMIFS('Stock Register'!$F$7:$F$506,'Stock Register'!$C$7:$C$506,A52,'Stock Register'!$E$7:$E$506,"Out"))</f>
        <v/>
      </c>
      <c r="K52" s="43" t="str">
        <f aca="false">IF(A52="","",N(E52)+I52-J52)</f>
        <v/>
      </c>
      <c r="L52" s="44" t="str">
        <f aca="false">IF(A52="","",IF(COUNTIF($A$6:$A$105,A52)&gt;1,"⚠ Duplicate code",IF(K52&lt;0,"⚠ Negative stock",IF(K52=0,"Out of stock",IF(K52&lt;=N(G52),"Reorder","✔ OK")))))</f>
        <v/>
      </c>
      <c r="M52" s="9" t="str">
        <f aca="false">IF(AND(A52&lt;&gt;"",OR(L52="Reorder",L52="Out of stock",L52="⚠ Negative stock")),COUNTIF($L$6:L52,"Reorder")+COUNTIF($L$6:L52,"Out of stock")+COUNTIF($L$6:L52,"⚠ Negative stock"),"")</f>
        <v/>
      </c>
    </row>
    <row r="53" customFormat="false" ht="15" hidden="false" customHeight="false" outlineLevel="0" collapsed="false">
      <c r="A53" s="80"/>
      <c r="B53" s="81"/>
      <c r="C53" s="81"/>
      <c r="D53" s="82"/>
      <c r="E53" s="83"/>
      <c r="F53" s="84"/>
      <c r="G53" s="83"/>
      <c r="H53" s="41" t="str">
        <f aca="false">IF(A53="","",N(E53)*N(F53))</f>
        <v/>
      </c>
      <c r="I53" s="42" t="str">
        <f aca="false">IF(A53="","",SUMIFS('Stock Register'!$F$7:$F$506,'Stock Register'!$C$7:$C$506,A53,'Stock Register'!$E$7:$E$506,"In"))</f>
        <v/>
      </c>
      <c r="J53" s="42" t="str">
        <f aca="false">IF(A53="","",SUMIFS('Stock Register'!$F$7:$F$506,'Stock Register'!$C$7:$C$506,A53,'Stock Register'!$E$7:$E$506,"Out"))</f>
        <v/>
      </c>
      <c r="K53" s="43" t="str">
        <f aca="false">IF(A53="","",N(E53)+I53-J53)</f>
        <v/>
      </c>
      <c r="L53" s="44" t="str">
        <f aca="false">IF(A53="","",IF(COUNTIF($A$6:$A$105,A53)&gt;1,"⚠ Duplicate code",IF(K53&lt;0,"⚠ Negative stock",IF(K53=0,"Out of stock",IF(K53&lt;=N(G53),"Reorder","✔ OK")))))</f>
        <v/>
      </c>
      <c r="M53" s="9" t="str">
        <f aca="false">IF(AND(A53&lt;&gt;"",OR(L53="Reorder",L53="Out of stock",L53="⚠ Negative stock")),COUNTIF($L$6:L53,"Reorder")+COUNTIF($L$6:L53,"Out of stock")+COUNTIF($L$6:L53,"⚠ Negative stock"),"")</f>
        <v/>
      </c>
    </row>
    <row r="54" customFormat="false" ht="15" hidden="false" customHeight="false" outlineLevel="0" collapsed="false">
      <c r="A54" s="80"/>
      <c r="B54" s="81"/>
      <c r="C54" s="81"/>
      <c r="D54" s="82"/>
      <c r="E54" s="83"/>
      <c r="F54" s="84"/>
      <c r="G54" s="83"/>
      <c r="H54" s="41" t="str">
        <f aca="false">IF(A54="","",N(E54)*N(F54))</f>
        <v/>
      </c>
      <c r="I54" s="42" t="str">
        <f aca="false">IF(A54="","",SUMIFS('Stock Register'!$F$7:$F$506,'Stock Register'!$C$7:$C$506,A54,'Stock Register'!$E$7:$E$506,"In"))</f>
        <v/>
      </c>
      <c r="J54" s="42" t="str">
        <f aca="false">IF(A54="","",SUMIFS('Stock Register'!$F$7:$F$506,'Stock Register'!$C$7:$C$506,A54,'Stock Register'!$E$7:$E$506,"Out"))</f>
        <v/>
      </c>
      <c r="K54" s="43" t="str">
        <f aca="false">IF(A54="","",N(E54)+I54-J54)</f>
        <v/>
      </c>
      <c r="L54" s="44" t="str">
        <f aca="false">IF(A54="","",IF(COUNTIF($A$6:$A$105,A54)&gt;1,"⚠ Duplicate code",IF(K54&lt;0,"⚠ Negative stock",IF(K54=0,"Out of stock",IF(K54&lt;=N(G54),"Reorder","✔ OK")))))</f>
        <v/>
      </c>
      <c r="M54" s="9" t="str">
        <f aca="false">IF(AND(A54&lt;&gt;"",OR(L54="Reorder",L54="Out of stock",L54="⚠ Negative stock")),COUNTIF($L$6:L54,"Reorder")+COUNTIF($L$6:L54,"Out of stock")+COUNTIF($L$6:L54,"⚠ Negative stock"),"")</f>
        <v/>
      </c>
    </row>
    <row r="55" customFormat="false" ht="15" hidden="false" customHeight="false" outlineLevel="0" collapsed="false">
      <c r="A55" s="80"/>
      <c r="B55" s="81"/>
      <c r="C55" s="81"/>
      <c r="D55" s="82"/>
      <c r="E55" s="83"/>
      <c r="F55" s="84"/>
      <c r="G55" s="83"/>
      <c r="H55" s="41" t="str">
        <f aca="false">IF(A55="","",N(E55)*N(F55))</f>
        <v/>
      </c>
      <c r="I55" s="42" t="str">
        <f aca="false">IF(A55="","",SUMIFS('Stock Register'!$F$7:$F$506,'Stock Register'!$C$7:$C$506,A55,'Stock Register'!$E$7:$E$506,"In"))</f>
        <v/>
      </c>
      <c r="J55" s="42" t="str">
        <f aca="false">IF(A55="","",SUMIFS('Stock Register'!$F$7:$F$506,'Stock Register'!$C$7:$C$506,A55,'Stock Register'!$E$7:$E$506,"Out"))</f>
        <v/>
      </c>
      <c r="K55" s="43" t="str">
        <f aca="false">IF(A55="","",N(E55)+I55-J55)</f>
        <v/>
      </c>
      <c r="L55" s="44" t="str">
        <f aca="false">IF(A55="","",IF(COUNTIF($A$6:$A$105,A55)&gt;1,"⚠ Duplicate code",IF(K55&lt;0,"⚠ Negative stock",IF(K55=0,"Out of stock",IF(K55&lt;=N(G55),"Reorder","✔ OK")))))</f>
        <v/>
      </c>
      <c r="M55" s="9" t="str">
        <f aca="false">IF(AND(A55&lt;&gt;"",OR(L55="Reorder",L55="Out of stock",L55="⚠ Negative stock")),COUNTIF($L$6:L55,"Reorder")+COUNTIF($L$6:L55,"Out of stock")+COUNTIF($L$6:L55,"⚠ Negative stock"),"")</f>
        <v/>
      </c>
    </row>
    <row r="56" customFormat="false" ht="15" hidden="false" customHeight="false" outlineLevel="0" collapsed="false">
      <c r="A56" s="80"/>
      <c r="B56" s="81"/>
      <c r="C56" s="81"/>
      <c r="D56" s="82"/>
      <c r="E56" s="83"/>
      <c r="F56" s="84"/>
      <c r="G56" s="83"/>
      <c r="H56" s="41" t="str">
        <f aca="false">IF(A56="","",N(E56)*N(F56))</f>
        <v/>
      </c>
      <c r="I56" s="42" t="str">
        <f aca="false">IF(A56="","",SUMIFS('Stock Register'!$F$7:$F$506,'Stock Register'!$C$7:$C$506,A56,'Stock Register'!$E$7:$E$506,"In"))</f>
        <v/>
      </c>
      <c r="J56" s="42" t="str">
        <f aca="false">IF(A56="","",SUMIFS('Stock Register'!$F$7:$F$506,'Stock Register'!$C$7:$C$506,A56,'Stock Register'!$E$7:$E$506,"Out"))</f>
        <v/>
      </c>
      <c r="K56" s="43" t="str">
        <f aca="false">IF(A56="","",N(E56)+I56-J56)</f>
        <v/>
      </c>
      <c r="L56" s="44" t="str">
        <f aca="false">IF(A56="","",IF(COUNTIF($A$6:$A$105,A56)&gt;1,"⚠ Duplicate code",IF(K56&lt;0,"⚠ Negative stock",IF(K56=0,"Out of stock",IF(K56&lt;=N(G56),"Reorder","✔ OK")))))</f>
        <v/>
      </c>
      <c r="M56" s="9" t="str">
        <f aca="false">IF(AND(A56&lt;&gt;"",OR(L56="Reorder",L56="Out of stock",L56="⚠ Negative stock")),COUNTIF($L$6:L56,"Reorder")+COUNTIF($L$6:L56,"Out of stock")+COUNTIF($L$6:L56,"⚠ Negative stock"),"")</f>
        <v/>
      </c>
    </row>
    <row r="57" customFormat="false" ht="15" hidden="false" customHeight="false" outlineLevel="0" collapsed="false">
      <c r="A57" s="80"/>
      <c r="B57" s="81"/>
      <c r="C57" s="81"/>
      <c r="D57" s="82"/>
      <c r="E57" s="83"/>
      <c r="F57" s="84"/>
      <c r="G57" s="83"/>
      <c r="H57" s="41" t="str">
        <f aca="false">IF(A57="","",N(E57)*N(F57))</f>
        <v/>
      </c>
      <c r="I57" s="42" t="str">
        <f aca="false">IF(A57="","",SUMIFS('Stock Register'!$F$7:$F$506,'Stock Register'!$C$7:$C$506,A57,'Stock Register'!$E$7:$E$506,"In"))</f>
        <v/>
      </c>
      <c r="J57" s="42" t="str">
        <f aca="false">IF(A57="","",SUMIFS('Stock Register'!$F$7:$F$506,'Stock Register'!$C$7:$C$506,A57,'Stock Register'!$E$7:$E$506,"Out"))</f>
        <v/>
      </c>
      <c r="K57" s="43" t="str">
        <f aca="false">IF(A57="","",N(E57)+I57-J57)</f>
        <v/>
      </c>
      <c r="L57" s="44" t="str">
        <f aca="false">IF(A57="","",IF(COUNTIF($A$6:$A$105,A57)&gt;1,"⚠ Duplicate code",IF(K57&lt;0,"⚠ Negative stock",IF(K57=0,"Out of stock",IF(K57&lt;=N(G57),"Reorder","✔ OK")))))</f>
        <v/>
      </c>
      <c r="M57" s="9" t="str">
        <f aca="false">IF(AND(A57&lt;&gt;"",OR(L57="Reorder",L57="Out of stock",L57="⚠ Negative stock")),COUNTIF($L$6:L57,"Reorder")+COUNTIF($L$6:L57,"Out of stock")+COUNTIF($L$6:L57,"⚠ Negative stock"),"")</f>
        <v/>
      </c>
    </row>
    <row r="58" customFormat="false" ht="15" hidden="false" customHeight="false" outlineLevel="0" collapsed="false">
      <c r="A58" s="80"/>
      <c r="B58" s="81"/>
      <c r="C58" s="81"/>
      <c r="D58" s="82"/>
      <c r="E58" s="83"/>
      <c r="F58" s="84"/>
      <c r="G58" s="83"/>
      <c r="H58" s="41" t="str">
        <f aca="false">IF(A58="","",N(E58)*N(F58))</f>
        <v/>
      </c>
      <c r="I58" s="42" t="str">
        <f aca="false">IF(A58="","",SUMIFS('Stock Register'!$F$7:$F$506,'Stock Register'!$C$7:$C$506,A58,'Stock Register'!$E$7:$E$506,"In"))</f>
        <v/>
      </c>
      <c r="J58" s="42" t="str">
        <f aca="false">IF(A58="","",SUMIFS('Stock Register'!$F$7:$F$506,'Stock Register'!$C$7:$C$506,A58,'Stock Register'!$E$7:$E$506,"Out"))</f>
        <v/>
      </c>
      <c r="K58" s="43" t="str">
        <f aca="false">IF(A58="","",N(E58)+I58-J58)</f>
        <v/>
      </c>
      <c r="L58" s="44" t="str">
        <f aca="false">IF(A58="","",IF(COUNTIF($A$6:$A$105,A58)&gt;1,"⚠ Duplicate code",IF(K58&lt;0,"⚠ Negative stock",IF(K58=0,"Out of stock",IF(K58&lt;=N(G58),"Reorder","✔ OK")))))</f>
        <v/>
      </c>
      <c r="M58" s="9" t="str">
        <f aca="false">IF(AND(A58&lt;&gt;"",OR(L58="Reorder",L58="Out of stock",L58="⚠ Negative stock")),COUNTIF($L$6:L58,"Reorder")+COUNTIF($L$6:L58,"Out of stock")+COUNTIF($L$6:L58,"⚠ Negative stock"),"")</f>
        <v/>
      </c>
    </row>
    <row r="59" customFormat="false" ht="15" hidden="false" customHeight="false" outlineLevel="0" collapsed="false">
      <c r="A59" s="80"/>
      <c r="B59" s="81"/>
      <c r="C59" s="81"/>
      <c r="D59" s="82"/>
      <c r="E59" s="83"/>
      <c r="F59" s="84"/>
      <c r="G59" s="83"/>
      <c r="H59" s="41" t="str">
        <f aca="false">IF(A59="","",N(E59)*N(F59))</f>
        <v/>
      </c>
      <c r="I59" s="42" t="str">
        <f aca="false">IF(A59="","",SUMIFS('Stock Register'!$F$7:$F$506,'Stock Register'!$C$7:$C$506,A59,'Stock Register'!$E$7:$E$506,"In"))</f>
        <v/>
      </c>
      <c r="J59" s="42" t="str">
        <f aca="false">IF(A59="","",SUMIFS('Stock Register'!$F$7:$F$506,'Stock Register'!$C$7:$C$506,A59,'Stock Register'!$E$7:$E$506,"Out"))</f>
        <v/>
      </c>
      <c r="K59" s="43" t="str">
        <f aca="false">IF(A59="","",N(E59)+I59-J59)</f>
        <v/>
      </c>
      <c r="L59" s="44" t="str">
        <f aca="false">IF(A59="","",IF(COUNTIF($A$6:$A$105,A59)&gt;1,"⚠ Duplicate code",IF(K59&lt;0,"⚠ Negative stock",IF(K59=0,"Out of stock",IF(K59&lt;=N(G59),"Reorder","✔ OK")))))</f>
        <v/>
      </c>
      <c r="M59" s="9" t="str">
        <f aca="false">IF(AND(A59&lt;&gt;"",OR(L59="Reorder",L59="Out of stock",L59="⚠ Negative stock")),COUNTIF($L$6:L59,"Reorder")+COUNTIF($L$6:L59,"Out of stock")+COUNTIF($L$6:L59,"⚠ Negative stock"),"")</f>
        <v/>
      </c>
    </row>
    <row r="60" customFormat="false" ht="15" hidden="false" customHeight="false" outlineLevel="0" collapsed="false">
      <c r="A60" s="80"/>
      <c r="B60" s="81"/>
      <c r="C60" s="81"/>
      <c r="D60" s="82"/>
      <c r="E60" s="83"/>
      <c r="F60" s="84"/>
      <c r="G60" s="83"/>
      <c r="H60" s="41" t="str">
        <f aca="false">IF(A60="","",N(E60)*N(F60))</f>
        <v/>
      </c>
      <c r="I60" s="42" t="str">
        <f aca="false">IF(A60="","",SUMIFS('Stock Register'!$F$7:$F$506,'Stock Register'!$C$7:$C$506,A60,'Stock Register'!$E$7:$E$506,"In"))</f>
        <v/>
      </c>
      <c r="J60" s="42" t="str">
        <f aca="false">IF(A60="","",SUMIFS('Stock Register'!$F$7:$F$506,'Stock Register'!$C$7:$C$506,A60,'Stock Register'!$E$7:$E$506,"Out"))</f>
        <v/>
      </c>
      <c r="K60" s="43" t="str">
        <f aca="false">IF(A60="","",N(E60)+I60-J60)</f>
        <v/>
      </c>
      <c r="L60" s="44" t="str">
        <f aca="false">IF(A60="","",IF(COUNTIF($A$6:$A$105,A60)&gt;1,"⚠ Duplicate code",IF(K60&lt;0,"⚠ Negative stock",IF(K60=0,"Out of stock",IF(K60&lt;=N(G60),"Reorder","✔ OK")))))</f>
        <v/>
      </c>
      <c r="M60" s="9" t="str">
        <f aca="false">IF(AND(A60&lt;&gt;"",OR(L60="Reorder",L60="Out of stock",L60="⚠ Negative stock")),COUNTIF($L$6:L60,"Reorder")+COUNTIF($L$6:L60,"Out of stock")+COUNTIF($L$6:L60,"⚠ Negative stock"),"")</f>
        <v/>
      </c>
    </row>
    <row r="61" customFormat="false" ht="15" hidden="false" customHeight="false" outlineLevel="0" collapsed="false">
      <c r="A61" s="80"/>
      <c r="B61" s="81"/>
      <c r="C61" s="81"/>
      <c r="D61" s="82"/>
      <c r="E61" s="83"/>
      <c r="F61" s="84"/>
      <c r="G61" s="83"/>
      <c r="H61" s="41" t="str">
        <f aca="false">IF(A61="","",N(E61)*N(F61))</f>
        <v/>
      </c>
      <c r="I61" s="42" t="str">
        <f aca="false">IF(A61="","",SUMIFS('Stock Register'!$F$7:$F$506,'Stock Register'!$C$7:$C$506,A61,'Stock Register'!$E$7:$E$506,"In"))</f>
        <v/>
      </c>
      <c r="J61" s="42" t="str">
        <f aca="false">IF(A61="","",SUMIFS('Stock Register'!$F$7:$F$506,'Stock Register'!$C$7:$C$506,A61,'Stock Register'!$E$7:$E$506,"Out"))</f>
        <v/>
      </c>
      <c r="K61" s="43" t="str">
        <f aca="false">IF(A61="","",N(E61)+I61-J61)</f>
        <v/>
      </c>
      <c r="L61" s="44" t="str">
        <f aca="false">IF(A61="","",IF(COUNTIF($A$6:$A$105,A61)&gt;1,"⚠ Duplicate code",IF(K61&lt;0,"⚠ Negative stock",IF(K61=0,"Out of stock",IF(K61&lt;=N(G61),"Reorder","✔ OK")))))</f>
        <v/>
      </c>
      <c r="M61" s="9" t="str">
        <f aca="false">IF(AND(A61&lt;&gt;"",OR(L61="Reorder",L61="Out of stock",L61="⚠ Negative stock")),COUNTIF($L$6:L61,"Reorder")+COUNTIF($L$6:L61,"Out of stock")+COUNTIF($L$6:L61,"⚠ Negative stock"),"")</f>
        <v/>
      </c>
    </row>
    <row r="62" customFormat="false" ht="15" hidden="false" customHeight="false" outlineLevel="0" collapsed="false">
      <c r="A62" s="80"/>
      <c r="B62" s="81"/>
      <c r="C62" s="81"/>
      <c r="D62" s="82"/>
      <c r="E62" s="83"/>
      <c r="F62" s="84"/>
      <c r="G62" s="83"/>
      <c r="H62" s="41" t="str">
        <f aca="false">IF(A62="","",N(E62)*N(F62))</f>
        <v/>
      </c>
      <c r="I62" s="42" t="str">
        <f aca="false">IF(A62="","",SUMIFS('Stock Register'!$F$7:$F$506,'Stock Register'!$C$7:$C$506,A62,'Stock Register'!$E$7:$E$506,"In"))</f>
        <v/>
      </c>
      <c r="J62" s="42" t="str">
        <f aca="false">IF(A62="","",SUMIFS('Stock Register'!$F$7:$F$506,'Stock Register'!$C$7:$C$506,A62,'Stock Register'!$E$7:$E$506,"Out"))</f>
        <v/>
      </c>
      <c r="K62" s="43" t="str">
        <f aca="false">IF(A62="","",N(E62)+I62-J62)</f>
        <v/>
      </c>
      <c r="L62" s="44" t="str">
        <f aca="false">IF(A62="","",IF(COUNTIF($A$6:$A$105,A62)&gt;1,"⚠ Duplicate code",IF(K62&lt;0,"⚠ Negative stock",IF(K62=0,"Out of stock",IF(K62&lt;=N(G62),"Reorder","✔ OK")))))</f>
        <v/>
      </c>
      <c r="M62" s="9" t="str">
        <f aca="false">IF(AND(A62&lt;&gt;"",OR(L62="Reorder",L62="Out of stock",L62="⚠ Negative stock")),COUNTIF($L$6:L62,"Reorder")+COUNTIF($L$6:L62,"Out of stock")+COUNTIF($L$6:L62,"⚠ Negative stock"),"")</f>
        <v/>
      </c>
    </row>
    <row r="63" customFormat="false" ht="15" hidden="false" customHeight="false" outlineLevel="0" collapsed="false">
      <c r="A63" s="80"/>
      <c r="B63" s="81"/>
      <c r="C63" s="81"/>
      <c r="D63" s="82"/>
      <c r="E63" s="83"/>
      <c r="F63" s="84"/>
      <c r="G63" s="83"/>
      <c r="H63" s="41" t="str">
        <f aca="false">IF(A63="","",N(E63)*N(F63))</f>
        <v/>
      </c>
      <c r="I63" s="42" t="str">
        <f aca="false">IF(A63="","",SUMIFS('Stock Register'!$F$7:$F$506,'Stock Register'!$C$7:$C$506,A63,'Stock Register'!$E$7:$E$506,"In"))</f>
        <v/>
      </c>
      <c r="J63" s="42" t="str">
        <f aca="false">IF(A63="","",SUMIFS('Stock Register'!$F$7:$F$506,'Stock Register'!$C$7:$C$506,A63,'Stock Register'!$E$7:$E$506,"Out"))</f>
        <v/>
      </c>
      <c r="K63" s="43" t="str">
        <f aca="false">IF(A63="","",N(E63)+I63-J63)</f>
        <v/>
      </c>
      <c r="L63" s="44" t="str">
        <f aca="false">IF(A63="","",IF(COUNTIF($A$6:$A$105,A63)&gt;1,"⚠ Duplicate code",IF(K63&lt;0,"⚠ Negative stock",IF(K63=0,"Out of stock",IF(K63&lt;=N(G63),"Reorder","✔ OK")))))</f>
        <v/>
      </c>
      <c r="M63" s="9" t="str">
        <f aca="false">IF(AND(A63&lt;&gt;"",OR(L63="Reorder",L63="Out of stock",L63="⚠ Negative stock")),COUNTIF($L$6:L63,"Reorder")+COUNTIF($L$6:L63,"Out of stock")+COUNTIF($L$6:L63,"⚠ Negative stock"),"")</f>
        <v/>
      </c>
    </row>
    <row r="64" customFormat="false" ht="15" hidden="false" customHeight="false" outlineLevel="0" collapsed="false">
      <c r="A64" s="80"/>
      <c r="B64" s="81"/>
      <c r="C64" s="81"/>
      <c r="D64" s="82"/>
      <c r="E64" s="83"/>
      <c r="F64" s="84"/>
      <c r="G64" s="83"/>
      <c r="H64" s="41" t="str">
        <f aca="false">IF(A64="","",N(E64)*N(F64))</f>
        <v/>
      </c>
      <c r="I64" s="42" t="str">
        <f aca="false">IF(A64="","",SUMIFS('Stock Register'!$F$7:$F$506,'Stock Register'!$C$7:$C$506,A64,'Stock Register'!$E$7:$E$506,"In"))</f>
        <v/>
      </c>
      <c r="J64" s="42" t="str">
        <f aca="false">IF(A64="","",SUMIFS('Stock Register'!$F$7:$F$506,'Stock Register'!$C$7:$C$506,A64,'Stock Register'!$E$7:$E$506,"Out"))</f>
        <v/>
      </c>
      <c r="K64" s="43" t="str">
        <f aca="false">IF(A64="","",N(E64)+I64-J64)</f>
        <v/>
      </c>
      <c r="L64" s="44" t="str">
        <f aca="false">IF(A64="","",IF(COUNTIF($A$6:$A$105,A64)&gt;1,"⚠ Duplicate code",IF(K64&lt;0,"⚠ Negative stock",IF(K64=0,"Out of stock",IF(K64&lt;=N(G64),"Reorder","✔ OK")))))</f>
        <v/>
      </c>
      <c r="M64" s="9" t="str">
        <f aca="false">IF(AND(A64&lt;&gt;"",OR(L64="Reorder",L64="Out of stock",L64="⚠ Negative stock")),COUNTIF($L$6:L64,"Reorder")+COUNTIF($L$6:L64,"Out of stock")+COUNTIF($L$6:L64,"⚠ Negative stock"),"")</f>
        <v/>
      </c>
    </row>
    <row r="65" customFormat="false" ht="15" hidden="false" customHeight="false" outlineLevel="0" collapsed="false">
      <c r="A65" s="80"/>
      <c r="B65" s="81"/>
      <c r="C65" s="81"/>
      <c r="D65" s="82"/>
      <c r="E65" s="83"/>
      <c r="F65" s="84"/>
      <c r="G65" s="83"/>
      <c r="H65" s="41" t="str">
        <f aca="false">IF(A65="","",N(E65)*N(F65))</f>
        <v/>
      </c>
      <c r="I65" s="42" t="str">
        <f aca="false">IF(A65="","",SUMIFS('Stock Register'!$F$7:$F$506,'Stock Register'!$C$7:$C$506,A65,'Stock Register'!$E$7:$E$506,"In"))</f>
        <v/>
      </c>
      <c r="J65" s="42" t="str">
        <f aca="false">IF(A65="","",SUMIFS('Stock Register'!$F$7:$F$506,'Stock Register'!$C$7:$C$506,A65,'Stock Register'!$E$7:$E$506,"Out"))</f>
        <v/>
      </c>
      <c r="K65" s="43" t="str">
        <f aca="false">IF(A65="","",N(E65)+I65-J65)</f>
        <v/>
      </c>
      <c r="L65" s="44" t="str">
        <f aca="false">IF(A65="","",IF(COUNTIF($A$6:$A$105,A65)&gt;1,"⚠ Duplicate code",IF(K65&lt;0,"⚠ Negative stock",IF(K65=0,"Out of stock",IF(K65&lt;=N(G65),"Reorder","✔ OK")))))</f>
        <v/>
      </c>
      <c r="M65" s="9" t="str">
        <f aca="false">IF(AND(A65&lt;&gt;"",OR(L65="Reorder",L65="Out of stock",L65="⚠ Negative stock")),COUNTIF($L$6:L65,"Reorder")+COUNTIF($L$6:L65,"Out of stock")+COUNTIF($L$6:L65,"⚠ Negative stock"),"")</f>
        <v/>
      </c>
    </row>
    <row r="66" customFormat="false" ht="15" hidden="false" customHeight="false" outlineLevel="0" collapsed="false">
      <c r="A66" s="80"/>
      <c r="B66" s="81"/>
      <c r="C66" s="81"/>
      <c r="D66" s="82"/>
      <c r="E66" s="83"/>
      <c r="F66" s="84"/>
      <c r="G66" s="83"/>
      <c r="H66" s="41" t="str">
        <f aca="false">IF(A66="","",N(E66)*N(F66))</f>
        <v/>
      </c>
      <c r="I66" s="42" t="str">
        <f aca="false">IF(A66="","",SUMIFS('Stock Register'!$F$7:$F$506,'Stock Register'!$C$7:$C$506,A66,'Stock Register'!$E$7:$E$506,"In"))</f>
        <v/>
      </c>
      <c r="J66" s="42" t="str">
        <f aca="false">IF(A66="","",SUMIFS('Stock Register'!$F$7:$F$506,'Stock Register'!$C$7:$C$506,A66,'Stock Register'!$E$7:$E$506,"Out"))</f>
        <v/>
      </c>
      <c r="K66" s="43" t="str">
        <f aca="false">IF(A66="","",N(E66)+I66-J66)</f>
        <v/>
      </c>
      <c r="L66" s="44" t="str">
        <f aca="false">IF(A66="","",IF(COUNTIF($A$6:$A$105,A66)&gt;1,"⚠ Duplicate code",IF(K66&lt;0,"⚠ Negative stock",IF(K66=0,"Out of stock",IF(K66&lt;=N(G66),"Reorder","✔ OK")))))</f>
        <v/>
      </c>
      <c r="M66" s="9" t="str">
        <f aca="false">IF(AND(A66&lt;&gt;"",OR(L66="Reorder",L66="Out of stock",L66="⚠ Negative stock")),COUNTIF($L$6:L66,"Reorder")+COUNTIF($L$6:L66,"Out of stock")+COUNTIF($L$6:L66,"⚠ Negative stock"),"")</f>
        <v/>
      </c>
    </row>
    <row r="67" customFormat="false" ht="15" hidden="false" customHeight="false" outlineLevel="0" collapsed="false">
      <c r="A67" s="80"/>
      <c r="B67" s="81"/>
      <c r="C67" s="81"/>
      <c r="D67" s="82"/>
      <c r="E67" s="83"/>
      <c r="F67" s="84"/>
      <c r="G67" s="83"/>
      <c r="H67" s="41" t="str">
        <f aca="false">IF(A67="","",N(E67)*N(F67))</f>
        <v/>
      </c>
      <c r="I67" s="42" t="str">
        <f aca="false">IF(A67="","",SUMIFS('Stock Register'!$F$7:$F$506,'Stock Register'!$C$7:$C$506,A67,'Stock Register'!$E$7:$E$506,"In"))</f>
        <v/>
      </c>
      <c r="J67" s="42" t="str">
        <f aca="false">IF(A67="","",SUMIFS('Stock Register'!$F$7:$F$506,'Stock Register'!$C$7:$C$506,A67,'Stock Register'!$E$7:$E$506,"Out"))</f>
        <v/>
      </c>
      <c r="K67" s="43" t="str">
        <f aca="false">IF(A67="","",N(E67)+I67-J67)</f>
        <v/>
      </c>
      <c r="L67" s="44" t="str">
        <f aca="false">IF(A67="","",IF(COUNTIF($A$6:$A$105,A67)&gt;1,"⚠ Duplicate code",IF(K67&lt;0,"⚠ Negative stock",IF(K67=0,"Out of stock",IF(K67&lt;=N(G67),"Reorder","✔ OK")))))</f>
        <v/>
      </c>
      <c r="M67" s="9" t="str">
        <f aca="false">IF(AND(A67&lt;&gt;"",OR(L67="Reorder",L67="Out of stock",L67="⚠ Negative stock")),COUNTIF($L$6:L67,"Reorder")+COUNTIF($L$6:L67,"Out of stock")+COUNTIF($L$6:L67,"⚠ Negative stock"),"")</f>
        <v/>
      </c>
    </row>
    <row r="68" customFormat="false" ht="15" hidden="false" customHeight="false" outlineLevel="0" collapsed="false">
      <c r="A68" s="80"/>
      <c r="B68" s="81"/>
      <c r="C68" s="81"/>
      <c r="D68" s="82"/>
      <c r="E68" s="83"/>
      <c r="F68" s="84"/>
      <c r="G68" s="83"/>
      <c r="H68" s="41" t="str">
        <f aca="false">IF(A68="","",N(E68)*N(F68))</f>
        <v/>
      </c>
      <c r="I68" s="42" t="str">
        <f aca="false">IF(A68="","",SUMIFS('Stock Register'!$F$7:$F$506,'Stock Register'!$C$7:$C$506,A68,'Stock Register'!$E$7:$E$506,"In"))</f>
        <v/>
      </c>
      <c r="J68" s="42" t="str">
        <f aca="false">IF(A68="","",SUMIFS('Stock Register'!$F$7:$F$506,'Stock Register'!$C$7:$C$506,A68,'Stock Register'!$E$7:$E$506,"Out"))</f>
        <v/>
      </c>
      <c r="K68" s="43" t="str">
        <f aca="false">IF(A68="","",N(E68)+I68-J68)</f>
        <v/>
      </c>
      <c r="L68" s="44" t="str">
        <f aca="false">IF(A68="","",IF(COUNTIF($A$6:$A$105,A68)&gt;1,"⚠ Duplicate code",IF(K68&lt;0,"⚠ Negative stock",IF(K68=0,"Out of stock",IF(K68&lt;=N(G68),"Reorder","✔ OK")))))</f>
        <v/>
      </c>
      <c r="M68" s="9" t="str">
        <f aca="false">IF(AND(A68&lt;&gt;"",OR(L68="Reorder",L68="Out of stock",L68="⚠ Negative stock")),COUNTIF($L$6:L68,"Reorder")+COUNTIF($L$6:L68,"Out of stock")+COUNTIF($L$6:L68,"⚠ Negative stock"),"")</f>
        <v/>
      </c>
    </row>
    <row r="69" customFormat="false" ht="15" hidden="false" customHeight="false" outlineLevel="0" collapsed="false">
      <c r="A69" s="80"/>
      <c r="B69" s="81"/>
      <c r="C69" s="81"/>
      <c r="D69" s="82"/>
      <c r="E69" s="83"/>
      <c r="F69" s="84"/>
      <c r="G69" s="83"/>
      <c r="H69" s="41" t="str">
        <f aca="false">IF(A69="","",N(E69)*N(F69))</f>
        <v/>
      </c>
      <c r="I69" s="42" t="str">
        <f aca="false">IF(A69="","",SUMIFS('Stock Register'!$F$7:$F$506,'Stock Register'!$C$7:$C$506,A69,'Stock Register'!$E$7:$E$506,"In"))</f>
        <v/>
      </c>
      <c r="J69" s="42" t="str">
        <f aca="false">IF(A69="","",SUMIFS('Stock Register'!$F$7:$F$506,'Stock Register'!$C$7:$C$506,A69,'Stock Register'!$E$7:$E$506,"Out"))</f>
        <v/>
      </c>
      <c r="K69" s="43" t="str">
        <f aca="false">IF(A69="","",N(E69)+I69-J69)</f>
        <v/>
      </c>
      <c r="L69" s="44" t="str">
        <f aca="false">IF(A69="","",IF(COUNTIF($A$6:$A$105,A69)&gt;1,"⚠ Duplicate code",IF(K69&lt;0,"⚠ Negative stock",IF(K69=0,"Out of stock",IF(K69&lt;=N(G69),"Reorder","✔ OK")))))</f>
        <v/>
      </c>
      <c r="M69" s="9" t="str">
        <f aca="false">IF(AND(A69&lt;&gt;"",OR(L69="Reorder",L69="Out of stock",L69="⚠ Negative stock")),COUNTIF($L$6:L69,"Reorder")+COUNTIF($L$6:L69,"Out of stock")+COUNTIF($L$6:L69,"⚠ Negative stock"),"")</f>
        <v/>
      </c>
    </row>
    <row r="70" customFormat="false" ht="15" hidden="false" customHeight="false" outlineLevel="0" collapsed="false">
      <c r="A70" s="80"/>
      <c r="B70" s="81"/>
      <c r="C70" s="81"/>
      <c r="D70" s="82"/>
      <c r="E70" s="83"/>
      <c r="F70" s="84"/>
      <c r="G70" s="83"/>
      <c r="H70" s="41" t="str">
        <f aca="false">IF(A70="","",N(E70)*N(F70))</f>
        <v/>
      </c>
      <c r="I70" s="42" t="str">
        <f aca="false">IF(A70="","",SUMIFS('Stock Register'!$F$7:$F$506,'Stock Register'!$C$7:$C$506,A70,'Stock Register'!$E$7:$E$506,"In"))</f>
        <v/>
      </c>
      <c r="J70" s="42" t="str">
        <f aca="false">IF(A70="","",SUMIFS('Stock Register'!$F$7:$F$506,'Stock Register'!$C$7:$C$506,A70,'Stock Register'!$E$7:$E$506,"Out"))</f>
        <v/>
      </c>
      <c r="K70" s="43" t="str">
        <f aca="false">IF(A70="","",N(E70)+I70-J70)</f>
        <v/>
      </c>
      <c r="L70" s="44" t="str">
        <f aca="false">IF(A70="","",IF(COUNTIF($A$6:$A$105,A70)&gt;1,"⚠ Duplicate code",IF(K70&lt;0,"⚠ Negative stock",IF(K70=0,"Out of stock",IF(K70&lt;=N(G70),"Reorder","✔ OK")))))</f>
        <v/>
      </c>
      <c r="M70" s="9" t="str">
        <f aca="false">IF(AND(A70&lt;&gt;"",OR(L70="Reorder",L70="Out of stock",L70="⚠ Negative stock")),COUNTIF($L$6:L70,"Reorder")+COUNTIF($L$6:L70,"Out of stock")+COUNTIF($L$6:L70,"⚠ Negative stock"),"")</f>
        <v/>
      </c>
    </row>
    <row r="71" customFormat="false" ht="15" hidden="false" customHeight="false" outlineLevel="0" collapsed="false">
      <c r="A71" s="80"/>
      <c r="B71" s="81"/>
      <c r="C71" s="81"/>
      <c r="D71" s="82"/>
      <c r="E71" s="83"/>
      <c r="F71" s="84"/>
      <c r="G71" s="83"/>
      <c r="H71" s="41" t="str">
        <f aca="false">IF(A71="","",N(E71)*N(F71))</f>
        <v/>
      </c>
      <c r="I71" s="42" t="str">
        <f aca="false">IF(A71="","",SUMIFS('Stock Register'!$F$7:$F$506,'Stock Register'!$C$7:$C$506,A71,'Stock Register'!$E$7:$E$506,"In"))</f>
        <v/>
      </c>
      <c r="J71" s="42" t="str">
        <f aca="false">IF(A71="","",SUMIFS('Stock Register'!$F$7:$F$506,'Stock Register'!$C$7:$C$506,A71,'Stock Register'!$E$7:$E$506,"Out"))</f>
        <v/>
      </c>
      <c r="K71" s="43" t="str">
        <f aca="false">IF(A71="","",N(E71)+I71-J71)</f>
        <v/>
      </c>
      <c r="L71" s="44" t="str">
        <f aca="false">IF(A71="","",IF(COUNTIF($A$6:$A$105,A71)&gt;1,"⚠ Duplicate code",IF(K71&lt;0,"⚠ Negative stock",IF(K71=0,"Out of stock",IF(K71&lt;=N(G71),"Reorder","✔ OK")))))</f>
        <v/>
      </c>
      <c r="M71" s="9" t="str">
        <f aca="false">IF(AND(A71&lt;&gt;"",OR(L71="Reorder",L71="Out of stock",L71="⚠ Negative stock")),COUNTIF($L$6:L71,"Reorder")+COUNTIF($L$6:L71,"Out of stock")+COUNTIF($L$6:L71,"⚠ Negative stock"),"")</f>
        <v/>
      </c>
    </row>
    <row r="72" customFormat="false" ht="15" hidden="false" customHeight="false" outlineLevel="0" collapsed="false">
      <c r="A72" s="80"/>
      <c r="B72" s="81"/>
      <c r="C72" s="81"/>
      <c r="D72" s="82"/>
      <c r="E72" s="83"/>
      <c r="F72" s="84"/>
      <c r="G72" s="83"/>
      <c r="H72" s="41" t="str">
        <f aca="false">IF(A72="","",N(E72)*N(F72))</f>
        <v/>
      </c>
      <c r="I72" s="42" t="str">
        <f aca="false">IF(A72="","",SUMIFS('Stock Register'!$F$7:$F$506,'Stock Register'!$C$7:$C$506,A72,'Stock Register'!$E$7:$E$506,"In"))</f>
        <v/>
      </c>
      <c r="J72" s="42" t="str">
        <f aca="false">IF(A72="","",SUMIFS('Stock Register'!$F$7:$F$506,'Stock Register'!$C$7:$C$506,A72,'Stock Register'!$E$7:$E$506,"Out"))</f>
        <v/>
      </c>
      <c r="K72" s="43" t="str">
        <f aca="false">IF(A72="","",N(E72)+I72-J72)</f>
        <v/>
      </c>
      <c r="L72" s="44" t="str">
        <f aca="false">IF(A72="","",IF(COUNTIF($A$6:$A$105,A72)&gt;1,"⚠ Duplicate code",IF(K72&lt;0,"⚠ Negative stock",IF(K72=0,"Out of stock",IF(K72&lt;=N(G72),"Reorder","✔ OK")))))</f>
        <v/>
      </c>
      <c r="M72" s="9" t="str">
        <f aca="false">IF(AND(A72&lt;&gt;"",OR(L72="Reorder",L72="Out of stock",L72="⚠ Negative stock")),COUNTIF($L$6:L72,"Reorder")+COUNTIF($L$6:L72,"Out of stock")+COUNTIF($L$6:L72,"⚠ Negative stock"),"")</f>
        <v/>
      </c>
    </row>
    <row r="73" customFormat="false" ht="15" hidden="false" customHeight="false" outlineLevel="0" collapsed="false">
      <c r="A73" s="80"/>
      <c r="B73" s="81"/>
      <c r="C73" s="81"/>
      <c r="D73" s="82"/>
      <c r="E73" s="83"/>
      <c r="F73" s="84"/>
      <c r="G73" s="83"/>
      <c r="H73" s="41" t="str">
        <f aca="false">IF(A73="","",N(E73)*N(F73))</f>
        <v/>
      </c>
      <c r="I73" s="42" t="str">
        <f aca="false">IF(A73="","",SUMIFS('Stock Register'!$F$7:$F$506,'Stock Register'!$C$7:$C$506,A73,'Stock Register'!$E$7:$E$506,"In"))</f>
        <v/>
      </c>
      <c r="J73" s="42" t="str">
        <f aca="false">IF(A73="","",SUMIFS('Stock Register'!$F$7:$F$506,'Stock Register'!$C$7:$C$506,A73,'Stock Register'!$E$7:$E$506,"Out"))</f>
        <v/>
      </c>
      <c r="K73" s="43" t="str">
        <f aca="false">IF(A73="","",N(E73)+I73-J73)</f>
        <v/>
      </c>
      <c r="L73" s="44" t="str">
        <f aca="false">IF(A73="","",IF(COUNTIF($A$6:$A$105,A73)&gt;1,"⚠ Duplicate code",IF(K73&lt;0,"⚠ Negative stock",IF(K73=0,"Out of stock",IF(K73&lt;=N(G73),"Reorder","✔ OK")))))</f>
        <v/>
      </c>
      <c r="M73" s="9" t="str">
        <f aca="false">IF(AND(A73&lt;&gt;"",OR(L73="Reorder",L73="Out of stock",L73="⚠ Negative stock")),COUNTIF($L$6:L73,"Reorder")+COUNTIF($L$6:L73,"Out of stock")+COUNTIF($L$6:L73,"⚠ Negative stock"),"")</f>
        <v/>
      </c>
    </row>
    <row r="74" customFormat="false" ht="15" hidden="false" customHeight="false" outlineLevel="0" collapsed="false">
      <c r="A74" s="80"/>
      <c r="B74" s="81"/>
      <c r="C74" s="81"/>
      <c r="D74" s="82"/>
      <c r="E74" s="83"/>
      <c r="F74" s="84"/>
      <c r="G74" s="83"/>
      <c r="H74" s="41" t="str">
        <f aca="false">IF(A74="","",N(E74)*N(F74))</f>
        <v/>
      </c>
      <c r="I74" s="42" t="str">
        <f aca="false">IF(A74="","",SUMIFS('Stock Register'!$F$7:$F$506,'Stock Register'!$C$7:$C$506,A74,'Stock Register'!$E$7:$E$506,"In"))</f>
        <v/>
      </c>
      <c r="J74" s="42" t="str">
        <f aca="false">IF(A74="","",SUMIFS('Stock Register'!$F$7:$F$506,'Stock Register'!$C$7:$C$506,A74,'Stock Register'!$E$7:$E$506,"Out"))</f>
        <v/>
      </c>
      <c r="K74" s="43" t="str">
        <f aca="false">IF(A74="","",N(E74)+I74-J74)</f>
        <v/>
      </c>
      <c r="L74" s="44" t="str">
        <f aca="false">IF(A74="","",IF(COUNTIF($A$6:$A$105,A74)&gt;1,"⚠ Duplicate code",IF(K74&lt;0,"⚠ Negative stock",IF(K74=0,"Out of stock",IF(K74&lt;=N(G74),"Reorder","✔ OK")))))</f>
        <v/>
      </c>
      <c r="M74" s="9" t="str">
        <f aca="false">IF(AND(A74&lt;&gt;"",OR(L74="Reorder",L74="Out of stock",L74="⚠ Negative stock")),COUNTIF($L$6:L74,"Reorder")+COUNTIF($L$6:L74,"Out of stock")+COUNTIF($L$6:L74,"⚠ Negative stock"),"")</f>
        <v/>
      </c>
    </row>
    <row r="75" customFormat="false" ht="15" hidden="false" customHeight="false" outlineLevel="0" collapsed="false">
      <c r="A75" s="80"/>
      <c r="B75" s="81"/>
      <c r="C75" s="81"/>
      <c r="D75" s="82"/>
      <c r="E75" s="83"/>
      <c r="F75" s="84"/>
      <c r="G75" s="83"/>
      <c r="H75" s="41" t="str">
        <f aca="false">IF(A75="","",N(E75)*N(F75))</f>
        <v/>
      </c>
      <c r="I75" s="42" t="str">
        <f aca="false">IF(A75="","",SUMIFS('Stock Register'!$F$7:$F$506,'Stock Register'!$C$7:$C$506,A75,'Stock Register'!$E$7:$E$506,"In"))</f>
        <v/>
      </c>
      <c r="J75" s="42" t="str">
        <f aca="false">IF(A75="","",SUMIFS('Stock Register'!$F$7:$F$506,'Stock Register'!$C$7:$C$506,A75,'Stock Register'!$E$7:$E$506,"Out"))</f>
        <v/>
      </c>
      <c r="K75" s="43" t="str">
        <f aca="false">IF(A75="","",N(E75)+I75-J75)</f>
        <v/>
      </c>
      <c r="L75" s="44" t="str">
        <f aca="false">IF(A75="","",IF(COUNTIF($A$6:$A$105,A75)&gt;1,"⚠ Duplicate code",IF(K75&lt;0,"⚠ Negative stock",IF(K75=0,"Out of stock",IF(K75&lt;=N(G75),"Reorder","✔ OK")))))</f>
        <v/>
      </c>
      <c r="M75" s="9" t="str">
        <f aca="false">IF(AND(A75&lt;&gt;"",OR(L75="Reorder",L75="Out of stock",L75="⚠ Negative stock")),COUNTIF($L$6:L75,"Reorder")+COUNTIF($L$6:L75,"Out of stock")+COUNTIF($L$6:L75,"⚠ Negative stock"),"")</f>
        <v/>
      </c>
    </row>
    <row r="76" customFormat="false" ht="15" hidden="false" customHeight="false" outlineLevel="0" collapsed="false">
      <c r="A76" s="80"/>
      <c r="B76" s="81"/>
      <c r="C76" s="81"/>
      <c r="D76" s="82"/>
      <c r="E76" s="83"/>
      <c r="F76" s="84"/>
      <c r="G76" s="83"/>
      <c r="H76" s="41" t="str">
        <f aca="false">IF(A76="","",N(E76)*N(F76))</f>
        <v/>
      </c>
      <c r="I76" s="42" t="str">
        <f aca="false">IF(A76="","",SUMIFS('Stock Register'!$F$7:$F$506,'Stock Register'!$C$7:$C$506,A76,'Stock Register'!$E$7:$E$506,"In"))</f>
        <v/>
      </c>
      <c r="J76" s="42" t="str">
        <f aca="false">IF(A76="","",SUMIFS('Stock Register'!$F$7:$F$506,'Stock Register'!$C$7:$C$506,A76,'Stock Register'!$E$7:$E$506,"Out"))</f>
        <v/>
      </c>
      <c r="K76" s="43" t="str">
        <f aca="false">IF(A76="","",N(E76)+I76-J76)</f>
        <v/>
      </c>
      <c r="L76" s="44" t="str">
        <f aca="false">IF(A76="","",IF(COUNTIF($A$6:$A$105,A76)&gt;1,"⚠ Duplicate code",IF(K76&lt;0,"⚠ Negative stock",IF(K76=0,"Out of stock",IF(K76&lt;=N(G76),"Reorder","✔ OK")))))</f>
        <v/>
      </c>
      <c r="M76" s="9" t="str">
        <f aca="false">IF(AND(A76&lt;&gt;"",OR(L76="Reorder",L76="Out of stock",L76="⚠ Negative stock")),COUNTIF($L$6:L76,"Reorder")+COUNTIF($L$6:L76,"Out of stock")+COUNTIF($L$6:L76,"⚠ Negative stock"),"")</f>
        <v/>
      </c>
    </row>
    <row r="77" customFormat="false" ht="15" hidden="false" customHeight="false" outlineLevel="0" collapsed="false">
      <c r="A77" s="80"/>
      <c r="B77" s="81"/>
      <c r="C77" s="81"/>
      <c r="D77" s="82"/>
      <c r="E77" s="83"/>
      <c r="F77" s="84"/>
      <c r="G77" s="83"/>
      <c r="H77" s="41" t="str">
        <f aca="false">IF(A77="","",N(E77)*N(F77))</f>
        <v/>
      </c>
      <c r="I77" s="42" t="str">
        <f aca="false">IF(A77="","",SUMIFS('Stock Register'!$F$7:$F$506,'Stock Register'!$C$7:$C$506,A77,'Stock Register'!$E$7:$E$506,"In"))</f>
        <v/>
      </c>
      <c r="J77" s="42" t="str">
        <f aca="false">IF(A77="","",SUMIFS('Stock Register'!$F$7:$F$506,'Stock Register'!$C$7:$C$506,A77,'Stock Register'!$E$7:$E$506,"Out"))</f>
        <v/>
      </c>
      <c r="K77" s="43" t="str">
        <f aca="false">IF(A77="","",N(E77)+I77-J77)</f>
        <v/>
      </c>
      <c r="L77" s="44" t="str">
        <f aca="false">IF(A77="","",IF(COUNTIF($A$6:$A$105,A77)&gt;1,"⚠ Duplicate code",IF(K77&lt;0,"⚠ Negative stock",IF(K77=0,"Out of stock",IF(K77&lt;=N(G77),"Reorder","✔ OK")))))</f>
        <v/>
      </c>
      <c r="M77" s="9" t="str">
        <f aca="false">IF(AND(A77&lt;&gt;"",OR(L77="Reorder",L77="Out of stock",L77="⚠ Negative stock")),COUNTIF($L$6:L77,"Reorder")+COUNTIF($L$6:L77,"Out of stock")+COUNTIF($L$6:L77,"⚠ Negative stock"),"")</f>
        <v/>
      </c>
    </row>
    <row r="78" customFormat="false" ht="15" hidden="false" customHeight="false" outlineLevel="0" collapsed="false">
      <c r="A78" s="80"/>
      <c r="B78" s="81"/>
      <c r="C78" s="81"/>
      <c r="D78" s="82"/>
      <c r="E78" s="83"/>
      <c r="F78" s="84"/>
      <c r="G78" s="83"/>
      <c r="H78" s="41" t="str">
        <f aca="false">IF(A78="","",N(E78)*N(F78))</f>
        <v/>
      </c>
      <c r="I78" s="42" t="str">
        <f aca="false">IF(A78="","",SUMIFS('Stock Register'!$F$7:$F$506,'Stock Register'!$C$7:$C$506,A78,'Stock Register'!$E$7:$E$506,"In"))</f>
        <v/>
      </c>
      <c r="J78" s="42" t="str">
        <f aca="false">IF(A78="","",SUMIFS('Stock Register'!$F$7:$F$506,'Stock Register'!$C$7:$C$506,A78,'Stock Register'!$E$7:$E$506,"Out"))</f>
        <v/>
      </c>
      <c r="K78" s="43" t="str">
        <f aca="false">IF(A78="","",N(E78)+I78-J78)</f>
        <v/>
      </c>
      <c r="L78" s="44" t="str">
        <f aca="false">IF(A78="","",IF(COUNTIF($A$6:$A$105,A78)&gt;1,"⚠ Duplicate code",IF(K78&lt;0,"⚠ Negative stock",IF(K78=0,"Out of stock",IF(K78&lt;=N(G78),"Reorder","✔ OK")))))</f>
        <v/>
      </c>
      <c r="M78" s="9" t="str">
        <f aca="false">IF(AND(A78&lt;&gt;"",OR(L78="Reorder",L78="Out of stock",L78="⚠ Negative stock")),COUNTIF($L$6:L78,"Reorder")+COUNTIF($L$6:L78,"Out of stock")+COUNTIF($L$6:L78,"⚠ Negative stock"),"")</f>
        <v/>
      </c>
    </row>
    <row r="79" customFormat="false" ht="15" hidden="false" customHeight="false" outlineLevel="0" collapsed="false">
      <c r="A79" s="80"/>
      <c r="B79" s="81"/>
      <c r="C79" s="81"/>
      <c r="D79" s="82"/>
      <c r="E79" s="83"/>
      <c r="F79" s="84"/>
      <c r="G79" s="83"/>
      <c r="H79" s="41" t="str">
        <f aca="false">IF(A79="","",N(E79)*N(F79))</f>
        <v/>
      </c>
      <c r="I79" s="42" t="str">
        <f aca="false">IF(A79="","",SUMIFS('Stock Register'!$F$7:$F$506,'Stock Register'!$C$7:$C$506,A79,'Stock Register'!$E$7:$E$506,"In"))</f>
        <v/>
      </c>
      <c r="J79" s="42" t="str">
        <f aca="false">IF(A79="","",SUMIFS('Stock Register'!$F$7:$F$506,'Stock Register'!$C$7:$C$506,A79,'Stock Register'!$E$7:$E$506,"Out"))</f>
        <v/>
      </c>
      <c r="K79" s="43" t="str">
        <f aca="false">IF(A79="","",N(E79)+I79-J79)</f>
        <v/>
      </c>
      <c r="L79" s="44" t="str">
        <f aca="false">IF(A79="","",IF(COUNTIF($A$6:$A$105,A79)&gt;1,"⚠ Duplicate code",IF(K79&lt;0,"⚠ Negative stock",IF(K79=0,"Out of stock",IF(K79&lt;=N(G79),"Reorder","✔ OK")))))</f>
        <v/>
      </c>
      <c r="M79" s="9" t="str">
        <f aca="false">IF(AND(A79&lt;&gt;"",OR(L79="Reorder",L79="Out of stock",L79="⚠ Negative stock")),COUNTIF($L$6:L79,"Reorder")+COUNTIF($L$6:L79,"Out of stock")+COUNTIF($L$6:L79,"⚠ Negative stock"),"")</f>
        <v/>
      </c>
    </row>
    <row r="80" customFormat="false" ht="15" hidden="false" customHeight="false" outlineLevel="0" collapsed="false">
      <c r="A80" s="80"/>
      <c r="B80" s="81"/>
      <c r="C80" s="81"/>
      <c r="D80" s="82"/>
      <c r="E80" s="83"/>
      <c r="F80" s="84"/>
      <c r="G80" s="83"/>
      <c r="H80" s="41" t="str">
        <f aca="false">IF(A80="","",N(E80)*N(F80))</f>
        <v/>
      </c>
      <c r="I80" s="42" t="str">
        <f aca="false">IF(A80="","",SUMIFS('Stock Register'!$F$7:$F$506,'Stock Register'!$C$7:$C$506,A80,'Stock Register'!$E$7:$E$506,"In"))</f>
        <v/>
      </c>
      <c r="J80" s="42" t="str">
        <f aca="false">IF(A80="","",SUMIFS('Stock Register'!$F$7:$F$506,'Stock Register'!$C$7:$C$506,A80,'Stock Register'!$E$7:$E$506,"Out"))</f>
        <v/>
      </c>
      <c r="K80" s="43" t="str">
        <f aca="false">IF(A80="","",N(E80)+I80-J80)</f>
        <v/>
      </c>
      <c r="L80" s="44" t="str">
        <f aca="false">IF(A80="","",IF(COUNTIF($A$6:$A$105,A80)&gt;1,"⚠ Duplicate code",IF(K80&lt;0,"⚠ Negative stock",IF(K80=0,"Out of stock",IF(K80&lt;=N(G80),"Reorder","✔ OK")))))</f>
        <v/>
      </c>
      <c r="M80" s="9" t="str">
        <f aca="false">IF(AND(A80&lt;&gt;"",OR(L80="Reorder",L80="Out of stock",L80="⚠ Negative stock")),COUNTIF($L$6:L80,"Reorder")+COUNTIF($L$6:L80,"Out of stock")+COUNTIF($L$6:L80,"⚠ Negative stock"),"")</f>
        <v/>
      </c>
    </row>
    <row r="81" customFormat="false" ht="15" hidden="false" customHeight="false" outlineLevel="0" collapsed="false">
      <c r="A81" s="80"/>
      <c r="B81" s="81"/>
      <c r="C81" s="81"/>
      <c r="D81" s="82"/>
      <c r="E81" s="83"/>
      <c r="F81" s="84"/>
      <c r="G81" s="83"/>
      <c r="H81" s="41" t="str">
        <f aca="false">IF(A81="","",N(E81)*N(F81))</f>
        <v/>
      </c>
      <c r="I81" s="42" t="str">
        <f aca="false">IF(A81="","",SUMIFS('Stock Register'!$F$7:$F$506,'Stock Register'!$C$7:$C$506,A81,'Stock Register'!$E$7:$E$506,"In"))</f>
        <v/>
      </c>
      <c r="J81" s="42" t="str">
        <f aca="false">IF(A81="","",SUMIFS('Stock Register'!$F$7:$F$506,'Stock Register'!$C$7:$C$506,A81,'Stock Register'!$E$7:$E$506,"Out"))</f>
        <v/>
      </c>
      <c r="K81" s="43" t="str">
        <f aca="false">IF(A81="","",N(E81)+I81-J81)</f>
        <v/>
      </c>
      <c r="L81" s="44" t="str">
        <f aca="false">IF(A81="","",IF(COUNTIF($A$6:$A$105,A81)&gt;1,"⚠ Duplicate code",IF(K81&lt;0,"⚠ Negative stock",IF(K81=0,"Out of stock",IF(K81&lt;=N(G81),"Reorder","✔ OK")))))</f>
        <v/>
      </c>
      <c r="M81" s="9" t="str">
        <f aca="false">IF(AND(A81&lt;&gt;"",OR(L81="Reorder",L81="Out of stock",L81="⚠ Negative stock")),COUNTIF($L$6:L81,"Reorder")+COUNTIF($L$6:L81,"Out of stock")+COUNTIF($L$6:L81,"⚠ Negative stock"),"")</f>
        <v/>
      </c>
    </row>
    <row r="82" customFormat="false" ht="15" hidden="false" customHeight="false" outlineLevel="0" collapsed="false">
      <c r="A82" s="80"/>
      <c r="B82" s="81"/>
      <c r="C82" s="81"/>
      <c r="D82" s="82"/>
      <c r="E82" s="83"/>
      <c r="F82" s="84"/>
      <c r="G82" s="83"/>
      <c r="H82" s="41" t="str">
        <f aca="false">IF(A82="","",N(E82)*N(F82))</f>
        <v/>
      </c>
      <c r="I82" s="42" t="str">
        <f aca="false">IF(A82="","",SUMIFS('Stock Register'!$F$7:$F$506,'Stock Register'!$C$7:$C$506,A82,'Stock Register'!$E$7:$E$506,"In"))</f>
        <v/>
      </c>
      <c r="J82" s="42" t="str">
        <f aca="false">IF(A82="","",SUMIFS('Stock Register'!$F$7:$F$506,'Stock Register'!$C$7:$C$506,A82,'Stock Register'!$E$7:$E$506,"Out"))</f>
        <v/>
      </c>
      <c r="K82" s="43" t="str">
        <f aca="false">IF(A82="","",N(E82)+I82-J82)</f>
        <v/>
      </c>
      <c r="L82" s="44" t="str">
        <f aca="false">IF(A82="","",IF(COUNTIF($A$6:$A$105,A82)&gt;1,"⚠ Duplicate code",IF(K82&lt;0,"⚠ Negative stock",IF(K82=0,"Out of stock",IF(K82&lt;=N(G82),"Reorder","✔ OK")))))</f>
        <v/>
      </c>
      <c r="M82" s="9" t="str">
        <f aca="false">IF(AND(A82&lt;&gt;"",OR(L82="Reorder",L82="Out of stock",L82="⚠ Negative stock")),COUNTIF($L$6:L82,"Reorder")+COUNTIF($L$6:L82,"Out of stock")+COUNTIF($L$6:L82,"⚠ Negative stock"),"")</f>
        <v/>
      </c>
    </row>
    <row r="83" customFormat="false" ht="15" hidden="false" customHeight="false" outlineLevel="0" collapsed="false">
      <c r="A83" s="80"/>
      <c r="B83" s="81"/>
      <c r="C83" s="81"/>
      <c r="D83" s="82"/>
      <c r="E83" s="83"/>
      <c r="F83" s="84"/>
      <c r="G83" s="83"/>
      <c r="H83" s="41" t="str">
        <f aca="false">IF(A83="","",N(E83)*N(F83))</f>
        <v/>
      </c>
      <c r="I83" s="42" t="str">
        <f aca="false">IF(A83="","",SUMIFS('Stock Register'!$F$7:$F$506,'Stock Register'!$C$7:$C$506,A83,'Stock Register'!$E$7:$E$506,"In"))</f>
        <v/>
      </c>
      <c r="J83" s="42" t="str">
        <f aca="false">IF(A83="","",SUMIFS('Stock Register'!$F$7:$F$506,'Stock Register'!$C$7:$C$506,A83,'Stock Register'!$E$7:$E$506,"Out"))</f>
        <v/>
      </c>
      <c r="K83" s="43" t="str">
        <f aca="false">IF(A83="","",N(E83)+I83-J83)</f>
        <v/>
      </c>
      <c r="L83" s="44" t="str">
        <f aca="false">IF(A83="","",IF(COUNTIF($A$6:$A$105,A83)&gt;1,"⚠ Duplicate code",IF(K83&lt;0,"⚠ Negative stock",IF(K83=0,"Out of stock",IF(K83&lt;=N(G83),"Reorder","✔ OK")))))</f>
        <v/>
      </c>
      <c r="M83" s="9" t="str">
        <f aca="false">IF(AND(A83&lt;&gt;"",OR(L83="Reorder",L83="Out of stock",L83="⚠ Negative stock")),COUNTIF($L$6:L83,"Reorder")+COUNTIF($L$6:L83,"Out of stock")+COUNTIF($L$6:L83,"⚠ Negative stock"),"")</f>
        <v/>
      </c>
    </row>
    <row r="84" customFormat="false" ht="15" hidden="false" customHeight="false" outlineLevel="0" collapsed="false">
      <c r="A84" s="80"/>
      <c r="B84" s="81"/>
      <c r="C84" s="81"/>
      <c r="D84" s="82"/>
      <c r="E84" s="83"/>
      <c r="F84" s="84"/>
      <c r="G84" s="83"/>
      <c r="H84" s="41" t="str">
        <f aca="false">IF(A84="","",N(E84)*N(F84))</f>
        <v/>
      </c>
      <c r="I84" s="42" t="str">
        <f aca="false">IF(A84="","",SUMIFS('Stock Register'!$F$7:$F$506,'Stock Register'!$C$7:$C$506,A84,'Stock Register'!$E$7:$E$506,"In"))</f>
        <v/>
      </c>
      <c r="J84" s="42" t="str">
        <f aca="false">IF(A84="","",SUMIFS('Stock Register'!$F$7:$F$506,'Stock Register'!$C$7:$C$506,A84,'Stock Register'!$E$7:$E$506,"Out"))</f>
        <v/>
      </c>
      <c r="K84" s="43" t="str">
        <f aca="false">IF(A84="","",N(E84)+I84-J84)</f>
        <v/>
      </c>
      <c r="L84" s="44" t="str">
        <f aca="false">IF(A84="","",IF(COUNTIF($A$6:$A$105,A84)&gt;1,"⚠ Duplicate code",IF(K84&lt;0,"⚠ Negative stock",IF(K84=0,"Out of stock",IF(K84&lt;=N(G84),"Reorder","✔ OK")))))</f>
        <v/>
      </c>
      <c r="M84" s="9" t="str">
        <f aca="false">IF(AND(A84&lt;&gt;"",OR(L84="Reorder",L84="Out of stock",L84="⚠ Negative stock")),COUNTIF($L$6:L84,"Reorder")+COUNTIF($L$6:L84,"Out of stock")+COUNTIF($L$6:L84,"⚠ Negative stock"),"")</f>
        <v/>
      </c>
    </row>
    <row r="85" customFormat="false" ht="15" hidden="false" customHeight="false" outlineLevel="0" collapsed="false">
      <c r="A85" s="80"/>
      <c r="B85" s="81"/>
      <c r="C85" s="81"/>
      <c r="D85" s="82"/>
      <c r="E85" s="83"/>
      <c r="F85" s="84"/>
      <c r="G85" s="83"/>
      <c r="H85" s="41" t="str">
        <f aca="false">IF(A85="","",N(E85)*N(F85))</f>
        <v/>
      </c>
      <c r="I85" s="42" t="str">
        <f aca="false">IF(A85="","",SUMIFS('Stock Register'!$F$7:$F$506,'Stock Register'!$C$7:$C$506,A85,'Stock Register'!$E$7:$E$506,"In"))</f>
        <v/>
      </c>
      <c r="J85" s="42" t="str">
        <f aca="false">IF(A85="","",SUMIFS('Stock Register'!$F$7:$F$506,'Stock Register'!$C$7:$C$506,A85,'Stock Register'!$E$7:$E$506,"Out"))</f>
        <v/>
      </c>
      <c r="K85" s="43" t="str">
        <f aca="false">IF(A85="","",N(E85)+I85-J85)</f>
        <v/>
      </c>
      <c r="L85" s="44" t="str">
        <f aca="false">IF(A85="","",IF(COUNTIF($A$6:$A$105,A85)&gt;1,"⚠ Duplicate code",IF(K85&lt;0,"⚠ Negative stock",IF(K85=0,"Out of stock",IF(K85&lt;=N(G85),"Reorder","✔ OK")))))</f>
        <v/>
      </c>
      <c r="M85" s="9" t="str">
        <f aca="false">IF(AND(A85&lt;&gt;"",OR(L85="Reorder",L85="Out of stock",L85="⚠ Negative stock")),COUNTIF($L$6:L85,"Reorder")+COUNTIF($L$6:L85,"Out of stock")+COUNTIF($L$6:L85,"⚠ Negative stock"),"")</f>
        <v/>
      </c>
    </row>
    <row r="86" customFormat="false" ht="15" hidden="false" customHeight="false" outlineLevel="0" collapsed="false">
      <c r="A86" s="80"/>
      <c r="B86" s="81"/>
      <c r="C86" s="81"/>
      <c r="D86" s="82"/>
      <c r="E86" s="83"/>
      <c r="F86" s="84"/>
      <c r="G86" s="83"/>
      <c r="H86" s="41" t="str">
        <f aca="false">IF(A86="","",N(E86)*N(F86))</f>
        <v/>
      </c>
      <c r="I86" s="42" t="str">
        <f aca="false">IF(A86="","",SUMIFS('Stock Register'!$F$7:$F$506,'Stock Register'!$C$7:$C$506,A86,'Stock Register'!$E$7:$E$506,"In"))</f>
        <v/>
      </c>
      <c r="J86" s="42" t="str">
        <f aca="false">IF(A86="","",SUMIFS('Stock Register'!$F$7:$F$506,'Stock Register'!$C$7:$C$506,A86,'Stock Register'!$E$7:$E$506,"Out"))</f>
        <v/>
      </c>
      <c r="K86" s="43" t="str">
        <f aca="false">IF(A86="","",N(E86)+I86-J86)</f>
        <v/>
      </c>
      <c r="L86" s="44" t="str">
        <f aca="false">IF(A86="","",IF(COUNTIF($A$6:$A$105,A86)&gt;1,"⚠ Duplicate code",IF(K86&lt;0,"⚠ Negative stock",IF(K86=0,"Out of stock",IF(K86&lt;=N(G86),"Reorder","✔ OK")))))</f>
        <v/>
      </c>
      <c r="M86" s="9" t="str">
        <f aca="false">IF(AND(A86&lt;&gt;"",OR(L86="Reorder",L86="Out of stock",L86="⚠ Negative stock")),COUNTIF($L$6:L86,"Reorder")+COUNTIF($L$6:L86,"Out of stock")+COUNTIF($L$6:L86,"⚠ Negative stock"),"")</f>
        <v/>
      </c>
    </row>
    <row r="87" customFormat="false" ht="15" hidden="false" customHeight="false" outlineLevel="0" collapsed="false">
      <c r="A87" s="80"/>
      <c r="B87" s="81"/>
      <c r="C87" s="81"/>
      <c r="D87" s="82"/>
      <c r="E87" s="83"/>
      <c r="F87" s="84"/>
      <c r="G87" s="83"/>
      <c r="H87" s="41" t="str">
        <f aca="false">IF(A87="","",N(E87)*N(F87))</f>
        <v/>
      </c>
      <c r="I87" s="42" t="str">
        <f aca="false">IF(A87="","",SUMIFS('Stock Register'!$F$7:$F$506,'Stock Register'!$C$7:$C$506,A87,'Stock Register'!$E$7:$E$506,"In"))</f>
        <v/>
      </c>
      <c r="J87" s="42" t="str">
        <f aca="false">IF(A87="","",SUMIFS('Stock Register'!$F$7:$F$506,'Stock Register'!$C$7:$C$506,A87,'Stock Register'!$E$7:$E$506,"Out"))</f>
        <v/>
      </c>
      <c r="K87" s="43" t="str">
        <f aca="false">IF(A87="","",N(E87)+I87-J87)</f>
        <v/>
      </c>
      <c r="L87" s="44" t="str">
        <f aca="false">IF(A87="","",IF(COUNTIF($A$6:$A$105,A87)&gt;1,"⚠ Duplicate code",IF(K87&lt;0,"⚠ Negative stock",IF(K87=0,"Out of stock",IF(K87&lt;=N(G87),"Reorder","✔ OK")))))</f>
        <v/>
      </c>
      <c r="M87" s="9" t="str">
        <f aca="false">IF(AND(A87&lt;&gt;"",OR(L87="Reorder",L87="Out of stock",L87="⚠ Negative stock")),COUNTIF($L$6:L87,"Reorder")+COUNTIF($L$6:L87,"Out of stock")+COUNTIF($L$6:L87,"⚠ Negative stock"),"")</f>
        <v/>
      </c>
    </row>
    <row r="88" customFormat="false" ht="15" hidden="false" customHeight="false" outlineLevel="0" collapsed="false">
      <c r="A88" s="80"/>
      <c r="B88" s="81"/>
      <c r="C88" s="81"/>
      <c r="D88" s="82"/>
      <c r="E88" s="83"/>
      <c r="F88" s="84"/>
      <c r="G88" s="83"/>
      <c r="H88" s="41" t="str">
        <f aca="false">IF(A88="","",N(E88)*N(F88))</f>
        <v/>
      </c>
      <c r="I88" s="42" t="str">
        <f aca="false">IF(A88="","",SUMIFS('Stock Register'!$F$7:$F$506,'Stock Register'!$C$7:$C$506,A88,'Stock Register'!$E$7:$E$506,"In"))</f>
        <v/>
      </c>
      <c r="J88" s="42" t="str">
        <f aca="false">IF(A88="","",SUMIFS('Stock Register'!$F$7:$F$506,'Stock Register'!$C$7:$C$506,A88,'Stock Register'!$E$7:$E$506,"Out"))</f>
        <v/>
      </c>
      <c r="K88" s="43" t="str">
        <f aca="false">IF(A88="","",N(E88)+I88-J88)</f>
        <v/>
      </c>
      <c r="L88" s="44" t="str">
        <f aca="false">IF(A88="","",IF(COUNTIF($A$6:$A$105,A88)&gt;1,"⚠ Duplicate code",IF(K88&lt;0,"⚠ Negative stock",IF(K88=0,"Out of stock",IF(K88&lt;=N(G88),"Reorder","✔ OK")))))</f>
        <v/>
      </c>
      <c r="M88" s="9" t="str">
        <f aca="false">IF(AND(A88&lt;&gt;"",OR(L88="Reorder",L88="Out of stock",L88="⚠ Negative stock")),COUNTIF($L$6:L88,"Reorder")+COUNTIF($L$6:L88,"Out of stock")+COUNTIF($L$6:L88,"⚠ Negative stock"),"")</f>
        <v/>
      </c>
    </row>
    <row r="89" customFormat="false" ht="15" hidden="false" customHeight="false" outlineLevel="0" collapsed="false">
      <c r="A89" s="80"/>
      <c r="B89" s="81"/>
      <c r="C89" s="81"/>
      <c r="D89" s="82"/>
      <c r="E89" s="83"/>
      <c r="F89" s="84"/>
      <c r="G89" s="83"/>
      <c r="H89" s="41" t="str">
        <f aca="false">IF(A89="","",N(E89)*N(F89))</f>
        <v/>
      </c>
      <c r="I89" s="42" t="str">
        <f aca="false">IF(A89="","",SUMIFS('Stock Register'!$F$7:$F$506,'Stock Register'!$C$7:$C$506,A89,'Stock Register'!$E$7:$E$506,"In"))</f>
        <v/>
      </c>
      <c r="J89" s="42" t="str">
        <f aca="false">IF(A89="","",SUMIFS('Stock Register'!$F$7:$F$506,'Stock Register'!$C$7:$C$506,A89,'Stock Register'!$E$7:$E$506,"Out"))</f>
        <v/>
      </c>
      <c r="K89" s="43" t="str">
        <f aca="false">IF(A89="","",N(E89)+I89-J89)</f>
        <v/>
      </c>
      <c r="L89" s="44" t="str">
        <f aca="false">IF(A89="","",IF(COUNTIF($A$6:$A$105,A89)&gt;1,"⚠ Duplicate code",IF(K89&lt;0,"⚠ Negative stock",IF(K89=0,"Out of stock",IF(K89&lt;=N(G89),"Reorder","✔ OK")))))</f>
        <v/>
      </c>
      <c r="M89" s="9" t="str">
        <f aca="false">IF(AND(A89&lt;&gt;"",OR(L89="Reorder",L89="Out of stock",L89="⚠ Negative stock")),COUNTIF($L$6:L89,"Reorder")+COUNTIF($L$6:L89,"Out of stock")+COUNTIF($L$6:L89,"⚠ Negative stock"),"")</f>
        <v/>
      </c>
    </row>
    <row r="90" customFormat="false" ht="15" hidden="false" customHeight="false" outlineLevel="0" collapsed="false">
      <c r="A90" s="80"/>
      <c r="B90" s="81"/>
      <c r="C90" s="81"/>
      <c r="D90" s="82"/>
      <c r="E90" s="83"/>
      <c r="F90" s="84"/>
      <c r="G90" s="83"/>
      <c r="H90" s="41" t="str">
        <f aca="false">IF(A90="","",N(E90)*N(F90))</f>
        <v/>
      </c>
      <c r="I90" s="42" t="str">
        <f aca="false">IF(A90="","",SUMIFS('Stock Register'!$F$7:$F$506,'Stock Register'!$C$7:$C$506,A90,'Stock Register'!$E$7:$E$506,"In"))</f>
        <v/>
      </c>
      <c r="J90" s="42" t="str">
        <f aca="false">IF(A90="","",SUMIFS('Stock Register'!$F$7:$F$506,'Stock Register'!$C$7:$C$506,A90,'Stock Register'!$E$7:$E$506,"Out"))</f>
        <v/>
      </c>
      <c r="K90" s="43" t="str">
        <f aca="false">IF(A90="","",N(E90)+I90-J90)</f>
        <v/>
      </c>
      <c r="L90" s="44" t="str">
        <f aca="false">IF(A90="","",IF(COUNTIF($A$6:$A$105,A90)&gt;1,"⚠ Duplicate code",IF(K90&lt;0,"⚠ Negative stock",IF(K90=0,"Out of stock",IF(K90&lt;=N(G90),"Reorder","✔ OK")))))</f>
        <v/>
      </c>
      <c r="M90" s="9" t="str">
        <f aca="false">IF(AND(A90&lt;&gt;"",OR(L90="Reorder",L90="Out of stock",L90="⚠ Negative stock")),COUNTIF($L$6:L90,"Reorder")+COUNTIF($L$6:L90,"Out of stock")+COUNTIF($L$6:L90,"⚠ Negative stock"),"")</f>
        <v/>
      </c>
    </row>
    <row r="91" customFormat="false" ht="15" hidden="false" customHeight="false" outlineLevel="0" collapsed="false">
      <c r="A91" s="80"/>
      <c r="B91" s="81"/>
      <c r="C91" s="81"/>
      <c r="D91" s="82"/>
      <c r="E91" s="83"/>
      <c r="F91" s="84"/>
      <c r="G91" s="83"/>
      <c r="H91" s="41" t="str">
        <f aca="false">IF(A91="","",N(E91)*N(F91))</f>
        <v/>
      </c>
      <c r="I91" s="42" t="str">
        <f aca="false">IF(A91="","",SUMIFS('Stock Register'!$F$7:$F$506,'Stock Register'!$C$7:$C$506,A91,'Stock Register'!$E$7:$E$506,"In"))</f>
        <v/>
      </c>
      <c r="J91" s="42" t="str">
        <f aca="false">IF(A91="","",SUMIFS('Stock Register'!$F$7:$F$506,'Stock Register'!$C$7:$C$506,A91,'Stock Register'!$E$7:$E$506,"Out"))</f>
        <v/>
      </c>
      <c r="K91" s="43" t="str">
        <f aca="false">IF(A91="","",N(E91)+I91-J91)</f>
        <v/>
      </c>
      <c r="L91" s="44" t="str">
        <f aca="false">IF(A91="","",IF(COUNTIF($A$6:$A$105,A91)&gt;1,"⚠ Duplicate code",IF(K91&lt;0,"⚠ Negative stock",IF(K91=0,"Out of stock",IF(K91&lt;=N(G91),"Reorder","✔ OK")))))</f>
        <v/>
      </c>
      <c r="M91" s="9" t="str">
        <f aca="false">IF(AND(A91&lt;&gt;"",OR(L91="Reorder",L91="Out of stock",L91="⚠ Negative stock")),COUNTIF($L$6:L91,"Reorder")+COUNTIF($L$6:L91,"Out of stock")+COUNTIF($L$6:L91,"⚠ Negative stock"),"")</f>
        <v/>
      </c>
    </row>
    <row r="92" customFormat="false" ht="15" hidden="false" customHeight="false" outlineLevel="0" collapsed="false">
      <c r="A92" s="80"/>
      <c r="B92" s="81"/>
      <c r="C92" s="81"/>
      <c r="D92" s="82"/>
      <c r="E92" s="83"/>
      <c r="F92" s="84"/>
      <c r="G92" s="83"/>
      <c r="H92" s="41" t="str">
        <f aca="false">IF(A92="","",N(E92)*N(F92))</f>
        <v/>
      </c>
      <c r="I92" s="42" t="str">
        <f aca="false">IF(A92="","",SUMIFS('Stock Register'!$F$7:$F$506,'Stock Register'!$C$7:$C$506,A92,'Stock Register'!$E$7:$E$506,"In"))</f>
        <v/>
      </c>
      <c r="J92" s="42" t="str">
        <f aca="false">IF(A92="","",SUMIFS('Stock Register'!$F$7:$F$506,'Stock Register'!$C$7:$C$506,A92,'Stock Register'!$E$7:$E$506,"Out"))</f>
        <v/>
      </c>
      <c r="K92" s="43" t="str">
        <f aca="false">IF(A92="","",N(E92)+I92-J92)</f>
        <v/>
      </c>
      <c r="L92" s="44" t="str">
        <f aca="false">IF(A92="","",IF(COUNTIF($A$6:$A$105,A92)&gt;1,"⚠ Duplicate code",IF(K92&lt;0,"⚠ Negative stock",IF(K92=0,"Out of stock",IF(K92&lt;=N(G92),"Reorder","✔ OK")))))</f>
        <v/>
      </c>
      <c r="M92" s="9" t="str">
        <f aca="false">IF(AND(A92&lt;&gt;"",OR(L92="Reorder",L92="Out of stock",L92="⚠ Negative stock")),COUNTIF($L$6:L92,"Reorder")+COUNTIF($L$6:L92,"Out of stock")+COUNTIF($L$6:L92,"⚠ Negative stock"),"")</f>
        <v/>
      </c>
    </row>
    <row r="93" customFormat="false" ht="15" hidden="false" customHeight="false" outlineLevel="0" collapsed="false">
      <c r="A93" s="80"/>
      <c r="B93" s="81"/>
      <c r="C93" s="81"/>
      <c r="D93" s="82"/>
      <c r="E93" s="83"/>
      <c r="F93" s="84"/>
      <c r="G93" s="83"/>
      <c r="H93" s="41" t="str">
        <f aca="false">IF(A93="","",N(E93)*N(F93))</f>
        <v/>
      </c>
      <c r="I93" s="42" t="str">
        <f aca="false">IF(A93="","",SUMIFS('Stock Register'!$F$7:$F$506,'Stock Register'!$C$7:$C$506,A93,'Stock Register'!$E$7:$E$506,"In"))</f>
        <v/>
      </c>
      <c r="J93" s="42" t="str">
        <f aca="false">IF(A93="","",SUMIFS('Stock Register'!$F$7:$F$506,'Stock Register'!$C$7:$C$506,A93,'Stock Register'!$E$7:$E$506,"Out"))</f>
        <v/>
      </c>
      <c r="K93" s="43" t="str">
        <f aca="false">IF(A93="","",N(E93)+I93-J93)</f>
        <v/>
      </c>
      <c r="L93" s="44" t="str">
        <f aca="false">IF(A93="","",IF(COUNTIF($A$6:$A$105,A93)&gt;1,"⚠ Duplicate code",IF(K93&lt;0,"⚠ Negative stock",IF(K93=0,"Out of stock",IF(K93&lt;=N(G93),"Reorder","✔ OK")))))</f>
        <v/>
      </c>
      <c r="M93" s="9" t="str">
        <f aca="false">IF(AND(A93&lt;&gt;"",OR(L93="Reorder",L93="Out of stock",L93="⚠ Negative stock")),COUNTIF($L$6:L93,"Reorder")+COUNTIF($L$6:L93,"Out of stock")+COUNTIF($L$6:L93,"⚠ Negative stock"),"")</f>
        <v/>
      </c>
    </row>
    <row r="94" customFormat="false" ht="15" hidden="false" customHeight="false" outlineLevel="0" collapsed="false">
      <c r="A94" s="80"/>
      <c r="B94" s="81"/>
      <c r="C94" s="81"/>
      <c r="D94" s="82"/>
      <c r="E94" s="83"/>
      <c r="F94" s="84"/>
      <c r="G94" s="83"/>
      <c r="H94" s="41" t="str">
        <f aca="false">IF(A94="","",N(E94)*N(F94))</f>
        <v/>
      </c>
      <c r="I94" s="42" t="str">
        <f aca="false">IF(A94="","",SUMIFS('Stock Register'!$F$7:$F$506,'Stock Register'!$C$7:$C$506,A94,'Stock Register'!$E$7:$E$506,"In"))</f>
        <v/>
      </c>
      <c r="J94" s="42" t="str">
        <f aca="false">IF(A94="","",SUMIFS('Stock Register'!$F$7:$F$506,'Stock Register'!$C$7:$C$506,A94,'Stock Register'!$E$7:$E$506,"Out"))</f>
        <v/>
      </c>
      <c r="K94" s="43" t="str">
        <f aca="false">IF(A94="","",N(E94)+I94-J94)</f>
        <v/>
      </c>
      <c r="L94" s="44" t="str">
        <f aca="false">IF(A94="","",IF(COUNTIF($A$6:$A$105,A94)&gt;1,"⚠ Duplicate code",IF(K94&lt;0,"⚠ Negative stock",IF(K94=0,"Out of stock",IF(K94&lt;=N(G94),"Reorder","✔ OK")))))</f>
        <v/>
      </c>
      <c r="M94" s="9" t="str">
        <f aca="false">IF(AND(A94&lt;&gt;"",OR(L94="Reorder",L94="Out of stock",L94="⚠ Negative stock")),COUNTIF($L$6:L94,"Reorder")+COUNTIF($L$6:L94,"Out of stock")+COUNTIF($L$6:L94,"⚠ Negative stock"),"")</f>
        <v/>
      </c>
    </row>
    <row r="95" customFormat="false" ht="15" hidden="false" customHeight="false" outlineLevel="0" collapsed="false">
      <c r="A95" s="80"/>
      <c r="B95" s="81"/>
      <c r="C95" s="81"/>
      <c r="D95" s="82"/>
      <c r="E95" s="83"/>
      <c r="F95" s="84"/>
      <c r="G95" s="83"/>
      <c r="H95" s="41" t="str">
        <f aca="false">IF(A95="","",N(E95)*N(F95))</f>
        <v/>
      </c>
      <c r="I95" s="42" t="str">
        <f aca="false">IF(A95="","",SUMIFS('Stock Register'!$F$7:$F$506,'Stock Register'!$C$7:$C$506,A95,'Stock Register'!$E$7:$E$506,"In"))</f>
        <v/>
      </c>
      <c r="J95" s="42" t="str">
        <f aca="false">IF(A95="","",SUMIFS('Stock Register'!$F$7:$F$506,'Stock Register'!$C$7:$C$506,A95,'Stock Register'!$E$7:$E$506,"Out"))</f>
        <v/>
      </c>
      <c r="K95" s="43" t="str">
        <f aca="false">IF(A95="","",N(E95)+I95-J95)</f>
        <v/>
      </c>
      <c r="L95" s="44" t="str">
        <f aca="false">IF(A95="","",IF(COUNTIF($A$6:$A$105,A95)&gt;1,"⚠ Duplicate code",IF(K95&lt;0,"⚠ Negative stock",IF(K95=0,"Out of stock",IF(K95&lt;=N(G95),"Reorder","✔ OK")))))</f>
        <v/>
      </c>
      <c r="M95" s="9" t="str">
        <f aca="false">IF(AND(A95&lt;&gt;"",OR(L95="Reorder",L95="Out of stock",L95="⚠ Negative stock")),COUNTIF($L$6:L95,"Reorder")+COUNTIF($L$6:L95,"Out of stock")+COUNTIF($L$6:L95,"⚠ Negative stock"),"")</f>
        <v/>
      </c>
    </row>
    <row r="96" customFormat="false" ht="15" hidden="false" customHeight="false" outlineLevel="0" collapsed="false">
      <c r="A96" s="80"/>
      <c r="B96" s="81"/>
      <c r="C96" s="81"/>
      <c r="D96" s="82"/>
      <c r="E96" s="83"/>
      <c r="F96" s="84"/>
      <c r="G96" s="83"/>
      <c r="H96" s="41" t="str">
        <f aca="false">IF(A96="","",N(E96)*N(F96))</f>
        <v/>
      </c>
      <c r="I96" s="42" t="str">
        <f aca="false">IF(A96="","",SUMIFS('Stock Register'!$F$7:$F$506,'Stock Register'!$C$7:$C$506,A96,'Stock Register'!$E$7:$E$506,"In"))</f>
        <v/>
      </c>
      <c r="J96" s="42" t="str">
        <f aca="false">IF(A96="","",SUMIFS('Stock Register'!$F$7:$F$506,'Stock Register'!$C$7:$C$506,A96,'Stock Register'!$E$7:$E$506,"Out"))</f>
        <v/>
      </c>
      <c r="K96" s="43" t="str">
        <f aca="false">IF(A96="","",N(E96)+I96-J96)</f>
        <v/>
      </c>
      <c r="L96" s="44" t="str">
        <f aca="false">IF(A96="","",IF(COUNTIF($A$6:$A$105,A96)&gt;1,"⚠ Duplicate code",IF(K96&lt;0,"⚠ Negative stock",IF(K96=0,"Out of stock",IF(K96&lt;=N(G96),"Reorder","✔ OK")))))</f>
        <v/>
      </c>
      <c r="M96" s="9" t="str">
        <f aca="false">IF(AND(A96&lt;&gt;"",OR(L96="Reorder",L96="Out of stock",L96="⚠ Negative stock")),COUNTIF($L$6:L96,"Reorder")+COUNTIF($L$6:L96,"Out of stock")+COUNTIF($L$6:L96,"⚠ Negative stock"),"")</f>
        <v/>
      </c>
    </row>
    <row r="97" customFormat="false" ht="15" hidden="false" customHeight="false" outlineLevel="0" collapsed="false">
      <c r="A97" s="80"/>
      <c r="B97" s="81"/>
      <c r="C97" s="81"/>
      <c r="D97" s="82"/>
      <c r="E97" s="83"/>
      <c r="F97" s="84"/>
      <c r="G97" s="83"/>
      <c r="H97" s="41" t="str">
        <f aca="false">IF(A97="","",N(E97)*N(F97))</f>
        <v/>
      </c>
      <c r="I97" s="42" t="str">
        <f aca="false">IF(A97="","",SUMIFS('Stock Register'!$F$7:$F$506,'Stock Register'!$C$7:$C$506,A97,'Stock Register'!$E$7:$E$506,"In"))</f>
        <v/>
      </c>
      <c r="J97" s="42" t="str">
        <f aca="false">IF(A97="","",SUMIFS('Stock Register'!$F$7:$F$506,'Stock Register'!$C$7:$C$506,A97,'Stock Register'!$E$7:$E$506,"Out"))</f>
        <v/>
      </c>
      <c r="K97" s="43" t="str">
        <f aca="false">IF(A97="","",N(E97)+I97-J97)</f>
        <v/>
      </c>
      <c r="L97" s="44" t="str">
        <f aca="false">IF(A97="","",IF(COUNTIF($A$6:$A$105,A97)&gt;1,"⚠ Duplicate code",IF(K97&lt;0,"⚠ Negative stock",IF(K97=0,"Out of stock",IF(K97&lt;=N(G97),"Reorder","✔ OK")))))</f>
        <v/>
      </c>
      <c r="M97" s="9" t="str">
        <f aca="false">IF(AND(A97&lt;&gt;"",OR(L97="Reorder",L97="Out of stock",L97="⚠ Negative stock")),COUNTIF($L$6:L97,"Reorder")+COUNTIF($L$6:L97,"Out of stock")+COUNTIF($L$6:L97,"⚠ Negative stock"),"")</f>
        <v/>
      </c>
    </row>
    <row r="98" customFormat="false" ht="15" hidden="false" customHeight="false" outlineLevel="0" collapsed="false">
      <c r="A98" s="80"/>
      <c r="B98" s="81"/>
      <c r="C98" s="81"/>
      <c r="D98" s="82"/>
      <c r="E98" s="83"/>
      <c r="F98" s="84"/>
      <c r="G98" s="83"/>
      <c r="H98" s="41" t="str">
        <f aca="false">IF(A98="","",N(E98)*N(F98))</f>
        <v/>
      </c>
      <c r="I98" s="42" t="str">
        <f aca="false">IF(A98="","",SUMIFS('Stock Register'!$F$7:$F$506,'Stock Register'!$C$7:$C$506,A98,'Stock Register'!$E$7:$E$506,"In"))</f>
        <v/>
      </c>
      <c r="J98" s="42" t="str">
        <f aca="false">IF(A98="","",SUMIFS('Stock Register'!$F$7:$F$506,'Stock Register'!$C$7:$C$506,A98,'Stock Register'!$E$7:$E$506,"Out"))</f>
        <v/>
      </c>
      <c r="K98" s="43" t="str">
        <f aca="false">IF(A98="","",N(E98)+I98-J98)</f>
        <v/>
      </c>
      <c r="L98" s="44" t="str">
        <f aca="false">IF(A98="","",IF(COUNTIF($A$6:$A$105,A98)&gt;1,"⚠ Duplicate code",IF(K98&lt;0,"⚠ Negative stock",IF(K98=0,"Out of stock",IF(K98&lt;=N(G98),"Reorder","✔ OK")))))</f>
        <v/>
      </c>
      <c r="M98" s="9" t="str">
        <f aca="false">IF(AND(A98&lt;&gt;"",OR(L98="Reorder",L98="Out of stock",L98="⚠ Negative stock")),COUNTIF($L$6:L98,"Reorder")+COUNTIF($L$6:L98,"Out of stock")+COUNTIF($L$6:L98,"⚠ Negative stock"),"")</f>
        <v/>
      </c>
    </row>
    <row r="99" customFormat="false" ht="15" hidden="false" customHeight="false" outlineLevel="0" collapsed="false">
      <c r="A99" s="80"/>
      <c r="B99" s="81"/>
      <c r="C99" s="81"/>
      <c r="D99" s="82"/>
      <c r="E99" s="83"/>
      <c r="F99" s="84"/>
      <c r="G99" s="83"/>
      <c r="H99" s="41" t="str">
        <f aca="false">IF(A99="","",N(E99)*N(F99))</f>
        <v/>
      </c>
      <c r="I99" s="42" t="str">
        <f aca="false">IF(A99="","",SUMIFS('Stock Register'!$F$7:$F$506,'Stock Register'!$C$7:$C$506,A99,'Stock Register'!$E$7:$E$506,"In"))</f>
        <v/>
      </c>
      <c r="J99" s="42" t="str">
        <f aca="false">IF(A99="","",SUMIFS('Stock Register'!$F$7:$F$506,'Stock Register'!$C$7:$C$506,A99,'Stock Register'!$E$7:$E$506,"Out"))</f>
        <v/>
      </c>
      <c r="K99" s="43" t="str">
        <f aca="false">IF(A99="","",N(E99)+I99-J99)</f>
        <v/>
      </c>
      <c r="L99" s="44" t="str">
        <f aca="false">IF(A99="","",IF(COUNTIF($A$6:$A$105,A99)&gt;1,"⚠ Duplicate code",IF(K99&lt;0,"⚠ Negative stock",IF(K99=0,"Out of stock",IF(K99&lt;=N(G99),"Reorder","✔ OK")))))</f>
        <v/>
      </c>
      <c r="M99" s="9" t="str">
        <f aca="false">IF(AND(A99&lt;&gt;"",OR(L99="Reorder",L99="Out of stock",L99="⚠ Negative stock")),COUNTIF($L$6:L99,"Reorder")+COUNTIF($L$6:L99,"Out of stock")+COUNTIF($L$6:L99,"⚠ Negative stock"),"")</f>
        <v/>
      </c>
    </row>
    <row r="100" customFormat="false" ht="15" hidden="false" customHeight="false" outlineLevel="0" collapsed="false">
      <c r="A100" s="80"/>
      <c r="B100" s="81"/>
      <c r="C100" s="81"/>
      <c r="D100" s="82"/>
      <c r="E100" s="83"/>
      <c r="F100" s="84"/>
      <c r="G100" s="83"/>
      <c r="H100" s="41" t="str">
        <f aca="false">IF(A100="","",N(E100)*N(F100))</f>
        <v/>
      </c>
      <c r="I100" s="42" t="str">
        <f aca="false">IF(A100="","",SUMIFS('Stock Register'!$F$7:$F$506,'Stock Register'!$C$7:$C$506,A100,'Stock Register'!$E$7:$E$506,"In"))</f>
        <v/>
      </c>
      <c r="J100" s="42" t="str">
        <f aca="false">IF(A100="","",SUMIFS('Stock Register'!$F$7:$F$506,'Stock Register'!$C$7:$C$506,A100,'Stock Register'!$E$7:$E$506,"Out"))</f>
        <v/>
      </c>
      <c r="K100" s="43" t="str">
        <f aca="false">IF(A100="","",N(E100)+I100-J100)</f>
        <v/>
      </c>
      <c r="L100" s="44" t="str">
        <f aca="false">IF(A100="","",IF(COUNTIF($A$6:$A$105,A100)&gt;1,"⚠ Duplicate code",IF(K100&lt;0,"⚠ Negative stock",IF(K100=0,"Out of stock",IF(K100&lt;=N(G100),"Reorder","✔ OK")))))</f>
        <v/>
      </c>
      <c r="M100" s="9" t="str">
        <f aca="false">IF(AND(A100&lt;&gt;"",OR(L100="Reorder",L100="Out of stock",L100="⚠ Negative stock")),COUNTIF($L$6:L100,"Reorder")+COUNTIF($L$6:L100,"Out of stock")+COUNTIF($L$6:L100,"⚠ Negative stock"),"")</f>
        <v/>
      </c>
    </row>
    <row r="101" customFormat="false" ht="15" hidden="false" customHeight="false" outlineLevel="0" collapsed="false">
      <c r="A101" s="80"/>
      <c r="B101" s="81"/>
      <c r="C101" s="81"/>
      <c r="D101" s="82"/>
      <c r="E101" s="83"/>
      <c r="F101" s="84"/>
      <c r="G101" s="83"/>
      <c r="H101" s="41" t="str">
        <f aca="false">IF(A101="","",N(E101)*N(F101))</f>
        <v/>
      </c>
      <c r="I101" s="42" t="str">
        <f aca="false">IF(A101="","",SUMIFS('Stock Register'!$F$7:$F$506,'Stock Register'!$C$7:$C$506,A101,'Stock Register'!$E$7:$E$506,"In"))</f>
        <v/>
      </c>
      <c r="J101" s="42" t="str">
        <f aca="false">IF(A101="","",SUMIFS('Stock Register'!$F$7:$F$506,'Stock Register'!$C$7:$C$506,A101,'Stock Register'!$E$7:$E$506,"Out"))</f>
        <v/>
      </c>
      <c r="K101" s="43" t="str">
        <f aca="false">IF(A101="","",N(E101)+I101-J101)</f>
        <v/>
      </c>
      <c r="L101" s="44" t="str">
        <f aca="false">IF(A101="","",IF(COUNTIF($A$6:$A$105,A101)&gt;1,"⚠ Duplicate code",IF(K101&lt;0,"⚠ Negative stock",IF(K101=0,"Out of stock",IF(K101&lt;=N(G101),"Reorder","✔ OK")))))</f>
        <v/>
      </c>
      <c r="M101" s="9" t="str">
        <f aca="false">IF(AND(A101&lt;&gt;"",OR(L101="Reorder",L101="Out of stock",L101="⚠ Negative stock")),COUNTIF($L$6:L101,"Reorder")+COUNTIF($L$6:L101,"Out of stock")+COUNTIF($L$6:L101,"⚠ Negative stock"),"")</f>
        <v/>
      </c>
    </row>
    <row r="102" customFormat="false" ht="15" hidden="false" customHeight="false" outlineLevel="0" collapsed="false">
      <c r="A102" s="80"/>
      <c r="B102" s="81"/>
      <c r="C102" s="81"/>
      <c r="D102" s="82"/>
      <c r="E102" s="83"/>
      <c r="F102" s="84"/>
      <c r="G102" s="83"/>
      <c r="H102" s="41" t="str">
        <f aca="false">IF(A102="","",N(E102)*N(F102))</f>
        <v/>
      </c>
      <c r="I102" s="42" t="str">
        <f aca="false">IF(A102="","",SUMIFS('Stock Register'!$F$7:$F$506,'Stock Register'!$C$7:$C$506,A102,'Stock Register'!$E$7:$E$506,"In"))</f>
        <v/>
      </c>
      <c r="J102" s="42" t="str">
        <f aca="false">IF(A102="","",SUMIFS('Stock Register'!$F$7:$F$506,'Stock Register'!$C$7:$C$506,A102,'Stock Register'!$E$7:$E$506,"Out"))</f>
        <v/>
      </c>
      <c r="K102" s="43" t="str">
        <f aca="false">IF(A102="","",N(E102)+I102-J102)</f>
        <v/>
      </c>
      <c r="L102" s="44" t="str">
        <f aca="false">IF(A102="","",IF(COUNTIF($A$6:$A$105,A102)&gt;1,"⚠ Duplicate code",IF(K102&lt;0,"⚠ Negative stock",IF(K102=0,"Out of stock",IF(K102&lt;=N(G102),"Reorder","✔ OK")))))</f>
        <v/>
      </c>
      <c r="M102" s="9" t="str">
        <f aca="false">IF(AND(A102&lt;&gt;"",OR(L102="Reorder",L102="Out of stock",L102="⚠ Negative stock")),COUNTIF($L$6:L102,"Reorder")+COUNTIF($L$6:L102,"Out of stock")+COUNTIF($L$6:L102,"⚠ Negative stock"),"")</f>
        <v/>
      </c>
    </row>
    <row r="103" customFormat="false" ht="15" hidden="false" customHeight="false" outlineLevel="0" collapsed="false">
      <c r="A103" s="80"/>
      <c r="B103" s="81"/>
      <c r="C103" s="81"/>
      <c r="D103" s="82"/>
      <c r="E103" s="83"/>
      <c r="F103" s="84"/>
      <c r="G103" s="83"/>
      <c r="H103" s="41" t="str">
        <f aca="false">IF(A103="","",N(E103)*N(F103))</f>
        <v/>
      </c>
      <c r="I103" s="42" t="str">
        <f aca="false">IF(A103="","",SUMIFS('Stock Register'!$F$7:$F$506,'Stock Register'!$C$7:$C$506,A103,'Stock Register'!$E$7:$E$506,"In"))</f>
        <v/>
      </c>
      <c r="J103" s="42" t="str">
        <f aca="false">IF(A103="","",SUMIFS('Stock Register'!$F$7:$F$506,'Stock Register'!$C$7:$C$506,A103,'Stock Register'!$E$7:$E$506,"Out"))</f>
        <v/>
      </c>
      <c r="K103" s="43" t="str">
        <f aca="false">IF(A103="","",N(E103)+I103-J103)</f>
        <v/>
      </c>
      <c r="L103" s="44" t="str">
        <f aca="false">IF(A103="","",IF(COUNTIF($A$6:$A$105,A103)&gt;1,"⚠ Duplicate code",IF(K103&lt;0,"⚠ Negative stock",IF(K103=0,"Out of stock",IF(K103&lt;=N(G103),"Reorder","✔ OK")))))</f>
        <v/>
      </c>
      <c r="M103" s="9" t="str">
        <f aca="false">IF(AND(A103&lt;&gt;"",OR(L103="Reorder",L103="Out of stock",L103="⚠ Negative stock")),COUNTIF($L$6:L103,"Reorder")+COUNTIF($L$6:L103,"Out of stock")+COUNTIF($L$6:L103,"⚠ Negative stock"),"")</f>
        <v/>
      </c>
    </row>
    <row r="104" customFormat="false" ht="15" hidden="false" customHeight="false" outlineLevel="0" collapsed="false">
      <c r="A104" s="80"/>
      <c r="B104" s="81"/>
      <c r="C104" s="81"/>
      <c r="D104" s="82"/>
      <c r="E104" s="83"/>
      <c r="F104" s="84"/>
      <c r="G104" s="83"/>
      <c r="H104" s="41" t="str">
        <f aca="false">IF(A104="","",N(E104)*N(F104))</f>
        <v/>
      </c>
      <c r="I104" s="42" t="str">
        <f aca="false">IF(A104="","",SUMIFS('Stock Register'!$F$7:$F$506,'Stock Register'!$C$7:$C$506,A104,'Stock Register'!$E$7:$E$506,"In"))</f>
        <v/>
      </c>
      <c r="J104" s="42" t="str">
        <f aca="false">IF(A104="","",SUMIFS('Stock Register'!$F$7:$F$506,'Stock Register'!$C$7:$C$506,A104,'Stock Register'!$E$7:$E$506,"Out"))</f>
        <v/>
      </c>
      <c r="K104" s="43" t="str">
        <f aca="false">IF(A104="","",N(E104)+I104-J104)</f>
        <v/>
      </c>
      <c r="L104" s="44" t="str">
        <f aca="false">IF(A104="","",IF(COUNTIF($A$6:$A$105,A104)&gt;1,"⚠ Duplicate code",IF(K104&lt;0,"⚠ Negative stock",IF(K104=0,"Out of stock",IF(K104&lt;=N(G104),"Reorder","✔ OK")))))</f>
        <v/>
      </c>
      <c r="M104" s="9" t="str">
        <f aca="false">IF(AND(A104&lt;&gt;"",OR(L104="Reorder",L104="Out of stock",L104="⚠ Negative stock")),COUNTIF($L$6:L104,"Reorder")+COUNTIF($L$6:L104,"Out of stock")+COUNTIF($L$6:L104,"⚠ Negative stock"),"")</f>
        <v/>
      </c>
    </row>
    <row r="105" customFormat="false" ht="15" hidden="false" customHeight="false" outlineLevel="0" collapsed="false">
      <c r="A105" s="80"/>
      <c r="B105" s="81"/>
      <c r="C105" s="81"/>
      <c r="D105" s="82"/>
      <c r="E105" s="83"/>
      <c r="F105" s="84"/>
      <c r="G105" s="83"/>
      <c r="H105" s="41" t="str">
        <f aca="false">IF(A105="","",N(E105)*N(F105))</f>
        <v/>
      </c>
      <c r="I105" s="42" t="str">
        <f aca="false">IF(A105="","",SUMIFS('Stock Register'!$F$7:$F$506,'Stock Register'!$C$7:$C$506,A105,'Stock Register'!$E$7:$E$506,"In"))</f>
        <v/>
      </c>
      <c r="J105" s="42" t="str">
        <f aca="false">IF(A105="","",SUMIFS('Stock Register'!$F$7:$F$506,'Stock Register'!$C$7:$C$506,A105,'Stock Register'!$E$7:$E$506,"Out"))</f>
        <v/>
      </c>
      <c r="K105" s="43" t="str">
        <f aca="false">IF(A105="","",N(E105)+I105-J105)</f>
        <v/>
      </c>
      <c r="L105" s="44" t="str">
        <f aca="false">IF(A105="","",IF(COUNTIF($A$6:$A$105,A105)&gt;1,"⚠ Duplicate code",IF(K105&lt;0,"⚠ Negative stock",IF(K105=0,"Out of stock",IF(K105&lt;=N(G105),"Reorder","✔ OK")))))</f>
        <v/>
      </c>
      <c r="M105" s="9" t="str">
        <f aca="false">IF(AND(A105&lt;&gt;"",OR(L105="Reorder",L105="Out of stock",L105="⚠ Negative stock")),COUNTIF($L$6:L105,"Reorder")+COUNTIF($L$6:L105,"Out of stock")+COUNTIF($L$6:L105,"⚠ Negative stock"),"")</f>
        <v/>
      </c>
    </row>
  </sheetData>
  <sheetProtection sheet="1" objects="1" scenarios="1" formatColumns="0" formatRows="0" algorithmName="SHA-512" hashValue="HGF4/sYXD3Njo4QwhtTPZJvUXtEyv+oeY1OB5WC69H9QfdsvDbc3zg50Wv7zr6xwYwjT1dWdxMb+8wfG48HIwg==" saltValue="hpT3zzYu+OWDjRixc1hDpQ==" spinCount="100000"/>
  <mergeCells count="2">
    <mergeCell ref="A2:L2"/>
    <mergeCell ref="A3:L3"/>
  </mergeCells>
  <conditionalFormatting sqref="L6:L105">
    <cfRule type="expression" priority="2" aboveAverage="0" equalAverage="0" bottom="0" percent="0" rank="0" text="" dxfId="0">
      <formula>$L6="✔ OK"</formula>
    </cfRule>
    <cfRule type="expression" priority="3" aboveAverage="0" equalAverage="0" bottom="0" percent="0" rank="0" text="" dxfId="1">
      <formula>OR($L6="Reorder",$L6="Out of stock")</formula>
    </cfRule>
    <cfRule type="expression" priority="4" aboveAverage="0" equalAverage="0" bottom="0" percent="0" rank="0" text="" dxfId="2">
      <formula>LEFT($L6,1)="⚠"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Q5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4" min="4" style="0" width="28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22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2" min="12" style="0" width="24"/>
    <col collapsed="false" customWidth="true" hidden="true" outlineLevel="0" max="17" min="13" style="0" width="13"/>
  </cols>
  <sheetData>
    <row r="1" customFormat="false" ht="15" hidden="false" customHeight="false" outlineLevel="0" collapsed="false">
      <c r="A1" s="18" t="s">
        <v>22</v>
      </c>
    </row>
    <row r="2" customFormat="false" ht="27.75" hidden="false" customHeight="true" outlineLevel="0" collapsed="false">
      <c r="A2" s="32" t="str">
        <f aca="false">"Stock Register – "&amp;Setup!$C$4&amp;"  •  "&amp;TEXT(Setup!$C$6,"dd mmm yyyy")&amp;" to "&amp;TEXT(Setup!$C$7,"dd mmm yyyy")</f>
        <v>Stock Register – M/s Xplore Electricals  •  01 Oct 2026 to 31 Oct 2026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customFormat="false" ht="15" hidden="false" customHeight="false" outlineLevel="0" collapsed="false">
      <c r="A3" s="33" t="s">
        <v>85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6" customFormat="false" ht="39.75" hidden="false" customHeight="true" outlineLevel="0" collapsed="false">
      <c r="A6" s="35" t="s">
        <v>86</v>
      </c>
      <c r="B6" s="34" t="s">
        <v>87</v>
      </c>
      <c r="C6" s="34" t="s">
        <v>54</v>
      </c>
      <c r="D6" s="35" t="s">
        <v>55</v>
      </c>
      <c r="E6" s="34" t="s">
        <v>88</v>
      </c>
      <c r="F6" s="34" t="s">
        <v>89</v>
      </c>
      <c r="G6" s="34" t="s">
        <v>90</v>
      </c>
      <c r="H6" s="34" t="s">
        <v>91</v>
      </c>
      <c r="I6" s="34" t="s">
        <v>92</v>
      </c>
      <c r="J6" s="35" t="s">
        <v>93</v>
      </c>
      <c r="K6" s="35" t="s">
        <v>94</v>
      </c>
      <c r="L6" s="35" t="s">
        <v>95</v>
      </c>
    </row>
    <row r="7" customFormat="false" ht="15" hidden="false" customHeight="false" outlineLevel="0" collapsed="false">
      <c r="A7" s="45" t="n">
        <f aca="false">IF(C7="","",ROW()-6)</f>
        <v>1</v>
      </c>
      <c r="B7" s="85" t="n">
        <v>46296</v>
      </c>
      <c r="C7" s="80" t="s">
        <v>66</v>
      </c>
      <c r="D7" s="47" t="str">
        <f aca="false">IF(C7="","",IFERROR(INDEX('Item Master'!$B$6:$B$105,MATCH(C7,'Item Master'!$A$6:$A$105,0)),"?"))</f>
        <v>LED Bulb 9W</v>
      </c>
      <c r="E7" s="82" t="s">
        <v>96</v>
      </c>
      <c r="F7" s="83" t="n">
        <v>300</v>
      </c>
      <c r="G7" s="84" t="n">
        <v>58</v>
      </c>
      <c r="H7" s="81" t="s">
        <v>97</v>
      </c>
      <c r="I7" s="80" t="s">
        <v>98</v>
      </c>
      <c r="J7" s="41" t="n">
        <f aca="false">IF(OR(C7="",G7=""),"",N(F7)*N(G7))</f>
        <v>17400</v>
      </c>
      <c r="K7" s="48" t="n">
        <f aca="false">IF(M7="","",N(IFERROR(INDEX('Item Master'!$E$6:$E$105,MATCH(C7,'Item Master'!$A$6:$A$105,0)),0))+SUMIFS($F$7:$F$506,$C$7:$C$506,C7,$E$7:$E$506,"In",$M$7:$M$506,"&lt;="&amp;M7)-SUMIFS($F$7:$F$506,$C$7:$C$506,C7,$E$7:$E$506,"Out",$M$7:$M$506,"&lt;="&amp;M7))</f>
        <v>500</v>
      </c>
      <c r="L7" s="44" t="str">
        <f aca="false">IF(AND(B7="",C7="",F7=""),"",IF(C7="","⚠ Pick item",IF(D7="?","⚠ Code not in Item Master",IF(B7="","⚠ Enter date",IF(OR(E7="",N(F7)&lt;=0),"⚠ Type / quantity missing",IF(AND(E7="In",G7=""),"⚠ Enter purchase rate",IF(OR(B7&lt;Setup!$C$6,B7&gt;Setup!$C$7),"Outside period",IF(K7&lt;0,"⚠ Stock goes negative","✔ OK"))))))))</f>
        <v>✔ OK</v>
      </c>
      <c r="M7" s="49" t="n">
        <f aca="false">IF(OR(C7="",B7=""),"",B7+ROW()/1000000)</f>
        <v>46296.000007</v>
      </c>
      <c r="N7" s="9" t="n">
        <f aca="false">IF(AND(E7="In",M7&lt;&gt;""),SUMIFS($F$7:$F$506,$C$7:$C$506,C7,$E$7:$E$506,"In",$M$7:$M$506,"&gt;"&amp;M7),"")</f>
        <v>200</v>
      </c>
      <c r="O7" s="50" t="n">
        <f aca="false">IF(N7="","",IFERROR(INDEX('Item Master'!$K$6:$K$105,MATCH(C7,'Item Master'!$A$6:$A$105,0)),0))</f>
        <v>150</v>
      </c>
      <c r="P7" s="9" t="n">
        <f aca="false">IF(N7="",0,MAX(0,MIN(N(F7),O7-N7))*N(G7))</f>
        <v>0</v>
      </c>
      <c r="Q7" s="49" t="n">
        <f aca="false">IF(AND(C7&lt;&gt;"",C7='Stock Ledger'!$C$4),M7,"")</f>
        <v>46296.000007</v>
      </c>
    </row>
    <row r="8" customFormat="false" ht="15" hidden="false" customHeight="false" outlineLevel="0" collapsed="false">
      <c r="A8" s="45" t="n">
        <f aca="false">IF(C8="","",ROW()-6)</f>
        <v>2</v>
      </c>
      <c r="B8" s="85" t="n">
        <v>46297</v>
      </c>
      <c r="C8" s="80" t="s">
        <v>66</v>
      </c>
      <c r="D8" s="47" t="str">
        <f aca="false">IF(C8="","",IFERROR(INDEX('Item Master'!$B$6:$B$105,MATCH(C8,'Item Master'!$A$6:$A$105,0)),"?"))</f>
        <v>LED Bulb 9W</v>
      </c>
      <c r="E8" s="82" t="s">
        <v>99</v>
      </c>
      <c r="F8" s="83" t="n">
        <v>220</v>
      </c>
      <c r="G8" s="84" t="n">
        <v>85</v>
      </c>
      <c r="H8" s="81" t="s">
        <v>100</v>
      </c>
      <c r="I8" s="80" t="s">
        <v>101</v>
      </c>
      <c r="J8" s="41" t="n">
        <f aca="false">IF(OR(C8="",G8=""),"",N(F8)*N(G8))</f>
        <v>18700</v>
      </c>
      <c r="K8" s="48" t="n">
        <f aca="false">IF(M8="","",N(IFERROR(INDEX('Item Master'!$E$6:$E$105,MATCH(C8,'Item Master'!$A$6:$A$105,0)),0))+SUMIFS($F$7:$F$506,$C$7:$C$506,C8,$E$7:$E$506,"In",$M$7:$M$506,"&lt;="&amp;M8)-SUMIFS($F$7:$F$506,$C$7:$C$506,C8,$E$7:$E$506,"Out",$M$7:$M$506,"&lt;="&amp;M8))</f>
        <v>280</v>
      </c>
      <c r="L8" s="44" t="str">
        <f aca="false">IF(AND(B8="",C8="",F8=""),"",IF(C8="","⚠ Pick item",IF(D8="?","⚠ Code not in Item Master",IF(B8="","⚠ Enter date",IF(OR(E8="",N(F8)&lt;=0),"⚠ Type / quantity missing",IF(AND(E8="In",G8=""),"⚠ Enter purchase rate",IF(OR(B8&lt;Setup!$C$6,B8&gt;Setup!$C$7),"Outside period",IF(K8&lt;0,"⚠ Stock goes negative","✔ OK"))))))))</f>
        <v>✔ OK</v>
      </c>
      <c r="M8" s="49" t="n">
        <f aca="false">IF(OR(C8="",B8=""),"",B8+ROW()/1000000)</f>
        <v>46297.000008</v>
      </c>
      <c r="N8" s="9" t="str">
        <f aca="false">IF(AND(E8="In",M8&lt;&gt;""),SUMIFS($F$7:$F$506,$C$7:$C$506,C8,$E$7:$E$506,"In",$M$7:$M$506,"&gt;"&amp;M8),"")</f>
        <v/>
      </c>
      <c r="O8" s="9" t="str">
        <f aca="false">IF(N8="","",IFERROR(INDEX('Item Master'!$K$6:$K$105,MATCH(C8,'Item Master'!$A$6:$A$105,0)),0))</f>
        <v/>
      </c>
      <c r="P8" s="9" t="n">
        <f aca="false">IF(N8="",0,MAX(0,MIN(N(F8),O8-N8))*N(G8))</f>
        <v>0</v>
      </c>
      <c r="Q8" s="49" t="n">
        <f aca="false">IF(AND(C8&lt;&gt;"",C8='Stock Ledger'!$C$4),M8,"")</f>
        <v>46297.000008</v>
      </c>
    </row>
    <row r="9" customFormat="false" ht="15" hidden="false" customHeight="false" outlineLevel="0" collapsed="false">
      <c r="A9" s="45" t="n">
        <f aca="false">IF(C9="","",ROW()-6)</f>
        <v>3</v>
      </c>
      <c r="B9" s="85" t="n">
        <v>46298</v>
      </c>
      <c r="C9" s="80" t="s">
        <v>70</v>
      </c>
      <c r="D9" s="47" t="str">
        <f aca="false">IF(C9="","",IFERROR(INDEX('Item Master'!$B$6:$B$105,MATCH(C9,'Item Master'!$A$6:$A$105,0)),"?"))</f>
        <v>Ceiling Fan 1200 mm</v>
      </c>
      <c r="E9" s="82" t="s">
        <v>99</v>
      </c>
      <c r="F9" s="83" t="n">
        <v>8</v>
      </c>
      <c r="G9" s="84" t="n">
        <v>1950</v>
      </c>
      <c r="H9" s="81" t="s">
        <v>100</v>
      </c>
      <c r="I9" s="80" t="s">
        <v>102</v>
      </c>
      <c r="J9" s="41" t="n">
        <f aca="false">IF(OR(C9="",G9=""),"",N(F9)*N(G9))</f>
        <v>15600</v>
      </c>
      <c r="K9" s="48" t="n">
        <f aca="false">IF(M9="","",N(IFERROR(INDEX('Item Master'!$E$6:$E$105,MATCH(C9,'Item Master'!$A$6:$A$105,0)),0))+SUMIFS($F$7:$F$506,$C$7:$C$506,C9,$E$7:$E$506,"In",$M$7:$M$506,"&lt;="&amp;M9)-SUMIFS($F$7:$F$506,$C$7:$C$506,C9,$E$7:$E$506,"Out",$M$7:$M$506,"&lt;="&amp;M9))</f>
        <v>12</v>
      </c>
      <c r="L9" s="44" t="str">
        <f aca="false">IF(AND(B9="",C9="",F9=""),"",IF(C9="","⚠ Pick item",IF(D9="?","⚠ Code not in Item Master",IF(B9="","⚠ Enter date",IF(OR(E9="",N(F9)&lt;=0),"⚠ Type / quantity missing",IF(AND(E9="In",G9=""),"⚠ Enter purchase rate",IF(OR(B9&lt;Setup!$C$6,B9&gt;Setup!$C$7),"Outside period",IF(K9&lt;0,"⚠ Stock goes negative","✔ OK"))))))))</f>
        <v>✔ OK</v>
      </c>
      <c r="M9" s="49" t="n">
        <f aca="false">IF(OR(C9="",B9=""),"",B9+ROW()/1000000)</f>
        <v>46298.000009</v>
      </c>
      <c r="N9" s="9" t="str">
        <f aca="false">IF(AND(E9="In",M9&lt;&gt;""),SUMIFS($F$7:$F$506,$C$7:$C$506,C9,$E$7:$E$506,"In",$M$7:$M$506,"&gt;"&amp;M9),"")</f>
        <v/>
      </c>
      <c r="O9" s="9" t="str">
        <f aca="false">IF(N9="","",IFERROR(INDEX('Item Master'!$K$6:$K$105,MATCH(C9,'Item Master'!$A$6:$A$105,0)),0))</f>
        <v/>
      </c>
      <c r="P9" s="9" t="n">
        <f aca="false">IF(N9="",0,MAX(0,MIN(N(F9),O9-N9))*N(G9))</f>
        <v>0</v>
      </c>
      <c r="Q9" s="9" t="str">
        <f aca="false">IF(AND(C9&lt;&gt;"",C9='Stock Ledger'!$C$4),M9,"")</f>
        <v/>
      </c>
    </row>
    <row r="10" customFormat="false" ht="15" hidden="false" customHeight="false" outlineLevel="0" collapsed="false">
      <c r="A10" s="45" t="n">
        <f aca="false">IF(C10="","",ROW()-6)</f>
        <v>4</v>
      </c>
      <c r="B10" s="85" t="n">
        <v>46299</v>
      </c>
      <c r="C10" s="80" t="s">
        <v>70</v>
      </c>
      <c r="D10" s="47" t="str">
        <f aca="false">IF(C10="","",IFERROR(INDEX('Item Master'!$B$6:$B$105,MATCH(C10,'Item Master'!$A$6:$A$105,0)),"?"))</f>
        <v>Ceiling Fan 1200 mm</v>
      </c>
      <c r="E10" s="82" t="s">
        <v>96</v>
      </c>
      <c r="F10" s="83" t="n">
        <v>15</v>
      </c>
      <c r="G10" s="84" t="n">
        <v>1500</v>
      </c>
      <c r="H10" s="81" t="s">
        <v>103</v>
      </c>
      <c r="I10" s="80" t="s">
        <v>104</v>
      </c>
      <c r="J10" s="41" t="n">
        <f aca="false">IF(OR(C10="",G10=""),"",N(F10)*N(G10))</f>
        <v>22500</v>
      </c>
      <c r="K10" s="48" t="n">
        <f aca="false">IF(M10="","",N(IFERROR(INDEX('Item Master'!$E$6:$E$105,MATCH(C10,'Item Master'!$A$6:$A$105,0)),0))+SUMIFS($F$7:$F$506,$C$7:$C$506,C10,$E$7:$E$506,"In",$M$7:$M$506,"&lt;="&amp;M10)-SUMIFS($F$7:$F$506,$C$7:$C$506,C10,$E$7:$E$506,"Out",$M$7:$M$506,"&lt;="&amp;M10))</f>
        <v>27</v>
      </c>
      <c r="L10" s="44" t="str">
        <f aca="false">IF(AND(B10="",C10="",F10=""),"",IF(C10="","⚠ Pick item",IF(D10="?","⚠ Code not in Item Master",IF(B10="","⚠ Enter date",IF(OR(E10="",N(F10)&lt;=0),"⚠ Type / quantity missing",IF(AND(E10="In",G10=""),"⚠ Enter purchase rate",IF(OR(B10&lt;Setup!$C$6,B10&gt;Setup!$C$7),"Outside period",IF(K10&lt;0,"⚠ Stock goes negative","✔ OK"))))))))</f>
        <v>✔ OK</v>
      </c>
      <c r="M10" s="49" t="n">
        <f aca="false">IF(OR(C10="",B10=""),"",B10+ROW()/1000000)</f>
        <v>46299.00001</v>
      </c>
      <c r="N10" s="9" t="n">
        <f aca="false">IF(AND(E10="In",M10&lt;&gt;""),SUMIFS($F$7:$F$506,$C$7:$C$506,C10,$E$7:$E$506,"In",$M$7:$M$506,"&gt;"&amp;M10),"")</f>
        <v>0</v>
      </c>
      <c r="O10" s="50" t="n">
        <f aca="false">IF(N10="","",IFERROR(INDEX('Item Master'!$K$6:$K$105,MATCH(C10,'Item Master'!$A$6:$A$105,0)),0))</f>
        <v>9</v>
      </c>
      <c r="P10" s="9" t="n">
        <f aca="false">IF(N10="",0,MAX(0,MIN(N(F10),O10-N10))*N(G10))</f>
        <v>13500</v>
      </c>
      <c r="Q10" s="9" t="str">
        <f aca="false">IF(AND(C10&lt;&gt;"",C10='Stock Ledger'!$C$4),M10,"")</f>
        <v/>
      </c>
    </row>
    <row r="11" customFormat="false" ht="15" hidden="false" customHeight="false" outlineLevel="0" collapsed="false">
      <c r="A11" s="45" t="n">
        <f aca="false">IF(C11="","",ROW()-6)</f>
        <v>5</v>
      </c>
      <c r="B11" s="85" t="n">
        <v>46300</v>
      </c>
      <c r="C11" s="80" t="s">
        <v>73</v>
      </c>
      <c r="D11" s="47" t="str">
        <f aca="false">IF(C11="","",IFERROR(INDEX('Item Master'!$B$6:$B$105,MATCH(C11,'Item Master'!$A$6:$A$105,0)),"?"))</f>
        <v>Copper Wire 1.5 sq mm (90 m)</v>
      </c>
      <c r="E11" s="82" t="s">
        <v>99</v>
      </c>
      <c r="F11" s="83" t="n">
        <v>12</v>
      </c>
      <c r="G11" s="84" t="n">
        <v>1600</v>
      </c>
      <c r="H11" s="81" t="s">
        <v>105</v>
      </c>
      <c r="I11" s="80" t="s">
        <v>106</v>
      </c>
      <c r="J11" s="41" t="n">
        <f aca="false">IF(OR(C11="",G11=""),"",N(F11)*N(G11))</f>
        <v>19200</v>
      </c>
      <c r="K11" s="48" t="n">
        <f aca="false">IF(M11="","",N(IFERROR(INDEX('Item Master'!$E$6:$E$105,MATCH(C11,'Item Master'!$A$6:$A$105,0)),0))+SUMIFS($F$7:$F$506,$C$7:$C$506,C11,$E$7:$E$506,"In",$M$7:$M$506,"&lt;="&amp;M11)-SUMIFS($F$7:$F$506,$C$7:$C$506,C11,$E$7:$E$506,"Out",$M$7:$M$506,"&lt;="&amp;M11))</f>
        <v>18</v>
      </c>
      <c r="L11" s="44" t="str">
        <f aca="false">IF(AND(B11="",C11="",F11=""),"",IF(C11="","⚠ Pick item",IF(D11="?","⚠ Code not in Item Master",IF(B11="","⚠ Enter date",IF(OR(E11="",N(F11)&lt;=0),"⚠ Type / quantity missing",IF(AND(E11="In",G11=""),"⚠ Enter purchase rate",IF(OR(B11&lt;Setup!$C$6,B11&gt;Setup!$C$7),"Outside period",IF(K11&lt;0,"⚠ Stock goes negative","✔ OK"))))))))</f>
        <v>✔ OK</v>
      </c>
      <c r="M11" s="49" t="n">
        <f aca="false">IF(OR(C11="",B11=""),"",B11+ROW()/1000000)</f>
        <v>46300.000011</v>
      </c>
      <c r="N11" s="9" t="str">
        <f aca="false">IF(AND(E11="In",M11&lt;&gt;""),SUMIFS($F$7:$F$506,$C$7:$C$506,C11,$E$7:$E$506,"In",$M$7:$M$506,"&gt;"&amp;M11),"")</f>
        <v/>
      </c>
      <c r="O11" s="9" t="str">
        <f aca="false">IF(N11="","",IFERROR(INDEX('Item Master'!$K$6:$K$105,MATCH(C11,'Item Master'!$A$6:$A$105,0)),0))</f>
        <v/>
      </c>
      <c r="P11" s="9" t="n">
        <f aca="false">IF(N11="",0,MAX(0,MIN(N(F11),O11-N11))*N(G11))</f>
        <v>0</v>
      </c>
      <c r="Q11" s="9" t="str">
        <f aca="false">IF(AND(C11&lt;&gt;"",C11='Stock Ledger'!$C$4),M11,"")</f>
        <v/>
      </c>
    </row>
    <row r="12" customFormat="false" ht="15" hidden="false" customHeight="false" outlineLevel="0" collapsed="false">
      <c r="A12" s="45" t="n">
        <f aca="false">IF(C12="","",ROW()-6)</f>
        <v>6</v>
      </c>
      <c r="B12" s="85" t="n">
        <v>46301</v>
      </c>
      <c r="C12" s="80" t="s">
        <v>73</v>
      </c>
      <c r="D12" s="47" t="str">
        <f aca="false">IF(C12="","",IFERROR(INDEX('Item Master'!$B$6:$B$105,MATCH(C12,'Item Master'!$A$6:$A$105,0)),"?"))</f>
        <v>Copper Wire 1.5 sq mm (90 m)</v>
      </c>
      <c r="E12" s="82" t="s">
        <v>96</v>
      </c>
      <c r="F12" s="83" t="n">
        <v>20</v>
      </c>
      <c r="G12" s="84" t="n">
        <v>1310</v>
      </c>
      <c r="H12" s="81" t="s">
        <v>107</v>
      </c>
      <c r="I12" s="80" t="s">
        <v>108</v>
      </c>
      <c r="J12" s="41" t="n">
        <f aca="false">IF(OR(C12="",G12=""),"",N(F12)*N(G12))</f>
        <v>26200</v>
      </c>
      <c r="K12" s="48" t="n">
        <f aca="false">IF(M12="","",N(IFERROR(INDEX('Item Master'!$E$6:$E$105,MATCH(C12,'Item Master'!$A$6:$A$105,0)),0))+SUMIFS($F$7:$F$506,$C$7:$C$506,C12,$E$7:$E$506,"In",$M$7:$M$506,"&lt;="&amp;M12)-SUMIFS($F$7:$F$506,$C$7:$C$506,C12,$E$7:$E$506,"Out",$M$7:$M$506,"&lt;="&amp;M12))</f>
        <v>38</v>
      </c>
      <c r="L12" s="44" t="str">
        <f aca="false">IF(AND(B12="",C12="",F12=""),"",IF(C12="","⚠ Pick item",IF(D12="?","⚠ Code not in Item Master",IF(B12="","⚠ Enter date",IF(OR(E12="",N(F12)&lt;=0),"⚠ Type / quantity missing",IF(AND(E12="In",G12=""),"⚠ Enter purchase rate",IF(OR(B12&lt;Setup!$C$6,B12&gt;Setup!$C$7),"Outside period",IF(K12&lt;0,"⚠ Stock goes negative","✔ OK"))))))))</f>
        <v>✔ OK</v>
      </c>
      <c r="M12" s="49" t="n">
        <f aca="false">IF(OR(C12="",B12=""),"",B12+ROW()/1000000)</f>
        <v>46301.000012</v>
      </c>
      <c r="N12" s="9" t="n">
        <f aca="false">IF(AND(E12="In",M12&lt;&gt;""),SUMIFS($F$7:$F$506,$C$7:$C$506,C12,$E$7:$E$506,"In",$M$7:$M$506,"&gt;"&amp;M12),"")</f>
        <v>15</v>
      </c>
      <c r="O12" s="50" t="n">
        <f aca="false">IF(N12="","",IFERROR(INDEX('Item Master'!$K$6:$K$105,MATCH(C12,'Item Master'!$A$6:$A$105,0)),0))</f>
        <v>28</v>
      </c>
      <c r="P12" s="9" t="n">
        <f aca="false">IF(N12="",0,MAX(0,MIN(N(F12),O12-N12))*N(G12))</f>
        <v>17030</v>
      </c>
      <c r="Q12" s="9" t="str">
        <f aca="false">IF(AND(C12&lt;&gt;"",C12='Stock Ledger'!$C$4),M12,"")</f>
        <v/>
      </c>
    </row>
    <row r="13" customFormat="false" ht="15" hidden="false" customHeight="false" outlineLevel="0" collapsed="false">
      <c r="A13" s="45" t="n">
        <f aca="false">IF(C13="","",ROW()-6)</f>
        <v>7</v>
      </c>
      <c r="B13" s="85" t="n">
        <v>46303</v>
      </c>
      <c r="C13" s="80" t="s">
        <v>77</v>
      </c>
      <c r="D13" s="47" t="str">
        <f aca="false">IF(C13="","",IFERROR(INDEX('Item Master'!$B$6:$B$105,MATCH(C13,'Item Master'!$A$6:$A$105,0)),"?"))</f>
        <v>MCB 32A Single Pole</v>
      </c>
      <c r="E13" s="82" t="s">
        <v>99</v>
      </c>
      <c r="F13" s="83" t="n">
        <v>30</v>
      </c>
      <c r="G13" s="84" t="n">
        <v>260</v>
      </c>
      <c r="H13" s="81" t="s">
        <v>100</v>
      </c>
      <c r="I13" s="80" t="s">
        <v>109</v>
      </c>
      <c r="J13" s="41" t="n">
        <f aca="false">IF(OR(C13="",G13=""),"",N(F13)*N(G13))</f>
        <v>7800</v>
      </c>
      <c r="K13" s="48" t="n">
        <f aca="false">IF(M13="","",N(IFERROR(INDEX('Item Master'!$E$6:$E$105,MATCH(C13,'Item Master'!$A$6:$A$105,0)),0))+SUMIFS($F$7:$F$506,$C$7:$C$506,C13,$E$7:$E$506,"In",$M$7:$M$506,"&lt;="&amp;M13)-SUMIFS($F$7:$F$506,$C$7:$C$506,C13,$E$7:$E$506,"Out",$M$7:$M$506,"&lt;="&amp;M13))</f>
        <v>20</v>
      </c>
      <c r="L13" s="44" t="str">
        <f aca="false">IF(AND(B13="",C13="",F13=""),"",IF(C13="","⚠ Pick item",IF(D13="?","⚠ Code not in Item Master",IF(B13="","⚠ Enter date",IF(OR(E13="",N(F13)&lt;=0),"⚠ Type / quantity missing",IF(AND(E13="In",G13=""),"⚠ Enter purchase rate",IF(OR(B13&lt;Setup!$C$6,B13&gt;Setup!$C$7),"Outside period",IF(K13&lt;0,"⚠ Stock goes negative","✔ OK"))))))))</f>
        <v>✔ OK</v>
      </c>
      <c r="M13" s="49" t="n">
        <f aca="false">IF(OR(C13="",B13=""),"",B13+ROW()/1000000)</f>
        <v>46303.000013</v>
      </c>
      <c r="N13" s="9" t="str">
        <f aca="false">IF(AND(E13="In",M13&lt;&gt;""),SUMIFS($F$7:$F$506,$C$7:$C$506,C13,$E$7:$E$506,"In",$M$7:$M$506,"&gt;"&amp;M13),"")</f>
        <v/>
      </c>
      <c r="O13" s="9" t="str">
        <f aca="false">IF(N13="","",IFERROR(INDEX('Item Master'!$K$6:$K$105,MATCH(C13,'Item Master'!$A$6:$A$105,0)),0))</f>
        <v/>
      </c>
      <c r="P13" s="9" t="n">
        <f aca="false">IF(N13="",0,MAX(0,MIN(N(F13),O13-N13))*N(G13))</f>
        <v>0</v>
      </c>
      <c r="Q13" s="9" t="str">
        <f aca="false">IF(AND(C13&lt;&gt;"",C13='Stock Ledger'!$C$4),M13,"")</f>
        <v/>
      </c>
    </row>
    <row r="14" customFormat="false" ht="15" hidden="false" customHeight="false" outlineLevel="0" collapsed="false">
      <c r="A14" s="45" t="n">
        <f aca="false">IF(C14="","",ROW()-6)</f>
        <v>8</v>
      </c>
      <c r="B14" s="85" t="n">
        <v>46304</v>
      </c>
      <c r="C14" s="80" t="s">
        <v>66</v>
      </c>
      <c r="D14" s="47" t="str">
        <f aca="false">IF(C14="","",IFERROR(INDEX('Item Master'!$B$6:$B$105,MATCH(C14,'Item Master'!$A$6:$A$105,0)),"?"))</f>
        <v>LED Bulb 9W</v>
      </c>
      <c r="E14" s="82" t="s">
        <v>99</v>
      </c>
      <c r="F14" s="83" t="n">
        <v>150</v>
      </c>
      <c r="G14" s="84" t="n">
        <v>85</v>
      </c>
      <c r="H14" s="81" t="s">
        <v>100</v>
      </c>
      <c r="I14" s="80" t="s">
        <v>110</v>
      </c>
      <c r="J14" s="41" t="n">
        <f aca="false">IF(OR(C14="",G14=""),"",N(F14)*N(G14))</f>
        <v>12750</v>
      </c>
      <c r="K14" s="48" t="n">
        <f aca="false">IF(M14="","",N(IFERROR(INDEX('Item Master'!$E$6:$E$105,MATCH(C14,'Item Master'!$A$6:$A$105,0)),0))+SUMIFS($F$7:$F$506,$C$7:$C$506,C14,$E$7:$E$506,"In",$M$7:$M$506,"&lt;="&amp;M14)-SUMIFS($F$7:$F$506,$C$7:$C$506,C14,$E$7:$E$506,"Out",$M$7:$M$506,"&lt;="&amp;M14))</f>
        <v>130</v>
      </c>
      <c r="L14" s="44" t="str">
        <f aca="false">IF(AND(B14="",C14="",F14=""),"",IF(C14="","⚠ Pick item",IF(D14="?","⚠ Code not in Item Master",IF(B14="","⚠ Enter date",IF(OR(E14="",N(F14)&lt;=0),"⚠ Type / quantity missing",IF(AND(E14="In",G14=""),"⚠ Enter purchase rate",IF(OR(B14&lt;Setup!$C$6,B14&gt;Setup!$C$7),"Outside period",IF(K14&lt;0,"⚠ Stock goes negative","✔ OK"))))))))</f>
        <v>✔ OK</v>
      </c>
      <c r="M14" s="49" t="n">
        <f aca="false">IF(OR(C14="",B14=""),"",B14+ROW()/1000000)</f>
        <v>46304.000014</v>
      </c>
      <c r="N14" s="9" t="str">
        <f aca="false">IF(AND(E14="In",M14&lt;&gt;""),SUMIFS($F$7:$F$506,$C$7:$C$506,C14,$E$7:$E$506,"In",$M$7:$M$506,"&gt;"&amp;M14),"")</f>
        <v/>
      </c>
      <c r="O14" s="9" t="str">
        <f aca="false">IF(N14="","",IFERROR(INDEX('Item Master'!$K$6:$K$105,MATCH(C14,'Item Master'!$A$6:$A$105,0)),0))</f>
        <v/>
      </c>
      <c r="P14" s="9" t="n">
        <f aca="false">IF(N14="",0,MAX(0,MIN(N(F14),O14-N14))*N(G14))</f>
        <v>0</v>
      </c>
      <c r="Q14" s="49" t="n">
        <f aca="false">IF(AND(C14&lt;&gt;"",C14='Stock Ledger'!$C$4),M14,"")</f>
        <v>46304.000014</v>
      </c>
    </row>
    <row r="15" customFormat="false" ht="15" hidden="false" customHeight="false" outlineLevel="0" collapsed="false">
      <c r="A15" s="45" t="n">
        <f aca="false">IF(C15="","",ROW()-6)</f>
        <v>9</v>
      </c>
      <c r="B15" s="85" t="n">
        <v>46305</v>
      </c>
      <c r="C15" s="80" t="s">
        <v>77</v>
      </c>
      <c r="D15" s="47" t="str">
        <f aca="false">IF(C15="","",IFERROR(INDEX('Item Master'!$B$6:$B$105,MATCH(C15,'Item Master'!$A$6:$A$105,0)),"?"))</f>
        <v>MCB 32A Single Pole</v>
      </c>
      <c r="E15" s="82" t="s">
        <v>96</v>
      </c>
      <c r="F15" s="83" t="n">
        <v>60</v>
      </c>
      <c r="G15" s="84" t="n">
        <v>185</v>
      </c>
      <c r="H15" s="81" t="s">
        <v>111</v>
      </c>
      <c r="I15" s="80" t="s">
        <v>112</v>
      </c>
      <c r="J15" s="41" t="n">
        <f aca="false">IF(OR(C15="",G15=""),"",N(F15)*N(G15))</f>
        <v>11100</v>
      </c>
      <c r="K15" s="48" t="n">
        <f aca="false">IF(M15="","",N(IFERROR(INDEX('Item Master'!$E$6:$E$105,MATCH(C15,'Item Master'!$A$6:$A$105,0)),0))+SUMIFS($F$7:$F$506,$C$7:$C$506,C15,$E$7:$E$506,"In",$M$7:$M$506,"&lt;="&amp;M15)-SUMIFS($F$7:$F$506,$C$7:$C$506,C15,$E$7:$E$506,"Out",$M$7:$M$506,"&lt;="&amp;M15))</f>
        <v>80</v>
      </c>
      <c r="L15" s="44" t="str">
        <f aca="false">IF(AND(B15="",C15="",F15=""),"",IF(C15="","⚠ Pick item",IF(D15="?","⚠ Code not in Item Master",IF(B15="","⚠ Enter date",IF(OR(E15="",N(F15)&lt;=0),"⚠ Type / quantity missing",IF(AND(E15="In",G15=""),"⚠ Enter purchase rate",IF(OR(B15&lt;Setup!$C$6,B15&gt;Setup!$C$7),"Outside period",IF(K15&lt;0,"⚠ Stock goes negative","✔ OK"))))))))</f>
        <v>✔ OK</v>
      </c>
      <c r="M15" s="49" t="n">
        <f aca="false">IF(OR(C15="",B15=""),"",B15+ROW()/1000000)</f>
        <v>46305.000015</v>
      </c>
      <c r="N15" s="9" t="n">
        <f aca="false">IF(AND(E15="In",M15&lt;&gt;""),SUMIFS($F$7:$F$506,$C$7:$C$506,C15,$E$7:$E$506,"In",$M$7:$M$506,"&gt;"&amp;M15),"")</f>
        <v>0</v>
      </c>
      <c r="O15" s="50" t="n">
        <f aca="false">IF(N15="","",IFERROR(INDEX('Item Master'!$K$6:$K$105,MATCH(C15,'Item Master'!$A$6:$A$105,0)),0))</f>
        <v>35</v>
      </c>
      <c r="P15" s="9" t="n">
        <f aca="false">IF(N15="",0,MAX(0,MIN(N(F15),O15-N15))*N(G15))</f>
        <v>6475</v>
      </c>
      <c r="Q15" s="9" t="str">
        <f aca="false">IF(AND(C15&lt;&gt;"",C15='Stock Ledger'!$C$4),M15,"")</f>
        <v/>
      </c>
    </row>
    <row r="16" customFormat="false" ht="15" hidden="false" customHeight="false" outlineLevel="0" collapsed="false">
      <c r="A16" s="45" t="n">
        <f aca="false">IF(C16="","",ROW()-6)</f>
        <v>10</v>
      </c>
      <c r="B16" s="85" t="n">
        <v>46307</v>
      </c>
      <c r="C16" s="80" t="s">
        <v>83</v>
      </c>
      <c r="D16" s="47" t="str">
        <f aca="false">IF(C16="","",IFERROR(INDEX('Item Master'!$B$6:$B$105,MATCH(C16,'Item Master'!$A$6:$A$105,0)),"?"))</f>
        <v>LED Tube Light 20W</v>
      </c>
      <c r="E16" s="82" t="s">
        <v>99</v>
      </c>
      <c r="F16" s="83" t="n">
        <v>25</v>
      </c>
      <c r="G16" s="84" t="n">
        <v>230</v>
      </c>
      <c r="H16" s="81" t="s">
        <v>100</v>
      </c>
      <c r="I16" s="80" t="s">
        <v>113</v>
      </c>
      <c r="J16" s="41" t="n">
        <f aca="false">IF(OR(C16="",G16=""),"",N(F16)*N(G16))</f>
        <v>5750</v>
      </c>
      <c r="K16" s="48" t="n">
        <f aca="false">IF(M16="","",N(IFERROR(INDEX('Item Master'!$E$6:$E$105,MATCH(C16,'Item Master'!$A$6:$A$105,0)),0))+SUMIFS($F$7:$F$506,$C$7:$C$506,C16,$E$7:$E$506,"In",$M$7:$M$506,"&lt;="&amp;M16)-SUMIFS($F$7:$F$506,$C$7:$C$506,C16,$E$7:$E$506,"Out",$M$7:$M$506,"&lt;="&amp;M16))</f>
        <v>35</v>
      </c>
      <c r="L16" s="44" t="str">
        <f aca="false">IF(AND(B16="",C16="",F16=""),"",IF(C16="","⚠ Pick item",IF(D16="?","⚠ Code not in Item Master",IF(B16="","⚠ Enter date",IF(OR(E16="",N(F16)&lt;=0),"⚠ Type / quantity missing",IF(AND(E16="In",G16=""),"⚠ Enter purchase rate",IF(OR(B16&lt;Setup!$C$6,B16&gt;Setup!$C$7),"Outside period",IF(K16&lt;0,"⚠ Stock goes negative","✔ OK"))))))))</f>
        <v>✔ OK</v>
      </c>
      <c r="M16" s="49" t="n">
        <f aca="false">IF(OR(C16="",B16=""),"",B16+ROW()/1000000)</f>
        <v>46307.000016</v>
      </c>
      <c r="N16" s="9" t="str">
        <f aca="false">IF(AND(E16="In",M16&lt;&gt;""),SUMIFS($F$7:$F$506,$C$7:$C$506,C16,$E$7:$E$506,"In",$M$7:$M$506,"&gt;"&amp;M16),"")</f>
        <v/>
      </c>
      <c r="O16" s="9" t="str">
        <f aca="false">IF(N16="","",IFERROR(INDEX('Item Master'!$K$6:$K$105,MATCH(C16,'Item Master'!$A$6:$A$105,0)),0))</f>
        <v/>
      </c>
      <c r="P16" s="9" t="n">
        <f aca="false">IF(N16="",0,MAX(0,MIN(N(F16),O16-N16))*N(G16))</f>
        <v>0</v>
      </c>
      <c r="Q16" s="9" t="str">
        <f aca="false">IF(AND(C16&lt;&gt;"",C16='Stock Ledger'!$C$4),M16,"")</f>
        <v/>
      </c>
    </row>
    <row r="17" customFormat="false" ht="15" hidden="false" customHeight="false" outlineLevel="0" collapsed="false">
      <c r="A17" s="45" t="n">
        <f aca="false">IF(C17="","",ROW()-6)</f>
        <v>11</v>
      </c>
      <c r="B17" s="85" t="n">
        <v>46308</v>
      </c>
      <c r="C17" s="80" t="s">
        <v>80</v>
      </c>
      <c r="D17" s="47" t="str">
        <f aca="false">IF(C17="","",IFERROR(INDEX('Item Master'!$B$6:$B$105,MATCH(C17,'Item Master'!$A$6:$A$105,0)),"?"))</f>
        <v>Extension Board 4-way</v>
      </c>
      <c r="E17" s="82" t="s">
        <v>99</v>
      </c>
      <c r="F17" s="83" t="n">
        <v>22</v>
      </c>
      <c r="G17" s="84" t="n">
        <v>299</v>
      </c>
      <c r="H17" s="81" t="s">
        <v>100</v>
      </c>
      <c r="I17" s="80" t="s">
        <v>114</v>
      </c>
      <c r="J17" s="41" t="n">
        <f aca="false">IF(OR(C17="",G17=""),"",N(F17)*N(G17))</f>
        <v>6578</v>
      </c>
      <c r="K17" s="48" t="n">
        <f aca="false">IF(M17="","",N(IFERROR(INDEX('Item Master'!$E$6:$E$105,MATCH(C17,'Item Master'!$A$6:$A$105,0)),0))+SUMIFS($F$7:$F$506,$C$7:$C$506,C17,$E$7:$E$506,"In",$M$7:$M$506,"&lt;="&amp;M17)-SUMIFS($F$7:$F$506,$C$7:$C$506,C17,$E$7:$E$506,"Out",$M$7:$M$506,"&lt;="&amp;M17))</f>
        <v>18</v>
      </c>
      <c r="L17" s="44" t="str">
        <f aca="false">IF(AND(B17="",C17="",F17=""),"",IF(C17="","⚠ Pick item",IF(D17="?","⚠ Code not in Item Master",IF(B17="","⚠ Enter date",IF(OR(E17="",N(F17)&lt;=0),"⚠ Type / quantity missing",IF(AND(E17="In",G17=""),"⚠ Enter purchase rate",IF(OR(B17&lt;Setup!$C$6,B17&gt;Setup!$C$7),"Outside period",IF(K17&lt;0,"⚠ Stock goes negative","✔ OK"))))))))</f>
        <v>✔ OK</v>
      </c>
      <c r="M17" s="49" t="n">
        <f aca="false">IF(OR(C17="",B17=""),"",B17+ROW()/1000000)</f>
        <v>46308.000017</v>
      </c>
      <c r="N17" s="9" t="str">
        <f aca="false">IF(AND(E17="In",M17&lt;&gt;""),SUMIFS($F$7:$F$506,$C$7:$C$506,C17,$E$7:$E$506,"In",$M$7:$M$506,"&gt;"&amp;M17),"")</f>
        <v/>
      </c>
      <c r="O17" s="9" t="str">
        <f aca="false">IF(N17="","",IFERROR(INDEX('Item Master'!$K$6:$K$105,MATCH(C17,'Item Master'!$A$6:$A$105,0)),0))</f>
        <v/>
      </c>
      <c r="P17" s="9" t="n">
        <f aca="false">IF(N17="",0,MAX(0,MIN(N(F17),O17-N17))*N(G17))</f>
        <v>0</v>
      </c>
      <c r="Q17" s="9" t="str">
        <f aca="false">IF(AND(C17&lt;&gt;"",C17='Stock Ledger'!$C$4),M17,"")</f>
        <v/>
      </c>
    </row>
    <row r="18" customFormat="false" ht="15" hidden="false" customHeight="false" outlineLevel="0" collapsed="false">
      <c r="A18" s="45" t="n">
        <f aca="false">IF(C18="","",ROW()-6)</f>
        <v>12</v>
      </c>
      <c r="B18" s="85" t="n">
        <v>46310</v>
      </c>
      <c r="C18" s="80" t="s">
        <v>66</v>
      </c>
      <c r="D18" s="47" t="str">
        <f aca="false">IF(C18="","",IFERROR(INDEX('Item Master'!$B$6:$B$105,MATCH(C18,'Item Master'!$A$6:$A$105,0)),"?"))</f>
        <v>LED Bulb 9W</v>
      </c>
      <c r="E18" s="82" t="s">
        <v>96</v>
      </c>
      <c r="F18" s="83" t="n">
        <v>200</v>
      </c>
      <c r="G18" s="84" t="n">
        <v>60</v>
      </c>
      <c r="H18" s="81" t="s">
        <v>97</v>
      </c>
      <c r="I18" s="80" t="s">
        <v>115</v>
      </c>
      <c r="J18" s="41" t="n">
        <f aca="false">IF(OR(C18="",G18=""),"",N(F18)*N(G18))</f>
        <v>12000</v>
      </c>
      <c r="K18" s="48" t="n">
        <f aca="false">IF(M18="","",N(IFERROR(INDEX('Item Master'!$E$6:$E$105,MATCH(C18,'Item Master'!$A$6:$A$105,0)),0))+SUMIFS($F$7:$F$506,$C$7:$C$506,C18,$E$7:$E$506,"In",$M$7:$M$506,"&lt;="&amp;M18)-SUMIFS($F$7:$F$506,$C$7:$C$506,C18,$E$7:$E$506,"Out",$M$7:$M$506,"&lt;="&amp;M18))</f>
        <v>330</v>
      </c>
      <c r="L18" s="44" t="str">
        <f aca="false">IF(AND(B18="",C18="",F18=""),"",IF(C18="","⚠ Pick item",IF(D18="?","⚠ Code not in Item Master",IF(B18="","⚠ Enter date",IF(OR(E18="",N(F18)&lt;=0),"⚠ Type / quantity missing",IF(AND(E18="In",G18=""),"⚠ Enter purchase rate",IF(OR(B18&lt;Setup!$C$6,B18&gt;Setup!$C$7),"Outside period",IF(K18&lt;0,"⚠ Stock goes negative","✔ OK"))))))))</f>
        <v>✔ OK</v>
      </c>
      <c r="M18" s="49" t="n">
        <f aca="false">IF(OR(C18="",B18=""),"",B18+ROW()/1000000)</f>
        <v>46310.000018</v>
      </c>
      <c r="N18" s="9" t="n">
        <f aca="false">IF(AND(E18="In",M18&lt;&gt;""),SUMIFS($F$7:$F$506,$C$7:$C$506,C18,$E$7:$E$506,"In",$M$7:$M$506,"&gt;"&amp;M18),"")</f>
        <v>0</v>
      </c>
      <c r="O18" s="50" t="n">
        <f aca="false">IF(N18="","",IFERROR(INDEX('Item Master'!$K$6:$K$105,MATCH(C18,'Item Master'!$A$6:$A$105,0)),0))</f>
        <v>150</v>
      </c>
      <c r="P18" s="9" t="n">
        <f aca="false">IF(N18="",0,MAX(0,MIN(N(F18),O18-N18))*N(G18))</f>
        <v>9000</v>
      </c>
      <c r="Q18" s="49" t="n">
        <f aca="false">IF(AND(C18&lt;&gt;"",C18='Stock Ledger'!$C$4),M18,"")</f>
        <v>46310.000018</v>
      </c>
    </row>
    <row r="19" customFormat="false" ht="15" hidden="false" customHeight="false" outlineLevel="0" collapsed="false">
      <c r="A19" s="45" t="n">
        <f aca="false">IF(C19="","",ROW()-6)</f>
        <v>13</v>
      </c>
      <c r="B19" s="85" t="n">
        <v>46311</v>
      </c>
      <c r="C19" s="80" t="s">
        <v>70</v>
      </c>
      <c r="D19" s="47" t="str">
        <f aca="false">IF(C19="","",IFERROR(INDEX('Item Master'!$B$6:$B$105,MATCH(C19,'Item Master'!$A$6:$A$105,0)),"?"))</f>
        <v>Ceiling Fan 1200 mm</v>
      </c>
      <c r="E19" s="82" t="s">
        <v>99</v>
      </c>
      <c r="F19" s="83" t="n">
        <v>12</v>
      </c>
      <c r="G19" s="84" t="n">
        <v>1950</v>
      </c>
      <c r="H19" s="81" t="s">
        <v>116</v>
      </c>
      <c r="I19" s="80" t="s">
        <v>117</v>
      </c>
      <c r="J19" s="41" t="n">
        <f aca="false">IF(OR(C19="",G19=""),"",N(F19)*N(G19))</f>
        <v>23400</v>
      </c>
      <c r="K19" s="48" t="n">
        <f aca="false">IF(M19="","",N(IFERROR(INDEX('Item Master'!$E$6:$E$105,MATCH(C19,'Item Master'!$A$6:$A$105,0)),0))+SUMIFS($F$7:$F$506,$C$7:$C$506,C19,$E$7:$E$506,"In",$M$7:$M$506,"&lt;="&amp;M19)-SUMIFS($F$7:$F$506,$C$7:$C$506,C19,$E$7:$E$506,"Out",$M$7:$M$506,"&lt;="&amp;M19))</f>
        <v>15</v>
      </c>
      <c r="L19" s="44" t="str">
        <f aca="false">IF(AND(B19="",C19="",F19=""),"",IF(C19="","⚠ Pick item",IF(D19="?","⚠ Code not in Item Master",IF(B19="","⚠ Enter date",IF(OR(E19="",N(F19)&lt;=0),"⚠ Type / quantity missing",IF(AND(E19="In",G19=""),"⚠ Enter purchase rate",IF(OR(B19&lt;Setup!$C$6,B19&gt;Setup!$C$7),"Outside period",IF(K19&lt;0,"⚠ Stock goes negative","✔ OK"))))))))</f>
        <v>✔ OK</v>
      </c>
      <c r="M19" s="49" t="n">
        <f aca="false">IF(OR(C19="",B19=""),"",B19+ROW()/1000000)</f>
        <v>46311.000019</v>
      </c>
      <c r="N19" s="9" t="str">
        <f aca="false">IF(AND(E19="In",M19&lt;&gt;""),SUMIFS($F$7:$F$506,$C$7:$C$506,C19,$E$7:$E$506,"In",$M$7:$M$506,"&gt;"&amp;M19),"")</f>
        <v/>
      </c>
      <c r="O19" s="9" t="str">
        <f aca="false">IF(N19="","",IFERROR(INDEX('Item Master'!$K$6:$K$105,MATCH(C19,'Item Master'!$A$6:$A$105,0)),0))</f>
        <v/>
      </c>
      <c r="P19" s="9" t="n">
        <f aca="false">IF(N19="",0,MAX(0,MIN(N(F19),O19-N19))*N(G19))</f>
        <v>0</v>
      </c>
      <c r="Q19" s="9" t="str">
        <f aca="false">IF(AND(C19&lt;&gt;"",C19='Stock Ledger'!$C$4),M19,"")</f>
        <v/>
      </c>
    </row>
    <row r="20" customFormat="false" ht="15" hidden="false" customHeight="false" outlineLevel="0" collapsed="false">
      <c r="A20" s="45" t="n">
        <f aca="false">IF(C20="","",ROW()-6)</f>
        <v>14</v>
      </c>
      <c r="B20" s="85" t="n">
        <v>46313</v>
      </c>
      <c r="C20" s="80" t="s">
        <v>73</v>
      </c>
      <c r="D20" s="47" t="str">
        <f aca="false">IF(C20="","",IFERROR(INDEX('Item Master'!$B$6:$B$105,MATCH(C20,'Item Master'!$A$6:$A$105,0)),"?"))</f>
        <v>Copper Wire 1.5 sq mm (90 m)</v>
      </c>
      <c r="E20" s="82" t="s">
        <v>99</v>
      </c>
      <c r="F20" s="83" t="n">
        <v>25</v>
      </c>
      <c r="G20" s="84" t="n">
        <v>1650</v>
      </c>
      <c r="H20" s="81" t="s">
        <v>105</v>
      </c>
      <c r="I20" s="80" t="s">
        <v>118</v>
      </c>
      <c r="J20" s="41" t="n">
        <f aca="false">IF(OR(C20="",G20=""),"",N(F20)*N(G20))</f>
        <v>41250</v>
      </c>
      <c r="K20" s="48" t="n">
        <f aca="false">IF(M20="","",N(IFERROR(INDEX('Item Master'!$E$6:$E$105,MATCH(C20,'Item Master'!$A$6:$A$105,0)),0))+SUMIFS($F$7:$F$506,$C$7:$C$506,C20,$E$7:$E$506,"In",$M$7:$M$506,"&lt;="&amp;M20)-SUMIFS($F$7:$F$506,$C$7:$C$506,C20,$E$7:$E$506,"Out",$M$7:$M$506,"&lt;="&amp;M20))</f>
        <v>13</v>
      </c>
      <c r="L20" s="44" t="str">
        <f aca="false">IF(AND(B20="",C20="",F20=""),"",IF(C20="","⚠ Pick item",IF(D20="?","⚠ Code not in Item Master",IF(B20="","⚠ Enter date",IF(OR(E20="",N(F20)&lt;=0),"⚠ Type / quantity missing",IF(AND(E20="In",G20=""),"⚠ Enter purchase rate",IF(OR(B20&lt;Setup!$C$6,B20&gt;Setup!$C$7),"Outside period",IF(K20&lt;0,"⚠ Stock goes negative","✔ OK"))))))))</f>
        <v>✔ OK</v>
      </c>
      <c r="M20" s="49" t="n">
        <f aca="false">IF(OR(C20="",B20=""),"",B20+ROW()/1000000)</f>
        <v>46313.00002</v>
      </c>
      <c r="N20" s="9" t="str">
        <f aca="false">IF(AND(E20="In",M20&lt;&gt;""),SUMIFS($F$7:$F$506,$C$7:$C$506,C20,$E$7:$E$506,"In",$M$7:$M$506,"&gt;"&amp;M20),"")</f>
        <v/>
      </c>
      <c r="O20" s="9" t="str">
        <f aca="false">IF(N20="","",IFERROR(INDEX('Item Master'!$K$6:$K$105,MATCH(C20,'Item Master'!$A$6:$A$105,0)),0))</f>
        <v/>
      </c>
      <c r="P20" s="9" t="n">
        <f aca="false">IF(N20="",0,MAX(0,MIN(N(F20),O20-N20))*N(G20))</f>
        <v>0</v>
      </c>
      <c r="Q20" s="9" t="str">
        <f aca="false">IF(AND(C20&lt;&gt;"",C20='Stock Ledger'!$C$4),M20,"")</f>
        <v/>
      </c>
    </row>
    <row r="21" customFormat="false" ht="15" hidden="false" customHeight="false" outlineLevel="0" collapsed="false">
      <c r="A21" s="45" t="n">
        <f aca="false">IF(C21="","",ROW()-6)</f>
        <v>15</v>
      </c>
      <c r="B21" s="85" t="n">
        <v>46314</v>
      </c>
      <c r="C21" s="80" t="s">
        <v>83</v>
      </c>
      <c r="D21" s="47" t="str">
        <f aca="false">IF(C21="","",IFERROR(INDEX('Item Master'!$B$6:$B$105,MATCH(C21,'Item Master'!$A$6:$A$105,0)),"?"))</f>
        <v>LED Tube Light 20W</v>
      </c>
      <c r="E21" s="82" t="s">
        <v>96</v>
      </c>
      <c r="F21" s="83" t="n">
        <v>40</v>
      </c>
      <c r="G21" s="84" t="n">
        <v>170</v>
      </c>
      <c r="H21" s="81" t="s">
        <v>97</v>
      </c>
      <c r="I21" s="80" t="s">
        <v>119</v>
      </c>
      <c r="J21" s="41" t="n">
        <f aca="false">IF(OR(C21="",G21=""),"",N(F21)*N(G21))</f>
        <v>6800</v>
      </c>
      <c r="K21" s="48" t="n">
        <f aca="false">IF(M21="","",N(IFERROR(INDEX('Item Master'!$E$6:$E$105,MATCH(C21,'Item Master'!$A$6:$A$105,0)),0))+SUMIFS($F$7:$F$506,$C$7:$C$506,C21,$E$7:$E$506,"In",$M$7:$M$506,"&lt;="&amp;M21)-SUMIFS($F$7:$F$506,$C$7:$C$506,C21,$E$7:$E$506,"Out",$M$7:$M$506,"&lt;="&amp;M21))</f>
        <v>75</v>
      </c>
      <c r="L21" s="44" t="str">
        <f aca="false">IF(AND(B21="",C21="",F21=""),"",IF(C21="","⚠ Pick item",IF(D21="?","⚠ Code not in Item Master",IF(B21="","⚠ Enter date",IF(OR(E21="",N(F21)&lt;=0),"⚠ Type / quantity missing",IF(AND(E21="In",G21=""),"⚠ Enter purchase rate",IF(OR(B21&lt;Setup!$C$6,B21&gt;Setup!$C$7),"Outside period",IF(K21&lt;0,"⚠ Stock goes negative","✔ OK"))))))))</f>
        <v>✔ OK</v>
      </c>
      <c r="M21" s="49" t="n">
        <f aca="false">IF(OR(C21="",B21=""),"",B21+ROW()/1000000)</f>
        <v>46314.000021</v>
      </c>
      <c r="N21" s="9" t="n">
        <f aca="false">IF(AND(E21="In",M21&lt;&gt;""),SUMIFS($F$7:$F$506,$C$7:$C$506,C21,$E$7:$E$506,"In",$M$7:$M$506,"&gt;"&amp;M21),"")</f>
        <v>0</v>
      </c>
      <c r="O21" s="50" t="n">
        <f aca="false">IF(N21="","",IFERROR(INDEX('Item Master'!$K$6:$K$105,MATCH(C21,'Item Master'!$A$6:$A$105,0)),0))</f>
        <v>45</v>
      </c>
      <c r="P21" s="9" t="n">
        <f aca="false">IF(N21="",0,MAX(0,MIN(N(F21),O21-N21))*N(G21))</f>
        <v>6800</v>
      </c>
      <c r="Q21" s="9" t="str">
        <f aca="false">IF(AND(C21&lt;&gt;"",C21='Stock Ledger'!$C$4),M21,"")</f>
        <v/>
      </c>
    </row>
    <row r="22" customFormat="false" ht="15" hidden="false" customHeight="false" outlineLevel="0" collapsed="false">
      <c r="A22" s="45" t="n">
        <f aca="false">IF(C22="","",ROW()-6)</f>
        <v>16</v>
      </c>
      <c r="B22" s="85" t="n">
        <v>46316</v>
      </c>
      <c r="C22" s="80" t="s">
        <v>77</v>
      </c>
      <c r="D22" s="47" t="str">
        <f aca="false">IF(C22="","",IFERROR(INDEX('Item Master'!$B$6:$B$105,MATCH(C22,'Item Master'!$A$6:$A$105,0)),"?"))</f>
        <v>MCB 32A Single Pole</v>
      </c>
      <c r="E22" s="82" t="s">
        <v>99</v>
      </c>
      <c r="F22" s="83" t="n">
        <v>45</v>
      </c>
      <c r="G22" s="84" t="n">
        <v>260</v>
      </c>
      <c r="H22" s="81" t="s">
        <v>100</v>
      </c>
      <c r="I22" s="80" t="s">
        <v>120</v>
      </c>
      <c r="J22" s="41" t="n">
        <f aca="false">IF(OR(C22="",G22=""),"",N(F22)*N(G22))</f>
        <v>11700</v>
      </c>
      <c r="K22" s="48" t="n">
        <f aca="false">IF(M22="","",N(IFERROR(INDEX('Item Master'!$E$6:$E$105,MATCH(C22,'Item Master'!$A$6:$A$105,0)),0))+SUMIFS($F$7:$F$506,$C$7:$C$506,C22,$E$7:$E$506,"In",$M$7:$M$506,"&lt;="&amp;M22)-SUMIFS($F$7:$F$506,$C$7:$C$506,C22,$E$7:$E$506,"Out",$M$7:$M$506,"&lt;="&amp;M22))</f>
        <v>35</v>
      </c>
      <c r="L22" s="44" t="str">
        <f aca="false">IF(AND(B22="",C22="",F22=""),"",IF(C22="","⚠ Pick item",IF(D22="?","⚠ Code not in Item Master",IF(B22="","⚠ Enter date",IF(OR(E22="",N(F22)&lt;=0),"⚠ Type / quantity missing",IF(AND(E22="In",G22=""),"⚠ Enter purchase rate",IF(OR(B22&lt;Setup!$C$6,B22&gt;Setup!$C$7),"Outside period",IF(K22&lt;0,"⚠ Stock goes negative","✔ OK"))))))))</f>
        <v>✔ OK</v>
      </c>
      <c r="M22" s="49" t="n">
        <f aca="false">IF(OR(C22="",B22=""),"",B22+ROW()/1000000)</f>
        <v>46316.000022</v>
      </c>
      <c r="N22" s="9" t="str">
        <f aca="false">IF(AND(E22="In",M22&lt;&gt;""),SUMIFS($F$7:$F$506,$C$7:$C$506,C22,$E$7:$E$506,"In",$M$7:$M$506,"&gt;"&amp;M22),"")</f>
        <v/>
      </c>
      <c r="O22" s="9" t="str">
        <f aca="false">IF(N22="","",IFERROR(INDEX('Item Master'!$K$6:$K$105,MATCH(C22,'Item Master'!$A$6:$A$105,0)),0))</f>
        <v/>
      </c>
      <c r="P22" s="9" t="n">
        <f aca="false">IF(N22="",0,MAX(0,MIN(N(F22),O22-N22))*N(G22))</f>
        <v>0</v>
      </c>
      <c r="Q22" s="9" t="str">
        <f aca="false">IF(AND(C22&lt;&gt;"",C22='Stock Ledger'!$C$4),M22,"")</f>
        <v/>
      </c>
    </row>
    <row r="23" customFormat="false" ht="15" hidden="false" customHeight="false" outlineLevel="0" collapsed="false">
      <c r="A23" s="45" t="n">
        <f aca="false">IF(C23="","",ROW()-6)</f>
        <v>17</v>
      </c>
      <c r="B23" s="85" t="n">
        <v>46317</v>
      </c>
      <c r="C23" s="80" t="s">
        <v>83</v>
      </c>
      <c r="D23" s="47" t="str">
        <f aca="false">IF(C23="","",IFERROR(INDEX('Item Master'!$B$6:$B$105,MATCH(C23,'Item Master'!$A$6:$A$105,0)),"?"))</f>
        <v>LED Tube Light 20W</v>
      </c>
      <c r="E23" s="82" t="s">
        <v>99</v>
      </c>
      <c r="F23" s="83" t="n">
        <v>30</v>
      </c>
      <c r="G23" s="84" t="n">
        <v>230</v>
      </c>
      <c r="H23" s="81" t="s">
        <v>100</v>
      </c>
      <c r="I23" s="80" t="s">
        <v>121</v>
      </c>
      <c r="J23" s="41" t="n">
        <f aca="false">IF(OR(C23="",G23=""),"",N(F23)*N(G23))</f>
        <v>6900</v>
      </c>
      <c r="K23" s="48" t="n">
        <f aca="false">IF(M23="","",N(IFERROR(INDEX('Item Master'!$E$6:$E$105,MATCH(C23,'Item Master'!$A$6:$A$105,0)),0))+SUMIFS($F$7:$F$506,$C$7:$C$506,C23,$E$7:$E$506,"In",$M$7:$M$506,"&lt;="&amp;M23)-SUMIFS($F$7:$F$506,$C$7:$C$506,C23,$E$7:$E$506,"Out",$M$7:$M$506,"&lt;="&amp;M23))</f>
        <v>45</v>
      </c>
      <c r="L23" s="44" t="str">
        <f aca="false">IF(AND(B23="",C23="",F23=""),"",IF(C23="","⚠ Pick item",IF(D23="?","⚠ Code not in Item Master",IF(B23="","⚠ Enter date",IF(OR(E23="",N(F23)&lt;=0),"⚠ Type / quantity missing",IF(AND(E23="In",G23=""),"⚠ Enter purchase rate",IF(OR(B23&lt;Setup!$C$6,B23&gt;Setup!$C$7),"Outside period",IF(K23&lt;0,"⚠ Stock goes negative","✔ OK"))))))))</f>
        <v>✔ OK</v>
      </c>
      <c r="M23" s="49" t="n">
        <f aca="false">IF(OR(C23="",B23=""),"",B23+ROW()/1000000)</f>
        <v>46317.000023</v>
      </c>
      <c r="N23" s="9" t="str">
        <f aca="false">IF(AND(E23="In",M23&lt;&gt;""),SUMIFS($F$7:$F$506,$C$7:$C$506,C23,$E$7:$E$506,"In",$M$7:$M$506,"&gt;"&amp;M23),"")</f>
        <v/>
      </c>
      <c r="O23" s="9" t="str">
        <f aca="false">IF(N23="","",IFERROR(INDEX('Item Master'!$K$6:$K$105,MATCH(C23,'Item Master'!$A$6:$A$105,0)),0))</f>
        <v/>
      </c>
      <c r="P23" s="9" t="n">
        <f aca="false">IF(N23="",0,MAX(0,MIN(N(F23),O23-N23))*N(G23))</f>
        <v>0</v>
      </c>
      <c r="Q23" s="9" t="str">
        <f aca="false">IF(AND(C23&lt;&gt;"",C23='Stock Ledger'!$C$4),M23,"")</f>
        <v/>
      </c>
    </row>
    <row r="24" customFormat="false" ht="15" hidden="false" customHeight="false" outlineLevel="0" collapsed="false">
      <c r="A24" s="45" t="n">
        <f aca="false">IF(C24="","",ROW()-6)</f>
        <v>18</v>
      </c>
      <c r="B24" s="85" t="n">
        <v>46319</v>
      </c>
      <c r="C24" s="80" t="s">
        <v>66</v>
      </c>
      <c r="D24" s="47" t="str">
        <f aca="false">IF(C24="","",IFERROR(INDEX('Item Master'!$B$6:$B$105,MATCH(C24,'Item Master'!$A$6:$A$105,0)),"?"))</f>
        <v>LED Bulb 9W</v>
      </c>
      <c r="E24" s="82" t="s">
        <v>99</v>
      </c>
      <c r="F24" s="83" t="n">
        <v>180</v>
      </c>
      <c r="G24" s="84" t="n">
        <v>85</v>
      </c>
      <c r="H24" s="81" t="s">
        <v>100</v>
      </c>
      <c r="I24" s="80" t="s">
        <v>122</v>
      </c>
      <c r="J24" s="41" t="n">
        <f aca="false">IF(OR(C24="",G24=""),"",N(F24)*N(G24))</f>
        <v>15300</v>
      </c>
      <c r="K24" s="48" t="n">
        <f aca="false">IF(M24="","",N(IFERROR(INDEX('Item Master'!$E$6:$E$105,MATCH(C24,'Item Master'!$A$6:$A$105,0)),0))+SUMIFS($F$7:$F$506,$C$7:$C$506,C24,$E$7:$E$506,"In",$M$7:$M$506,"&lt;="&amp;M24)-SUMIFS($F$7:$F$506,$C$7:$C$506,C24,$E$7:$E$506,"Out",$M$7:$M$506,"&lt;="&amp;M24))</f>
        <v>150</v>
      </c>
      <c r="L24" s="44" t="str">
        <f aca="false">IF(AND(B24="",C24="",F24=""),"",IF(C24="","⚠ Pick item",IF(D24="?","⚠ Code not in Item Master",IF(B24="","⚠ Enter date",IF(OR(E24="",N(F24)&lt;=0),"⚠ Type / quantity missing",IF(AND(E24="In",G24=""),"⚠ Enter purchase rate",IF(OR(B24&lt;Setup!$C$6,B24&gt;Setup!$C$7),"Outside period",IF(K24&lt;0,"⚠ Stock goes negative","✔ OK"))))))))</f>
        <v>✔ OK</v>
      </c>
      <c r="M24" s="49" t="n">
        <f aca="false">IF(OR(C24="",B24=""),"",B24+ROW()/1000000)</f>
        <v>46319.000024</v>
      </c>
      <c r="N24" s="9" t="str">
        <f aca="false">IF(AND(E24="In",M24&lt;&gt;""),SUMIFS($F$7:$F$506,$C$7:$C$506,C24,$E$7:$E$506,"In",$M$7:$M$506,"&gt;"&amp;M24),"")</f>
        <v/>
      </c>
      <c r="O24" s="9" t="str">
        <f aca="false">IF(N24="","",IFERROR(INDEX('Item Master'!$K$6:$K$105,MATCH(C24,'Item Master'!$A$6:$A$105,0)),0))</f>
        <v/>
      </c>
      <c r="P24" s="9" t="n">
        <f aca="false">IF(N24="",0,MAX(0,MIN(N(F24),O24-N24))*N(G24))</f>
        <v>0</v>
      </c>
      <c r="Q24" s="49" t="n">
        <f aca="false">IF(AND(C24&lt;&gt;"",C24='Stock Ledger'!$C$4),M24,"")</f>
        <v>46319.000024</v>
      </c>
    </row>
    <row r="25" customFormat="false" ht="15" hidden="false" customHeight="false" outlineLevel="0" collapsed="false">
      <c r="A25" s="45" t="n">
        <f aca="false">IF(C25="","",ROW()-6)</f>
        <v>19</v>
      </c>
      <c r="B25" s="85" t="n">
        <v>46321</v>
      </c>
      <c r="C25" s="80" t="s">
        <v>73</v>
      </c>
      <c r="D25" s="47" t="str">
        <f aca="false">IF(C25="","",IFERROR(INDEX('Item Master'!$B$6:$B$105,MATCH(C25,'Item Master'!$A$6:$A$105,0)),"?"))</f>
        <v>Copper Wire 1.5 sq mm (90 m)</v>
      </c>
      <c r="E25" s="82" t="s">
        <v>96</v>
      </c>
      <c r="F25" s="83" t="n">
        <v>15</v>
      </c>
      <c r="G25" s="84" t="n">
        <v>1340</v>
      </c>
      <c r="H25" s="81" t="s">
        <v>107</v>
      </c>
      <c r="I25" s="80" t="s">
        <v>123</v>
      </c>
      <c r="J25" s="41" t="n">
        <f aca="false">IF(OR(C25="",G25=""),"",N(F25)*N(G25))</f>
        <v>20100</v>
      </c>
      <c r="K25" s="48" t="n">
        <f aca="false">IF(M25="","",N(IFERROR(INDEX('Item Master'!$E$6:$E$105,MATCH(C25,'Item Master'!$A$6:$A$105,0)),0))+SUMIFS($F$7:$F$506,$C$7:$C$506,C25,$E$7:$E$506,"In",$M$7:$M$506,"&lt;="&amp;M25)-SUMIFS($F$7:$F$506,$C$7:$C$506,C25,$E$7:$E$506,"Out",$M$7:$M$506,"&lt;="&amp;M25))</f>
        <v>28</v>
      </c>
      <c r="L25" s="44" t="str">
        <f aca="false">IF(AND(B25="",C25="",F25=""),"",IF(C25="","⚠ Pick item",IF(D25="?","⚠ Code not in Item Master",IF(B25="","⚠ Enter date",IF(OR(E25="",N(F25)&lt;=0),"⚠ Type / quantity missing",IF(AND(E25="In",G25=""),"⚠ Enter purchase rate",IF(OR(B25&lt;Setup!$C$6,B25&gt;Setup!$C$7),"Outside period",IF(K25&lt;0,"⚠ Stock goes negative","✔ OK"))))))))</f>
        <v>✔ OK</v>
      </c>
      <c r="M25" s="49" t="n">
        <f aca="false">IF(OR(C25="",B25=""),"",B25+ROW()/1000000)</f>
        <v>46321.000025</v>
      </c>
      <c r="N25" s="9" t="n">
        <f aca="false">IF(AND(E25="In",M25&lt;&gt;""),SUMIFS($F$7:$F$506,$C$7:$C$506,C25,$E$7:$E$506,"In",$M$7:$M$506,"&gt;"&amp;M25),"")</f>
        <v>0</v>
      </c>
      <c r="O25" s="50" t="n">
        <f aca="false">IF(N25="","",IFERROR(INDEX('Item Master'!$K$6:$K$105,MATCH(C25,'Item Master'!$A$6:$A$105,0)),0))</f>
        <v>28</v>
      </c>
      <c r="P25" s="9" t="n">
        <f aca="false">IF(N25="",0,MAX(0,MIN(N(F25),O25-N25))*N(G25))</f>
        <v>20100</v>
      </c>
      <c r="Q25" s="9" t="str">
        <f aca="false">IF(AND(C25&lt;&gt;"",C25='Stock Ledger'!$C$4),M25,"")</f>
        <v/>
      </c>
    </row>
    <row r="26" customFormat="false" ht="15" hidden="false" customHeight="false" outlineLevel="0" collapsed="false">
      <c r="A26" s="45" t="n">
        <f aca="false">IF(C26="","",ROW()-6)</f>
        <v>20</v>
      </c>
      <c r="B26" s="85" t="n">
        <v>46322</v>
      </c>
      <c r="C26" s="80" t="s">
        <v>80</v>
      </c>
      <c r="D26" s="47" t="str">
        <f aca="false">IF(C26="","",IFERROR(INDEX('Item Master'!$B$6:$B$105,MATCH(C26,'Item Master'!$A$6:$A$105,0)),"?"))</f>
        <v>Extension Board 4-way</v>
      </c>
      <c r="E26" s="82" t="s">
        <v>99</v>
      </c>
      <c r="F26" s="83" t="n">
        <v>12</v>
      </c>
      <c r="G26" s="84" t="n">
        <v>299</v>
      </c>
      <c r="H26" s="81" t="s">
        <v>100</v>
      </c>
      <c r="I26" s="80" t="s">
        <v>124</v>
      </c>
      <c r="J26" s="41" t="n">
        <f aca="false">IF(OR(C26="",G26=""),"",N(F26)*N(G26))</f>
        <v>3588</v>
      </c>
      <c r="K26" s="48" t="n">
        <f aca="false">IF(M26="","",N(IFERROR(INDEX('Item Master'!$E$6:$E$105,MATCH(C26,'Item Master'!$A$6:$A$105,0)),0))+SUMIFS($F$7:$F$506,$C$7:$C$506,C26,$E$7:$E$506,"In",$M$7:$M$506,"&lt;="&amp;M26)-SUMIFS($F$7:$F$506,$C$7:$C$506,C26,$E$7:$E$506,"Out",$M$7:$M$506,"&lt;="&amp;M26))</f>
        <v>6</v>
      </c>
      <c r="L26" s="44" t="str">
        <f aca="false">IF(AND(B26="",C26="",F26=""),"",IF(C26="","⚠ Pick item",IF(D26="?","⚠ Code not in Item Master",IF(B26="","⚠ Enter date",IF(OR(E26="",N(F26)&lt;=0),"⚠ Type / quantity missing",IF(AND(E26="In",G26=""),"⚠ Enter purchase rate",IF(OR(B26&lt;Setup!$C$6,B26&gt;Setup!$C$7),"Outside period",IF(K26&lt;0,"⚠ Stock goes negative","✔ OK"))))))))</f>
        <v>✔ OK</v>
      </c>
      <c r="M26" s="49" t="n">
        <f aca="false">IF(OR(C26="",B26=""),"",B26+ROW()/1000000)</f>
        <v>46322.000026</v>
      </c>
      <c r="N26" s="9" t="str">
        <f aca="false">IF(AND(E26="In",M26&lt;&gt;""),SUMIFS($F$7:$F$506,$C$7:$C$506,C26,$E$7:$E$506,"In",$M$7:$M$506,"&gt;"&amp;M26),"")</f>
        <v/>
      </c>
      <c r="O26" s="9" t="str">
        <f aca="false">IF(N26="","",IFERROR(INDEX('Item Master'!$K$6:$K$105,MATCH(C26,'Item Master'!$A$6:$A$105,0)),0))</f>
        <v/>
      </c>
      <c r="P26" s="9" t="n">
        <f aca="false">IF(N26="",0,MAX(0,MIN(N(F26),O26-N26))*N(G26))</f>
        <v>0</v>
      </c>
      <c r="Q26" s="9" t="str">
        <f aca="false">IF(AND(C26&lt;&gt;"",C26='Stock Ledger'!$C$4),M26,"")</f>
        <v/>
      </c>
    </row>
    <row r="27" customFormat="false" ht="15" hidden="false" customHeight="false" outlineLevel="0" collapsed="false">
      <c r="A27" s="45" t="n">
        <f aca="false">IF(C27="","",ROW()-6)</f>
        <v>21</v>
      </c>
      <c r="B27" s="85" t="n">
        <v>46324</v>
      </c>
      <c r="C27" s="80" t="s">
        <v>70</v>
      </c>
      <c r="D27" s="47" t="str">
        <f aca="false">IF(C27="","",IFERROR(INDEX('Item Master'!$B$6:$B$105,MATCH(C27,'Item Master'!$A$6:$A$105,0)),"?"))</f>
        <v>Ceiling Fan 1200 mm</v>
      </c>
      <c r="E27" s="82" t="s">
        <v>99</v>
      </c>
      <c r="F27" s="83" t="n">
        <v>6</v>
      </c>
      <c r="G27" s="84" t="n">
        <v>1950</v>
      </c>
      <c r="H27" s="81" t="s">
        <v>100</v>
      </c>
      <c r="I27" s="80" t="s">
        <v>125</v>
      </c>
      <c r="J27" s="41" t="n">
        <f aca="false">IF(OR(C27="",G27=""),"",N(F27)*N(G27))</f>
        <v>11700</v>
      </c>
      <c r="K27" s="48" t="n">
        <f aca="false">IF(M27="","",N(IFERROR(INDEX('Item Master'!$E$6:$E$105,MATCH(C27,'Item Master'!$A$6:$A$105,0)),0))+SUMIFS($F$7:$F$506,$C$7:$C$506,C27,$E$7:$E$506,"In",$M$7:$M$506,"&lt;="&amp;M27)-SUMIFS($F$7:$F$506,$C$7:$C$506,C27,$E$7:$E$506,"Out",$M$7:$M$506,"&lt;="&amp;M27))</f>
        <v>9</v>
      </c>
      <c r="L27" s="44" t="str">
        <f aca="false">IF(AND(B27="",C27="",F27=""),"",IF(C27="","⚠ Pick item",IF(D27="?","⚠ Code not in Item Master",IF(B27="","⚠ Enter date",IF(OR(E27="",N(F27)&lt;=0),"⚠ Type / quantity missing",IF(AND(E27="In",G27=""),"⚠ Enter purchase rate",IF(OR(B27&lt;Setup!$C$6,B27&gt;Setup!$C$7),"Outside period",IF(K27&lt;0,"⚠ Stock goes negative","✔ OK"))))))))</f>
        <v>✔ OK</v>
      </c>
      <c r="M27" s="49" t="n">
        <f aca="false">IF(OR(C27="",B27=""),"",B27+ROW()/1000000)</f>
        <v>46324.000027</v>
      </c>
      <c r="N27" s="9" t="str">
        <f aca="false">IF(AND(E27="In",M27&lt;&gt;""),SUMIFS($F$7:$F$506,$C$7:$C$506,C27,$E$7:$E$506,"In",$M$7:$M$506,"&gt;"&amp;M27),"")</f>
        <v/>
      </c>
      <c r="O27" s="9" t="str">
        <f aca="false">IF(N27="","",IFERROR(INDEX('Item Master'!$K$6:$K$105,MATCH(C27,'Item Master'!$A$6:$A$105,0)),0))</f>
        <v/>
      </c>
      <c r="P27" s="9" t="n">
        <f aca="false">IF(N27="",0,MAX(0,MIN(N(F27),O27-N27))*N(G27))</f>
        <v>0</v>
      </c>
      <c r="Q27" s="9" t="str">
        <f aca="false">IF(AND(C27&lt;&gt;"",C27='Stock Ledger'!$C$4),M27,"")</f>
        <v/>
      </c>
    </row>
    <row r="28" customFormat="false" ht="15" hidden="false" customHeight="false" outlineLevel="0" collapsed="false">
      <c r="A28" s="45" t="str">
        <f aca="false">IF(C28="","",ROW()-6)</f>
        <v/>
      </c>
      <c r="B28" s="85"/>
      <c r="C28" s="80"/>
      <c r="D28" s="47" t="str">
        <f aca="false">IF(C28="","",IFERROR(INDEX('Item Master'!$B$6:$B$105,MATCH(C28,'Item Master'!$A$6:$A$105,0)),"?"))</f>
        <v/>
      </c>
      <c r="E28" s="82"/>
      <c r="F28" s="83"/>
      <c r="G28" s="84"/>
      <c r="H28" s="81"/>
      <c r="I28" s="80"/>
      <c r="J28" s="41" t="str">
        <f aca="false">IF(OR(C28="",G28=""),"",N(F28)*N(G28))</f>
        <v/>
      </c>
      <c r="K28" s="48" t="str">
        <f aca="false">IF(M28="","",N(IFERROR(INDEX('Item Master'!$E$6:$E$105,MATCH(C28,'Item Master'!$A$6:$A$105,0)),0))+SUMIFS($F$7:$F$506,$C$7:$C$506,C28,$E$7:$E$506,"In",$M$7:$M$506,"&lt;="&amp;M28)-SUMIFS($F$7:$F$506,$C$7:$C$506,C28,$E$7:$E$506,"Out",$M$7:$M$506,"&lt;="&amp;M28))</f>
        <v/>
      </c>
      <c r="L28" s="44" t="str">
        <f aca="false">IF(AND(B28="",C28="",F28=""),"",IF(C28="","⚠ Pick item",IF(D28="?","⚠ Code not in Item Master",IF(B28="","⚠ Enter date",IF(OR(E28="",N(F28)&lt;=0),"⚠ Type / quantity missing",IF(AND(E28="In",G28=""),"⚠ Enter purchase rate",IF(OR(B28&lt;Setup!$C$6,B28&gt;Setup!$C$7),"Outside period",IF(K28&lt;0,"⚠ Stock goes negative","✔ OK"))))))))</f>
        <v/>
      </c>
      <c r="M28" s="9" t="str">
        <f aca="false">IF(OR(C28="",B28=""),"",B28+ROW()/1000000)</f>
        <v/>
      </c>
      <c r="N28" s="9" t="str">
        <f aca="false">IF(AND(E28="In",M28&lt;&gt;""),SUMIFS($F$7:$F$506,$C$7:$C$506,C28,$E$7:$E$506,"In",$M$7:$M$506,"&gt;"&amp;M28),"")</f>
        <v/>
      </c>
      <c r="O28" s="9" t="str">
        <f aca="false">IF(N28="","",IFERROR(INDEX('Item Master'!$K$6:$K$105,MATCH(C28,'Item Master'!$A$6:$A$105,0)),0))</f>
        <v/>
      </c>
      <c r="P28" s="9" t="n">
        <f aca="false">IF(N28="",0,MAX(0,MIN(N(F28),O28-N28))*N(G28))</f>
        <v>0</v>
      </c>
      <c r="Q28" s="9" t="str">
        <f aca="false">IF(AND(C28&lt;&gt;"",C28='Stock Ledger'!$C$4),M28,"")</f>
        <v/>
      </c>
    </row>
    <row r="29" customFormat="false" ht="15" hidden="false" customHeight="false" outlineLevel="0" collapsed="false">
      <c r="A29" s="45" t="str">
        <f aca="false">IF(C29="","",ROW()-6)</f>
        <v/>
      </c>
      <c r="B29" s="85"/>
      <c r="C29" s="80"/>
      <c r="D29" s="47" t="str">
        <f aca="false">IF(C29="","",IFERROR(INDEX('Item Master'!$B$6:$B$105,MATCH(C29,'Item Master'!$A$6:$A$105,0)),"?"))</f>
        <v/>
      </c>
      <c r="E29" s="82"/>
      <c r="F29" s="83"/>
      <c r="G29" s="84"/>
      <c r="H29" s="81"/>
      <c r="I29" s="80"/>
      <c r="J29" s="41" t="str">
        <f aca="false">IF(OR(C29="",G29=""),"",N(F29)*N(G29))</f>
        <v/>
      </c>
      <c r="K29" s="48" t="str">
        <f aca="false">IF(M29="","",N(IFERROR(INDEX('Item Master'!$E$6:$E$105,MATCH(C29,'Item Master'!$A$6:$A$105,0)),0))+SUMIFS($F$7:$F$506,$C$7:$C$506,C29,$E$7:$E$506,"In",$M$7:$M$506,"&lt;="&amp;M29)-SUMIFS($F$7:$F$506,$C$7:$C$506,C29,$E$7:$E$506,"Out",$M$7:$M$506,"&lt;="&amp;M29))</f>
        <v/>
      </c>
      <c r="L29" s="44" t="str">
        <f aca="false">IF(AND(B29="",C29="",F29=""),"",IF(C29="","⚠ Pick item",IF(D29="?","⚠ Code not in Item Master",IF(B29="","⚠ Enter date",IF(OR(E29="",N(F29)&lt;=0),"⚠ Type / quantity missing",IF(AND(E29="In",G29=""),"⚠ Enter purchase rate",IF(OR(B29&lt;Setup!$C$6,B29&gt;Setup!$C$7),"Outside period",IF(K29&lt;0,"⚠ Stock goes negative","✔ OK"))))))))</f>
        <v/>
      </c>
      <c r="M29" s="9" t="str">
        <f aca="false">IF(OR(C29="",B29=""),"",B29+ROW()/1000000)</f>
        <v/>
      </c>
      <c r="N29" s="9" t="str">
        <f aca="false">IF(AND(E29="In",M29&lt;&gt;""),SUMIFS($F$7:$F$506,$C$7:$C$506,C29,$E$7:$E$506,"In",$M$7:$M$506,"&gt;"&amp;M29),"")</f>
        <v/>
      </c>
      <c r="O29" s="9" t="str">
        <f aca="false">IF(N29="","",IFERROR(INDEX('Item Master'!$K$6:$K$105,MATCH(C29,'Item Master'!$A$6:$A$105,0)),0))</f>
        <v/>
      </c>
      <c r="P29" s="9" t="n">
        <f aca="false">IF(N29="",0,MAX(0,MIN(N(F29),O29-N29))*N(G29))</f>
        <v>0</v>
      </c>
      <c r="Q29" s="9" t="str">
        <f aca="false">IF(AND(C29&lt;&gt;"",C29='Stock Ledger'!$C$4),M29,"")</f>
        <v/>
      </c>
    </row>
    <row r="30" customFormat="false" ht="15" hidden="false" customHeight="false" outlineLevel="0" collapsed="false">
      <c r="A30" s="45" t="str">
        <f aca="false">IF(C30="","",ROW()-6)</f>
        <v/>
      </c>
      <c r="B30" s="85"/>
      <c r="C30" s="80"/>
      <c r="D30" s="47" t="str">
        <f aca="false">IF(C30="","",IFERROR(INDEX('Item Master'!$B$6:$B$105,MATCH(C30,'Item Master'!$A$6:$A$105,0)),"?"))</f>
        <v/>
      </c>
      <c r="E30" s="82"/>
      <c r="F30" s="83"/>
      <c r="G30" s="84"/>
      <c r="H30" s="81"/>
      <c r="I30" s="80"/>
      <c r="J30" s="41" t="str">
        <f aca="false">IF(OR(C30="",G30=""),"",N(F30)*N(G30))</f>
        <v/>
      </c>
      <c r="K30" s="48" t="str">
        <f aca="false">IF(M30="","",N(IFERROR(INDEX('Item Master'!$E$6:$E$105,MATCH(C30,'Item Master'!$A$6:$A$105,0)),0))+SUMIFS($F$7:$F$506,$C$7:$C$506,C30,$E$7:$E$506,"In",$M$7:$M$506,"&lt;="&amp;M30)-SUMIFS($F$7:$F$506,$C$7:$C$506,C30,$E$7:$E$506,"Out",$M$7:$M$506,"&lt;="&amp;M30))</f>
        <v/>
      </c>
      <c r="L30" s="44" t="str">
        <f aca="false">IF(AND(B30="",C30="",F30=""),"",IF(C30="","⚠ Pick item",IF(D30="?","⚠ Code not in Item Master",IF(B30="","⚠ Enter date",IF(OR(E30="",N(F30)&lt;=0),"⚠ Type / quantity missing",IF(AND(E30="In",G30=""),"⚠ Enter purchase rate",IF(OR(B30&lt;Setup!$C$6,B30&gt;Setup!$C$7),"Outside period",IF(K30&lt;0,"⚠ Stock goes negative","✔ OK"))))))))</f>
        <v/>
      </c>
      <c r="M30" s="9" t="str">
        <f aca="false">IF(OR(C30="",B30=""),"",B30+ROW()/1000000)</f>
        <v/>
      </c>
      <c r="N30" s="9" t="str">
        <f aca="false">IF(AND(E30="In",M30&lt;&gt;""),SUMIFS($F$7:$F$506,$C$7:$C$506,C30,$E$7:$E$506,"In",$M$7:$M$506,"&gt;"&amp;M30),"")</f>
        <v/>
      </c>
      <c r="O30" s="9" t="str">
        <f aca="false">IF(N30="","",IFERROR(INDEX('Item Master'!$K$6:$K$105,MATCH(C30,'Item Master'!$A$6:$A$105,0)),0))</f>
        <v/>
      </c>
      <c r="P30" s="9" t="n">
        <f aca="false">IF(N30="",0,MAX(0,MIN(N(F30),O30-N30))*N(G30))</f>
        <v>0</v>
      </c>
      <c r="Q30" s="9" t="str">
        <f aca="false">IF(AND(C30&lt;&gt;"",C30='Stock Ledger'!$C$4),M30,"")</f>
        <v/>
      </c>
    </row>
    <row r="31" customFormat="false" ht="15" hidden="false" customHeight="false" outlineLevel="0" collapsed="false">
      <c r="A31" s="45" t="str">
        <f aca="false">IF(C31="","",ROW()-6)</f>
        <v/>
      </c>
      <c r="B31" s="85"/>
      <c r="C31" s="80"/>
      <c r="D31" s="47" t="str">
        <f aca="false">IF(C31="","",IFERROR(INDEX('Item Master'!$B$6:$B$105,MATCH(C31,'Item Master'!$A$6:$A$105,0)),"?"))</f>
        <v/>
      </c>
      <c r="E31" s="82"/>
      <c r="F31" s="83"/>
      <c r="G31" s="84"/>
      <c r="H31" s="81"/>
      <c r="I31" s="80"/>
      <c r="J31" s="41" t="str">
        <f aca="false">IF(OR(C31="",G31=""),"",N(F31)*N(G31))</f>
        <v/>
      </c>
      <c r="K31" s="48" t="str">
        <f aca="false">IF(M31="","",N(IFERROR(INDEX('Item Master'!$E$6:$E$105,MATCH(C31,'Item Master'!$A$6:$A$105,0)),0))+SUMIFS($F$7:$F$506,$C$7:$C$506,C31,$E$7:$E$506,"In",$M$7:$M$506,"&lt;="&amp;M31)-SUMIFS($F$7:$F$506,$C$7:$C$506,C31,$E$7:$E$506,"Out",$M$7:$M$506,"&lt;="&amp;M31))</f>
        <v/>
      </c>
      <c r="L31" s="44" t="str">
        <f aca="false">IF(AND(B31="",C31="",F31=""),"",IF(C31="","⚠ Pick item",IF(D31="?","⚠ Code not in Item Master",IF(B31="","⚠ Enter date",IF(OR(E31="",N(F31)&lt;=0),"⚠ Type / quantity missing",IF(AND(E31="In",G31=""),"⚠ Enter purchase rate",IF(OR(B31&lt;Setup!$C$6,B31&gt;Setup!$C$7),"Outside period",IF(K31&lt;0,"⚠ Stock goes negative","✔ OK"))))))))</f>
        <v/>
      </c>
      <c r="M31" s="9" t="str">
        <f aca="false">IF(OR(C31="",B31=""),"",B31+ROW()/1000000)</f>
        <v/>
      </c>
      <c r="N31" s="9" t="str">
        <f aca="false">IF(AND(E31="In",M31&lt;&gt;""),SUMIFS($F$7:$F$506,$C$7:$C$506,C31,$E$7:$E$506,"In",$M$7:$M$506,"&gt;"&amp;M31),"")</f>
        <v/>
      </c>
      <c r="O31" s="9" t="str">
        <f aca="false">IF(N31="","",IFERROR(INDEX('Item Master'!$K$6:$K$105,MATCH(C31,'Item Master'!$A$6:$A$105,0)),0))</f>
        <v/>
      </c>
      <c r="P31" s="9" t="n">
        <f aca="false">IF(N31="",0,MAX(0,MIN(N(F31),O31-N31))*N(G31))</f>
        <v>0</v>
      </c>
      <c r="Q31" s="9" t="str">
        <f aca="false">IF(AND(C31&lt;&gt;"",C31='Stock Ledger'!$C$4),M31,"")</f>
        <v/>
      </c>
    </row>
    <row r="32" customFormat="false" ht="15" hidden="false" customHeight="false" outlineLevel="0" collapsed="false">
      <c r="A32" s="45" t="str">
        <f aca="false">IF(C32="","",ROW()-6)</f>
        <v/>
      </c>
      <c r="B32" s="85"/>
      <c r="C32" s="80"/>
      <c r="D32" s="47" t="str">
        <f aca="false">IF(C32="","",IFERROR(INDEX('Item Master'!$B$6:$B$105,MATCH(C32,'Item Master'!$A$6:$A$105,0)),"?"))</f>
        <v/>
      </c>
      <c r="E32" s="82"/>
      <c r="F32" s="83"/>
      <c r="G32" s="84"/>
      <c r="H32" s="81"/>
      <c r="I32" s="80"/>
      <c r="J32" s="41" t="str">
        <f aca="false">IF(OR(C32="",G32=""),"",N(F32)*N(G32))</f>
        <v/>
      </c>
      <c r="K32" s="48" t="str">
        <f aca="false">IF(M32="","",N(IFERROR(INDEX('Item Master'!$E$6:$E$105,MATCH(C32,'Item Master'!$A$6:$A$105,0)),0))+SUMIFS($F$7:$F$506,$C$7:$C$506,C32,$E$7:$E$506,"In",$M$7:$M$506,"&lt;="&amp;M32)-SUMIFS($F$7:$F$506,$C$7:$C$506,C32,$E$7:$E$506,"Out",$M$7:$M$506,"&lt;="&amp;M32))</f>
        <v/>
      </c>
      <c r="L32" s="44" t="str">
        <f aca="false">IF(AND(B32="",C32="",F32=""),"",IF(C32="","⚠ Pick item",IF(D32="?","⚠ Code not in Item Master",IF(B32="","⚠ Enter date",IF(OR(E32="",N(F32)&lt;=0),"⚠ Type / quantity missing",IF(AND(E32="In",G32=""),"⚠ Enter purchase rate",IF(OR(B32&lt;Setup!$C$6,B32&gt;Setup!$C$7),"Outside period",IF(K32&lt;0,"⚠ Stock goes negative","✔ OK"))))))))</f>
        <v/>
      </c>
      <c r="M32" s="9" t="str">
        <f aca="false">IF(OR(C32="",B32=""),"",B32+ROW()/1000000)</f>
        <v/>
      </c>
      <c r="N32" s="9" t="str">
        <f aca="false">IF(AND(E32="In",M32&lt;&gt;""),SUMIFS($F$7:$F$506,$C$7:$C$506,C32,$E$7:$E$506,"In",$M$7:$M$506,"&gt;"&amp;M32),"")</f>
        <v/>
      </c>
      <c r="O32" s="9" t="str">
        <f aca="false">IF(N32="","",IFERROR(INDEX('Item Master'!$K$6:$K$105,MATCH(C32,'Item Master'!$A$6:$A$105,0)),0))</f>
        <v/>
      </c>
      <c r="P32" s="9" t="n">
        <f aca="false">IF(N32="",0,MAX(0,MIN(N(F32),O32-N32))*N(G32))</f>
        <v>0</v>
      </c>
      <c r="Q32" s="9" t="str">
        <f aca="false">IF(AND(C32&lt;&gt;"",C32='Stock Ledger'!$C$4),M32,"")</f>
        <v/>
      </c>
    </row>
    <row r="33" customFormat="false" ht="15" hidden="false" customHeight="false" outlineLevel="0" collapsed="false">
      <c r="A33" s="45" t="str">
        <f aca="false">IF(C33="","",ROW()-6)</f>
        <v/>
      </c>
      <c r="B33" s="85"/>
      <c r="C33" s="80"/>
      <c r="D33" s="47" t="str">
        <f aca="false">IF(C33="","",IFERROR(INDEX('Item Master'!$B$6:$B$105,MATCH(C33,'Item Master'!$A$6:$A$105,0)),"?"))</f>
        <v/>
      </c>
      <c r="E33" s="82"/>
      <c r="F33" s="83"/>
      <c r="G33" s="84"/>
      <c r="H33" s="81"/>
      <c r="I33" s="80"/>
      <c r="J33" s="41" t="str">
        <f aca="false">IF(OR(C33="",G33=""),"",N(F33)*N(G33))</f>
        <v/>
      </c>
      <c r="K33" s="48" t="str">
        <f aca="false">IF(M33="","",N(IFERROR(INDEX('Item Master'!$E$6:$E$105,MATCH(C33,'Item Master'!$A$6:$A$105,0)),0))+SUMIFS($F$7:$F$506,$C$7:$C$506,C33,$E$7:$E$506,"In",$M$7:$M$506,"&lt;="&amp;M33)-SUMIFS($F$7:$F$506,$C$7:$C$506,C33,$E$7:$E$506,"Out",$M$7:$M$506,"&lt;="&amp;M33))</f>
        <v/>
      </c>
      <c r="L33" s="44" t="str">
        <f aca="false">IF(AND(B33="",C33="",F33=""),"",IF(C33="","⚠ Pick item",IF(D33="?","⚠ Code not in Item Master",IF(B33="","⚠ Enter date",IF(OR(E33="",N(F33)&lt;=0),"⚠ Type / quantity missing",IF(AND(E33="In",G33=""),"⚠ Enter purchase rate",IF(OR(B33&lt;Setup!$C$6,B33&gt;Setup!$C$7),"Outside period",IF(K33&lt;0,"⚠ Stock goes negative","✔ OK"))))))))</f>
        <v/>
      </c>
      <c r="M33" s="9" t="str">
        <f aca="false">IF(OR(C33="",B33=""),"",B33+ROW()/1000000)</f>
        <v/>
      </c>
      <c r="N33" s="9" t="str">
        <f aca="false">IF(AND(E33="In",M33&lt;&gt;""),SUMIFS($F$7:$F$506,$C$7:$C$506,C33,$E$7:$E$506,"In",$M$7:$M$506,"&gt;"&amp;M33),"")</f>
        <v/>
      </c>
      <c r="O33" s="9" t="str">
        <f aca="false">IF(N33="","",IFERROR(INDEX('Item Master'!$K$6:$K$105,MATCH(C33,'Item Master'!$A$6:$A$105,0)),0))</f>
        <v/>
      </c>
      <c r="P33" s="9" t="n">
        <f aca="false">IF(N33="",0,MAX(0,MIN(N(F33),O33-N33))*N(G33))</f>
        <v>0</v>
      </c>
      <c r="Q33" s="9" t="str">
        <f aca="false">IF(AND(C33&lt;&gt;"",C33='Stock Ledger'!$C$4),M33,"")</f>
        <v/>
      </c>
    </row>
    <row r="34" customFormat="false" ht="15" hidden="false" customHeight="false" outlineLevel="0" collapsed="false">
      <c r="A34" s="45" t="str">
        <f aca="false">IF(C34="","",ROW()-6)</f>
        <v/>
      </c>
      <c r="B34" s="85"/>
      <c r="C34" s="80"/>
      <c r="D34" s="47" t="str">
        <f aca="false">IF(C34="","",IFERROR(INDEX('Item Master'!$B$6:$B$105,MATCH(C34,'Item Master'!$A$6:$A$105,0)),"?"))</f>
        <v/>
      </c>
      <c r="E34" s="82"/>
      <c r="F34" s="83"/>
      <c r="G34" s="84"/>
      <c r="H34" s="81"/>
      <c r="I34" s="80"/>
      <c r="J34" s="41" t="str">
        <f aca="false">IF(OR(C34="",G34=""),"",N(F34)*N(G34))</f>
        <v/>
      </c>
      <c r="K34" s="48" t="str">
        <f aca="false">IF(M34="","",N(IFERROR(INDEX('Item Master'!$E$6:$E$105,MATCH(C34,'Item Master'!$A$6:$A$105,0)),0))+SUMIFS($F$7:$F$506,$C$7:$C$506,C34,$E$7:$E$506,"In",$M$7:$M$506,"&lt;="&amp;M34)-SUMIFS($F$7:$F$506,$C$7:$C$506,C34,$E$7:$E$506,"Out",$M$7:$M$506,"&lt;="&amp;M34))</f>
        <v/>
      </c>
      <c r="L34" s="44" t="str">
        <f aca="false">IF(AND(B34="",C34="",F34=""),"",IF(C34="","⚠ Pick item",IF(D34="?","⚠ Code not in Item Master",IF(B34="","⚠ Enter date",IF(OR(E34="",N(F34)&lt;=0),"⚠ Type / quantity missing",IF(AND(E34="In",G34=""),"⚠ Enter purchase rate",IF(OR(B34&lt;Setup!$C$6,B34&gt;Setup!$C$7),"Outside period",IF(K34&lt;0,"⚠ Stock goes negative","✔ OK"))))))))</f>
        <v/>
      </c>
      <c r="M34" s="9" t="str">
        <f aca="false">IF(OR(C34="",B34=""),"",B34+ROW()/1000000)</f>
        <v/>
      </c>
      <c r="N34" s="9" t="str">
        <f aca="false">IF(AND(E34="In",M34&lt;&gt;""),SUMIFS($F$7:$F$506,$C$7:$C$506,C34,$E$7:$E$506,"In",$M$7:$M$506,"&gt;"&amp;M34),"")</f>
        <v/>
      </c>
      <c r="O34" s="9" t="str">
        <f aca="false">IF(N34="","",IFERROR(INDEX('Item Master'!$K$6:$K$105,MATCH(C34,'Item Master'!$A$6:$A$105,0)),0))</f>
        <v/>
      </c>
      <c r="P34" s="9" t="n">
        <f aca="false">IF(N34="",0,MAX(0,MIN(N(F34),O34-N34))*N(G34))</f>
        <v>0</v>
      </c>
      <c r="Q34" s="9" t="str">
        <f aca="false">IF(AND(C34&lt;&gt;"",C34='Stock Ledger'!$C$4),M34,"")</f>
        <v/>
      </c>
    </row>
    <row r="35" customFormat="false" ht="15" hidden="false" customHeight="false" outlineLevel="0" collapsed="false">
      <c r="A35" s="45" t="str">
        <f aca="false">IF(C35="","",ROW()-6)</f>
        <v/>
      </c>
      <c r="B35" s="85"/>
      <c r="C35" s="80"/>
      <c r="D35" s="47" t="str">
        <f aca="false">IF(C35="","",IFERROR(INDEX('Item Master'!$B$6:$B$105,MATCH(C35,'Item Master'!$A$6:$A$105,0)),"?"))</f>
        <v/>
      </c>
      <c r="E35" s="82"/>
      <c r="F35" s="83"/>
      <c r="G35" s="84"/>
      <c r="H35" s="81"/>
      <c r="I35" s="80"/>
      <c r="J35" s="41" t="str">
        <f aca="false">IF(OR(C35="",G35=""),"",N(F35)*N(G35))</f>
        <v/>
      </c>
      <c r="K35" s="48" t="str">
        <f aca="false">IF(M35="","",N(IFERROR(INDEX('Item Master'!$E$6:$E$105,MATCH(C35,'Item Master'!$A$6:$A$105,0)),0))+SUMIFS($F$7:$F$506,$C$7:$C$506,C35,$E$7:$E$506,"In",$M$7:$M$506,"&lt;="&amp;M35)-SUMIFS($F$7:$F$506,$C$7:$C$506,C35,$E$7:$E$506,"Out",$M$7:$M$506,"&lt;="&amp;M35))</f>
        <v/>
      </c>
      <c r="L35" s="44" t="str">
        <f aca="false">IF(AND(B35="",C35="",F35=""),"",IF(C35="","⚠ Pick item",IF(D35="?","⚠ Code not in Item Master",IF(B35="","⚠ Enter date",IF(OR(E35="",N(F35)&lt;=0),"⚠ Type / quantity missing",IF(AND(E35="In",G35=""),"⚠ Enter purchase rate",IF(OR(B35&lt;Setup!$C$6,B35&gt;Setup!$C$7),"Outside period",IF(K35&lt;0,"⚠ Stock goes negative","✔ OK"))))))))</f>
        <v/>
      </c>
      <c r="M35" s="9" t="str">
        <f aca="false">IF(OR(C35="",B35=""),"",B35+ROW()/1000000)</f>
        <v/>
      </c>
      <c r="N35" s="9" t="str">
        <f aca="false">IF(AND(E35="In",M35&lt;&gt;""),SUMIFS($F$7:$F$506,$C$7:$C$506,C35,$E$7:$E$506,"In",$M$7:$M$506,"&gt;"&amp;M35),"")</f>
        <v/>
      </c>
      <c r="O35" s="9" t="str">
        <f aca="false">IF(N35="","",IFERROR(INDEX('Item Master'!$K$6:$K$105,MATCH(C35,'Item Master'!$A$6:$A$105,0)),0))</f>
        <v/>
      </c>
      <c r="P35" s="9" t="n">
        <f aca="false">IF(N35="",0,MAX(0,MIN(N(F35),O35-N35))*N(G35))</f>
        <v>0</v>
      </c>
      <c r="Q35" s="9" t="str">
        <f aca="false">IF(AND(C35&lt;&gt;"",C35='Stock Ledger'!$C$4),M35,"")</f>
        <v/>
      </c>
    </row>
    <row r="36" customFormat="false" ht="15" hidden="false" customHeight="false" outlineLevel="0" collapsed="false">
      <c r="A36" s="45" t="str">
        <f aca="false">IF(C36="","",ROW()-6)</f>
        <v/>
      </c>
      <c r="B36" s="85"/>
      <c r="C36" s="80"/>
      <c r="D36" s="47" t="str">
        <f aca="false">IF(C36="","",IFERROR(INDEX('Item Master'!$B$6:$B$105,MATCH(C36,'Item Master'!$A$6:$A$105,0)),"?"))</f>
        <v/>
      </c>
      <c r="E36" s="82"/>
      <c r="F36" s="83"/>
      <c r="G36" s="84"/>
      <c r="H36" s="81"/>
      <c r="I36" s="80"/>
      <c r="J36" s="41" t="str">
        <f aca="false">IF(OR(C36="",G36=""),"",N(F36)*N(G36))</f>
        <v/>
      </c>
      <c r="K36" s="48" t="str">
        <f aca="false">IF(M36="","",N(IFERROR(INDEX('Item Master'!$E$6:$E$105,MATCH(C36,'Item Master'!$A$6:$A$105,0)),0))+SUMIFS($F$7:$F$506,$C$7:$C$506,C36,$E$7:$E$506,"In",$M$7:$M$506,"&lt;="&amp;M36)-SUMIFS($F$7:$F$506,$C$7:$C$506,C36,$E$7:$E$506,"Out",$M$7:$M$506,"&lt;="&amp;M36))</f>
        <v/>
      </c>
      <c r="L36" s="44" t="str">
        <f aca="false">IF(AND(B36="",C36="",F36=""),"",IF(C36="","⚠ Pick item",IF(D36="?","⚠ Code not in Item Master",IF(B36="","⚠ Enter date",IF(OR(E36="",N(F36)&lt;=0),"⚠ Type / quantity missing",IF(AND(E36="In",G36=""),"⚠ Enter purchase rate",IF(OR(B36&lt;Setup!$C$6,B36&gt;Setup!$C$7),"Outside period",IF(K36&lt;0,"⚠ Stock goes negative","✔ OK"))))))))</f>
        <v/>
      </c>
      <c r="M36" s="9" t="str">
        <f aca="false">IF(OR(C36="",B36=""),"",B36+ROW()/1000000)</f>
        <v/>
      </c>
      <c r="N36" s="9" t="str">
        <f aca="false">IF(AND(E36="In",M36&lt;&gt;""),SUMIFS($F$7:$F$506,$C$7:$C$506,C36,$E$7:$E$506,"In",$M$7:$M$506,"&gt;"&amp;M36),"")</f>
        <v/>
      </c>
      <c r="O36" s="9" t="str">
        <f aca="false">IF(N36="","",IFERROR(INDEX('Item Master'!$K$6:$K$105,MATCH(C36,'Item Master'!$A$6:$A$105,0)),0))</f>
        <v/>
      </c>
      <c r="P36" s="9" t="n">
        <f aca="false">IF(N36="",0,MAX(0,MIN(N(F36),O36-N36))*N(G36))</f>
        <v>0</v>
      </c>
      <c r="Q36" s="9" t="str">
        <f aca="false">IF(AND(C36&lt;&gt;"",C36='Stock Ledger'!$C$4),M36,"")</f>
        <v/>
      </c>
    </row>
    <row r="37" customFormat="false" ht="15" hidden="false" customHeight="false" outlineLevel="0" collapsed="false">
      <c r="A37" s="45" t="str">
        <f aca="false">IF(C37="","",ROW()-6)</f>
        <v/>
      </c>
      <c r="B37" s="85"/>
      <c r="C37" s="80"/>
      <c r="D37" s="47" t="str">
        <f aca="false">IF(C37="","",IFERROR(INDEX('Item Master'!$B$6:$B$105,MATCH(C37,'Item Master'!$A$6:$A$105,0)),"?"))</f>
        <v/>
      </c>
      <c r="E37" s="82"/>
      <c r="F37" s="83"/>
      <c r="G37" s="84"/>
      <c r="H37" s="81"/>
      <c r="I37" s="80"/>
      <c r="J37" s="41" t="str">
        <f aca="false">IF(OR(C37="",G37=""),"",N(F37)*N(G37))</f>
        <v/>
      </c>
      <c r="K37" s="48" t="str">
        <f aca="false">IF(M37="","",N(IFERROR(INDEX('Item Master'!$E$6:$E$105,MATCH(C37,'Item Master'!$A$6:$A$105,0)),0))+SUMIFS($F$7:$F$506,$C$7:$C$506,C37,$E$7:$E$506,"In",$M$7:$M$506,"&lt;="&amp;M37)-SUMIFS($F$7:$F$506,$C$7:$C$506,C37,$E$7:$E$506,"Out",$M$7:$M$506,"&lt;="&amp;M37))</f>
        <v/>
      </c>
      <c r="L37" s="44" t="str">
        <f aca="false">IF(AND(B37="",C37="",F37=""),"",IF(C37="","⚠ Pick item",IF(D37="?","⚠ Code not in Item Master",IF(B37="","⚠ Enter date",IF(OR(E37="",N(F37)&lt;=0),"⚠ Type / quantity missing",IF(AND(E37="In",G37=""),"⚠ Enter purchase rate",IF(OR(B37&lt;Setup!$C$6,B37&gt;Setup!$C$7),"Outside period",IF(K37&lt;0,"⚠ Stock goes negative","✔ OK"))))))))</f>
        <v/>
      </c>
      <c r="M37" s="9" t="str">
        <f aca="false">IF(OR(C37="",B37=""),"",B37+ROW()/1000000)</f>
        <v/>
      </c>
      <c r="N37" s="9" t="str">
        <f aca="false">IF(AND(E37="In",M37&lt;&gt;""),SUMIFS($F$7:$F$506,$C$7:$C$506,C37,$E$7:$E$506,"In",$M$7:$M$506,"&gt;"&amp;M37),"")</f>
        <v/>
      </c>
      <c r="O37" s="9" t="str">
        <f aca="false">IF(N37="","",IFERROR(INDEX('Item Master'!$K$6:$K$105,MATCH(C37,'Item Master'!$A$6:$A$105,0)),0))</f>
        <v/>
      </c>
      <c r="P37" s="9" t="n">
        <f aca="false">IF(N37="",0,MAX(0,MIN(N(F37),O37-N37))*N(G37))</f>
        <v>0</v>
      </c>
      <c r="Q37" s="9" t="str">
        <f aca="false">IF(AND(C37&lt;&gt;"",C37='Stock Ledger'!$C$4),M37,"")</f>
        <v/>
      </c>
    </row>
    <row r="38" customFormat="false" ht="15" hidden="false" customHeight="false" outlineLevel="0" collapsed="false">
      <c r="A38" s="45" t="str">
        <f aca="false">IF(C38="","",ROW()-6)</f>
        <v/>
      </c>
      <c r="B38" s="85"/>
      <c r="C38" s="80"/>
      <c r="D38" s="47" t="str">
        <f aca="false">IF(C38="","",IFERROR(INDEX('Item Master'!$B$6:$B$105,MATCH(C38,'Item Master'!$A$6:$A$105,0)),"?"))</f>
        <v/>
      </c>
      <c r="E38" s="82"/>
      <c r="F38" s="83"/>
      <c r="G38" s="84"/>
      <c r="H38" s="81"/>
      <c r="I38" s="80"/>
      <c r="J38" s="41" t="str">
        <f aca="false">IF(OR(C38="",G38=""),"",N(F38)*N(G38))</f>
        <v/>
      </c>
      <c r="K38" s="48" t="str">
        <f aca="false">IF(M38="","",N(IFERROR(INDEX('Item Master'!$E$6:$E$105,MATCH(C38,'Item Master'!$A$6:$A$105,0)),0))+SUMIFS($F$7:$F$506,$C$7:$C$506,C38,$E$7:$E$506,"In",$M$7:$M$506,"&lt;="&amp;M38)-SUMIFS($F$7:$F$506,$C$7:$C$506,C38,$E$7:$E$506,"Out",$M$7:$M$506,"&lt;="&amp;M38))</f>
        <v/>
      </c>
      <c r="L38" s="44" t="str">
        <f aca="false">IF(AND(B38="",C38="",F38=""),"",IF(C38="","⚠ Pick item",IF(D38="?","⚠ Code not in Item Master",IF(B38="","⚠ Enter date",IF(OR(E38="",N(F38)&lt;=0),"⚠ Type / quantity missing",IF(AND(E38="In",G38=""),"⚠ Enter purchase rate",IF(OR(B38&lt;Setup!$C$6,B38&gt;Setup!$C$7),"Outside period",IF(K38&lt;0,"⚠ Stock goes negative","✔ OK"))))))))</f>
        <v/>
      </c>
      <c r="M38" s="9" t="str">
        <f aca="false">IF(OR(C38="",B38=""),"",B38+ROW()/1000000)</f>
        <v/>
      </c>
      <c r="N38" s="9" t="str">
        <f aca="false">IF(AND(E38="In",M38&lt;&gt;""),SUMIFS($F$7:$F$506,$C$7:$C$506,C38,$E$7:$E$506,"In",$M$7:$M$506,"&gt;"&amp;M38),"")</f>
        <v/>
      </c>
      <c r="O38" s="9" t="str">
        <f aca="false">IF(N38="","",IFERROR(INDEX('Item Master'!$K$6:$K$105,MATCH(C38,'Item Master'!$A$6:$A$105,0)),0))</f>
        <v/>
      </c>
      <c r="P38" s="9" t="n">
        <f aca="false">IF(N38="",0,MAX(0,MIN(N(F38),O38-N38))*N(G38))</f>
        <v>0</v>
      </c>
      <c r="Q38" s="9" t="str">
        <f aca="false">IF(AND(C38&lt;&gt;"",C38='Stock Ledger'!$C$4),M38,"")</f>
        <v/>
      </c>
    </row>
    <row r="39" customFormat="false" ht="15" hidden="false" customHeight="false" outlineLevel="0" collapsed="false">
      <c r="A39" s="45" t="str">
        <f aca="false">IF(C39="","",ROW()-6)</f>
        <v/>
      </c>
      <c r="B39" s="85"/>
      <c r="C39" s="80"/>
      <c r="D39" s="47" t="str">
        <f aca="false">IF(C39="","",IFERROR(INDEX('Item Master'!$B$6:$B$105,MATCH(C39,'Item Master'!$A$6:$A$105,0)),"?"))</f>
        <v/>
      </c>
      <c r="E39" s="82"/>
      <c r="F39" s="83"/>
      <c r="G39" s="84"/>
      <c r="H39" s="81"/>
      <c r="I39" s="80"/>
      <c r="J39" s="41" t="str">
        <f aca="false">IF(OR(C39="",G39=""),"",N(F39)*N(G39))</f>
        <v/>
      </c>
      <c r="K39" s="48" t="str">
        <f aca="false">IF(M39="","",N(IFERROR(INDEX('Item Master'!$E$6:$E$105,MATCH(C39,'Item Master'!$A$6:$A$105,0)),0))+SUMIFS($F$7:$F$506,$C$7:$C$506,C39,$E$7:$E$506,"In",$M$7:$M$506,"&lt;="&amp;M39)-SUMIFS($F$7:$F$506,$C$7:$C$506,C39,$E$7:$E$506,"Out",$M$7:$M$506,"&lt;="&amp;M39))</f>
        <v/>
      </c>
      <c r="L39" s="44" t="str">
        <f aca="false">IF(AND(B39="",C39="",F39=""),"",IF(C39="","⚠ Pick item",IF(D39="?","⚠ Code not in Item Master",IF(B39="","⚠ Enter date",IF(OR(E39="",N(F39)&lt;=0),"⚠ Type / quantity missing",IF(AND(E39="In",G39=""),"⚠ Enter purchase rate",IF(OR(B39&lt;Setup!$C$6,B39&gt;Setup!$C$7),"Outside period",IF(K39&lt;0,"⚠ Stock goes negative","✔ OK"))))))))</f>
        <v/>
      </c>
      <c r="M39" s="9" t="str">
        <f aca="false">IF(OR(C39="",B39=""),"",B39+ROW()/1000000)</f>
        <v/>
      </c>
      <c r="N39" s="9" t="str">
        <f aca="false">IF(AND(E39="In",M39&lt;&gt;""),SUMIFS($F$7:$F$506,$C$7:$C$506,C39,$E$7:$E$506,"In",$M$7:$M$506,"&gt;"&amp;M39),"")</f>
        <v/>
      </c>
      <c r="O39" s="9" t="str">
        <f aca="false">IF(N39="","",IFERROR(INDEX('Item Master'!$K$6:$K$105,MATCH(C39,'Item Master'!$A$6:$A$105,0)),0))</f>
        <v/>
      </c>
      <c r="P39" s="9" t="n">
        <f aca="false">IF(N39="",0,MAX(0,MIN(N(F39),O39-N39))*N(G39))</f>
        <v>0</v>
      </c>
      <c r="Q39" s="9" t="str">
        <f aca="false">IF(AND(C39&lt;&gt;"",C39='Stock Ledger'!$C$4),M39,"")</f>
        <v/>
      </c>
    </row>
    <row r="40" customFormat="false" ht="15" hidden="false" customHeight="false" outlineLevel="0" collapsed="false">
      <c r="A40" s="45" t="str">
        <f aca="false">IF(C40="","",ROW()-6)</f>
        <v/>
      </c>
      <c r="B40" s="85"/>
      <c r="C40" s="80"/>
      <c r="D40" s="47" t="str">
        <f aca="false">IF(C40="","",IFERROR(INDEX('Item Master'!$B$6:$B$105,MATCH(C40,'Item Master'!$A$6:$A$105,0)),"?"))</f>
        <v/>
      </c>
      <c r="E40" s="82"/>
      <c r="F40" s="83"/>
      <c r="G40" s="84"/>
      <c r="H40" s="81"/>
      <c r="I40" s="80"/>
      <c r="J40" s="41" t="str">
        <f aca="false">IF(OR(C40="",G40=""),"",N(F40)*N(G40))</f>
        <v/>
      </c>
      <c r="K40" s="48" t="str">
        <f aca="false">IF(M40="","",N(IFERROR(INDEX('Item Master'!$E$6:$E$105,MATCH(C40,'Item Master'!$A$6:$A$105,0)),0))+SUMIFS($F$7:$F$506,$C$7:$C$506,C40,$E$7:$E$506,"In",$M$7:$M$506,"&lt;="&amp;M40)-SUMIFS($F$7:$F$506,$C$7:$C$506,C40,$E$7:$E$506,"Out",$M$7:$M$506,"&lt;="&amp;M40))</f>
        <v/>
      </c>
      <c r="L40" s="44" t="str">
        <f aca="false">IF(AND(B40="",C40="",F40=""),"",IF(C40="","⚠ Pick item",IF(D40="?","⚠ Code not in Item Master",IF(B40="","⚠ Enter date",IF(OR(E40="",N(F40)&lt;=0),"⚠ Type / quantity missing",IF(AND(E40="In",G40=""),"⚠ Enter purchase rate",IF(OR(B40&lt;Setup!$C$6,B40&gt;Setup!$C$7),"Outside period",IF(K40&lt;0,"⚠ Stock goes negative","✔ OK"))))))))</f>
        <v/>
      </c>
      <c r="M40" s="9" t="str">
        <f aca="false">IF(OR(C40="",B40=""),"",B40+ROW()/1000000)</f>
        <v/>
      </c>
      <c r="N40" s="9" t="str">
        <f aca="false">IF(AND(E40="In",M40&lt;&gt;""),SUMIFS($F$7:$F$506,$C$7:$C$506,C40,$E$7:$E$506,"In",$M$7:$M$506,"&gt;"&amp;M40),"")</f>
        <v/>
      </c>
      <c r="O40" s="9" t="str">
        <f aca="false">IF(N40="","",IFERROR(INDEX('Item Master'!$K$6:$K$105,MATCH(C40,'Item Master'!$A$6:$A$105,0)),0))</f>
        <v/>
      </c>
      <c r="P40" s="9" t="n">
        <f aca="false">IF(N40="",0,MAX(0,MIN(N(F40),O40-N40))*N(G40))</f>
        <v>0</v>
      </c>
      <c r="Q40" s="9" t="str">
        <f aca="false">IF(AND(C40&lt;&gt;"",C40='Stock Ledger'!$C$4),M40,"")</f>
        <v/>
      </c>
    </row>
    <row r="41" customFormat="false" ht="15" hidden="false" customHeight="false" outlineLevel="0" collapsed="false">
      <c r="A41" s="45" t="str">
        <f aca="false">IF(C41="","",ROW()-6)</f>
        <v/>
      </c>
      <c r="B41" s="85"/>
      <c r="C41" s="80"/>
      <c r="D41" s="47" t="str">
        <f aca="false">IF(C41="","",IFERROR(INDEX('Item Master'!$B$6:$B$105,MATCH(C41,'Item Master'!$A$6:$A$105,0)),"?"))</f>
        <v/>
      </c>
      <c r="E41" s="82"/>
      <c r="F41" s="83"/>
      <c r="G41" s="84"/>
      <c r="H41" s="81"/>
      <c r="I41" s="80"/>
      <c r="J41" s="41" t="str">
        <f aca="false">IF(OR(C41="",G41=""),"",N(F41)*N(G41))</f>
        <v/>
      </c>
      <c r="K41" s="48" t="str">
        <f aca="false">IF(M41="","",N(IFERROR(INDEX('Item Master'!$E$6:$E$105,MATCH(C41,'Item Master'!$A$6:$A$105,0)),0))+SUMIFS($F$7:$F$506,$C$7:$C$506,C41,$E$7:$E$506,"In",$M$7:$M$506,"&lt;="&amp;M41)-SUMIFS($F$7:$F$506,$C$7:$C$506,C41,$E$7:$E$506,"Out",$M$7:$M$506,"&lt;="&amp;M41))</f>
        <v/>
      </c>
      <c r="L41" s="44" t="str">
        <f aca="false">IF(AND(B41="",C41="",F41=""),"",IF(C41="","⚠ Pick item",IF(D41="?","⚠ Code not in Item Master",IF(B41="","⚠ Enter date",IF(OR(E41="",N(F41)&lt;=0),"⚠ Type / quantity missing",IF(AND(E41="In",G41=""),"⚠ Enter purchase rate",IF(OR(B41&lt;Setup!$C$6,B41&gt;Setup!$C$7),"Outside period",IF(K41&lt;0,"⚠ Stock goes negative","✔ OK"))))))))</f>
        <v/>
      </c>
      <c r="M41" s="9" t="str">
        <f aca="false">IF(OR(C41="",B41=""),"",B41+ROW()/1000000)</f>
        <v/>
      </c>
      <c r="N41" s="9" t="str">
        <f aca="false">IF(AND(E41="In",M41&lt;&gt;""),SUMIFS($F$7:$F$506,$C$7:$C$506,C41,$E$7:$E$506,"In",$M$7:$M$506,"&gt;"&amp;M41),"")</f>
        <v/>
      </c>
      <c r="O41" s="9" t="str">
        <f aca="false">IF(N41="","",IFERROR(INDEX('Item Master'!$K$6:$K$105,MATCH(C41,'Item Master'!$A$6:$A$105,0)),0))</f>
        <v/>
      </c>
      <c r="P41" s="9" t="n">
        <f aca="false">IF(N41="",0,MAX(0,MIN(N(F41),O41-N41))*N(G41))</f>
        <v>0</v>
      </c>
      <c r="Q41" s="9" t="str">
        <f aca="false">IF(AND(C41&lt;&gt;"",C41='Stock Ledger'!$C$4),M41,"")</f>
        <v/>
      </c>
    </row>
    <row r="42" customFormat="false" ht="15" hidden="false" customHeight="false" outlineLevel="0" collapsed="false">
      <c r="A42" s="45" t="str">
        <f aca="false">IF(C42="","",ROW()-6)</f>
        <v/>
      </c>
      <c r="B42" s="85"/>
      <c r="C42" s="80"/>
      <c r="D42" s="47" t="str">
        <f aca="false">IF(C42="","",IFERROR(INDEX('Item Master'!$B$6:$B$105,MATCH(C42,'Item Master'!$A$6:$A$105,0)),"?"))</f>
        <v/>
      </c>
      <c r="E42" s="82"/>
      <c r="F42" s="83"/>
      <c r="G42" s="84"/>
      <c r="H42" s="81"/>
      <c r="I42" s="80"/>
      <c r="J42" s="41" t="str">
        <f aca="false">IF(OR(C42="",G42=""),"",N(F42)*N(G42))</f>
        <v/>
      </c>
      <c r="K42" s="48" t="str">
        <f aca="false">IF(M42="","",N(IFERROR(INDEX('Item Master'!$E$6:$E$105,MATCH(C42,'Item Master'!$A$6:$A$105,0)),0))+SUMIFS($F$7:$F$506,$C$7:$C$506,C42,$E$7:$E$506,"In",$M$7:$M$506,"&lt;="&amp;M42)-SUMIFS($F$7:$F$506,$C$7:$C$506,C42,$E$7:$E$506,"Out",$M$7:$M$506,"&lt;="&amp;M42))</f>
        <v/>
      </c>
      <c r="L42" s="44" t="str">
        <f aca="false">IF(AND(B42="",C42="",F42=""),"",IF(C42="","⚠ Pick item",IF(D42="?","⚠ Code not in Item Master",IF(B42="","⚠ Enter date",IF(OR(E42="",N(F42)&lt;=0),"⚠ Type / quantity missing",IF(AND(E42="In",G42=""),"⚠ Enter purchase rate",IF(OR(B42&lt;Setup!$C$6,B42&gt;Setup!$C$7),"Outside period",IF(K42&lt;0,"⚠ Stock goes negative","✔ OK"))))))))</f>
        <v/>
      </c>
      <c r="M42" s="9" t="str">
        <f aca="false">IF(OR(C42="",B42=""),"",B42+ROW()/1000000)</f>
        <v/>
      </c>
      <c r="N42" s="9" t="str">
        <f aca="false">IF(AND(E42="In",M42&lt;&gt;""),SUMIFS($F$7:$F$506,$C$7:$C$506,C42,$E$7:$E$506,"In",$M$7:$M$506,"&gt;"&amp;M42),"")</f>
        <v/>
      </c>
      <c r="O42" s="9" t="str">
        <f aca="false">IF(N42="","",IFERROR(INDEX('Item Master'!$K$6:$K$105,MATCH(C42,'Item Master'!$A$6:$A$105,0)),0))</f>
        <v/>
      </c>
      <c r="P42" s="9" t="n">
        <f aca="false">IF(N42="",0,MAX(0,MIN(N(F42),O42-N42))*N(G42))</f>
        <v>0</v>
      </c>
      <c r="Q42" s="9" t="str">
        <f aca="false">IF(AND(C42&lt;&gt;"",C42='Stock Ledger'!$C$4),M42,"")</f>
        <v/>
      </c>
    </row>
    <row r="43" customFormat="false" ht="15" hidden="false" customHeight="false" outlineLevel="0" collapsed="false">
      <c r="A43" s="45" t="str">
        <f aca="false">IF(C43="","",ROW()-6)</f>
        <v/>
      </c>
      <c r="B43" s="85"/>
      <c r="C43" s="80"/>
      <c r="D43" s="47" t="str">
        <f aca="false">IF(C43="","",IFERROR(INDEX('Item Master'!$B$6:$B$105,MATCH(C43,'Item Master'!$A$6:$A$105,0)),"?"))</f>
        <v/>
      </c>
      <c r="E43" s="82"/>
      <c r="F43" s="83"/>
      <c r="G43" s="84"/>
      <c r="H43" s="81"/>
      <c r="I43" s="80"/>
      <c r="J43" s="41" t="str">
        <f aca="false">IF(OR(C43="",G43=""),"",N(F43)*N(G43))</f>
        <v/>
      </c>
      <c r="K43" s="48" t="str">
        <f aca="false">IF(M43="","",N(IFERROR(INDEX('Item Master'!$E$6:$E$105,MATCH(C43,'Item Master'!$A$6:$A$105,0)),0))+SUMIFS($F$7:$F$506,$C$7:$C$506,C43,$E$7:$E$506,"In",$M$7:$M$506,"&lt;="&amp;M43)-SUMIFS($F$7:$F$506,$C$7:$C$506,C43,$E$7:$E$506,"Out",$M$7:$M$506,"&lt;="&amp;M43))</f>
        <v/>
      </c>
      <c r="L43" s="44" t="str">
        <f aca="false">IF(AND(B43="",C43="",F43=""),"",IF(C43="","⚠ Pick item",IF(D43="?","⚠ Code not in Item Master",IF(B43="","⚠ Enter date",IF(OR(E43="",N(F43)&lt;=0),"⚠ Type / quantity missing",IF(AND(E43="In",G43=""),"⚠ Enter purchase rate",IF(OR(B43&lt;Setup!$C$6,B43&gt;Setup!$C$7),"Outside period",IF(K43&lt;0,"⚠ Stock goes negative","✔ OK"))))))))</f>
        <v/>
      </c>
      <c r="M43" s="9" t="str">
        <f aca="false">IF(OR(C43="",B43=""),"",B43+ROW()/1000000)</f>
        <v/>
      </c>
      <c r="N43" s="9" t="str">
        <f aca="false">IF(AND(E43="In",M43&lt;&gt;""),SUMIFS($F$7:$F$506,$C$7:$C$506,C43,$E$7:$E$506,"In",$M$7:$M$506,"&gt;"&amp;M43),"")</f>
        <v/>
      </c>
      <c r="O43" s="9" t="str">
        <f aca="false">IF(N43="","",IFERROR(INDEX('Item Master'!$K$6:$K$105,MATCH(C43,'Item Master'!$A$6:$A$105,0)),0))</f>
        <v/>
      </c>
      <c r="P43" s="9" t="n">
        <f aca="false">IF(N43="",0,MAX(0,MIN(N(F43),O43-N43))*N(G43))</f>
        <v>0</v>
      </c>
      <c r="Q43" s="9" t="str">
        <f aca="false">IF(AND(C43&lt;&gt;"",C43='Stock Ledger'!$C$4),M43,"")</f>
        <v/>
      </c>
    </row>
    <row r="44" customFormat="false" ht="15" hidden="false" customHeight="false" outlineLevel="0" collapsed="false">
      <c r="A44" s="45" t="str">
        <f aca="false">IF(C44="","",ROW()-6)</f>
        <v/>
      </c>
      <c r="B44" s="85"/>
      <c r="C44" s="80"/>
      <c r="D44" s="47" t="str">
        <f aca="false">IF(C44="","",IFERROR(INDEX('Item Master'!$B$6:$B$105,MATCH(C44,'Item Master'!$A$6:$A$105,0)),"?"))</f>
        <v/>
      </c>
      <c r="E44" s="82"/>
      <c r="F44" s="83"/>
      <c r="G44" s="84"/>
      <c r="H44" s="81"/>
      <c r="I44" s="80"/>
      <c r="J44" s="41" t="str">
        <f aca="false">IF(OR(C44="",G44=""),"",N(F44)*N(G44))</f>
        <v/>
      </c>
      <c r="K44" s="48" t="str">
        <f aca="false">IF(M44="","",N(IFERROR(INDEX('Item Master'!$E$6:$E$105,MATCH(C44,'Item Master'!$A$6:$A$105,0)),0))+SUMIFS($F$7:$F$506,$C$7:$C$506,C44,$E$7:$E$506,"In",$M$7:$M$506,"&lt;="&amp;M44)-SUMIFS($F$7:$F$506,$C$7:$C$506,C44,$E$7:$E$506,"Out",$M$7:$M$506,"&lt;="&amp;M44))</f>
        <v/>
      </c>
      <c r="L44" s="44" t="str">
        <f aca="false">IF(AND(B44="",C44="",F44=""),"",IF(C44="","⚠ Pick item",IF(D44="?","⚠ Code not in Item Master",IF(B44="","⚠ Enter date",IF(OR(E44="",N(F44)&lt;=0),"⚠ Type / quantity missing",IF(AND(E44="In",G44=""),"⚠ Enter purchase rate",IF(OR(B44&lt;Setup!$C$6,B44&gt;Setup!$C$7),"Outside period",IF(K44&lt;0,"⚠ Stock goes negative","✔ OK"))))))))</f>
        <v/>
      </c>
      <c r="M44" s="9" t="str">
        <f aca="false">IF(OR(C44="",B44=""),"",B44+ROW()/1000000)</f>
        <v/>
      </c>
      <c r="N44" s="9" t="str">
        <f aca="false">IF(AND(E44="In",M44&lt;&gt;""),SUMIFS($F$7:$F$506,$C$7:$C$506,C44,$E$7:$E$506,"In",$M$7:$M$506,"&gt;"&amp;M44),"")</f>
        <v/>
      </c>
      <c r="O44" s="9" t="str">
        <f aca="false">IF(N44="","",IFERROR(INDEX('Item Master'!$K$6:$K$105,MATCH(C44,'Item Master'!$A$6:$A$105,0)),0))</f>
        <v/>
      </c>
      <c r="P44" s="9" t="n">
        <f aca="false">IF(N44="",0,MAX(0,MIN(N(F44),O44-N44))*N(G44))</f>
        <v>0</v>
      </c>
      <c r="Q44" s="9" t="str">
        <f aca="false">IF(AND(C44&lt;&gt;"",C44='Stock Ledger'!$C$4),M44,"")</f>
        <v/>
      </c>
    </row>
    <row r="45" customFormat="false" ht="15" hidden="false" customHeight="false" outlineLevel="0" collapsed="false">
      <c r="A45" s="45" t="str">
        <f aca="false">IF(C45="","",ROW()-6)</f>
        <v/>
      </c>
      <c r="B45" s="85"/>
      <c r="C45" s="80"/>
      <c r="D45" s="47" t="str">
        <f aca="false">IF(C45="","",IFERROR(INDEX('Item Master'!$B$6:$B$105,MATCH(C45,'Item Master'!$A$6:$A$105,0)),"?"))</f>
        <v/>
      </c>
      <c r="E45" s="82"/>
      <c r="F45" s="83"/>
      <c r="G45" s="84"/>
      <c r="H45" s="81"/>
      <c r="I45" s="80"/>
      <c r="J45" s="41" t="str">
        <f aca="false">IF(OR(C45="",G45=""),"",N(F45)*N(G45))</f>
        <v/>
      </c>
      <c r="K45" s="48" t="str">
        <f aca="false">IF(M45="","",N(IFERROR(INDEX('Item Master'!$E$6:$E$105,MATCH(C45,'Item Master'!$A$6:$A$105,0)),0))+SUMIFS($F$7:$F$506,$C$7:$C$506,C45,$E$7:$E$506,"In",$M$7:$M$506,"&lt;="&amp;M45)-SUMIFS($F$7:$F$506,$C$7:$C$506,C45,$E$7:$E$506,"Out",$M$7:$M$506,"&lt;="&amp;M45))</f>
        <v/>
      </c>
      <c r="L45" s="44" t="str">
        <f aca="false">IF(AND(B45="",C45="",F45=""),"",IF(C45="","⚠ Pick item",IF(D45="?","⚠ Code not in Item Master",IF(B45="","⚠ Enter date",IF(OR(E45="",N(F45)&lt;=0),"⚠ Type / quantity missing",IF(AND(E45="In",G45=""),"⚠ Enter purchase rate",IF(OR(B45&lt;Setup!$C$6,B45&gt;Setup!$C$7),"Outside period",IF(K45&lt;0,"⚠ Stock goes negative","✔ OK"))))))))</f>
        <v/>
      </c>
      <c r="M45" s="9" t="str">
        <f aca="false">IF(OR(C45="",B45=""),"",B45+ROW()/1000000)</f>
        <v/>
      </c>
      <c r="N45" s="9" t="str">
        <f aca="false">IF(AND(E45="In",M45&lt;&gt;""),SUMIFS($F$7:$F$506,$C$7:$C$506,C45,$E$7:$E$506,"In",$M$7:$M$506,"&gt;"&amp;M45),"")</f>
        <v/>
      </c>
      <c r="O45" s="9" t="str">
        <f aca="false">IF(N45="","",IFERROR(INDEX('Item Master'!$K$6:$K$105,MATCH(C45,'Item Master'!$A$6:$A$105,0)),0))</f>
        <v/>
      </c>
      <c r="P45" s="9" t="n">
        <f aca="false">IF(N45="",0,MAX(0,MIN(N(F45),O45-N45))*N(G45))</f>
        <v>0</v>
      </c>
      <c r="Q45" s="9" t="str">
        <f aca="false">IF(AND(C45&lt;&gt;"",C45='Stock Ledger'!$C$4),M45,"")</f>
        <v/>
      </c>
    </row>
    <row r="46" customFormat="false" ht="15" hidden="false" customHeight="false" outlineLevel="0" collapsed="false">
      <c r="A46" s="45" t="str">
        <f aca="false">IF(C46="","",ROW()-6)</f>
        <v/>
      </c>
      <c r="B46" s="85"/>
      <c r="C46" s="80"/>
      <c r="D46" s="47" t="str">
        <f aca="false">IF(C46="","",IFERROR(INDEX('Item Master'!$B$6:$B$105,MATCH(C46,'Item Master'!$A$6:$A$105,0)),"?"))</f>
        <v/>
      </c>
      <c r="E46" s="82"/>
      <c r="F46" s="83"/>
      <c r="G46" s="84"/>
      <c r="H46" s="81"/>
      <c r="I46" s="80"/>
      <c r="J46" s="41" t="str">
        <f aca="false">IF(OR(C46="",G46=""),"",N(F46)*N(G46))</f>
        <v/>
      </c>
      <c r="K46" s="48" t="str">
        <f aca="false">IF(M46="","",N(IFERROR(INDEX('Item Master'!$E$6:$E$105,MATCH(C46,'Item Master'!$A$6:$A$105,0)),0))+SUMIFS($F$7:$F$506,$C$7:$C$506,C46,$E$7:$E$506,"In",$M$7:$M$506,"&lt;="&amp;M46)-SUMIFS($F$7:$F$506,$C$7:$C$506,C46,$E$7:$E$506,"Out",$M$7:$M$506,"&lt;="&amp;M46))</f>
        <v/>
      </c>
      <c r="L46" s="44" t="str">
        <f aca="false">IF(AND(B46="",C46="",F46=""),"",IF(C46="","⚠ Pick item",IF(D46="?","⚠ Code not in Item Master",IF(B46="","⚠ Enter date",IF(OR(E46="",N(F46)&lt;=0),"⚠ Type / quantity missing",IF(AND(E46="In",G46=""),"⚠ Enter purchase rate",IF(OR(B46&lt;Setup!$C$6,B46&gt;Setup!$C$7),"Outside period",IF(K46&lt;0,"⚠ Stock goes negative","✔ OK"))))))))</f>
        <v/>
      </c>
      <c r="M46" s="9" t="str">
        <f aca="false">IF(OR(C46="",B46=""),"",B46+ROW()/1000000)</f>
        <v/>
      </c>
      <c r="N46" s="9" t="str">
        <f aca="false">IF(AND(E46="In",M46&lt;&gt;""),SUMIFS($F$7:$F$506,$C$7:$C$506,C46,$E$7:$E$506,"In",$M$7:$M$506,"&gt;"&amp;M46),"")</f>
        <v/>
      </c>
      <c r="O46" s="9" t="str">
        <f aca="false">IF(N46="","",IFERROR(INDEX('Item Master'!$K$6:$K$105,MATCH(C46,'Item Master'!$A$6:$A$105,0)),0))</f>
        <v/>
      </c>
      <c r="P46" s="9" t="n">
        <f aca="false">IF(N46="",0,MAX(0,MIN(N(F46),O46-N46))*N(G46))</f>
        <v>0</v>
      </c>
      <c r="Q46" s="9" t="str">
        <f aca="false">IF(AND(C46&lt;&gt;"",C46='Stock Ledger'!$C$4),M46,"")</f>
        <v/>
      </c>
    </row>
    <row r="47" customFormat="false" ht="15" hidden="false" customHeight="false" outlineLevel="0" collapsed="false">
      <c r="A47" s="45" t="str">
        <f aca="false">IF(C47="","",ROW()-6)</f>
        <v/>
      </c>
      <c r="B47" s="85"/>
      <c r="C47" s="80"/>
      <c r="D47" s="47" t="str">
        <f aca="false">IF(C47="","",IFERROR(INDEX('Item Master'!$B$6:$B$105,MATCH(C47,'Item Master'!$A$6:$A$105,0)),"?"))</f>
        <v/>
      </c>
      <c r="E47" s="82"/>
      <c r="F47" s="83"/>
      <c r="G47" s="84"/>
      <c r="H47" s="81"/>
      <c r="I47" s="80"/>
      <c r="J47" s="41" t="str">
        <f aca="false">IF(OR(C47="",G47=""),"",N(F47)*N(G47))</f>
        <v/>
      </c>
      <c r="K47" s="48" t="str">
        <f aca="false">IF(M47="","",N(IFERROR(INDEX('Item Master'!$E$6:$E$105,MATCH(C47,'Item Master'!$A$6:$A$105,0)),0))+SUMIFS($F$7:$F$506,$C$7:$C$506,C47,$E$7:$E$506,"In",$M$7:$M$506,"&lt;="&amp;M47)-SUMIFS($F$7:$F$506,$C$7:$C$506,C47,$E$7:$E$506,"Out",$M$7:$M$506,"&lt;="&amp;M47))</f>
        <v/>
      </c>
      <c r="L47" s="44" t="str">
        <f aca="false">IF(AND(B47="",C47="",F47=""),"",IF(C47="","⚠ Pick item",IF(D47="?","⚠ Code not in Item Master",IF(B47="","⚠ Enter date",IF(OR(E47="",N(F47)&lt;=0),"⚠ Type / quantity missing",IF(AND(E47="In",G47=""),"⚠ Enter purchase rate",IF(OR(B47&lt;Setup!$C$6,B47&gt;Setup!$C$7),"Outside period",IF(K47&lt;0,"⚠ Stock goes negative","✔ OK"))))))))</f>
        <v/>
      </c>
      <c r="M47" s="9" t="str">
        <f aca="false">IF(OR(C47="",B47=""),"",B47+ROW()/1000000)</f>
        <v/>
      </c>
      <c r="N47" s="9" t="str">
        <f aca="false">IF(AND(E47="In",M47&lt;&gt;""),SUMIFS($F$7:$F$506,$C$7:$C$506,C47,$E$7:$E$506,"In",$M$7:$M$506,"&gt;"&amp;M47),"")</f>
        <v/>
      </c>
      <c r="O47" s="9" t="str">
        <f aca="false">IF(N47="","",IFERROR(INDEX('Item Master'!$K$6:$K$105,MATCH(C47,'Item Master'!$A$6:$A$105,0)),0))</f>
        <v/>
      </c>
      <c r="P47" s="9" t="n">
        <f aca="false">IF(N47="",0,MAX(0,MIN(N(F47),O47-N47))*N(G47))</f>
        <v>0</v>
      </c>
      <c r="Q47" s="9" t="str">
        <f aca="false">IF(AND(C47&lt;&gt;"",C47='Stock Ledger'!$C$4),M47,"")</f>
        <v/>
      </c>
    </row>
    <row r="48" customFormat="false" ht="15" hidden="false" customHeight="false" outlineLevel="0" collapsed="false">
      <c r="A48" s="45" t="str">
        <f aca="false">IF(C48="","",ROW()-6)</f>
        <v/>
      </c>
      <c r="B48" s="85"/>
      <c r="C48" s="80"/>
      <c r="D48" s="47" t="str">
        <f aca="false">IF(C48="","",IFERROR(INDEX('Item Master'!$B$6:$B$105,MATCH(C48,'Item Master'!$A$6:$A$105,0)),"?"))</f>
        <v/>
      </c>
      <c r="E48" s="82"/>
      <c r="F48" s="83"/>
      <c r="G48" s="84"/>
      <c r="H48" s="81"/>
      <c r="I48" s="80"/>
      <c r="J48" s="41" t="str">
        <f aca="false">IF(OR(C48="",G48=""),"",N(F48)*N(G48))</f>
        <v/>
      </c>
      <c r="K48" s="48" t="str">
        <f aca="false">IF(M48="","",N(IFERROR(INDEX('Item Master'!$E$6:$E$105,MATCH(C48,'Item Master'!$A$6:$A$105,0)),0))+SUMIFS($F$7:$F$506,$C$7:$C$506,C48,$E$7:$E$506,"In",$M$7:$M$506,"&lt;="&amp;M48)-SUMIFS($F$7:$F$506,$C$7:$C$506,C48,$E$7:$E$506,"Out",$M$7:$M$506,"&lt;="&amp;M48))</f>
        <v/>
      </c>
      <c r="L48" s="44" t="str">
        <f aca="false">IF(AND(B48="",C48="",F48=""),"",IF(C48="","⚠ Pick item",IF(D48="?","⚠ Code not in Item Master",IF(B48="","⚠ Enter date",IF(OR(E48="",N(F48)&lt;=0),"⚠ Type / quantity missing",IF(AND(E48="In",G48=""),"⚠ Enter purchase rate",IF(OR(B48&lt;Setup!$C$6,B48&gt;Setup!$C$7),"Outside period",IF(K48&lt;0,"⚠ Stock goes negative","✔ OK"))))))))</f>
        <v/>
      </c>
      <c r="M48" s="9" t="str">
        <f aca="false">IF(OR(C48="",B48=""),"",B48+ROW()/1000000)</f>
        <v/>
      </c>
      <c r="N48" s="9" t="str">
        <f aca="false">IF(AND(E48="In",M48&lt;&gt;""),SUMIFS($F$7:$F$506,$C$7:$C$506,C48,$E$7:$E$506,"In",$M$7:$M$506,"&gt;"&amp;M48),"")</f>
        <v/>
      </c>
      <c r="O48" s="9" t="str">
        <f aca="false">IF(N48="","",IFERROR(INDEX('Item Master'!$K$6:$K$105,MATCH(C48,'Item Master'!$A$6:$A$105,0)),0))</f>
        <v/>
      </c>
      <c r="P48" s="9" t="n">
        <f aca="false">IF(N48="",0,MAX(0,MIN(N(F48),O48-N48))*N(G48))</f>
        <v>0</v>
      </c>
      <c r="Q48" s="9" t="str">
        <f aca="false">IF(AND(C48&lt;&gt;"",C48='Stock Ledger'!$C$4),M48,"")</f>
        <v/>
      </c>
    </row>
    <row r="49" customFormat="false" ht="15" hidden="false" customHeight="false" outlineLevel="0" collapsed="false">
      <c r="A49" s="45" t="str">
        <f aca="false">IF(C49="","",ROW()-6)</f>
        <v/>
      </c>
      <c r="B49" s="85"/>
      <c r="C49" s="80"/>
      <c r="D49" s="47" t="str">
        <f aca="false">IF(C49="","",IFERROR(INDEX('Item Master'!$B$6:$B$105,MATCH(C49,'Item Master'!$A$6:$A$105,0)),"?"))</f>
        <v/>
      </c>
      <c r="E49" s="82"/>
      <c r="F49" s="83"/>
      <c r="G49" s="84"/>
      <c r="H49" s="81"/>
      <c r="I49" s="80"/>
      <c r="J49" s="41" t="str">
        <f aca="false">IF(OR(C49="",G49=""),"",N(F49)*N(G49))</f>
        <v/>
      </c>
      <c r="K49" s="48" t="str">
        <f aca="false">IF(M49="","",N(IFERROR(INDEX('Item Master'!$E$6:$E$105,MATCH(C49,'Item Master'!$A$6:$A$105,0)),0))+SUMIFS($F$7:$F$506,$C$7:$C$506,C49,$E$7:$E$506,"In",$M$7:$M$506,"&lt;="&amp;M49)-SUMIFS($F$7:$F$506,$C$7:$C$506,C49,$E$7:$E$506,"Out",$M$7:$M$506,"&lt;="&amp;M49))</f>
        <v/>
      </c>
      <c r="L49" s="44" t="str">
        <f aca="false">IF(AND(B49="",C49="",F49=""),"",IF(C49="","⚠ Pick item",IF(D49="?","⚠ Code not in Item Master",IF(B49="","⚠ Enter date",IF(OR(E49="",N(F49)&lt;=0),"⚠ Type / quantity missing",IF(AND(E49="In",G49=""),"⚠ Enter purchase rate",IF(OR(B49&lt;Setup!$C$6,B49&gt;Setup!$C$7),"Outside period",IF(K49&lt;0,"⚠ Stock goes negative","✔ OK"))))))))</f>
        <v/>
      </c>
      <c r="M49" s="9" t="str">
        <f aca="false">IF(OR(C49="",B49=""),"",B49+ROW()/1000000)</f>
        <v/>
      </c>
      <c r="N49" s="9" t="str">
        <f aca="false">IF(AND(E49="In",M49&lt;&gt;""),SUMIFS($F$7:$F$506,$C$7:$C$506,C49,$E$7:$E$506,"In",$M$7:$M$506,"&gt;"&amp;M49),"")</f>
        <v/>
      </c>
      <c r="O49" s="9" t="str">
        <f aca="false">IF(N49="","",IFERROR(INDEX('Item Master'!$K$6:$K$105,MATCH(C49,'Item Master'!$A$6:$A$105,0)),0))</f>
        <v/>
      </c>
      <c r="P49" s="9" t="n">
        <f aca="false">IF(N49="",0,MAX(0,MIN(N(F49),O49-N49))*N(G49))</f>
        <v>0</v>
      </c>
      <c r="Q49" s="9" t="str">
        <f aca="false">IF(AND(C49&lt;&gt;"",C49='Stock Ledger'!$C$4),M49,"")</f>
        <v/>
      </c>
    </row>
    <row r="50" customFormat="false" ht="15" hidden="false" customHeight="false" outlineLevel="0" collapsed="false">
      <c r="A50" s="45" t="str">
        <f aca="false">IF(C50="","",ROW()-6)</f>
        <v/>
      </c>
      <c r="B50" s="85"/>
      <c r="C50" s="80"/>
      <c r="D50" s="47" t="str">
        <f aca="false">IF(C50="","",IFERROR(INDEX('Item Master'!$B$6:$B$105,MATCH(C50,'Item Master'!$A$6:$A$105,0)),"?"))</f>
        <v/>
      </c>
      <c r="E50" s="82"/>
      <c r="F50" s="83"/>
      <c r="G50" s="84"/>
      <c r="H50" s="81"/>
      <c r="I50" s="80"/>
      <c r="J50" s="41" t="str">
        <f aca="false">IF(OR(C50="",G50=""),"",N(F50)*N(G50))</f>
        <v/>
      </c>
      <c r="K50" s="48" t="str">
        <f aca="false">IF(M50="","",N(IFERROR(INDEX('Item Master'!$E$6:$E$105,MATCH(C50,'Item Master'!$A$6:$A$105,0)),0))+SUMIFS($F$7:$F$506,$C$7:$C$506,C50,$E$7:$E$506,"In",$M$7:$M$506,"&lt;="&amp;M50)-SUMIFS($F$7:$F$506,$C$7:$C$506,C50,$E$7:$E$506,"Out",$M$7:$M$506,"&lt;="&amp;M50))</f>
        <v/>
      </c>
      <c r="L50" s="44" t="str">
        <f aca="false">IF(AND(B50="",C50="",F50=""),"",IF(C50="","⚠ Pick item",IF(D50="?","⚠ Code not in Item Master",IF(B50="","⚠ Enter date",IF(OR(E50="",N(F50)&lt;=0),"⚠ Type / quantity missing",IF(AND(E50="In",G50=""),"⚠ Enter purchase rate",IF(OR(B50&lt;Setup!$C$6,B50&gt;Setup!$C$7),"Outside period",IF(K50&lt;0,"⚠ Stock goes negative","✔ OK"))))))))</f>
        <v/>
      </c>
      <c r="M50" s="9" t="str">
        <f aca="false">IF(OR(C50="",B50=""),"",B50+ROW()/1000000)</f>
        <v/>
      </c>
      <c r="N50" s="9" t="str">
        <f aca="false">IF(AND(E50="In",M50&lt;&gt;""),SUMIFS($F$7:$F$506,$C$7:$C$506,C50,$E$7:$E$506,"In",$M$7:$M$506,"&gt;"&amp;M50),"")</f>
        <v/>
      </c>
      <c r="O50" s="9" t="str">
        <f aca="false">IF(N50="","",IFERROR(INDEX('Item Master'!$K$6:$K$105,MATCH(C50,'Item Master'!$A$6:$A$105,0)),0))</f>
        <v/>
      </c>
      <c r="P50" s="9" t="n">
        <f aca="false">IF(N50="",0,MAX(0,MIN(N(F50),O50-N50))*N(G50))</f>
        <v>0</v>
      </c>
      <c r="Q50" s="9" t="str">
        <f aca="false">IF(AND(C50&lt;&gt;"",C50='Stock Ledger'!$C$4),M50,"")</f>
        <v/>
      </c>
    </row>
    <row r="51" customFormat="false" ht="15" hidden="false" customHeight="false" outlineLevel="0" collapsed="false">
      <c r="A51" s="45" t="str">
        <f aca="false">IF(C51="","",ROW()-6)</f>
        <v/>
      </c>
      <c r="B51" s="85"/>
      <c r="C51" s="80"/>
      <c r="D51" s="47" t="str">
        <f aca="false">IF(C51="","",IFERROR(INDEX('Item Master'!$B$6:$B$105,MATCH(C51,'Item Master'!$A$6:$A$105,0)),"?"))</f>
        <v/>
      </c>
      <c r="E51" s="82"/>
      <c r="F51" s="83"/>
      <c r="G51" s="84"/>
      <c r="H51" s="81"/>
      <c r="I51" s="80"/>
      <c r="J51" s="41" t="str">
        <f aca="false">IF(OR(C51="",G51=""),"",N(F51)*N(G51))</f>
        <v/>
      </c>
      <c r="K51" s="48" t="str">
        <f aca="false">IF(M51="","",N(IFERROR(INDEX('Item Master'!$E$6:$E$105,MATCH(C51,'Item Master'!$A$6:$A$105,0)),0))+SUMIFS($F$7:$F$506,$C$7:$C$506,C51,$E$7:$E$506,"In",$M$7:$M$506,"&lt;="&amp;M51)-SUMIFS($F$7:$F$506,$C$7:$C$506,C51,$E$7:$E$506,"Out",$M$7:$M$506,"&lt;="&amp;M51))</f>
        <v/>
      </c>
      <c r="L51" s="44" t="str">
        <f aca="false">IF(AND(B51="",C51="",F51=""),"",IF(C51="","⚠ Pick item",IF(D51="?","⚠ Code not in Item Master",IF(B51="","⚠ Enter date",IF(OR(E51="",N(F51)&lt;=0),"⚠ Type / quantity missing",IF(AND(E51="In",G51=""),"⚠ Enter purchase rate",IF(OR(B51&lt;Setup!$C$6,B51&gt;Setup!$C$7),"Outside period",IF(K51&lt;0,"⚠ Stock goes negative","✔ OK"))))))))</f>
        <v/>
      </c>
      <c r="M51" s="9" t="str">
        <f aca="false">IF(OR(C51="",B51=""),"",B51+ROW()/1000000)</f>
        <v/>
      </c>
      <c r="N51" s="9" t="str">
        <f aca="false">IF(AND(E51="In",M51&lt;&gt;""),SUMIFS($F$7:$F$506,$C$7:$C$506,C51,$E$7:$E$506,"In",$M$7:$M$506,"&gt;"&amp;M51),"")</f>
        <v/>
      </c>
      <c r="O51" s="9" t="str">
        <f aca="false">IF(N51="","",IFERROR(INDEX('Item Master'!$K$6:$K$105,MATCH(C51,'Item Master'!$A$6:$A$105,0)),0))</f>
        <v/>
      </c>
      <c r="P51" s="9" t="n">
        <f aca="false">IF(N51="",0,MAX(0,MIN(N(F51),O51-N51))*N(G51))</f>
        <v>0</v>
      </c>
      <c r="Q51" s="9" t="str">
        <f aca="false">IF(AND(C51&lt;&gt;"",C51='Stock Ledger'!$C$4),M51,"")</f>
        <v/>
      </c>
    </row>
    <row r="52" customFormat="false" ht="15" hidden="false" customHeight="false" outlineLevel="0" collapsed="false">
      <c r="A52" s="45" t="str">
        <f aca="false">IF(C52="","",ROW()-6)</f>
        <v/>
      </c>
      <c r="B52" s="85"/>
      <c r="C52" s="80"/>
      <c r="D52" s="47" t="str">
        <f aca="false">IF(C52="","",IFERROR(INDEX('Item Master'!$B$6:$B$105,MATCH(C52,'Item Master'!$A$6:$A$105,0)),"?"))</f>
        <v/>
      </c>
      <c r="E52" s="82"/>
      <c r="F52" s="83"/>
      <c r="G52" s="84"/>
      <c r="H52" s="81"/>
      <c r="I52" s="80"/>
      <c r="J52" s="41" t="str">
        <f aca="false">IF(OR(C52="",G52=""),"",N(F52)*N(G52))</f>
        <v/>
      </c>
      <c r="K52" s="48" t="str">
        <f aca="false">IF(M52="","",N(IFERROR(INDEX('Item Master'!$E$6:$E$105,MATCH(C52,'Item Master'!$A$6:$A$105,0)),0))+SUMIFS($F$7:$F$506,$C$7:$C$506,C52,$E$7:$E$506,"In",$M$7:$M$506,"&lt;="&amp;M52)-SUMIFS($F$7:$F$506,$C$7:$C$506,C52,$E$7:$E$506,"Out",$M$7:$M$506,"&lt;="&amp;M52))</f>
        <v/>
      </c>
      <c r="L52" s="44" t="str">
        <f aca="false">IF(AND(B52="",C52="",F52=""),"",IF(C52="","⚠ Pick item",IF(D52="?","⚠ Code not in Item Master",IF(B52="","⚠ Enter date",IF(OR(E52="",N(F52)&lt;=0),"⚠ Type / quantity missing",IF(AND(E52="In",G52=""),"⚠ Enter purchase rate",IF(OR(B52&lt;Setup!$C$6,B52&gt;Setup!$C$7),"Outside period",IF(K52&lt;0,"⚠ Stock goes negative","✔ OK"))))))))</f>
        <v/>
      </c>
      <c r="M52" s="9" t="str">
        <f aca="false">IF(OR(C52="",B52=""),"",B52+ROW()/1000000)</f>
        <v/>
      </c>
      <c r="N52" s="9" t="str">
        <f aca="false">IF(AND(E52="In",M52&lt;&gt;""),SUMIFS($F$7:$F$506,$C$7:$C$506,C52,$E$7:$E$506,"In",$M$7:$M$506,"&gt;"&amp;M52),"")</f>
        <v/>
      </c>
      <c r="O52" s="9" t="str">
        <f aca="false">IF(N52="","",IFERROR(INDEX('Item Master'!$K$6:$K$105,MATCH(C52,'Item Master'!$A$6:$A$105,0)),0))</f>
        <v/>
      </c>
      <c r="P52" s="9" t="n">
        <f aca="false">IF(N52="",0,MAX(0,MIN(N(F52),O52-N52))*N(G52))</f>
        <v>0</v>
      </c>
      <c r="Q52" s="9" t="str">
        <f aca="false">IF(AND(C52&lt;&gt;"",C52='Stock Ledger'!$C$4),M52,"")</f>
        <v/>
      </c>
    </row>
    <row r="53" customFormat="false" ht="15" hidden="false" customHeight="false" outlineLevel="0" collapsed="false">
      <c r="A53" s="45" t="str">
        <f aca="false">IF(C53="","",ROW()-6)</f>
        <v/>
      </c>
      <c r="B53" s="85"/>
      <c r="C53" s="80"/>
      <c r="D53" s="47" t="str">
        <f aca="false">IF(C53="","",IFERROR(INDEX('Item Master'!$B$6:$B$105,MATCH(C53,'Item Master'!$A$6:$A$105,0)),"?"))</f>
        <v/>
      </c>
      <c r="E53" s="82"/>
      <c r="F53" s="83"/>
      <c r="G53" s="84"/>
      <c r="H53" s="81"/>
      <c r="I53" s="80"/>
      <c r="J53" s="41" t="str">
        <f aca="false">IF(OR(C53="",G53=""),"",N(F53)*N(G53))</f>
        <v/>
      </c>
      <c r="K53" s="48" t="str">
        <f aca="false">IF(M53="","",N(IFERROR(INDEX('Item Master'!$E$6:$E$105,MATCH(C53,'Item Master'!$A$6:$A$105,0)),0))+SUMIFS($F$7:$F$506,$C$7:$C$506,C53,$E$7:$E$506,"In",$M$7:$M$506,"&lt;="&amp;M53)-SUMIFS($F$7:$F$506,$C$7:$C$506,C53,$E$7:$E$506,"Out",$M$7:$M$506,"&lt;="&amp;M53))</f>
        <v/>
      </c>
      <c r="L53" s="44" t="str">
        <f aca="false">IF(AND(B53="",C53="",F53=""),"",IF(C53="","⚠ Pick item",IF(D53="?","⚠ Code not in Item Master",IF(B53="","⚠ Enter date",IF(OR(E53="",N(F53)&lt;=0),"⚠ Type / quantity missing",IF(AND(E53="In",G53=""),"⚠ Enter purchase rate",IF(OR(B53&lt;Setup!$C$6,B53&gt;Setup!$C$7),"Outside period",IF(K53&lt;0,"⚠ Stock goes negative","✔ OK"))))))))</f>
        <v/>
      </c>
      <c r="M53" s="9" t="str">
        <f aca="false">IF(OR(C53="",B53=""),"",B53+ROW()/1000000)</f>
        <v/>
      </c>
      <c r="N53" s="9" t="str">
        <f aca="false">IF(AND(E53="In",M53&lt;&gt;""),SUMIFS($F$7:$F$506,$C$7:$C$506,C53,$E$7:$E$506,"In",$M$7:$M$506,"&gt;"&amp;M53),"")</f>
        <v/>
      </c>
      <c r="O53" s="9" t="str">
        <f aca="false">IF(N53="","",IFERROR(INDEX('Item Master'!$K$6:$K$105,MATCH(C53,'Item Master'!$A$6:$A$105,0)),0))</f>
        <v/>
      </c>
      <c r="P53" s="9" t="n">
        <f aca="false">IF(N53="",0,MAX(0,MIN(N(F53),O53-N53))*N(G53))</f>
        <v>0</v>
      </c>
      <c r="Q53" s="9" t="str">
        <f aca="false">IF(AND(C53&lt;&gt;"",C53='Stock Ledger'!$C$4),M53,"")</f>
        <v/>
      </c>
    </row>
    <row r="54" customFormat="false" ht="15" hidden="false" customHeight="false" outlineLevel="0" collapsed="false">
      <c r="A54" s="45" t="str">
        <f aca="false">IF(C54="","",ROW()-6)</f>
        <v/>
      </c>
      <c r="B54" s="85"/>
      <c r="C54" s="80"/>
      <c r="D54" s="47" t="str">
        <f aca="false">IF(C54="","",IFERROR(INDEX('Item Master'!$B$6:$B$105,MATCH(C54,'Item Master'!$A$6:$A$105,0)),"?"))</f>
        <v/>
      </c>
      <c r="E54" s="82"/>
      <c r="F54" s="83"/>
      <c r="G54" s="84"/>
      <c r="H54" s="81"/>
      <c r="I54" s="80"/>
      <c r="J54" s="41" t="str">
        <f aca="false">IF(OR(C54="",G54=""),"",N(F54)*N(G54))</f>
        <v/>
      </c>
      <c r="K54" s="48" t="str">
        <f aca="false">IF(M54="","",N(IFERROR(INDEX('Item Master'!$E$6:$E$105,MATCH(C54,'Item Master'!$A$6:$A$105,0)),0))+SUMIFS($F$7:$F$506,$C$7:$C$506,C54,$E$7:$E$506,"In",$M$7:$M$506,"&lt;="&amp;M54)-SUMIFS($F$7:$F$506,$C$7:$C$506,C54,$E$7:$E$506,"Out",$M$7:$M$506,"&lt;="&amp;M54))</f>
        <v/>
      </c>
      <c r="L54" s="44" t="str">
        <f aca="false">IF(AND(B54="",C54="",F54=""),"",IF(C54="","⚠ Pick item",IF(D54="?","⚠ Code not in Item Master",IF(B54="","⚠ Enter date",IF(OR(E54="",N(F54)&lt;=0),"⚠ Type / quantity missing",IF(AND(E54="In",G54=""),"⚠ Enter purchase rate",IF(OR(B54&lt;Setup!$C$6,B54&gt;Setup!$C$7),"Outside period",IF(K54&lt;0,"⚠ Stock goes negative","✔ OK"))))))))</f>
        <v/>
      </c>
      <c r="M54" s="9" t="str">
        <f aca="false">IF(OR(C54="",B54=""),"",B54+ROW()/1000000)</f>
        <v/>
      </c>
      <c r="N54" s="9" t="str">
        <f aca="false">IF(AND(E54="In",M54&lt;&gt;""),SUMIFS($F$7:$F$506,$C$7:$C$506,C54,$E$7:$E$506,"In",$M$7:$M$506,"&gt;"&amp;M54),"")</f>
        <v/>
      </c>
      <c r="O54" s="9" t="str">
        <f aca="false">IF(N54="","",IFERROR(INDEX('Item Master'!$K$6:$K$105,MATCH(C54,'Item Master'!$A$6:$A$105,0)),0))</f>
        <v/>
      </c>
      <c r="P54" s="9" t="n">
        <f aca="false">IF(N54="",0,MAX(0,MIN(N(F54),O54-N54))*N(G54))</f>
        <v>0</v>
      </c>
      <c r="Q54" s="9" t="str">
        <f aca="false">IF(AND(C54&lt;&gt;"",C54='Stock Ledger'!$C$4),M54,"")</f>
        <v/>
      </c>
    </row>
    <row r="55" customFormat="false" ht="15" hidden="false" customHeight="false" outlineLevel="0" collapsed="false">
      <c r="A55" s="45" t="str">
        <f aca="false">IF(C55="","",ROW()-6)</f>
        <v/>
      </c>
      <c r="B55" s="85"/>
      <c r="C55" s="80"/>
      <c r="D55" s="47" t="str">
        <f aca="false">IF(C55="","",IFERROR(INDEX('Item Master'!$B$6:$B$105,MATCH(C55,'Item Master'!$A$6:$A$105,0)),"?"))</f>
        <v/>
      </c>
      <c r="E55" s="82"/>
      <c r="F55" s="83"/>
      <c r="G55" s="84"/>
      <c r="H55" s="81"/>
      <c r="I55" s="80"/>
      <c r="J55" s="41" t="str">
        <f aca="false">IF(OR(C55="",G55=""),"",N(F55)*N(G55))</f>
        <v/>
      </c>
      <c r="K55" s="48" t="str">
        <f aca="false">IF(M55="","",N(IFERROR(INDEX('Item Master'!$E$6:$E$105,MATCH(C55,'Item Master'!$A$6:$A$105,0)),0))+SUMIFS($F$7:$F$506,$C$7:$C$506,C55,$E$7:$E$506,"In",$M$7:$M$506,"&lt;="&amp;M55)-SUMIFS($F$7:$F$506,$C$7:$C$506,C55,$E$7:$E$506,"Out",$M$7:$M$506,"&lt;="&amp;M55))</f>
        <v/>
      </c>
      <c r="L55" s="44" t="str">
        <f aca="false">IF(AND(B55="",C55="",F55=""),"",IF(C55="","⚠ Pick item",IF(D55="?","⚠ Code not in Item Master",IF(B55="","⚠ Enter date",IF(OR(E55="",N(F55)&lt;=0),"⚠ Type / quantity missing",IF(AND(E55="In",G55=""),"⚠ Enter purchase rate",IF(OR(B55&lt;Setup!$C$6,B55&gt;Setup!$C$7),"Outside period",IF(K55&lt;0,"⚠ Stock goes negative","✔ OK"))))))))</f>
        <v/>
      </c>
      <c r="M55" s="9" t="str">
        <f aca="false">IF(OR(C55="",B55=""),"",B55+ROW()/1000000)</f>
        <v/>
      </c>
      <c r="N55" s="9" t="str">
        <f aca="false">IF(AND(E55="In",M55&lt;&gt;""),SUMIFS($F$7:$F$506,$C$7:$C$506,C55,$E$7:$E$506,"In",$M$7:$M$506,"&gt;"&amp;M55),"")</f>
        <v/>
      </c>
      <c r="O55" s="9" t="str">
        <f aca="false">IF(N55="","",IFERROR(INDEX('Item Master'!$K$6:$K$105,MATCH(C55,'Item Master'!$A$6:$A$105,0)),0))</f>
        <v/>
      </c>
      <c r="P55" s="9" t="n">
        <f aca="false">IF(N55="",0,MAX(0,MIN(N(F55),O55-N55))*N(G55))</f>
        <v>0</v>
      </c>
      <c r="Q55" s="9" t="str">
        <f aca="false">IF(AND(C55&lt;&gt;"",C55='Stock Ledger'!$C$4),M55,"")</f>
        <v/>
      </c>
    </row>
    <row r="56" customFormat="false" ht="15" hidden="false" customHeight="false" outlineLevel="0" collapsed="false">
      <c r="A56" s="45" t="str">
        <f aca="false">IF(C56="","",ROW()-6)</f>
        <v/>
      </c>
      <c r="B56" s="85"/>
      <c r="C56" s="80"/>
      <c r="D56" s="47" t="str">
        <f aca="false">IF(C56="","",IFERROR(INDEX('Item Master'!$B$6:$B$105,MATCH(C56,'Item Master'!$A$6:$A$105,0)),"?"))</f>
        <v/>
      </c>
      <c r="E56" s="82"/>
      <c r="F56" s="83"/>
      <c r="G56" s="84"/>
      <c r="H56" s="81"/>
      <c r="I56" s="80"/>
      <c r="J56" s="41" t="str">
        <f aca="false">IF(OR(C56="",G56=""),"",N(F56)*N(G56))</f>
        <v/>
      </c>
      <c r="K56" s="48" t="str">
        <f aca="false">IF(M56="","",N(IFERROR(INDEX('Item Master'!$E$6:$E$105,MATCH(C56,'Item Master'!$A$6:$A$105,0)),0))+SUMIFS($F$7:$F$506,$C$7:$C$506,C56,$E$7:$E$506,"In",$M$7:$M$506,"&lt;="&amp;M56)-SUMIFS($F$7:$F$506,$C$7:$C$506,C56,$E$7:$E$506,"Out",$M$7:$M$506,"&lt;="&amp;M56))</f>
        <v/>
      </c>
      <c r="L56" s="44" t="str">
        <f aca="false">IF(AND(B56="",C56="",F56=""),"",IF(C56="","⚠ Pick item",IF(D56="?","⚠ Code not in Item Master",IF(B56="","⚠ Enter date",IF(OR(E56="",N(F56)&lt;=0),"⚠ Type / quantity missing",IF(AND(E56="In",G56=""),"⚠ Enter purchase rate",IF(OR(B56&lt;Setup!$C$6,B56&gt;Setup!$C$7),"Outside period",IF(K56&lt;0,"⚠ Stock goes negative","✔ OK"))))))))</f>
        <v/>
      </c>
      <c r="M56" s="9" t="str">
        <f aca="false">IF(OR(C56="",B56=""),"",B56+ROW()/1000000)</f>
        <v/>
      </c>
      <c r="N56" s="9" t="str">
        <f aca="false">IF(AND(E56="In",M56&lt;&gt;""),SUMIFS($F$7:$F$506,$C$7:$C$506,C56,$E$7:$E$506,"In",$M$7:$M$506,"&gt;"&amp;M56),"")</f>
        <v/>
      </c>
      <c r="O56" s="9" t="str">
        <f aca="false">IF(N56="","",IFERROR(INDEX('Item Master'!$K$6:$K$105,MATCH(C56,'Item Master'!$A$6:$A$105,0)),0))</f>
        <v/>
      </c>
      <c r="P56" s="9" t="n">
        <f aca="false">IF(N56="",0,MAX(0,MIN(N(F56),O56-N56))*N(G56))</f>
        <v>0</v>
      </c>
      <c r="Q56" s="9" t="str">
        <f aca="false">IF(AND(C56&lt;&gt;"",C56='Stock Ledger'!$C$4),M56,"")</f>
        <v/>
      </c>
    </row>
    <row r="57" customFormat="false" ht="15" hidden="false" customHeight="false" outlineLevel="0" collapsed="false">
      <c r="A57" s="45" t="str">
        <f aca="false">IF(C57="","",ROW()-6)</f>
        <v/>
      </c>
      <c r="B57" s="85"/>
      <c r="C57" s="80"/>
      <c r="D57" s="47" t="str">
        <f aca="false">IF(C57="","",IFERROR(INDEX('Item Master'!$B$6:$B$105,MATCH(C57,'Item Master'!$A$6:$A$105,0)),"?"))</f>
        <v/>
      </c>
      <c r="E57" s="82"/>
      <c r="F57" s="83"/>
      <c r="G57" s="84"/>
      <c r="H57" s="81"/>
      <c r="I57" s="80"/>
      <c r="J57" s="41" t="str">
        <f aca="false">IF(OR(C57="",G57=""),"",N(F57)*N(G57))</f>
        <v/>
      </c>
      <c r="K57" s="48" t="str">
        <f aca="false">IF(M57="","",N(IFERROR(INDEX('Item Master'!$E$6:$E$105,MATCH(C57,'Item Master'!$A$6:$A$105,0)),0))+SUMIFS($F$7:$F$506,$C$7:$C$506,C57,$E$7:$E$506,"In",$M$7:$M$506,"&lt;="&amp;M57)-SUMIFS($F$7:$F$506,$C$7:$C$506,C57,$E$7:$E$506,"Out",$M$7:$M$506,"&lt;="&amp;M57))</f>
        <v/>
      </c>
      <c r="L57" s="44" t="str">
        <f aca="false">IF(AND(B57="",C57="",F57=""),"",IF(C57="","⚠ Pick item",IF(D57="?","⚠ Code not in Item Master",IF(B57="","⚠ Enter date",IF(OR(E57="",N(F57)&lt;=0),"⚠ Type / quantity missing",IF(AND(E57="In",G57=""),"⚠ Enter purchase rate",IF(OR(B57&lt;Setup!$C$6,B57&gt;Setup!$C$7),"Outside period",IF(K57&lt;0,"⚠ Stock goes negative","✔ OK"))))))))</f>
        <v/>
      </c>
      <c r="M57" s="9" t="str">
        <f aca="false">IF(OR(C57="",B57=""),"",B57+ROW()/1000000)</f>
        <v/>
      </c>
      <c r="N57" s="9" t="str">
        <f aca="false">IF(AND(E57="In",M57&lt;&gt;""),SUMIFS($F$7:$F$506,$C$7:$C$506,C57,$E$7:$E$506,"In",$M$7:$M$506,"&gt;"&amp;M57),"")</f>
        <v/>
      </c>
      <c r="O57" s="9" t="str">
        <f aca="false">IF(N57="","",IFERROR(INDEX('Item Master'!$K$6:$K$105,MATCH(C57,'Item Master'!$A$6:$A$105,0)),0))</f>
        <v/>
      </c>
      <c r="P57" s="9" t="n">
        <f aca="false">IF(N57="",0,MAX(0,MIN(N(F57),O57-N57))*N(G57))</f>
        <v>0</v>
      </c>
      <c r="Q57" s="9" t="str">
        <f aca="false">IF(AND(C57&lt;&gt;"",C57='Stock Ledger'!$C$4),M57,"")</f>
        <v/>
      </c>
    </row>
    <row r="58" customFormat="false" ht="15" hidden="false" customHeight="false" outlineLevel="0" collapsed="false">
      <c r="A58" s="45" t="str">
        <f aca="false">IF(C58="","",ROW()-6)</f>
        <v/>
      </c>
      <c r="B58" s="85"/>
      <c r="C58" s="80"/>
      <c r="D58" s="47" t="str">
        <f aca="false">IF(C58="","",IFERROR(INDEX('Item Master'!$B$6:$B$105,MATCH(C58,'Item Master'!$A$6:$A$105,0)),"?"))</f>
        <v/>
      </c>
      <c r="E58" s="82"/>
      <c r="F58" s="83"/>
      <c r="G58" s="84"/>
      <c r="H58" s="81"/>
      <c r="I58" s="80"/>
      <c r="J58" s="41" t="str">
        <f aca="false">IF(OR(C58="",G58=""),"",N(F58)*N(G58))</f>
        <v/>
      </c>
      <c r="K58" s="48" t="str">
        <f aca="false">IF(M58="","",N(IFERROR(INDEX('Item Master'!$E$6:$E$105,MATCH(C58,'Item Master'!$A$6:$A$105,0)),0))+SUMIFS($F$7:$F$506,$C$7:$C$506,C58,$E$7:$E$506,"In",$M$7:$M$506,"&lt;="&amp;M58)-SUMIFS($F$7:$F$506,$C$7:$C$506,C58,$E$7:$E$506,"Out",$M$7:$M$506,"&lt;="&amp;M58))</f>
        <v/>
      </c>
      <c r="L58" s="44" t="str">
        <f aca="false">IF(AND(B58="",C58="",F58=""),"",IF(C58="","⚠ Pick item",IF(D58="?","⚠ Code not in Item Master",IF(B58="","⚠ Enter date",IF(OR(E58="",N(F58)&lt;=0),"⚠ Type / quantity missing",IF(AND(E58="In",G58=""),"⚠ Enter purchase rate",IF(OR(B58&lt;Setup!$C$6,B58&gt;Setup!$C$7),"Outside period",IF(K58&lt;0,"⚠ Stock goes negative","✔ OK"))))))))</f>
        <v/>
      </c>
      <c r="M58" s="9" t="str">
        <f aca="false">IF(OR(C58="",B58=""),"",B58+ROW()/1000000)</f>
        <v/>
      </c>
      <c r="N58" s="9" t="str">
        <f aca="false">IF(AND(E58="In",M58&lt;&gt;""),SUMIFS($F$7:$F$506,$C$7:$C$506,C58,$E$7:$E$506,"In",$M$7:$M$506,"&gt;"&amp;M58),"")</f>
        <v/>
      </c>
      <c r="O58" s="9" t="str">
        <f aca="false">IF(N58="","",IFERROR(INDEX('Item Master'!$K$6:$K$105,MATCH(C58,'Item Master'!$A$6:$A$105,0)),0))</f>
        <v/>
      </c>
      <c r="P58" s="9" t="n">
        <f aca="false">IF(N58="",0,MAX(0,MIN(N(F58),O58-N58))*N(G58))</f>
        <v>0</v>
      </c>
      <c r="Q58" s="9" t="str">
        <f aca="false">IF(AND(C58&lt;&gt;"",C58='Stock Ledger'!$C$4),M58,"")</f>
        <v/>
      </c>
    </row>
    <row r="59" customFormat="false" ht="15" hidden="false" customHeight="false" outlineLevel="0" collapsed="false">
      <c r="A59" s="45" t="str">
        <f aca="false">IF(C59="","",ROW()-6)</f>
        <v/>
      </c>
      <c r="B59" s="85"/>
      <c r="C59" s="80"/>
      <c r="D59" s="47" t="str">
        <f aca="false">IF(C59="","",IFERROR(INDEX('Item Master'!$B$6:$B$105,MATCH(C59,'Item Master'!$A$6:$A$105,0)),"?"))</f>
        <v/>
      </c>
      <c r="E59" s="82"/>
      <c r="F59" s="83"/>
      <c r="G59" s="84"/>
      <c r="H59" s="81"/>
      <c r="I59" s="80"/>
      <c r="J59" s="41" t="str">
        <f aca="false">IF(OR(C59="",G59=""),"",N(F59)*N(G59))</f>
        <v/>
      </c>
      <c r="K59" s="48" t="str">
        <f aca="false">IF(M59="","",N(IFERROR(INDEX('Item Master'!$E$6:$E$105,MATCH(C59,'Item Master'!$A$6:$A$105,0)),0))+SUMIFS($F$7:$F$506,$C$7:$C$506,C59,$E$7:$E$506,"In",$M$7:$M$506,"&lt;="&amp;M59)-SUMIFS($F$7:$F$506,$C$7:$C$506,C59,$E$7:$E$506,"Out",$M$7:$M$506,"&lt;="&amp;M59))</f>
        <v/>
      </c>
      <c r="L59" s="44" t="str">
        <f aca="false">IF(AND(B59="",C59="",F59=""),"",IF(C59="","⚠ Pick item",IF(D59="?","⚠ Code not in Item Master",IF(B59="","⚠ Enter date",IF(OR(E59="",N(F59)&lt;=0),"⚠ Type / quantity missing",IF(AND(E59="In",G59=""),"⚠ Enter purchase rate",IF(OR(B59&lt;Setup!$C$6,B59&gt;Setup!$C$7),"Outside period",IF(K59&lt;0,"⚠ Stock goes negative","✔ OK"))))))))</f>
        <v/>
      </c>
      <c r="M59" s="9" t="str">
        <f aca="false">IF(OR(C59="",B59=""),"",B59+ROW()/1000000)</f>
        <v/>
      </c>
      <c r="N59" s="9" t="str">
        <f aca="false">IF(AND(E59="In",M59&lt;&gt;""),SUMIFS($F$7:$F$506,$C$7:$C$506,C59,$E$7:$E$506,"In",$M$7:$M$506,"&gt;"&amp;M59),"")</f>
        <v/>
      </c>
      <c r="O59" s="9" t="str">
        <f aca="false">IF(N59="","",IFERROR(INDEX('Item Master'!$K$6:$K$105,MATCH(C59,'Item Master'!$A$6:$A$105,0)),0))</f>
        <v/>
      </c>
      <c r="P59" s="9" t="n">
        <f aca="false">IF(N59="",0,MAX(0,MIN(N(F59),O59-N59))*N(G59))</f>
        <v>0</v>
      </c>
      <c r="Q59" s="9" t="str">
        <f aca="false">IF(AND(C59&lt;&gt;"",C59='Stock Ledger'!$C$4),M59,"")</f>
        <v/>
      </c>
    </row>
    <row r="60" customFormat="false" ht="15" hidden="false" customHeight="false" outlineLevel="0" collapsed="false">
      <c r="A60" s="45" t="str">
        <f aca="false">IF(C60="","",ROW()-6)</f>
        <v/>
      </c>
      <c r="B60" s="85"/>
      <c r="C60" s="80"/>
      <c r="D60" s="47" t="str">
        <f aca="false">IF(C60="","",IFERROR(INDEX('Item Master'!$B$6:$B$105,MATCH(C60,'Item Master'!$A$6:$A$105,0)),"?"))</f>
        <v/>
      </c>
      <c r="E60" s="82"/>
      <c r="F60" s="83"/>
      <c r="G60" s="84"/>
      <c r="H60" s="81"/>
      <c r="I60" s="80"/>
      <c r="J60" s="41" t="str">
        <f aca="false">IF(OR(C60="",G60=""),"",N(F60)*N(G60))</f>
        <v/>
      </c>
      <c r="K60" s="48" t="str">
        <f aca="false">IF(M60="","",N(IFERROR(INDEX('Item Master'!$E$6:$E$105,MATCH(C60,'Item Master'!$A$6:$A$105,0)),0))+SUMIFS($F$7:$F$506,$C$7:$C$506,C60,$E$7:$E$506,"In",$M$7:$M$506,"&lt;="&amp;M60)-SUMIFS($F$7:$F$506,$C$7:$C$506,C60,$E$7:$E$506,"Out",$M$7:$M$506,"&lt;="&amp;M60))</f>
        <v/>
      </c>
      <c r="L60" s="44" t="str">
        <f aca="false">IF(AND(B60="",C60="",F60=""),"",IF(C60="","⚠ Pick item",IF(D60="?","⚠ Code not in Item Master",IF(B60="","⚠ Enter date",IF(OR(E60="",N(F60)&lt;=0),"⚠ Type / quantity missing",IF(AND(E60="In",G60=""),"⚠ Enter purchase rate",IF(OR(B60&lt;Setup!$C$6,B60&gt;Setup!$C$7),"Outside period",IF(K60&lt;0,"⚠ Stock goes negative","✔ OK"))))))))</f>
        <v/>
      </c>
      <c r="M60" s="9" t="str">
        <f aca="false">IF(OR(C60="",B60=""),"",B60+ROW()/1000000)</f>
        <v/>
      </c>
      <c r="N60" s="9" t="str">
        <f aca="false">IF(AND(E60="In",M60&lt;&gt;""),SUMIFS($F$7:$F$506,$C$7:$C$506,C60,$E$7:$E$506,"In",$M$7:$M$506,"&gt;"&amp;M60),"")</f>
        <v/>
      </c>
      <c r="O60" s="9" t="str">
        <f aca="false">IF(N60="","",IFERROR(INDEX('Item Master'!$K$6:$K$105,MATCH(C60,'Item Master'!$A$6:$A$105,0)),0))</f>
        <v/>
      </c>
      <c r="P60" s="9" t="n">
        <f aca="false">IF(N60="",0,MAX(0,MIN(N(F60),O60-N60))*N(G60))</f>
        <v>0</v>
      </c>
      <c r="Q60" s="9" t="str">
        <f aca="false">IF(AND(C60&lt;&gt;"",C60='Stock Ledger'!$C$4),M60,"")</f>
        <v/>
      </c>
    </row>
    <row r="61" customFormat="false" ht="15" hidden="false" customHeight="false" outlineLevel="0" collapsed="false">
      <c r="A61" s="45" t="str">
        <f aca="false">IF(C61="","",ROW()-6)</f>
        <v/>
      </c>
      <c r="B61" s="85"/>
      <c r="C61" s="80"/>
      <c r="D61" s="47" t="str">
        <f aca="false">IF(C61="","",IFERROR(INDEX('Item Master'!$B$6:$B$105,MATCH(C61,'Item Master'!$A$6:$A$105,0)),"?"))</f>
        <v/>
      </c>
      <c r="E61" s="82"/>
      <c r="F61" s="83"/>
      <c r="G61" s="84"/>
      <c r="H61" s="81"/>
      <c r="I61" s="80"/>
      <c r="J61" s="41" t="str">
        <f aca="false">IF(OR(C61="",G61=""),"",N(F61)*N(G61))</f>
        <v/>
      </c>
      <c r="K61" s="48" t="str">
        <f aca="false">IF(M61="","",N(IFERROR(INDEX('Item Master'!$E$6:$E$105,MATCH(C61,'Item Master'!$A$6:$A$105,0)),0))+SUMIFS($F$7:$F$506,$C$7:$C$506,C61,$E$7:$E$506,"In",$M$7:$M$506,"&lt;="&amp;M61)-SUMIFS($F$7:$F$506,$C$7:$C$506,C61,$E$7:$E$506,"Out",$M$7:$M$506,"&lt;="&amp;M61))</f>
        <v/>
      </c>
      <c r="L61" s="44" t="str">
        <f aca="false">IF(AND(B61="",C61="",F61=""),"",IF(C61="","⚠ Pick item",IF(D61="?","⚠ Code not in Item Master",IF(B61="","⚠ Enter date",IF(OR(E61="",N(F61)&lt;=0),"⚠ Type / quantity missing",IF(AND(E61="In",G61=""),"⚠ Enter purchase rate",IF(OR(B61&lt;Setup!$C$6,B61&gt;Setup!$C$7),"Outside period",IF(K61&lt;0,"⚠ Stock goes negative","✔ OK"))))))))</f>
        <v/>
      </c>
      <c r="M61" s="9" t="str">
        <f aca="false">IF(OR(C61="",B61=""),"",B61+ROW()/1000000)</f>
        <v/>
      </c>
      <c r="N61" s="9" t="str">
        <f aca="false">IF(AND(E61="In",M61&lt;&gt;""),SUMIFS($F$7:$F$506,$C$7:$C$506,C61,$E$7:$E$506,"In",$M$7:$M$506,"&gt;"&amp;M61),"")</f>
        <v/>
      </c>
      <c r="O61" s="9" t="str">
        <f aca="false">IF(N61="","",IFERROR(INDEX('Item Master'!$K$6:$K$105,MATCH(C61,'Item Master'!$A$6:$A$105,0)),0))</f>
        <v/>
      </c>
      <c r="P61" s="9" t="n">
        <f aca="false">IF(N61="",0,MAX(0,MIN(N(F61),O61-N61))*N(G61))</f>
        <v>0</v>
      </c>
      <c r="Q61" s="9" t="str">
        <f aca="false">IF(AND(C61&lt;&gt;"",C61='Stock Ledger'!$C$4),M61,"")</f>
        <v/>
      </c>
    </row>
    <row r="62" customFormat="false" ht="15" hidden="false" customHeight="false" outlineLevel="0" collapsed="false">
      <c r="A62" s="45" t="str">
        <f aca="false">IF(C62="","",ROW()-6)</f>
        <v/>
      </c>
      <c r="B62" s="85"/>
      <c r="C62" s="80"/>
      <c r="D62" s="47" t="str">
        <f aca="false">IF(C62="","",IFERROR(INDEX('Item Master'!$B$6:$B$105,MATCH(C62,'Item Master'!$A$6:$A$105,0)),"?"))</f>
        <v/>
      </c>
      <c r="E62" s="82"/>
      <c r="F62" s="83"/>
      <c r="G62" s="84"/>
      <c r="H62" s="81"/>
      <c r="I62" s="80"/>
      <c r="J62" s="41" t="str">
        <f aca="false">IF(OR(C62="",G62=""),"",N(F62)*N(G62))</f>
        <v/>
      </c>
      <c r="K62" s="48" t="str">
        <f aca="false">IF(M62="","",N(IFERROR(INDEX('Item Master'!$E$6:$E$105,MATCH(C62,'Item Master'!$A$6:$A$105,0)),0))+SUMIFS($F$7:$F$506,$C$7:$C$506,C62,$E$7:$E$506,"In",$M$7:$M$506,"&lt;="&amp;M62)-SUMIFS($F$7:$F$506,$C$7:$C$506,C62,$E$7:$E$506,"Out",$M$7:$M$506,"&lt;="&amp;M62))</f>
        <v/>
      </c>
      <c r="L62" s="44" t="str">
        <f aca="false">IF(AND(B62="",C62="",F62=""),"",IF(C62="","⚠ Pick item",IF(D62="?","⚠ Code not in Item Master",IF(B62="","⚠ Enter date",IF(OR(E62="",N(F62)&lt;=0),"⚠ Type / quantity missing",IF(AND(E62="In",G62=""),"⚠ Enter purchase rate",IF(OR(B62&lt;Setup!$C$6,B62&gt;Setup!$C$7),"Outside period",IF(K62&lt;0,"⚠ Stock goes negative","✔ OK"))))))))</f>
        <v/>
      </c>
      <c r="M62" s="9" t="str">
        <f aca="false">IF(OR(C62="",B62=""),"",B62+ROW()/1000000)</f>
        <v/>
      </c>
      <c r="N62" s="9" t="str">
        <f aca="false">IF(AND(E62="In",M62&lt;&gt;""),SUMIFS($F$7:$F$506,$C$7:$C$506,C62,$E$7:$E$506,"In",$M$7:$M$506,"&gt;"&amp;M62),"")</f>
        <v/>
      </c>
      <c r="O62" s="9" t="str">
        <f aca="false">IF(N62="","",IFERROR(INDEX('Item Master'!$K$6:$K$105,MATCH(C62,'Item Master'!$A$6:$A$105,0)),0))</f>
        <v/>
      </c>
      <c r="P62" s="9" t="n">
        <f aca="false">IF(N62="",0,MAX(0,MIN(N(F62),O62-N62))*N(G62))</f>
        <v>0</v>
      </c>
      <c r="Q62" s="9" t="str">
        <f aca="false">IF(AND(C62&lt;&gt;"",C62='Stock Ledger'!$C$4),M62,"")</f>
        <v/>
      </c>
    </row>
    <row r="63" customFormat="false" ht="15" hidden="false" customHeight="false" outlineLevel="0" collapsed="false">
      <c r="A63" s="45" t="str">
        <f aca="false">IF(C63="","",ROW()-6)</f>
        <v/>
      </c>
      <c r="B63" s="85"/>
      <c r="C63" s="80"/>
      <c r="D63" s="47" t="str">
        <f aca="false">IF(C63="","",IFERROR(INDEX('Item Master'!$B$6:$B$105,MATCH(C63,'Item Master'!$A$6:$A$105,0)),"?"))</f>
        <v/>
      </c>
      <c r="E63" s="82"/>
      <c r="F63" s="83"/>
      <c r="G63" s="84"/>
      <c r="H63" s="81"/>
      <c r="I63" s="80"/>
      <c r="J63" s="41" t="str">
        <f aca="false">IF(OR(C63="",G63=""),"",N(F63)*N(G63))</f>
        <v/>
      </c>
      <c r="K63" s="48" t="str">
        <f aca="false">IF(M63="","",N(IFERROR(INDEX('Item Master'!$E$6:$E$105,MATCH(C63,'Item Master'!$A$6:$A$105,0)),0))+SUMIFS($F$7:$F$506,$C$7:$C$506,C63,$E$7:$E$506,"In",$M$7:$M$506,"&lt;="&amp;M63)-SUMIFS($F$7:$F$506,$C$7:$C$506,C63,$E$7:$E$506,"Out",$M$7:$M$506,"&lt;="&amp;M63))</f>
        <v/>
      </c>
      <c r="L63" s="44" t="str">
        <f aca="false">IF(AND(B63="",C63="",F63=""),"",IF(C63="","⚠ Pick item",IF(D63="?","⚠ Code not in Item Master",IF(B63="","⚠ Enter date",IF(OR(E63="",N(F63)&lt;=0),"⚠ Type / quantity missing",IF(AND(E63="In",G63=""),"⚠ Enter purchase rate",IF(OR(B63&lt;Setup!$C$6,B63&gt;Setup!$C$7),"Outside period",IF(K63&lt;0,"⚠ Stock goes negative","✔ OK"))))))))</f>
        <v/>
      </c>
      <c r="M63" s="9" t="str">
        <f aca="false">IF(OR(C63="",B63=""),"",B63+ROW()/1000000)</f>
        <v/>
      </c>
      <c r="N63" s="9" t="str">
        <f aca="false">IF(AND(E63="In",M63&lt;&gt;""),SUMIFS($F$7:$F$506,$C$7:$C$506,C63,$E$7:$E$506,"In",$M$7:$M$506,"&gt;"&amp;M63),"")</f>
        <v/>
      </c>
      <c r="O63" s="9" t="str">
        <f aca="false">IF(N63="","",IFERROR(INDEX('Item Master'!$K$6:$K$105,MATCH(C63,'Item Master'!$A$6:$A$105,0)),0))</f>
        <v/>
      </c>
      <c r="P63" s="9" t="n">
        <f aca="false">IF(N63="",0,MAX(0,MIN(N(F63),O63-N63))*N(G63))</f>
        <v>0</v>
      </c>
      <c r="Q63" s="9" t="str">
        <f aca="false">IF(AND(C63&lt;&gt;"",C63='Stock Ledger'!$C$4),M63,"")</f>
        <v/>
      </c>
    </row>
    <row r="64" customFormat="false" ht="15" hidden="false" customHeight="false" outlineLevel="0" collapsed="false">
      <c r="A64" s="45" t="str">
        <f aca="false">IF(C64="","",ROW()-6)</f>
        <v/>
      </c>
      <c r="B64" s="85"/>
      <c r="C64" s="80"/>
      <c r="D64" s="47" t="str">
        <f aca="false">IF(C64="","",IFERROR(INDEX('Item Master'!$B$6:$B$105,MATCH(C64,'Item Master'!$A$6:$A$105,0)),"?"))</f>
        <v/>
      </c>
      <c r="E64" s="82"/>
      <c r="F64" s="83"/>
      <c r="G64" s="84"/>
      <c r="H64" s="81"/>
      <c r="I64" s="80"/>
      <c r="J64" s="41" t="str">
        <f aca="false">IF(OR(C64="",G64=""),"",N(F64)*N(G64))</f>
        <v/>
      </c>
      <c r="K64" s="48" t="str">
        <f aca="false">IF(M64="","",N(IFERROR(INDEX('Item Master'!$E$6:$E$105,MATCH(C64,'Item Master'!$A$6:$A$105,0)),0))+SUMIFS($F$7:$F$506,$C$7:$C$506,C64,$E$7:$E$506,"In",$M$7:$M$506,"&lt;="&amp;M64)-SUMIFS($F$7:$F$506,$C$7:$C$506,C64,$E$7:$E$506,"Out",$M$7:$M$506,"&lt;="&amp;M64))</f>
        <v/>
      </c>
      <c r="L64" s="44" t="str">
        <f aca="false">IF(AND(B64="",C64="",F64=""),"",IF(C64="","⚠ Pick item",IF(D64="?","⚠ Code not in Item Master",IF(B64="","⚠ Enter date",IF(OR(E64="",N(F64)&lt;=0),"⚠ Type / quantity missing",IF(AND(E64="In",G64=""),"⚠ Enter purchase rate",IF(OR(B64&lt;Setup!$C$6,B64&gt;Setup!$C$7),"Outside period",IF(K64&lt;0,"⚠ Stock goes negative","✔ OK"))))))))</f>
        <v/>
      </c>
      <c r="M64" s="9" t="str">
        <f aca="false">IF(OR(C64="",B64=""),"",B64+ROW()/1000000)</f>
        <v/>
      </c>
      <c r="N64" s="9" t="str">
        <f aca="false">IF(AND(E64="In",M64&lt;&gt;""),SUMIFS($F$7:$F$506,$C$7:$C$506,C64,$E$7:$E$506,"In",$M$7:$M$506,"&gt;"&amp;M64),"")</f>
        <v/>
      </c>
      <c r="O64" s="9" t="str">
        <f aca="false">IF(N64="","",IFERROR(INDEX('Item Master'!$K$6:$K$105,MATCH(C64,'Item Master'!$A$6:$A$105,0)),0))</f>
        <v/>
      </c>
      <c r="P64" s="9" t="n">
        <f aca="false">IF(N64="",0,MAX(0,MIN(N(F64),O64-N64))*N(G64))</f>
        <v>0</v>
      </c>
      <c r="Q64" s="9" t="str">
        <f aca="false">IF(AND(C64&lt;&gt;"",C64='Stock Ledger'!$C$4),M64,"")</f>
        <v/>
      </c>
    </row>
    <row r="65" customFormat="false" ht="15" hidden="false" customHeight="false" outlineLevel="0" collapsed="false">
      <c r="A65" s="45" t="str">
        <f aca="false">IF(C65="","",ROW()-6)</f>
        <v/>
      </c>
      <c r="B65" s="85"/>
      <c r="C65" s="80"/>
      <c r="D65" s="47" t="str">
        <f aca="false">IF(C65="","",IFERROR(INDEX('Item Master'!$B$6:$B$105,MATCH(C65,'Item Master'!$A$6:$A$105,0)),"?"))</f>
        <v/>
      </c>
      <c r="E65" s="82"/>
      <c r="F65" s="83"/>
      <c r="G65" s="84"/>
      <c r="H65" s="81"/>
      <c r="I65" s="80"/>
      <c r="J65" s="41" t="str">
        <f aca="false">IF(OR(C65="",G65=""),"",N(F65)*N(G65))</f>
        <v/>
      </c>
      <c r="K65" s="48" t="str">
        <f aca="false">IF(M65="","",N(IFERROR(INDEX('Item Master'!$E$6:$E$105,MATCH(C65,'Item Master'!$A$6:$A$105,0)),0))+SUMIFS($F$7:$F$506,$C$7:$C$506,C65,$E$7:$E$506,"In",$M$7:$M$506,"&lt;="&amp;M65)-SUMIFS($F$7:$F$506,$C$7:$C$506,C65,$E$7:$E$506,"Out",$M$7:$M$506,"&lt;="&amp;M65))</f>
        <v/>
      </c>
      <c r="L65" s="44" t="str">
        <f aca="false">IF(AND(B65="",C65="",F65=""),"",IF(C65="","⚠ Pick item",IF(D65="?","⚠ Code not in Item Master",IF(B65="","⚠ Enter date",IF(OR(E65="",N(F65)&lt;=0),"⚠ Type / quantity missing",IF(AND(E65="In",G65=""),"⚠ Enter purchase rate",IF(OR(B65&lt;Setup!$C$6,B65&gt;Setup!$C$7),"Outside period",IF(K65&lt;0,"⚠ Stock goes negative","✔ OK"))))))))</f>
        <v/>
      </c>
      <c r="M65" s="9" t="str">
        <f aca="false">IF(OR(C65="",B65=""),"",B65+ROW()/1000000)</f>
        <v/>
      </c>
      <c r="N65" s="9" t="str">
        <f aca="false">IF(AND(E65="In",M65&lt;&gt;""),SUMIFS($F$7:$F$506,$C$7:$C$506,C65,$E$7:$E$506,"In",$M$7:$M$506,"&gt;"&amp;M65),"")</f>
        <v/>
      </c>
      <c r="O65" s="9" t="str">
        <f aca="false">IF(N65="","",IFERROR(INDEX('Item Master'!$K$6:$K$105,MATCH(C65,'Item Master'!$A$6:$A$105,0)),0))</f>
        <v/>
      </c>
      <c r="P65" s="9" t="n">
        <f aca="false">IF(N65="",0,MAX(0,MIN(N(F65),O65-N65))*N(G65))</f>
        <v>0</v>
      </c>
      <c r="Q65" s="9" t="str">
        <f aca="false">IF(AND(C65&lt;&gt;"",C65='Stock Ledger'!$C$4),M65,"")</f>
        <v/>
      </c>
    </row>
    <row r="66" customFormat="false" ht="15" hidden="false" customHeight="false" outlineLevel="0" collapsed="false">
      <c r="A66" s="45" t="str">
        <f aca="false">IF(C66="","",ROW()-6)</f>
        <v/>
      </c>
      <c r="B66" s="85"/>
      <c r="C66" s="80"/>
      <c r="D66" s="47" t="str">
        <f aca="false">IF(C66="","",IFERROR(INDEX('Item Master'!$B$6:$B$105,MATCH(C66,'Item Master'!$A$6:$A$105,0)),"?"))</f>
        <v/>
      </c>
      <c r="E66" s="82"/>
      <c r="F66" s="83"/>
      <c r="G66" s="84"/>
      <c r="H66" s="81"/>
      <c r="I66" s="80"/>
      <c r="J66" s="41" t="str">
        <f aca="false">IF(OR(C66="",G66=""),"",N(F66)*N(G66))</f>
        <v/>
      </c>
      <c r="K66" s="48" t="str">
        <f aca="false">IF(M66="","",N(IFERROR(INDEX('Item Master'!$E$6:$E$105,MATCH(C66,'Item Master'!$A$6:$A$105,0)),0))+SUMIFS($F$7:$F$506,$C$7:$C$506,C66,$E$7:$E$506,"In",$M$7:$M$506,"&lt;="&amp;M66)-SUMIFS($F$7:$F$506,$C$7:$C$506,C66,$E$7:$E$506,"Out",$M$7:$M$506,"&lt;="&amp;M66))</f>
        <v/>
      </c>
      <c r="L66" s="44" t="str">
        <f aca="false">IF(AND(B66="",C66="",F66=""),"",IF(C66="","⚠ Pick item",IF(D66="?","⚠ Code not in Item Master",IF(B66="","⚠ Enter date",IF(OR(E66="",N(F66)&lt;=0),"⚠ Type / quantity missing",IF(AND(E66="In",G66=""),"⚠ Enter purchase rate",IF(OR(B66&lt;Setup!$C$6,B66&gt;Setup!$C$7),"Outside period",IF(K66&lt;0,"⚠ Stock goes negative","✔ OK"))))))))</f>
        <v/>
      </c>
      <c r="M66" s="9" t="str">
        <f aca="false">IF(OR(C66="",B66=""),"",B66+ROW()/1000000)</f>
        <v/>
      </c>
      <c r="N66" s="9" t="str">
        <f aca="false">IF(AND(E66="In",M66&lt;&gt;""),SUMIFS($F$7:$F$506,$C$7:$C$506,C66,$E$7:$E$506,"In",$M$7:$M$506,"&gt;"&amp;M66),"")</f>
        <v/>
      </c>
      <c r="O66" s="9" t="str">
        <f aca="false">IF(N66="","",IFERROR(INDEX('Item Master'!$K$6:$K$105,MATCH(C66,'Item Master'!$A$6:$A$105,0)),0))</f>
        <v/>
      </c>
      <c r="P66" s="9" t="n">
        <f aca="false">IF(N66="",0,MAX(0,MIN(N(F66),O66-N66))*N(G66))</f>
        <v>0</v>
      </c>
      <c r="Q66" s="9" t="str">
        <f aca="false">IF(AND(C66&lt;&gt;"",C66='Stock Ledger'!$C$4),M66,"")</f>
        <v/>
      </c>
    </row>
    <row r="67" customFormat="false" ht="15" hidden="false" customHeight="false" outlineLevel="0" collapsed="false">
      <c r="A67" s="45" t="str">
        <f aca="false">IF(C67="","",ROW()-6)</f>
        <v/>
      </c>
      <c r="B67" s="85"/>
      <c r="C67" s="80"/>
      <c r="D67" s="47" t="str">
        <f aca="false">IF(C67="","",IFERROR(INDEX('Item Master'!$B$6:$B$105,MATCH(C67,'Item Master'!$A$6:$A$105,0)),"?"))</f>
        <v/>
      </c>
      <c r="E67" s="82"/>
      <c r="F67" s="83"/>
      <c r="G67" s="84"/>
      <c r="H67" s="81"/>
      <c r="I67" s="80"/>
      <c r="J67" s="41" t="str">
        <f aca="false">IF(OR(C67="",G67=""),"",N(F67)*N(G67))</f>
        <v/>
      </c>
      <c r="K67" s="48" t="str">
        <f aca="false">IF(M67="","",N(IFERROR(INDEX('Item Master'!$E$6:$E$105,MATCH(C67,'Item Master'!$A$6:$A$105,0)),0))+SUMIFS($F$7:$F$506,$C$7:$C$506,C67,$E$7:$E$506,"In",$M$7:$M$506,"&lt;="&amp;M67)-SUMIFS($F$7:$F$506,$C$7:$C$506,C67,$E$7:$E$506,"Out",$M$7:$M$506,"&lt;="&amp;M67))</f>
        <v/>
      </c>
      <c r="L67" s="44" t="str">
        <f aca="false">IF(AND(B67="",C67="",F67=""),"",IF(C67="","⚠ Pick item",IF(D67="?","⚠ Code not in Item Master",IF(B67="","⚠ Enter date",IF(OR(E67="",N(F67)&lt;=0),"⚠ Type / quantity missing",IF(AND(E67="In",G67=""),"⚠ Enter purchase rate",IF(OR(B67&lt;Setup!$C$6,B67&gt;Setup!$C$7),"Outside period",IF(K67&lt;0,"⚠ Stock goes negative","✔ OK"))))))))</f>
        <v/>
      </c>
      <c r="M67" s="9" t="str">
        <f aca="false">IF(OR(C67="",B67=""),"",B67+ROW()/1000000)</f>
        <v/>
      </c>
      <c r="N67" s="9" t="str">
        <f aca="false">IF(AND(E67="In",M67&lt;&gt;""),SUMIFS($F$7:$F$506,$C$7:$C$506,C67,$E$7:$E$506,"In",$M$7:$M$506,"&gt;"&amp;M67),"")</f>
        <v/>
      </c>
      <c r="O67" s="9" t="str">
        <f aca="false">IF(N67="","",IFERROR(INDEX('Item Master'!$K$6:$K$105,MATCH(C67,'Item Master'!$A$6:$A$105,0)),0))</f>
        <v/>
      </c>
      <c r="P67" s="9" t="n">
        <f aca="false">IF(N67="",0,MAX(0,MIN(N(F67),O67-N67))*N(G67))</f>
        <v>0</v>
      </c>
      <c r="Q67" s="9" t="str">
        <f aca="false">IF(AND(C67&lt;&gt;"",C67='Stock Ledger'!$C$4),M67,"")</f>
        <v/>
      </c>
    </row>
    <row r="68" customFormat="false" ht="15" hidden="false" customHeight="false" outlineLevel="0" collapsed="false">
      <c r="A68" s="45" t="str">
        <f aca="false">IF(C68="","",ROW()-6)</f>
        <v/>
      </c>
      <c r="B68" s="85"/>
      <c r="C68" s="80"/>
      <c r="D68" s="47" t="str">
        <f aca="false">IF(C68="","",IFERROR(INDEX('Item Master'!$B$6:$B$105,MATCH(C68,'Item Master'!$A$6:$A$105,0)),"?"))</f>
        <v/>
      </c>
      <c r="E68" s="82"/>
      <c r="F68" s="83"/>
      <c r="G68" s="84"/>
      <c r="H68" s="81"/>
      <c r="I68" s="80"/>
      <c r="J68" s="41" t="str">
        <f aca="false">IF(OR(C68="",G68=""),"",N(F68)*N(G68))</f>
        <v/>
      </c>
      <c r="K68" s="48" t="str">
        <f aca="false">IF(M68="","",N(IFERROR(INDEX('Item Master'!$E$6:$E$105,MATCH(C68,'Item Master'!$A$6:$A$105,0)),0))+SUMIFS($F$7:$F$506,$C$7:$C$506,C68,$E$7:$E$506,"In",$M$7:$M$506,"&lt;="&amp;M68)-SUMIFS($F$7:$F$506,$C$7:$C$506,C68,$E$7:$E$506,"Out",$M$7:$M$506,"&lt;="&amp;M68))</f>
        <v/>
      </c>
      <c r="L68" s="44" t="str">
        <f aca="false">IF(AND(B68="",C68="",F68=""),"",IF(C68="","⚠ Pick item",IF(D68="?","⚠ Code not in Item Master",IF(B68="","⚠ Enter date",IF(OR(E68="",N(F68)&lt;=0),"⚠ Type / quantity missing",IF(AND(E68="In",G68=""),"⚠ Enter purchase rate",IF(OR(B68&lt;Setup!$C$6,B68&gt;Setup!$C$7),"Outside period",IF(K68&lt;0,"⚠ Stock goes negative","✔ OK"))))))))</f>
        <v/>
      </c>
      <c r="M68" s="9" t="str">
        <f aca="false">IF(OR(C68="",B68=""),"",B68+ROW()/1000000)</f>
        <v/>
      </c>
      <c r="N68" s="9" t="str">
        <f aca="false">IF(AND(E68="In",M68&lt;&gt;""),SUMIFS($F$7:$F$506,$C$7:$C$506,C68,$E$7:$E$506,"In",$M$7:$M$506,"&gt;"&amp;M68),"")</f>
        <v/>
      </c>
      <c r="O68" s="9" t="str">
        <f aca="false">IF(N68="","",IFERROR(INDEX('Item Master'!$K$6:$K$105,MATCH(C68,'Item Master'!$A$6:$A$105,0)),0))</f>
        <v/>
      </c>
      <c r="P68" s="9" t="n">
        <f aca="false">IF(N68="",0,MAX(0,MIN(N(F68),O68-N68))*N(G68))</f>
        <v>0</v>
      </c>
      <c r="Q68" s="9" t="str">
        <f aca="false">IF(AND(C68&lt;&gt;"",C68='Stock Ledger'!$C$4),M68,"")</f>
        <v/>
      </c>
    </row>
    <row r="69" customFormat="false" ht="15" hidden="false" customHeight="false" outlineLevel="0" collapsed="false">
      <c r="A69" s="45" t="str">
        <f aca="false">IF(C69="","",ROW()-6)</f>
        <v/>
      </c>
      <c r="B69" s="85"/>
      <c r="C69" s="80"/>
      <c r="D69" s="47" t="str">
        <f aca="false">IF(C69="","",IFERROR(INDEX('Item Master'!$B$6:$B$105,MATCH(C69,'Item Master'!$A$6:$A$105,0)),"?"))</f>
        <v/>
      </c>
      <c r="E69" s="82"/>
      <c r="F69" s="83"/>
      <c r="G69" s="84"/>
      <c r="H69" s="81"/>
      <c r="I69" s="80"/>
      <c r="J69" s="41" t="str">
        <f aca="false">IF(OR(C69="",G69=""),"",N(F69)*N(G69))</f>
        <v/>
      </c>
      <c r="K69" s="48" t="str">
        <f aca="false">IF(M69="","",N(IFERROR(INDEX('Item Master'!$E$6:$E$105,MATCH(C69,'Item Master'!$A$6:$A$105,0)),0))+SUMIFS($F$7:$F$506,$C$7:$C$506,C69,$E$7:$E$506,"In",$M$7:$M$506,"&lt;="&amp;M69)-SUMIFS($F$7:$F$506,$C$7:$C$506,C69,$E$7:$E$506,"Out",$M$7:$M$506,"&lt;="&amp;M69))</f>
        <v/>
      </c>
      <c r="L69" s="44" t="str">
        <f aca="false">IF(AND(B69="",C69="",F69=""),"",IF(C69="","⚠ Pick item",IF(D69="?","⚠ Code not in Item Master",IF(B69="","⚠ Enter date",IF(OR(E69="",N(F69)&lt;=0),"⚠ Type / quantity missing",IF(AND(E69="In",G69=""),"⚠ Enter purchase rate",IF(OR(B69&lt;Setup!$C$6,B69&gt;Setup!$C$7),"Outside period",IF(K69&lt;0,"⚠ Stock goes negative","✔ OK"))))))))</f>
        <v/>
      </c>
      <c r="M69" s="9" t="str">
        <f aca="false">IF(OR(C69="",B69=""),"",B69+ROW()/1000000)</f>
        <v/>
      </c>
      <c r="N69" s="9" t="str">
        <f aca="false">IF(AND(E69="In",M69&lt;&gt;""),SUMIFS($F$7:$F$506,$C$7:$C$506,C69,$E$7:$E$506,"In",$M$7:$M$506,"&gt;"&amp;M69),"")</f>
        <v/>
      </c>
      <c r="O69" s="9" t="str">
        <f aca="false">IF(N69="","",IFERROR(INDEX('Item Master'!$K$6:$K$105,MATCH(C69,'Item Master'!$A$6:$A$105,0)),0))</f>
        <v/>
      </c>
      <c r="P69" s="9" t="n">
        <f aca="false">IF(N69="",0,MAX(0,MIN(N(F69),O69-N69))*N(G69))</f>
        <v>0</v>
      </c>
      <c r="Q69" s="9" t="str">
        <f aca="false">IF(AND(C69&lt;&gt;"",C69='Stock Ledger'!$C$4),M69,"")</f>
        <v/>
      </c>
    </row>
    <row r="70" customFormat="false" ht="15" hidden="false" customHeight="false" outlineLevel="0" collapsed="false">
      <c r="A70" s="45" t="str">
        <f aca="false">IF(C70="","",ROW()-6)</f>
        <v/>
      </c>
      <c r="B70" s="85"/>
      <c r="C70" s="80"/>
      <c r="D70" s="47" t="str">
        <f aca="false">IF(C70="","",IFERROR(INDEX('Item Master'!$B$6:$B$105,MATCH(C70,'Item Master'!$A$6:$A$105,0)),"?"))</f>
        <v/>
      </c>
      <c r="E70" s="82"/>
      <c r="F70" s="83"/>
      <c r="G70" s="84"/>
      <c r="H70" s="81"/>
      <c r="I70" s="80"/>
      <c r="J70" s="41" t="str">
        <f aca="false">IF(OR(C70="",G70=""),"",N(F70)*N(G70))</f>
        <v/>
      </c>
      <c r="K70" s="48" t="str">
        <f aca="false">IF(M70="","",N(IFERROR(INDEX('Item Master'!$E$6:$E$105,MATCH(C70,'Item Master'!$A$6:$A$105,0)),0))+SUMIFS($F$7:$F$506,$C$7:$C$506,C70,$E$7:$E$506,"In",$M$7:$M$506,"&lt;="&amp;M70)-SUMIFS($F$7:$F$506,$C$7:$C$506,C70,$E$7:$E$506,"Out",$M$7:$M$506,"&lt;="&amp;M70))</f>
        <v/>
      </c>
      <c r="L70" s="44" t="str">
        <f aca="false">IF(AND(B70="",C70="",F70=""),"",IF(C70="","⚠ Pick item",IF(D70="?","⚠ Code not in Item Master",IF(B70="","⚠ Enter date",IF(OR(E70="",N(F70)&lt;=0),"⚠ Type / quantity missing",IF(AND(E70="In",G70=""),"⚠ Enter purchase rate",IF(OR(B70&lt;Setup!$C$6,B70&gt;Setup!$C$7),"Outside period",IF(K70&lt;0,"⚠ Stock goes negative","✔ OK"))))))))</f>
        <v/>
      </c>
      <c r="M70" s="9" t="str">
        <f aca="false">IF(OR(C70="",B70=""),"",B70+ROW()/1000000)</f>
        <v/>
      </c>
      <c r="N70" s="9" t="str">
        <f aca="false">IF(AND(E70="In",M70&lt;&gt;""),SUMIFS($F$7:$F$506,$C$7:$C$506,C70,$E$7:$E$506,"In",$M$7:$M$506,"&gt;"&amp;M70),"")</f>
        <v/>
      </c>
      <c r="O70" s="9" t="str">
        <f aca="false">IF(N70="","",IFERROR(INDEX('Item Master'!$K$6:$K$105,MATCH(C70,'Item Master'!$A$6:$A$105,0)),0))</f>
        <v/>
      </c>
      <c r="P70" s="9" t="n">
        <f aca="false">IF(N70="",0,MAX(0,MIN(N(F70),O70-N70))*N(G70))</f>
        <v>0</v>
      </c>
      <c r="Q70" s="9" t="str">
        <f aca="false">IF(AND(C70&lt;&gt;"",C70='Stock Ledger'!$C$4),M70,"")</f>
        <v/>
      </c>
    </row>
    <row r="71" customFormat="false" ht="15" hidden="false" customHeight="false" outlineLevel="0" collapsed="false">
      <c r="A71" s="45" t="str">
        <f aca="false">IF(C71="","",ROW()-6)</f>
        <v/>
      </c>
      <c r="B71" s="85"/>
      <c r="C71" s="80"/>
      <c r="D71" s="47" t="str">
        <f aca="false">IF(C71="","",IFERROR(INDEX('Item Master'!$B$6:$B$105,MATCH(C71,'Item Master'!$A$6:$A$105,0)),"?"))</f>
        <v/>
      </c>
      <c r="E71" s="82"/>
      <c r="F71" s="83"/>
      <c r="G71" s="84"/>
      <c r="H71" s="81"/>
      <c r="I71" s="80"/>
      <c r="J71" s="41" t="str">
        <f aca="false">IF(OR(C71="",G71=""),"",N(F71)*N(G71))</f>
        <v/>
      </c>
      <c r="K71" s="48" t="str">
        <f aca="false">IF(M71="","",N(IFERROR(INDEX('Item Master'!$E$6:$E$105,MATCH(C71,'Item Master'!$A$6:$A$105,0)),0))+SUMIFS($F$7:$F$506,$C$7:$C$506,C71,$E$7:$E$506,"In",$M$7:$M$506,"&lt;="&amp;M71)-SUMIFS($F$7:$F$506,$C$7:$C$506,C71,$E$7:$E$506,"Out",$M$7:$M$506,"&lt;="&amp;M71))</f>
        <v/>
      </c>
      <c r="L71" s="44" t="str">
        <f aca="false">IF(AND(B71="",C71="",F71=""),"",IF(C71="","⚠ Pick item",IF(D71="?","⚠ Code not in Item Master",IF(B71="","⚠ Enter date",IF(OR(E71="",N(F71)&lt;=0),"⚠ Type / quantity missing",IF(AND(E71="In",G71=""),"⚠ Enter purchase rate",IF(OR(B71&lt;Setup!$C$6,B71&gt;Setup!$C$7),"Outside period",IF(K71&lt;0,"⚠ Stock goes negative","✔ OK"))))))))</f>
        <v/>
      </c>
      <c r="M71" s="9" t="str">
        <f aca="false">IF(OR(C71="",B71=""),"",B71+ROW()/1000000)</f>
        <v/>
      </c>
      <c r="N71" s="9" t="str">
        <f aca="false">IF(AND(E71="In",M71&lt;&gt;""),SUMIFS($F$7:$F$506,$C$7:$C$506,C71,$E$7:$E$506,"In",$M$7:$M$506,"&gt;"&amp;M71),"")</f>
        <v/>
      </c>
      <c r="O71" s="9" t="str">
        <f aca="false">IF(N71="","",IFERROR(INDEX('Item Master'!$K$6:$K$105,MATCH(C71,'Item Master'!$A$6:$A$105,0)),0))</f>
        <v/>
      </c>
      <c r="P71" s="9" t="n">
        <f aca="false">IF(N71="",0,MAX(0,MIN(N(F71),O71-N71))*N(G71))</f>
        <v>0</v>
      </c>
      <c r="Q71" s="9" t="str">
        <f aca="false">IF(AND(C71&lt;&gt;"",C71='Stock Ledger'!$C$4),M71,"")</f>
        <v/>
      </c>
    </row>
    <row r="72" customFormat="false" ht="15" hidden="false" customHeight="false" outlineLevel="0" collapsed="false">
      <c r="A72" s="45" t="str">
        <f aca="false">IF(C72="","",ROW()-6)</f>
        <v/>
      </c>
      <c r="B72" s="85"/>
      <c r="C72" s="80"/>
      <c r="D72" s="47" t="str">
        <f aca="false">IF(C72="","",IFERROR(INDEX('Item Master'!$B$6:$B$105,MATCH(C72,'Item Master'!$A$6:$A$105,0)),"?"))</f>
        <v/>
      </c>
      <c r="E72" s="82"/>
      <c r="F72" s="83"/>
      <c r="G72" s="84"/>
      <c r="H72" s="81"/>
      <c r="I72" s="80"/>
      <c r="J72" s="41" t="str">
        <f aca="false">IF(OR(C72="",G72=""),"",N(F72)*N(G72))</f>
        <v/>
      </c>
      <c r="K72" s="48" t="str">
        <f aca="false">IF(M72="","",N(IFERROR(INDEX('Item Master'!$E$6:$E$105,MATCH(C72,'Item Master'!$A$6:$A$105,0)),0))+SUMIFS($F$7:$F$506,$C$7:$C$506,C72,$E$7:$E$506,"In",$M$7:$M$506,"&lt;="&amp;M72)-SUMIFS($F$7:$F$506,$C$7:$C$506,C72,$E$7:$E$506,"Out",$M$7:$M$506,"&lt;="&amp;M72))</f>
        <v/>
      </c>
      <c r="L72" s="44" t="str">
        <f aca="false">IF(AND(B72="",C72="",F72=""),"",IF(C72="","⚠ Pick item",IF(D72="?","⚠ Code not in Item Master",IF(B72="","⚠ Enter date",IF(OR(E72="",N(F72)&lt;=0),"⚠ Type / quantity missing",IF(AND(E72="In",G72=""),"⚠ Enter purchase rate",IF(OR(B72&lt;Setup!$C$6,B72&gt;Setup!$C$7),"Outside period",IF(K72&lt;0,"⚠ Stock goes negative","✔ OK"))))))))</f>
        <v/>
      </c>
      <c r="M72" s="9" t="str">
        <f aca="false">IF(OR(C72="",B72=""),"",B72+ROW()/1000000)</f>
        <v/>
      </c>
      <c r="N72" s="9" t="str">
        <f aca="false">IF(AND(E72="In",M72&lt;&gt;""),SUMIFS($F$7:$F$506,$C$7:$C$506,C72,$E$7:$E$506,"In",$M$7:$M$506,"&gt;"&amp;M72),"")</f>
        <v/>
      </c>
      <c r="O72" s="9" t="str">
        <f aca="false">IF(N72="","",IFERROR(INDEX('Item Master'!$K$6:$K$105,MATCH(C72,'Item Master'!$A$6:$A$105,0)),0))</f>
        <v/>
      </c>
      <c r="P72" s="9" t="n">
        <f aca="false">IF(N72="",0,MAX(0,MIN(N(F72),O72-N72))*N(G72))</f>
        <v>0</v>
      </c>
      <c r="Q72" s="9" t="str">
        <f aca="false">IF(AND(C72&lt;&gt;"",C72='Stock Ledger'!$C$4),M72,"")</f>
        <v/>
      </c>
    </row>
    <row r="73" customFormat="false" ht="15" hidden="false" customHeight="false" outlineLevel="0" collapsed="false">
      <c r="A73" s="45" t="str">
        <f aca="false">IF(C73="","",ROW()-6)</f>
        <v/>
      </c>
      <c r="B73" s="85"/>
      <c r="C73" s="80"/>
      <c r="D73" s="47" t="str">
        <f aca="false">IF(C73="","",IFERROR(INDEX('Item Master'!$B$6:$B$105,MATCH(C73,'Item Master'!$A$6:$A$105,0)),"?"))</f>
        <v/>
      </c>
      <c r="E73" s="82"/>
      <c r="F73" s="83"/>
      <c r="G73" s="84"/>
      <c r="H73" s="81"/>
      <c r="I73" s="80"/>
      <c r="J73" s="41" t="str">
        <f aca="false">IF(OR(C73="",G73=""),"",N(F73)*N(G73))</f>
        <v/>
      </c>
      <c r="K73" s="48" t="str">
        <f aca="false">IF(M73="","",N(IFERROR(INDEX('Item Master'!$E$6:$E$105,MATCH(C73,'Item Master'!$A$6:$A$105,0)),0))+SUMIFS($F$7:$F$506,$C$7:$C$506,C73,$E$7:$E$506,"In",$M$7:$M$506,"&lt;="&amp;M73)-SUMIFS($F$7:$F$506,$C$7:$C$506,C73,$E$7:$E$506,"Out",$M$7:$M$506,"&lt;="&amp;M73))</f>
        <v/>
      </c>
      <c r="L73" s="44" t="str">
        <f aca="false">IF(AND(B73="",C73="",F73=""),"",IF(C73="","⚠ Pick item",IF(D73="?","⚠ Code not in Item Master",IF(B73="","⚠ Enter date",IF(OR(E73="",N(F73)&lt;=0),"⚠ Type / quantity missing",IF(AND(E73="In",G73=""),"⚠ Enter purchase rate",IF(OR(B73&lt;Setup!$C$6,B73&gt;Setup!$C$7),"Outside period",IF(K73&lt;0,"⚠ Stock goes negative","✔ OK"))))))))</f>
        <v/>
      </c>
      <c r="M73" s="9" t="str">
        <f aca="false">IF(OR(C73="",B73=""),"",B73+ROW()/1000000)</f>
        <v/>
      </c>
      <c r="N73" s="9" t="str">
        <f aca="false">IF(AND(E73="In",M73&lt;&gt;""),SUMIFS($F$7:$F$506,$C$7:$C$506,C73,$E$7:$E$506,"In",$M$7:$M$506,"&gt;"&amp;M73),"")</f>
        <v/>
      </c>
      <c r="O73" s="9" t="str">
        <f aca="false">IF(N73="","",IFERROR(INDEX('Item Master'!$K$6:$K$105,MATCH(C73,'Item Master'!$A$6:$A$105,0)),0))</f>
        <v/>
      </c>
      <c r="P73" s="9" t="n">
        <f aca="false">IF(N73="",0,MAX(0,MIN(N(F73),O73-N73))*N(G73))</f>
        <v>0</v>
      </c>
      <c r="Q73" s="9" t="str">
        <f aca="false">IF(AND(C73&lt;&gt;"",C73='Stock Ledger'!$C$4),M73,"")</f>
        <v/>
      </c>
    </row>
    <row r="74" customFormat="false" ht="15" hidden="false" customHeight="false" outlineLevel="0" collapsed="false">
      <c r="A74" s="45" t="str">
        <f aca="false">IF(C74="","",ROW()-6)</f>
        <v/>
      </c>
      <c r="B74" s="85"/>
      <c r="C74" s="80"/>
      <c r="D74" s="47" t="str">
        <f aca="false">IF(C74="","",IFERROR(INDEX('Item Master'!$B$6:$B$105,MATCH(C74,'Item Master'!$A$6:$A$105,0)),"?"))</f>
        <v/>
      </c>
      <c r="E74" s="82"/>
      <c r="F74" s="83"/>
      <c r="G74" s="84"/>
      <c r="H74" s="81"/>
      <c r="I74" s="80"/>
      <c r="J74" s="41" t="str">
        <f aca="false">IF(OR(C74="",G74=""),"",N(F74)*N(G74))</f>
        <v/>
      </c>
      <c r="K74" s="48" t="str">
        <f aca="false">IF(M74="","",N(IFERROR(INDEX('Item Master'!$E$6:$E$105,MATCH(C74,'Item Master'!$A$6:$A$105,0)),0))+SUMIFS($F$7:$F$506,$C$7:$C$506,C74,$E$7:$E$506,"In",$M$7:$M$506,"&lt;="&amp;M74)-SUMIFS($F$7:$F$506,$C$7:$C$506,C74,$E$7:$E$506,"Out",$M$7:$M$506,"&lt;="&amp;M74))</f>
        <v/>
      </c>
      <c r="L74" s="44" t="str">
        <f aca="false">IF(AND(B74="",C74="",F74=""),"",IF(C74="","⚠ Pick item",IF(D74="?","⚠ Code not in Item Master",IF(B74="","⚠ Enter date",IF(OR(E74="",N(F74)&lt;=0),"⚠ Type / quantity missing",IF(AND(E74="In",G74=""),"⚠ Enter purchase rate",IF(OR(B74&lt;Setup!$C$6,B74&gt;Setup!$C$7),"Outside period",IF(K74&lt;0,"⚠ Stock goes negative","✔ OK"))))))))</f>
        <v/>
      </c>
      <c r="M74" s="9" t="str">
        <f aca="false">IF(OR(C74="",B74=""),"",B74+ROW()/1000000)</f>
        <v/>
      </c>
      <c r="N74" s="9" t="str">
        <f aca="false">IF(AND(E74="In",M74&lt;&gt;""),SUMIFS($F$7:$F$506,$C$7:$C$506,C74,$E$7:$E$506,"In",$M$7:$M$506,"&gt;"&amp;M74),"")</f>
        <v/>
      </c>
      <c r="O74" s="9" t="str">
        <f aca="false">IF(N74="","",IFERROR(INDEX('Item Master'!$K$6:$K$105,MATCH(C74,'Item Master'!$A$6:$A$105,0)),0))</f>
        <v/>
      </c>
      <c r="P74" s="9" t="n">
        <f aca="false">IF(N74="",0,MAX(0,MIN(N(F74),O74-N74))*N(G74))</f>
        <v>0</v>
      </c>
      <c r="Q74" s="9" t="str">
        <f aca="false">IF(AND(C74&lt;&gt;"",C74='Stock Ledger'!$C$4),M74,"")</f>
        <v/>
      </c>
    </row>
    <row r="75" customFormat="false" ht="15" hidden="false" customHeight="false" outlineLevel="0" collapsed="false">
      <c r="A75" s="45" t="str">
        <f aca="false">IF(C75="","",ROW()-6)</f>
        <v/>
      </c>
      <c r="B75" s="85"/>
      <c r="C75" s="80"/>
      <c r="D75" s="47" t="str">
        <f aca="false">IF(C75="","",IFERROR(INDEX('Item Master'!$B$6:$B$105,MATCH(C75,'Item Master'!$A$6:$A$105,0)),"?"))</f>
        <v/>
      </c>
      <c r="E75" s="82"/>
      <c r="F75" s="83"/>
      <c r="G75" s="84"/>
      <c r="H75" s="81"/>
      <c r="I75" s="80"/>
      <c r="J75" s="41" t="str">
        <f aca="false">IF(OR(C75="",G75=""),"",N(F75)*N(G75))</f>
        <v/>
      </c>
      <c r="K75" s="48" t="str">
        <f aca="false">IF(M75="","",N(IFERROR(INDEX('Item Master'!$E$6:$E$105,MATCH(C75,'Item Master'!$A$6:$A$105,0)),0))+SUMIFS($F$7:$F$506,$C$7:$C$506,C75,$E$7:$E$506,"In",$M$7:$M$506,"&lt;="&amp;M75)-SUMIFS($F$7:$F$506,$C$7:$C$506,C75,$E$7:$E$506,"Out",$M$7:$M$506,"&lt;="&amp;M75))</f>
        <v/>
      </c>
      <c r="L75" s="44" t="str">
        <f aca="false">IF(AND(B75="",C75="",F75=""),"",IF(C75="","⚠ Pick item",IF(D75="?","⚠ Code not in Item Master",IF(B75="","⚠ Enter date",IF(OR(E75="",N(F75)&lt;=0),"⚠ Type / quantity missing",IF(AND(E75="In",G75=""),"⚠ Enter purchase rate",IF(OR(B75&lt;Setup!$C$6,B75&gt;Setup!$C$7),"Outside period",IF(K75&lt;0,"⚠ Stock goes negative","✔ OK"))))))))</f>
        <v/>
      </c>
      <c r="M75" s="9" t="str">
        <f aca="false">IF(OR(C75="",B75=""),"",B75+ROW()/1000000)</f>
        <v/>
      </c>
      <c r="N75" s="9" t="str">
        <f aca="false">IF(AND(E75="In",M75&lt;&gt;""),SUMIFS($F$7:$F$506,$C$7:$C$506,C75,$E$7:$E$506,"In",$M$7:$M$506,"&gt;"&amp;M75),"")</f>
        <v/>
      </c>
      <c r="O75" s="9" t="str">
        <f aca="false">IF(N75="","",IFERROR(INDEX('Item Master'!$K$6:$K$105,MATCH(C75,'Item Master'!$A$6:$A$105,0)),0))</f>
        <v/>
      </c>
      <c r="P75" s="9" t="n">
        <f aca="false">IF(N75="",0,MAX(0,MIN(N(F75),O75-N75))*N(G75))</f>
        <v>0</v>
      </c>
      <c r="Q75" s="9" t="str">
        <f aca="false">IF(AND(C75&lt;&gt;"",C75='Stock Ledger'!$C$4),M75,"")</f>
        <v/>
      </c>
    </row>
    <row r="76" customFormat="false" ht="15" hidden="false" customHeight="false" outlineLevel="0" collapsed="false">
      <c r="A76" s="45" t="str">
        <f aca="false">IF(C76="","",ROW()-6)</f>
        <v/>
      </c>
      <c r="B76" s="85"/>
      <c r="C76" s="80"/>
      <c r="D76" s="47" t="str">
        <f aca="false">IF(C76="","",IFERROR(INDEX('Item Master'!$B$6:$B$105,MATCH(C76,'Item Master'!$A$6:$A$105,0)),"?"))</f>
        <v/>
      </c>
      <c r="E76" s="82"/>
      <c r="F76" s="83"/>
      <c r="G76" s="84"/>
      <c r="H76" s="81"/>
      <c r="I76" s="80"/>
      <c r="J76" s="41" t="str">
        <f aca="false">IF(OR(C76="",G76=""),"",N(F76)*N(G76))</f>
        <v/>
      </c>
      <c r="K76" s="48" t="str">
        <f aca="false">IF(M76="","",N(IFERROR(INDEX('Item Master'!$E$6:$E$105,MATCH(C76,'Item Master'!$A$6:$A$105,0)),0))+SUMIFS($F$7:$F$506,$C$7:$C$506,C76,$E$7:$E$506,"In",$M$7:$M$506,"&lt;="&amp;M76)-SUMIFS($F$7:$F$506,$C$7:$C$506,C76,$E$7:$E$506,"Out",$M$7:$M$506,"&lt;="&amp;M76))</f>
        <v/>
      </c>
      <c r="L76" s="44" t="str">
        <f aca="false">IF(AND(B76="",C76="",F76=""),"",IF(C76="","⚠ Pick item",IF(D76="?","⚠ Code not in Item Master",IF(B76="","⚠ Enter date",IF(OR(E76="",N(F76)&lt;=0),"⚠ Type / quantity missing",IF(AND(E76="In",G76=""),"⚠ Enter purchase rate",IF(OR(B76&lt;Setup!$C$6,B76&gt;Setup!$C$7),"Outside period",IF(K76&lt;0,"⚠ Stock goes negative","✔ OK"))))))))</f>
        <v/>
      </c>
      <c r="M76" s="9" t="str">
        <f aca="false">IF(OR(C76="",B76=""),"",B76+ROW()/1000000)</f>
        <v/>
      </c>
      <c r="N76" s="9" t="str">
        <f aca="false">IF(AND(E76="In",M76&lt;&gt;""),SUMIFS($F$7:$F$506,$C$7:$C$506,C76,$E$7:$E$506,"In",$M$7:$M$506,"&gt;"&amp;M76),"")</f>
        <v/>
      </c>
      <c r="O76" s="9" t="str">
        <f aca="false">IF(N76="","",IFERROR(INDEX('Item Master'!$K$6:$K$105,MATCH(C76,'Item Master'!$A$6:$A$105,0)),0))</f>
        <v/>
      </c>
      <c r="P76" s="9" t="n">
        <f aca="false">IF(N76="",0,MAX(0,MIN(N(F76),O76-N76))*N(G76))</f>
        <v>0</v>
      </c>
      <c r="Q76" s="9" t="str">
        <f aca="false">IF(AND(C76&lt;&gt;"",C76='Stock Ledger'!$C$4),M76,"")</f>
        <v/>
      </c>
    </row>
    <row r="77" customFormat="false" ht="15" hidden="false" customHeight="false" outlineLevel="0" collapsed="false">
      <c r="A77" s="45" t="str">
        <f aca="false">IF(C77="","",ROW()-6)</f>
        <v/>
      </c>
      <c r="B77" s="85"/>
      <c r="C77" s="80"/>
      <c r="D77" s="47" t="str">
        <f aca="false">IF(C77="","",IFERROR(INDEX('Item Master'!$B$6:$B$105,MATCH(C77,'Item Master'!$A$6:$A$105,0)),"?"))</f>
        <v/>
      </c>
      <c r="E77" s="82"/>
      <c r="F77" s="83"/>
      <c r="G77" s="84"/>
      <c r="H77" s="81"/>
      <c r="I77" s="80"/>
      <c r="J77" s="41" t="str">
        <f aca="false">IF(OR(C77="",G77=""),"",N(F77)*N(G77))</f>
        <v/>
      </c>
      <c r="K77" s="48" t="str">
        <f aca="false">IF(M77="","",N(IFERROR(INDEX('Item Master'!$E$6:$E$105,MATCH(C77,'Item Master'!$A$6:$A$105,0)),0))+SUMIFS($F$7:$F$506,$C$7:$C$506,C77,$E$7:$E$506,"In",$M$7:$M$506,"&lt;="&amp;M77)-SUMIFS($F$7:$F$506,$C$7:$C$506,C77,$E$7:$E$506,"Out",$M$7:$M$506,"&lt;="&amp;M77))</f>
        <v/>
      </c>
      <c r="L77" s="44" t="str">
        <f aca="false">IF(AND(B77="",C77="",F77=""),"",IF(C77="","⚠ Pick item",IF(D77="?","⚠ Code not in Item Master",IF(B77="","⚠ Enter date",IF(OR(E77="",N(F77)&lt;=0),"⚠ Type / quantity missing",IF(AND(E77="In",G77=""),"⚠ Enter purchase rate",IF(OR(B77&lt;Setup!$C$6,B77&gt;Setup!$C$7),"Outside period",IF(K77&lt;0,"⚠ Stock goes negative","✔ OK"))))))))</f>
        <v/>
      </c>
      <c r="M77" s="9" t="str">
        <f aca="false">IF(OR(C77="",B77=""),"",B77+ROW()/1000000)</f>
        <v/>
      </c>
      <c r="N77" s="9" t="str">
        <f aca="false">IF(AND(E77="In",M77&lt;&gt;""),SUMIFS($F$7:$F$506,$C$7:$C$506,C77,$E$7:$E$506,"In",$M$7:$M$506,"&gt;"&amp;M77),"")</f>
        <v/>
      </c>
      <c r="O77" s="9" t="str">
        <f aca="false">IF(N77="","",IFERROR(INDEX('Item Master'!$K$6:$K$105,MATCH(C77,'Item Master'!$A$6:$A$105,0)),0))</f>
        <v/>
      </c>
      <c r="P77" s="9" t="n">
        <f aca="false">IF(N77="",0,MAX(0,MIN(N(F77),O77-N77))*N(G77))</f>
        <v>0</v>
      </c>
      <c r="Q77" s="9" t="str">
        <f aca="false">IF(AND(C77&lt;&gt;"",C77='Stock Ledger'!$C$4),M77,"")</f>
        <v/>
      </c>
    </row>
    <row r="78" customFormat="false" ht="15" hidden="false" customHeight="false" outlineLevel="0" collapsed="false">
      <c r="A78" s="45" t="str">
        <f aca="false">IF(C78="","",ROW()-6)</f>
        <v/>
      </c>
      <c r="B78" s="85"/>
      <c r="C78" s="80"/>
      <c r="D78" s="47" t="str">
        <f aca="false">IF(C78="","",IFERROR(INDEX('Item Master'!$B$6:$B$105,MATCH(C78,'Item Master'!$A$6:$A$105,0)),"?"))</f>
        <v/>
      </c>
      <c r="E78" s="82"/>
      <c r="F78" s="83"/>
      <c r="G78" s="84"/>
      <c r="H78" s="81"/>
      <c r="I78" s="80"/>
      <c r="J78" s="41" t="str">
        <f aca="false">IF(OR(C78="",G78=""),"",N(F78)*N(G78))</f>
        <v/>
      </c>
      <c r="K78" s="48" t="str">
        <f aca="false">IF(M78="","",N(IFERROR(INDEX('Item Master'!$E$6:$E$105,MATCH(C78,'Item Master'!$A$6:$A$105,0)),0))+SUMIFS($F$7:$F$506,$C$7:$C$506,C78,$E$7:$E$506,"In",$M$7:$M$506,"&lt;="&amp;M78)-SUMIFS($F$7:$F$506,$C$7:$C$506,C78,$E$7:$E$506,"Out",$M$7:$M$506,"&lt;="&amp;M78))</f>
        <v/>
      </c>
      <c r="L78" s="44" t="str">
        <f aca="false">IF(AND(B78="",C78="",F78=""),"",IF(C78="","⚠ Pick item",IF(D78="?","⚠ Code not in Item Master",IF(B78="","⚠ Enter date",IF(OR(E78="",N(F78)&lt;=0),"⚠ Type / quantity missing",IF(AND(E78="In",G78=""),"⚠ Enter purchase rate",IF(OR(B78&lt;Setup!$C$6,B78&gt;Setup!$C$7),"Outside period",IF(K78&lt;0,"⚠ Stock goes negative","✔ OK"))))))))</f>
        <v/>
      </c>
      <c r="M78" s="9" t="str">
        <f aca="false">IF(OR(C78="",B78=""),"",B78+ROW()/1000000)</f>
        <v/>
      </c>
      <c r="N78" s="9" t="str">
        <f aca="false">IF(AND(E78="In",M78&lt;&gt;""),SUMIFS($F$7:$F$506,$C$7:$C$506,C78,$E$7:$E$506,"In",$M$7:$M$506,"&gt;"&amp;M78),"")</f>
        <v/>
      </c>
      <c r="O78" s="9" t="str">
        <f aca="false">IF(N78="","",IFERROR(INDEX('Item Master'!$K$6:$K$105,MATCH(C78,'Item Master'!$A$6:$A$105,0)),0))</f>
        <v/>
      </c>
      <c r="P78" s="9" t="n">
        <f aca="false">IF(N78="",0,MAX(0,MIN(N(F78),O78-N78))*N(G78))</f>
        <v>0</v>
      </c>
      <c r="Q78" s="9" t="str">
        <f aca="false">IF(AND(C78&lt;&gt;"",C78='Stock Ledger'!$C$4),M78,"")</f>
        <v/>
      </c>
    </row>
    <row r="79" customFormat="false" ht="15" hidden="false" customHeight="false" outlineLevel="0" collapsed="false">
      <c r="A79" s="45" t="str">
        <f aca="false">IF(C79="","",ROW()-6)</f>
        <v/>
      </c>
      <c r="B79" s="85"/>
      <c r="C79" s="80"/>
      <c r="D79" s="47" t="str">
        <f aca="false">IF(C79="","",IFERROR(INDEX('Item Master'!$B$6:$B$105,MATCH(C79,'Item Master'!$A$6:$A$105,0)),"?"))</f>
        <v/>
      </c>
      <c r="E79" s="82"/>
      <c r="F79" s="83"/>
      <c r="G79" s="84"/>
      <c r="H79" s="81"/>
      <c r="I79" s="80"/>
      <c r="J79" s="41" t="str">
        <f aca="false">IF(OR(C79="",G79=""),"",N(F79)*N(G79))</f>
        <v/>
      </c>
      <c r="K79" s="48" t="str">
        <f aca="false">IF(M79="","",N(IFERROR(INDEX('Item Master'!$E$6:$E$105,MATCH(C79,'Item Master'!$A$6:$A$105,0)),0))+SUMIFS($F$7:$F$506,$C$7:$C$506,C79,$E$7:$E$506,"In",$M$7:$M$506,"&lt;="&amp;M79)-SUMIFS($F$7:$F$506,$C$7:$C$506,C79,$E$7:$E$506,"Out",$M$7:$M$506,"&lt;="&amp;M79))</f>
        <v/>
      </c>
      <c r="L79" s="44" t="str">
        <f aca="false">IF(AND(B79="",C79="",F79=""),"",IF(C79="","⚠ Pick item",IF(D79="?","⚠ Code not in Item Master",IF(B79="","⚠ Enter date",IF(OR(E79="",N(F79)&lt;=0),"⚠ Type / quantity missing",IF(AND(E79="In",G79=""),"⚠ Enter purchase rate",IF(OR(B79&lt;Setup!$C$6,B79&gt;Setup!$C$7),"Outside period",IF(K79&lt;0,"⚠ Stock goes negative","✔ OK"))))))))</f>
        <v/>
      </c>
      <c r="M79" s="9" t="str">
        <f aca="false">IF(OR(C79="",B79=""),"",B79+ROW()/1000000)</f>
        <v/>
      </c>
      <c r="N79" s="9" t="str">
        <f aca="false">IF(AND(E79="In",M79&lt;&gt;""),SUMIFS($F$7:$F$506,$C$7:$C$506,C79,$E$7:$E$506,"In",$M$7:$M$506,"&gt;"&amp;M79),"")</f>
        <v/>
      </c>
      <c r="O79" s="9" t="str">
        <f aca="false">IF(N79="","",IFERROR(INDEX('Item Master'!$K$6:$K$105,MATCH(C79,'Item Master'!$A$6:$A$105,0)),0))</f>
        <v/>
      </c>
      <c r="P79" s="9" t="n">
        <f aca="false">IF(N79="",0,MAX(0,MIN(N(F79),O79-N79))*N(G79))</f>
        <v>0</v>
      </c>
      <c r="Q79" s="9" t="str">
        <f aca="false">IF(AND(C79&lt;&gt;"",C79='Stock Ledger'!$C$4),M79,"")</f>
        <v/>
      </c>
    </row>
    <row r="80" customFormat="false" ht="15" hidden="false" customHeight="false" outlineLevel="0" collapsed="false">
      <c r="A80" s="45" t="str">
        <f aca="false">IF(C80="","",ROW()-6)</f>
        <v/>
      </c>
      <c r="B80" s="85"/>
      <c r="C80" s="80"/>
      <c r="D80" s="47" t="str">
        <f aca="false">IF(C80="","",IFERROR(INDEX('Item Master'!$B$6:$B$105,MATCH(C80,'Item Master'!$A$6:$A$105,0)),"?"))</f>
        <v/>
      </c>
      <c r="E80" s="82"/>
      <c r="F80" s="83"/>
      <c r="G80" s="84"/>
      <c r="H80" s="81"/>
      <c r="I80" s="80"/>
      <c r="J80" s="41" t="str">
        <f aca="false">IF(OR(C80="",G80=""),"",N(F80)*N(G80))</f>
        <v/>
      </c>
      <c r="K80" s="48" t="str">
        <f aca="false">IF(M80="","",N(IFERROR(INDEX('Item Master'!$E$6:$E$105,MATCH(C80,'Item Master'!$A$6:$A$105,0)),0))+SUMIFS($F$7:$F$506,$C$7:$C$506,C80,$E$7:$E$506,"In",$M$7:$M$506,"&lt;="&amp;M80)-SUMIFS($F$7:$F$506,$C$7:$C$506,C80,$E$7:$E$506,"Out",$M$7:$M$506,"&lt;="&amp;M80))</f>
        <v/>
      </c>
      <c r="L80" s="44" t="str">
        <f aca="false">IF(AND(B80="",C80="",F80=""),"",IF(C80="","⚠ Pick item",IF(D80="?","⚠ Code not in Item Master",IF(B80="","⚠ Enter date",IF(OR(E80="",N(F80)&lt;=0),"⚠ Type / quantity missing",IF(AND(E80="In",G80=""),"⚠ Enter purchase rate",IF(OR(B80&lt;Setup!$C$6,B80&gt;Setup!$C$7),"Outside period",IF(K80&lt;0,"⚠ Stock goes negative","✔ OK"))))))))</f>
        <v/>
      </c>
      <c r="M80" s="9" t="str">
        <f aca="false">IF(OR(C80="",B80=""),"",B80+ROW()/1000000)</f>
        <v/>
      </c>
      <c r="N80" s="9" t="str">
        <f aca="false">IF(AND(E80="In",M80&lt;&gt;""),SUMIFS($F$7:$F$506,$C$7:$C$506,C80,$E$7:$E$506,"In",$M$7:$M$506,"&gt;"&amp;M80),"")</f>
        <v/>
      </c>
      <c r="O80" s="9" t="str">
        <f aca="false">IF(N80="","",IFERROR(INDEX('Item Master'!$K$6:$K$105,MATCH(C80,'Item Master'!$A$6:$A$105,0)),0))</f>
        <v/>
      </c>
      <c r="P80" s="9" t="n">
        <f aca="false">IF(N80="",0,MAX(0,MIN(N(F80),O80-N80))*N(G80))</f>
        <v>0</v>
      </c>
      <c r="Q80" s="9" t="str">
        <f aca="false">IF(AND(C80&lt;&gt;"",C80='Stock Ledger'!$C$4),M80,"")</f>
        <v/>
      </c>
    </row>
    <row r="81" customFormat="false" ht="15" hidden="false" customHeight="false" outlineLevel="0" collapsed="false">
      <c r="A81" s="45" t="str">
        <f aca="false">IF(C81="","",ROW()-6)</f>
        <v/>
      </c>
      <c r="B81" s="85"/>
      <c r="C81" s="80"/>
      <c r="D81" s="47" t="str">
        <f aca="false">IF(C81="","",IFERROR(INDEX('Item Master'!$B$6:$B$105,MATCH(C81,'Item Master'!$A$6:$A$105,0)),"?"))</f>
        <v/>
      </c>
      <c r="E81" s="82"/>
      <c r="F81" s="83"/>
      <c r="G81" s="84"/>
      <c r="H81" s="81"/>
      <c r="I81" s="80"/>
      <c r="J81" s="41" t="str">
        <f aca="false">IF(OR(C81="",G81=""),"",N(F81)*N(G81))</f>
        <v/>
      </c>
      <c r="K81" s="48" t="str">
        <f aca="false">IF(M81="","",N(IFERROR(INDEX('Item Master'!$E$6:$E$105,MATCH(C81,'Item Master'!$A$6:$A$105,0)),0))+SUMIFS($F$7:$F$506,$C$7:$C$506,C81,$E$7:$E$506,"In",$M$7:$M$506,"&lt;="&amp;M81)-SUMIFS($F$7:$F$506,$C$7:$C$506,C81,$E$7:$E$506,"Out",$M$7:$M$506,"&lt;="&amp;M81))</f>
        <v/>
      </c>
      <c r="L81" s="44" t="str">
        <f aca="false">IF(AND(B81="",C81="",F81=""),"",IF(C81="","⚠ Pick item",IF(D81="?","⚠ Code not in Item Master",IF(B81="","⚠ Enter date",IF(OR(E81="",N(F81)&lt;=0),"⚠ Type / quantity missing",IF(AND(E81="In",G81=""),"⚠ Enter purchase rate",IF(OR(B81&lt;Setup!$C$6,B81&gt;Setup!$C$7),"Outside period",IF(K81&lt;0,"⚠ Stock goes negative","✔ OK"))))))))</f>
        <v/>
      </c>
      <c r="M81" s="9" t="str">
        <f aca="false">IF(OR(C81="",B81=""),"",B81+ROW()/1000000)</f>
        <v/>
      </c>
      <c r="N81" s="9" t="str">
        <f aca="false">IF(AND(E81="In",M81&lt;&gt;""),SUMIFS($F$7:$F$506,$C$7:$C$506,C81,$E$7:$E$506,"In",$M$7:$M$506,"&gt;"&amp;M81),"")</f>
        <v/>
      </c>
      <c r="O81" s="9" t="str">
        <f aca="false">IF(N81="","",IFERROR(INDEX('Item Master'!$K$6:$K$105,MATCH(C81,'Item Master'!$A$6:$A$105,0)),0))</f>
        <v/>
      </c>
      <c r="P81" s="9" t="n">
        <f aca="false">IF(N81="",0,MAX(0,MIN(N(F81),O81-N81))*N(G81))</f>
        <v>0</v>
      </c>
      <c r="Q81" s="9" t="str">
        <f aca="false">IF(AND(C81&lt;&gt;"",C81='Stock Ledger'!$C$4),M81,"")</f>
        <v/>
      </c>
    </row>
    <row r="82" customFormat="false" ht="15" hidden="false" customHeight="false" outlineLevel="0" collapsed="false">
      <c r="A82" s="45" t="str">
        <f aca="false">IF(C82="","",ROW()-6)</f>
        <v/>
      </c>
      <c r="B82" s="85"/>
      <c r="C82" s="80"/>
      <c r="D82" s="47" t="str">
        <f aca="false">IF(C82="","",IFERROR(INDEX('Item Master'!$B$6:$B$105,MATCH(C82,'Item Master'!$A$6:$A$105,0)),"?"))</f>
        <v/>
      </c>
      <c r="E82" s="82"/>
      <c r="F82" s="83"/>
      <c r="G82" s="84"/>
      <c r="H82" s="81"/>
      <c r="I82" s="80"/>
      <c r="J82" s="41" t="str">
        <f aca="false">IF(OR(C82="",G82=""),"",N(F82)*N(G82))</f>
        <v/>
      </c>
      <c r="K82" s="48" t="str">
        <f aca="false">IF(M82="","",N(IFERROR(INDEX('Item Master'!$E$6:$E$105,MATCH(C82,'Item Master'!$A$6:$A$105,0)),0))+SUMIFS($F$7:$F$506,$C$7:$C$506,C82,$E$7:$E$506,"In",$M$7:$M$506,"&lt;="&amp;M82)-SUMIFS($F$7:$F$506,$C$7:$C$506,C82,$E$7:$E$506,"Out",$M$7:$M$506,"&lt;="&amp;M82))</f>
        <v/>
      </c>
      <c r="L82" s="44" t="str">
        <f aca="false">IF(AND(B82="",C82="",F82=""),"",IF(C82="","⚠ Pick item",IF(D82="?","⚠ Code not in Item Master",IF(B82="","⚠ Enter date",IF(OR(E82="",N(F82)&lt;=0),"⚠ Type / quantity missing",IF(AND(E82="In",G82=""),"⚠ Enter purchase rate",IF(OR(B82&lt;Setup!$C$6,B82&gt;Setup!$C$7),"Outside period",IF(K82&lt;0,"⚠ Stock goes negative","✔ OK"))))))))</f>
        <v/>
      </c>
      <c r="M82" s="9" t="str">
        <f aca="false">IF(OR(C82="",B82=""),"",B82+ROW()/1000000)</f>
        <v/>
      </c>
      <c r="N82" s="9" t="str">
        <f aca="false">IF(AND(E82="In",M82&lt;&gt;""),SUMIFS($F$7:$F$506,$C$7:$C$506,C82,$E$7:$E$506,"In",$M$7:$M$506,"&gt;"&amp;M82),"")</f>
        <v/>
      </c>
      <c r="O82" s="9" t="str">
        <f aca="false">IF(N82="","",IFERROR(INDEX('Item Master'!$K$6:$K$105,MATCH(C82,'Item Master'!$A$6:$A$105,0)),0))</f>
        <v/>
      </c>
      <c r="P82" s="9" t="n">
        <f aca="false">IF(N82="",0,MAX(0,MIN(N(F82),O82-N82))*N(G82))</f>
        <v>0</v>
      </c>
      <c r="Q82" s="9" t="str">
        <f aca="false">IF(AND(C82&lt;&gt;"",C82='Stock Ledger'!$C$4),M82,"")</f>
        <v/>
      </c>
    </row>
    <row r="83" customFormat="false" ht="15" hidden="false" customHeight="false" outlineLevel="0" collapsed="false">
      <c r="A83" s="45" t="str">
        <f aca="false">IF(C83="","",ROW()-6)</f>
        <v/>
      </c>
      <c r="B83" s="85"/>
      <c r="C83" s="80"/>
      <c r="D83" s="47" t="str">
        <f aca="false">IF(C83="","",IFERROR(INDEX('Item Master'!$B$6:$B$105,MATCH(C83,'Item Master'!$A$6:$A$105,0)),"?"))</f>
        <v/>
      </c>
      <c r="E83" s="82"/>
      <c r="F83" s="83"/>
      <c r="G83" s="84"/>
      <c r="H83" s="81"/>
      <c r="I83" s="80"/>
      <c r="J83" s="41" t="str">
        <f aca="false">IF(OR(C83="",G83=""),"",N(F83)*N(G83))</f>
        <v/>
      </c>
      <c r="K83" s="48" t="str">
        <f aca="false">IF(M83="","",N(IFERROR(INDEX('Item Master'!$E$6:$E$105,MATCH(C83,'Item Master'!$A$6:$A$105,0)),0))+SUMIFS($F$7:$F$506,$C$7:$C$506,C83,$E$7:$E$506,"In",$M$7:$M$506,"&lt;="&amp;M83)-SUMIFS($F$7:$F$506,$C$7:$C$506,C83,$E$7:$E$506,"Out",$M$7:$M$506,"&lt;="&amp;M83))</f>
        <v/>
      </c>
      <c r="L83" s="44" t="str">
        <f aca="false">IF(AND(B83="",C83="",F83=""),"",IF(C83="","⚠ Pick item",IF(D83="?","⚠ Code not in Item Master",IF(B83="","⚠ Enter date",IF(OR(E83="",N(F83)&lt;=0),"⚠ Type / quantity missing",IF(AND(E83="In",G83=""),"⚠ Enter purchase rate",IF(OR(B83&lt;Setup!$C$6,B83&gt;Setup!$C$7),"Outside period",IF(K83&lt;0,"⚠ Stock goes negative","✔ OK"))))))))</f>
        <v/>
      </c>
      <c r="M83" s="9" t="str">
        <f aca="false">IF(OR(C83="",B83=""),"",B83+ROW()/1000000)</f>
        <v/>
      </c>
      <c r="N83" s="9" t="str">
        <f aca="false">IF(AND(E83="In",M83&lt;&gt;""),SUMIFS($F$7:$F$506,$C$7:$C$506,C83,$E$7:$E$506,"In",$M$7:$M$506,"&gt;"&amp;M83),"")</f>
        <v/>
      </c>
      <c r="O83" s="9" t="str">
        <f aca="false">IF(N83="","",IFERROR(INDEX('Item Master'!$K$6:$K$105,MATCH(C83,'Item Master'!$A$6:$A$105,0)),0))</f>
        <v/>
      </c>
      <c r="P83" s="9" t="n">
        <f aca="false">IF(N83="",0,MAX(0,MIN(N(F83),O83-N83))*N(G83))</f>
        <v>0</v>
      </c>
      <c r="Q83" s="9" t="str">
        <f aca="false">IF(AND(C83&lt;&gt;"",C83='Stock Ledger'!$C$4),M83,"")</f>
        <v/>
      </c>
    </row>
    <row r="84" customFormat="false" ht="15" hidden="false" customHeight="false" outlineLevel="0" collapsed="false">
      <c r="A84" s="45" t="str">
        <f aca="false">IF(C84="","",ROW()-6)</f>
        <v/>
      </c>
      <c r="B84" s="85"/>
      <c r="C84" s="80"/>
      <c r="D84" s="47" t="str">
        <f aca="false">IF(C84="","",IFERROR(INDEX('Item Master'!$B$6:$B$105,MATCH(C84,'Item Master'!$A$6:$A$105,0)),"?"))</f>
        <v/>
      </c>
      <c r="E84" s="82"/>
      <c r="F84" s="83"/>
      <c r="G84" s="84"/>
      <c r="H84" s="81"/>
      <c r="I84" s="80"/>
      <c r="J84" s="41" t="str">
        <f aca="false">IF(OR(C84="",G84=""),"",N(F84)*N(G84))</f>
        <v/>
      </c>
      <c r="K84" s="48" t="str">
        <f aca="false">IF(M84="","",N(IFERROR(INDEX('Item Master'!$E$6:$E$105,MATCH(C84,'Item Master'!$A$6:$A$105,0)),0))+SUMIFS($F$7:$F$506,$C$7:$C$506,C84,$E$7:$E$506,"In",$M$7:$M$506,"&lt;="&amp;M84)-SUMIFS($F$7:$F$506,$C$7:$C$506,C84,$E$7:$E$506,"Out",$M$7:$M$506,"&lt;="&amp;M84))</f>
        <v/>
      </c>
      <c r="L84" s="44" t="str">
        <f aca="false">IF(AND(B84="",C84="",F84=""),"",IF(C84="","⚠ Pick item",IF(D84="?","⚠ Code not in Item Master",IF(B84="","⚠ Enter date",IF(OR(E84="",N(F84)&lt;=0),"⚠ Type / quantity missing",IF(AND(E84="In",G84=""),"⚠ Enter purchase rate",IF(OR(B84&lt;Setup!$C$6,B84&gt;Setup!$C$7),"Outside period",IF(K84&lt;0,"⚠ Stock goes negative","✔ OK"))))))))</f>
        <v/>
      </c>
      <c r="M84" s="9" t="str">
        <f aca="false">IF(OR(C84="",B84=""),"",B84+ROW()/1000000)</f>
        <v/>
      </c>
      <c r="N84" s="9" t="str">
        <f aca="false">IF(AND(E84="In",M84&lt;&gt;""),SUMIFS($F$7:$F$506,$C$7:$C$506,C84,$E$7:$E$506,"In",$M$7:$M$506,"&gt;"&amp;M84),"")</f>
        <v/>
      </c>
      <c r="O84" s="9" t="str">
        <f aca="false">IF(N84="","",IFERROR(INDEX('Item Master'!$K$6:$K$105,MATCH(C84,'Item Master'!$A$6:$A$105,0)),0))</f>
        <v/>
      </c>
      <c r="P84" s="9" t="n">
        <f aca="false">IF(N84="",0,MAX(0,MIN(N(F84),O84-N84))*N(G84))</f>
        <v>0</v>
      </c>
      <c r="Q84" s="9" t="str">
        <f aca="false">IF(AND(C84&lt;&gt;"",C84='Stock Ledger'!$C$4),M84,"")</f>
        <v/>
      </c>
    </row>
    <row r="85" customFormat="false" ht="15" hidden="false" customHeight="false" outlineLevel="0" collapsed="false">
      <c r="A85" s="45" t="str">
        <f aca="false">IF(C85="","",ROW()-6)</f>
        <v/>
      </c>
      <c r="B85" s="85"/>
      <c r="C85" s="80"/>
      <c r="D85" s="47" t="str">
        <f aca="false">IF(C85="","",IFERROR(INDEX('Item Master'!$B$6:$B$105,MATCH(C85,'Item Master'!$A$6:$A$105,0)),"?"))</f>
        <v/>
      </c>
      <c r="E85" s="82"/>
      <c r="F85" s="83"/>
      <c r="G85" s="84"/>
      <c r="H85" s="81"/>
      <c r="I85" s="80"/>
      <c r="J85" s="41" t="str">
        <f aca="false">IF(OR(C85="",G85=""),"",N(F85)*N(G85))</f>
        <v/>
      </c>
      <c r="K85" s="48" t="str">
        <f aca="false">IF(M85="","",N(IFERROR(INDEX('Item Master'!$E$6:$E$105,MATCH(C85,'Item Master'!$A$6:$A$105,0)),0))+SUMIFS($F$7:$F$506,$C$7:$C$506,C85,$E$7:$E$506,"In",$M$7:$M$506,"&lt;="&amp;M85)-SUMIFS($F$7:$F$506,$C$7:$C$506,C85,$E$7:$E$506,"Out",$M$7:$M$506,"&lt;="&amp;M85))</f>
        <v/>
      </c>
      <c r="L85" s="44" t="str">
        <f aca="false">IF(AND(B85="",C85="",F85=""),"",IF(C85="","⚠ Pick item",IF(D85="?","⚠ Code not in Item Master",IF(B85="","⚠ Enter date",IF(OR(E85="",N(F85)&lt;=0),"⚠ Type / quantity missing",IF(AND(E85="In",G85=""),"⚠ Enter purchase rate",IF(OR(B85&lt;Setup!$C$6,B85&gt;Setup!$C$7),"Outside period",IF(K85&lt;0,"⚠ Stock goes negative","✔ OK"))))))))</f>
        <v/>
      </c>
      <c r="M85" s="9" t="str">
        <f aca="false">IF(OR(C85="",B85=""),"",B85+ROW()/1000000)</f>
        <v/>
      </c>
      <c r="N85" s="9" t="str">
        <f aca="false">IF(AND(E85="In",M85&lt;&gt;""),SUMIFS($F$7:$F$506,$C$7:$C$506,C85,$E$7:$E$506,"In",$M$7:$M$506,"&gt;"&amp;M85),"")</f>
        <v/>
      </c>
      <c r="O85" s="9" t="str">
        <f aca="false">IF(N85="","",IFERROR(INDEX('Item Master'!$K$6:$K$105,MATCH(C85,'Item Master'!$A$6:$A$105,0)),0))</f>
        <v/>
      </c>
      <c r="P85" s="9" t="n">
        <f aca="false">IF(N85="",0,MAX(0,MIN(N(F85),O85-N85))*N(G85))</f>
        <v>0</v>
      </c>
      <c r="Q85" s="9" t="str">
        <f aca="false">IF(AND(C85&lt;&gt;"",C85='Stock Ledger'!$C$4),M85,"")</f>
        <v/>
      </c>
    </row>
    <row r="86" customFormat="false" ht="15" hidden="false" customHeight="false" outlineLevel="0" collapsed="false">
      <c r="A86" s="45" t="str">
        <f aca="false">IF(C86="","",ROW()-6)</f>
        <v/>
      </c>
      <c r="B86" s="85"/>
      <c r="C86" s="80"/>
      <c r="D86" s="47" t="str">
        <f aca="false">IF(C86="","",IFERROR(INDEX('Item Master'!$B$6:$B$105,MATCH(C86,'Item Master'!$A$6:$A$105,0)),"?"))</f>
        <v/>
      </c>
      <c r="E86" s="82"/>
      <c r="F86" s="83"/>
      <c r="G86" s="84"/>
      <c r="H86" s="81"/>
      <c r="I86" s="80"/>
      <c r="J86" s="41" t="str">
        <f aca="false">IF(OR(C86="",G86=""),"",N(F86)*N(G86))</f>
        <v/>
      </c>
      <c r="K86" s="48" t="str">
        <f aca="false">IF(M86="","",N(IFERROR(INDEX('Item Master'!$E$6:$E$105,MATCH(C86,'Item Master'!$A$6:$A$105,0)),0))+SUMIFS($F$7:$F$506,$C$7:$C$506,C86,$E$7:$E$506,"In",$M$7:$M$506,"&lt;="&amp;M86)-SUMIFS($F$7:$F$506,$C$7:$C$506,C86,$E$7:$E$506,"Out",$M$7:$M$506,"&lt;="&amp;M86))</f>
        <v/>
      </c>
      <c r="L86" s="44" t="str">
        <f aca="false">IF(AND(B86="",C86="",F86=""),"",IF(C86="","⚠ Pick item",IF(D86="?","⚠ Code not in Item Master",IF(B86="","⚠ Enter date",IF(OR(E86="",N(F86)&lt;=0),"⚠ Type / quantity missing",IF(AND(E86="In",G86=""),"⚠ Enter purchase rate",IF(OR(B86&lt;Setup!$C$6,B86&gt;Setup!$C$7),"Outside period",IF(K86&lt;0,"⚠ Stock goes negative","✔ OK"))))))))</f>
        <v/>
      </c>
      <c r="M86" s="9" t="str">
        <f aca="false">IF(OR(C86="",B86=""),"",B86+ROW()/1000000)</f>
        <v/>
      </c>
      <c r="N86" s="9" t="str">
        <f aca="false">IF(AND(E86="In",M86&lt;&gt;""),SUMIFS($F$7:$F$506,$C$7:$C$506,C86,$E$7:$E$506,"In",$M$7:$M$506,"&gt;"&amp;M86),"")</f>
        <v/>
      </c>
      <c r="O86" s="9" t="str">
        <f aca="false">IF(N86="","",IFERROR(INDEX('Item Master'!$K$6:$K$105,MATCH(C86,'Item Master'!$A$6:$A$105,0)),0))</f>
        <v/>
      </c>
      <c r="P86" s="9" t="n">
        <f aca="false">IF(N86="",0,MAX(0,MIN(N(F86),O86-N86))*N(G86))</f>
        <v>0</v>
      </c>
      <c r="Q86" s="9" t="str">
        <f aca="false">IF(AND(C86&lt;&gt;"",C86='Stock Ledger'!$C$4),M86,"")</f>
        <v/>
      </c>
    </row>
    <row r="87" customFormat="false" ht="15" hidden="false" customHeight="false" outlineLevel="0" collapsed="false">
      <c r="A87" s="45" t="str">
        <f aca="false">IF(C87="","",ROW()-6)</f>
        <v/>
      </c>
      <c r="B87" s="85"/>
      <c r="C87" s="80"/>
      <c r="D87" s="47" t="str">
        <f aca="false">IF(C87="","",IFERROR(INDEX('Item Master'!$B$6:$B$105,MATCH(C87,'Item Master'!$A$6:$A$105,0)),"?"))</f>
        <v/>
      </c>
      <c r="E87" s="82"/>
      <c r="F87" s="83"/>
      <c r="G87" s="84"/>
      <c r="H87" s="81"/>
      <c r="I87" s="80"/>
      <c r="J87" s="41" t="str">
        <f aca="false">IF(OR(C87="",G87=""),"",N(F87)*N(G87))</f>
        <v/>
      </c>
      <c r="K87" s="48" t="str">
        <f aca="false">IF(M87="","",N(IFERROR(INDEX('Item Master'!$E$6:$E$105,MATCH(C87,'Item Master'!$A$6:$A$105,0)),0))+SUMIFS($F$7:$F$506,$C$7:$C$506,C87,$E$7:$E$506,"In",$M$7:$M$506,"&lt;="&amp;M87)-SUMIFS($F$7:$F$506,$C$7:$C$506,C87,$E$7:$E$506,"Out",$M$7:$M$506,"&lt;="&amp;M87))</f>
        <v/>
      </c>
      <c r="L87" s="44" t="str">
        <f aca="false">IF(AND(B87="",C87="",F87=""),"",IF(C87="","⚠ Pick item",IF(D87="?","⚠ Code not in Item Master",IF(B87="","⚠ Enter date",IF(OR(E87="",N(F87)&lt;=0),"⚠ Type / quantity missing",IF(AND(E87="In",G87=""),"⚠ Enter purchase rate",IF(OR(B87&lt;Setup!$C$6,B87&gt;Setup!$C$7),"Outside period",IF(K87&lt;0,"⚠ Stock goes negative","✔ OK"))))))))</f>
        <v/>
      </c>
      <c r="M87" s="9" t="str">
        <f aca="false">IF(OR(C87="",B87=""),"",B87+ROW()/1000000)</f>
        <v/>
      </c>
      <c r="N87" s="9" t="str">
        <f aca="false">IF(AND(E87="In",M87&lt;&gt;""),SUMIFS($F$7:$F$506,$C$7:$C$506,C87,$E$7:$E$506,"In",$M$7:$M$506,"&gt;"&amp;M87),"")</f>
        <v/>
      </c>
      <c r="O87" s="9" t="str">
        <f aca="false">IF(N87="","",IFERROR(INDEX('Item Master'!$K$6:$K$105,MATCH(C87,'Item Master'!$A$6:$A$105,0)),0))</f>
        <v/>
      </c>
      <c r="P87" s="9" t="n">
        <f aca="false">IF(N87="",0,MAX(0,MIN(N(F87),O87-N87))*N(G87))</f>
        <v>0</v>
      </c>
      <c r="Q87" s="9" t="str">
        <f aca="false">IF(AND(C87&lt;&gt;"",C87='Stock Ledger'!$C$4),M87,"")</f>
        <v/>
      </c>
    </row>
    <row r="88" customFormat="false" ht="15" hidden="false" customHeight="false" outlineLevel="0" collapsed="false">
      <c r="A88" s="45" t="str">
        <f aca="false">IF(C88="","",ROW()-6)</f>
        <v/>
      </c>
      <c r="B88" s="85"/>
      <c r="C88" s="80"/>
      <c r="D88" s="47" t="str">
        <f aca="false">IF(C88="","",IFERROR(INDEX('Item Master'!$B$6:$B$105,MATCH(C88,'Item Master'!$A$6:$A$105,0)),"?"))</f>
        <v/>
      </c>
      <c r="E88" s="82"/>
      <c r="F88" s="83"/>
      <c r="G88" s="84"/>
      <c r="H88" s="81"/>
      <c r="I88" s="80"/>
      <c r="J88" s="41" t="str">
        <f aca="false">IF(OR(C88="",G88=""),"",N(F88)*N(G88))</f>
        <v/>
      </c>
      <c r="K88" s="48" t="str">
        <f aca="false">IF(M88="","",N(IFERROR(INDEX('Item Master'!$E$6:$E$105,MATCH(C88,'Item Master'!$A$6:$A$105,0)),0))+SUMIFS($F$7:$F$506,$C$7:$C$506,C88,$E$7:$E$506,"In",$M$7:$M$506,"&lt;="&amp;M88)-SUMIFS($F$7:$F$506,$C$7:$C$506,C88,$E$7:$E$506,"Out",$M$7:$M$506,"&lt;="&amp;M88))</f>
        <v/>
      </c>
      <c r="L88" s="44" t="str">
        <f aca="false">IF(AND(B88="",C88="",F88=""),"",IF(C88="","⚠ Pick item",IF(D88="?","⚠ Code not in Item Master",IF(B88="","⚠ Enter date",IF(OR(E88="",N(F88)&lt;=0),"⚠ Type / quantity missing",IF(AND(E88="In",G88=""),"⚠ Enter purchase rate",IF(OR(B88&lt;Setup!$C$6,B88&gt;Setup!$C$7),"Outside period",IF(K88&lt;0,"⚠ Stock goes negative","✔ OK"))))))))</f>
        <v/>
      </c>
      <c r="M88" s="9" t="str">
        <f aca="false">IF(OR(C88="",B88=""),"",B88+ROW()/1000000)</f>
        <v/>
      </c>
      <c r="N88" s="9" t="str">
        <f aca="false">IF(AND(E88="In",M88&lt;&gt;""),SUMIFS($F$7:$F$506,$C$7:$C$506,C88,$E$7:$E$506,"In",$M$7:$M$506,"&gt;"&amp;M88),"")</f>
        <v/>
      </c>
      <c r="O88" s="9" t="str">
        <f aca="false">IF(N88="","",IFERROR(INDEX('Item Master'!$K$6:$K$105,MATCH(C88,'Item Master'!$A$6:$A$105,0)),0))</f>
        <v/>
      </c>
      <c r="P88" s="9" t="n">
        <f aca="false">IF(N88="",0,MAX(0,MIN(N(F88),O88-N88))*N(G88))</f>
        <v>0</v>
      </c>
      <c r="Q88" s="9" t="str">
        <f aca="false">IF(AND(C88&lt;&gt;"",C88='Stock Ledger'!$C$4),M88,"")</f>
        <v/>
      </c>
    </row>
    <row r="89" customFormat="false" ht="15" hidden="false" customHeight="false" outlineLevel="0" collapsed="false">
      <c r="A89" s="45" t="str">
        <f aca="false">IF(C89="","",ROW()-6)</f>
        <v/>
      </c>
      <c r="B89" s="85"/>
      <c r="C89" s="80"/>
      <c r="D89" s="47" t="str">
        <f aca="false">IF(C89="","",IFERROR(INDEX('Item Master'!$B$6:$B$105,MATCH(C89,'Item Master'!$A$6:$A$105,0)),"?"))</f>
        <v/>
      </c>
      <c r="E89" s="82"/>
      <c r="F89" s="83"/>
      <c r="G89" s="84"/>
      <c r="H89" s="81"/>
      <c r="I89" s="80"/>
      <c r="J89" s="41" t="str">
        <f aca="false">IF(OR(C89="",G89=""),"",N(F89)*N(G89))</f>
        <v/>
      </c>
      <c r="K89" s="48" t="str">
        <f aca="false">IF(M89="","",N(IFERROR(INDEX('Item Master'!$E$6:$E$105,MATCH(C89,'Item Master'!$A$6:$A$105,0)),0))+SUMIFS($F$7:$F$506,$C$7:$C$506,C89,$E$7:$E$506,"In",$M$7:$M$506,"&lt;="&amp;M89)-SUMIFS($F$7:$F$506,$C$7:$C$506,C89,$E$7:$E$506,"Out",$M$7:$M$506,"&lt;="&amp;M89))</f>
        <v/>
      </c>
      <c r="L89" s="44" t="str">
        <f aca="false">IF(AND(B89="",C89="",F89=""),"",IF(C89="","⚠ Pick item",IF(D89="?","⚠ Code not in Item Master",IF(B89="","⚠ Enter date",IF(OR(E89="",N(F89)&lt;=0),"⚠ Type / quantity missing",IF(AND(E89="In",G89=""),"⚠ Enter purchase rate",IF(OR(B89&lt;Setup!$C$6,B89&gt;Setup!$C$7),"Outside period",IF(K89&lt;0,"⚠ Stock goes negative","✔ OK"))))))))</f>
        <v/>
      </c>
      <c r="M89" s="9" t="str">
        <f aca="false">IF(OR(C89="",B89=""),"",B89+ROW()/1000000)</f>
        <v/>
      </c>
      <c r="N89" s="9" t="str">
        <f aca="false">IF(AND(E89="In",M89&lt;&gt;""),SUMIFS($F$7:$F$506,$C$7:$C$506,C89,$E$7:$E$506,"In",$M$7:$M$506,"&gt;"&amp;M89),"")</f>
        <v/>
      </c>
      <c r="O89" s="9" t="str">
        <f aca="false">IF(N89="","",IFERROR(INDEX('Item Master'!$K$6:$K$105,MATCH(C89,'Item Master'!$A$6:$A$105,0)),0))</f>
        <v/>
      </c>
      <c r="P89" s="9" t="n">
        <f aca="false">IF(N89="",0,MAX(0,MIN(N(F89),O89-N89))*N(G89))</f>
        <v>0</v>
      </c>
      <c r="Q89" s="9" t="str">
        <f aca="false">IF(AND(C89&lt;&gt;"",C89='Stock Ledger'!$C$4),M89,"")</f>
        <v/>
      </c>
    </row>
    <row r="90" customFormat="false" ht="15" hidden="false" customHeight="false" outlineLevel="0" collapsed="false">
      <c r="A90" s="45" t="str">
        <f aca="false">IF(C90="","",ROW()-6)</f>
        <v/>
      </c>
      <c r="B90" s="85"/>
      <c r="C90" s="80"/>
      <c r="D90" s="47" t="str">
        <f aca="false">IF(C90="","",IFERROR(INDEX('Item Master'!$B$6:$B$105,MATCH(C90,'Item Master'!$A$6:$A$105,0)),"?"))</f>
        <v/>
      </c>
      <c r="E90" s="82"/>
      <c r="F90" s="83"/>
      <c r="G90" s="84"/>
      <c r="H90" s="81"/>
      <c r="I90" s="80"/>
      <c r="J90" s="41" t="str">
        <f aca="false">IF(OR(C90="",G90=""),"",N(F90)*N(G90))</f>
        <v/>
      </c>
      <c r="K90" s="48" t="str">
        <f aca="false">IF(M90="","",N(IFERROR(INDEX('Item Master'!$E$6:$E$105,MATCH(C90,'Item Master'!$A$6:$A$105,0)),0))+SUMIFS($F$7:$F$506,$C$7:$C$506,C90,$E$7:$E$506,"In",$M$7:$M$506,"&lt;="&amp;M90)-SUMIFS($F$7:$F$506,$C$7:$C$506,C90,$E$7:$E$506,"Out",$M$7:$M$506,"&lt;="&amp;M90))</f>
        <v/>
      </c>
      <c r="L90" s="44" t="str">
        <f aca="false">IF(AND(B90="",C90="",F90=""),"",IF(C90="","⚠ Pick item",IF(D90="?","⚠ Code not in Item Master",IF(B90="","⚠ Enter date",IF(OR(E90="",N(F90)&lt;=0),"⚠ Type / quantity missing",IF(AND(E90="In",G90=""),"⚠ Enter purchase rate",IF(OR(B90&lt;Setup!$C$6,B90&gt;Setup!$C$7),"Outside period",IF(K90&lt;0,"⚠ Stock goes negative","✔ OK"))))))))</f>
        <v/>
      </c>
      <c r="M90" s="9" t="str">
        <f aca="false">IF(OR(C90="",B90=""),"",B90+ROW()/1000000)</f>
        <v/>
      </c>
      <c r="N90" s="9" t="str">
        <f aca="false">IF(AND(E90="In",M90&lt;&gt;""),SUMIFS($F$7:$F$506,$C$7:$C$506,C90,$E$7:$E$506,"In",$M$7:$M$506,"&gt;"&amp;M90),"")</f>
        <v/>
      </c>
      <c r="O90" s="9" t="str">
        <f aca="false">IF(N90="","",IFERROR(INDEX('Item Master'!$K$6:$K$105,MATCH(C90,'Item Master'!$A$6:$A$105,0)),0))</f>
        <v/>
      </c>
      <c r="P90" s="9" t="n">
        <f aca="false">IF(N90="",0,MAX(0,MIN(N(F90),O90-N90))*N(G90))</f>
        <v>0</v>
      </c>
      <c r="Q90" s="9" t="str">
        <f aca="false">IF(AND(C90&lt;&gt;"",C90='Stock Ledger'!$C$4),M90,"")</f>
        <v/>
      </c>
    </row>
    <row r="91" customFormat="false" ht="15" hidden="false" customHeight="false" outlineLevel="0" collapsed="false">
      <c r="A91" s="45" t="str">
        <f aca="false">IF(C91="","",ROW()-6)</f>
        <v/>
      </c>
      <c r="B91" s="85"/>
      <c r="C91" s="80"/>
      <c r="D91" s="47" t="str">
        <f aca="false">IF(C91="","",IFERROR(INDEX('Item Master'!$B$6:$B$105,MATCH(C91,'Item Master'!$A$6:$A$105,0)),"?"))</f>
        <v/>
      </c>
      <c r="E91" s="82"/>
      <c r="F91" s="83"/>
      <c r="G91" s="84"/>
      <c r="H91" s="81"/>
      <c r="I91" s="80"/>
      <c r="J91" s="41" t="str">
        <f aca="false">IF(OR(C91="",G91=""),"",N(F91)*N(G91))</f>
        <v/>
      </c>
      <c r="K91" s="48" t="str">
        <f aca="false">IF(M91="","",N(IFERROR(INDEX('Item Master'!$E$6:$E$105,MATCH(C91,'Item Master'!$A$6:$A$105,0)),0))+SUMIFS($F$7:$F$506,$C$7:$C$506,C91,$E$7:$E$506,"In",$M$7:$M$506,"&lt;="&amp;M91)-SUMIFS($F$7:$F$506,$C$7:$C$506,C91,$E$7:$E$506,"Out",$M$7:$M$506,"&lt;="&amp;M91))</f>
        <v/>
      </c>
      <c r="L91" s="44" t="str">
        <f aca="false">IF(AND(B91="",C91="",F91=""),"",IF(C91="","⚠ Pick item",IF(D91="?","⚠ Code not in Item Master",IF(B91="","⚠ Enter date",IF(OR(E91="",N(F91)&lt;=0),"⚠ Type / quantity missing",IF(AND(E91="In",G91=""),"⚠ Enter purchase rate",IF(OR(B91&lt;Setup!$C$6,B91&gt;Setup!$C$7),"Outside period",IF(K91&lt;0,"⚠ Stock goes negative","✔ OK"))))))))</f>
        <v/>
      </c>
      <c r="M91" s="9" t="str">
        <f aca="false">IF(OR(C91="",B91=""),"",B91+ROW()/1000000)</f>
        <v/>
      </c>
      <c r="N91" s="9" t="str">
        <f aca="false">IF(AND(E91="In",M91&lt;&gt;""),SUMIFS($F$7:$F$506,$C$7:$C$506,C91,$E$7:$E$506,"In",$M$7:$M$506,"&gt;"&amp;M91),"")</f>
        <v/>
      </c>
      <c r="O91" s="9" t="str">
        <f aca="false">IF(N91="","",IFERROR(INDEX('Item Master'!$K$6:$K$105,MATCH(C91,'Item Master'!$A$6:$A$105,0)),0))</f>
        <v/>
      </c>
      <c r="P91" s="9" t="n">
        <f aca="false">IF(N91="",0,MAX(0,MIN(N(F91),O91-N91))*N(G91))</f>
        <v>0</v>
      </c>
      <c r="Q91" s="9" t="str">
        <f aca="false">IF(AND(C91&lt;&gt;"",C91='Stock Ledger'!$C$4),M91,"")</f>
        <v/>
      </c>
    </row>
    <row r="92" customFormat="false" ht="15" hidden="false" customHeight="false" outlineLevel="0" collapsed="false">
      <c r="A92" s="45" t="str">
        <f aca="false">IF(C92="","",ROW()-6)</f>
        <v/>
      </c>
      <c r="B92" s="85"/>
      <c r="C92" s="80"/>
      <c r="D92" s="47" t="str">
        <f aca="false">IF(C92="","",IFERROR(INDEX('Item Master'!$B$6:$B$105,MATCH(C92,'Item Master'!$A$6:$A$105,0)),"?"))</f>
        <v/>
      </c>
      <c r="E92" s="82"/>
      <c r="F92" s="83"/>
      <c r="G92" s="84"/>
      <c r="H92" s="81"/>
      <c r="I92" s="80"/>
      <c r="J92" s="41" t="str">
        <f aca="false">IF(OR(C92="",G92=""),"",N(F92)*N(G92))</f>
        <v/>
      </c>
      <c r="K92" s="48" t="str">
        <f aca="false">IF(M92="","",N(IFERROR(INDEX('Item Master'!$E$6:$E$105,MATCH(C92,'Item Master'!$A$6:$A$105,0)),0))+SUMIFS($F$7:$F$506,$C$7:$C$506,C92,$E$7:$E$506,"In",$M$7:$M$506,"&lt;="&amp;M92)-SUMIFS($F$7:$F$506,$C$7:$C$506,C92,$E$7:$E$506,"Out",$M$7:$M$506,"&lt;="&amp;M92))</f>
        <v/>
      </c>
      <c r="L92" s="44" t="str">
        <f aca="false">IF(AND(B92="",C92="",F92=""),"",IF(C92="","⚠ Pick item",IF(D92="?","⚠ Code not in Item Master",IF(B92="","⚠ Enter date",IF(OR(E92="",N(F92)&lt;=0),"⚠ Type / quantity missing",IF(AND(E92="In",G92=""),"⚠ Enter purchase rate",IF(OR(B92&lt;Setup!$C$6,B92&gt;Setup!$C$7),"Outside period",IF(K92&lt;0,"⚠ Stock goes negative","✔ OK"))))))))</f>
        <v/>
      </c>
      <c r="M92" s="9" t="str">
        <f aca="false">IF(OR(C92="",B92=""),"",B92+ROW()/1000000)</f>
        <v/>
      </c>
      <c r="N92" s="9" t="str">
        <f aca="false">IF(AND(E92="In",M92&lt;&gt;""),SUMIFS($F$7:$F$506,$C$7:$C$506,C92,$E$7:$E$506,"In",$M$7:$M$506,"&gt;"&amp;M92),"")</f>
        <v/>
      </c>
      <c r="O92" s="9" t="str">
        <f aca="false">IF(N92="","",IFERROR(INDEX('Item Master'!$K$6:$K$105,MATCH(C92,'Item Master'!$A$6:$A$105,0)),0))</f>
        <v/>
      </c>
      <c r="P92" s="9" t="n">
        <f aca="false">IF(N92="",0,MAX(0,MIN(N(F92),O92-N92))*N(G92))</f>
        <v>0</v>
      </c>
      <c r="Q92" s="9" t="str">
        <f aca="false">IF(AND(C92&lt;&gt;"",C92='Stock Ledger'!$C$4),M92,"")</f>
        <v/>
      </c>
    </row>
    <row r="93" customFormat="false" ht="15" hidden="false" customHeight="false" outlineLevel="0" collapsed="false">
      <c r="A93" s="45" t="str">
        <f aca="false">IF(C93="","",ROW()-6)</f>
        <v/>
      </c>
      <c r="B93" s="85"/>
      <c r="C93" s="80"/>
      <c r="D93" s="47" t="str">
        <f aca="false">IF(C93="","",IFERROR(INDEX('Item Master'!$B$6:$B$105,MATCH(C93,'Item Master'!$A$6:$A$105,0)),"?"))</f>
        <v/>
      </c>
      <c r="E93" s="82"/>
      <c r="F93" s="83"/>
      <c r="G93" s="84"/>
      <c r="H93" s="81"/>
      <c r="I93" s="80"/>
      <c r="J93" s="41" t="str">
        <f aca="false">IF(OR(C93="",G93=""),"",N(F93)*N(G93))</f>
        <v/>
      </c>
      <c r="K93" s="48" t="str">
        <f aca="false">IF(M93="","",N(IFERROR(INDEX('Item Master'!$E$6:$E$105,MATCH(C93,'Item Master'!$A$6:$A$105,0)),0))+SUMIFS($F$7:$F$506,$C$7:$C$506,C93,$E$7:$E$506,"In",$M$7:$M$506,"&lt;="&amp;M93)-SUMIFS($F$7:$F$506,$C$7:$C$506,C93,$E$7:$E$506,"Out",$M$7:$M$506,"&lt;="&amp;M93))</f>
        <v/>
      </c>
      <c r="L93" s="44" t="str">
        <f aca="false">IF(AND(B93="",C93="",F93=""),"",IF(C93="","⚠ Pick item",IF(D93="?","⚠ Code not in Item Master",IF(B93="","⚠ Enter date",IF(OR(E93="",N(F93)&lt;=0),"⚠ Type / quantity missing",IF(AND(E93="In",G93=""),"⚠ Enter purchase rate",IF(OR(B93&lt;Setup!$C$6,B93&gt;Setup!$C$7),"Outside period",IF(K93&lt;0,"⚠ Stock goes negative","✔ OK"))))))))</f>
        <v/>
      </c>
      <c r="M93" s="9" t="str">
        <f aca="false">IF(OR(C93="",B93=""),"",B93+ROW()/1000000)</f>
        <v/>
      </c>
      <c r="N93" s="9" t="str">
        <f aca="false">IF(AND(E93="In",M93&lt;&gt;""),SUMIFS($F$7:$F$506,$C$7:$C$506,C93,$E$7:$E$506,"In",$M$7:$M$506,"&gt;"&amp;M93),"")</f>
        <v/>
      </c>
      <c r="O93" s="9" t="str">
        <f aca="false">IF(N93="","",IFERROR(INDEX('Item Master'!$K$6:$K$105,MATCH(C93,'Item Master'!$A$6:$A$105,0)),0))</f>
        <v/>
      </c>
      <c r="P93" s="9" t="n">
        <f aca="false">IF(N93="",0,MAX(0,MIN(N(F93),O93-N93))*N(G93))</f>
        <v>0</v>
      </c>
      <c r="Q93" s="9" t="str">
        <f aca="false">IF(AND(C93&lt;&gt;"",C93='Stock Ledger'!$C$4),M93,"")</f>
        <v/>
      </c>
    </row>
    <row r="94" customFormat="false" ht="15" hidden="false" customHeight="false" outlineLevel="0" collapsed="false">
      <c r="A94" s="45" t="str">
        <f aca="false">IF(C94="","",ROW()-6)</f>
        <v/>
      </c>
      <c r="B94" s="85"/>
      <c r="C94" s="80"/>
      <c r="D94" s="47" t="str">
        <f aca="false">IF(C94="","",IFERROR(INDEX('Item Master'!$B$6:$B$105,MATCH(C94,'Item Master'!$A$6:$A$105,0)),"?"))</f>
        <v/>
      </c>
      <c r="E94" s="82"/>
      <c r="F94" s="83"/>
      <c r="G94" s="84"/>
      <c r="H94" s="81"/>
      <c r="I94" s="80"/>
      <c r="J94" s="41" t="str">
        <f aca="false">IF(OR(C94="",G94=""),"",N(F94)*N(G94))</f>
        <v/>
      </c>
      <c r="K94" s="48" t="str">
        <f aca="false">IF(M94="","",N(IFERROR(INDEX('Item Master'!$E$6:$E$105,MATCH(C94,'Item Master'!$A$6:$A$105,0)),0))+SUMIFS($F$7:$F$506,$C$7:$C$506,C94,$E$7:$E$506,"In",$M$7:$M$506,"&lt;="&amp;M94)-SUMIFS($F$7:$F$506,$C$7:$C$506,C94,$E$7:$E$506,"Out",$M$7:$M$506,"&lt;="&amp;M94))</f>
        <v/>
      </c>
      <c r="L94" s="44" t="str">
        <f aca="false">IF(AND(B94="",C94="",F94=""),"",IF(C94="","⚠ Pick item",IF(D94="?","⚠ Code not in Item Master",IF(B94="","⚠ Enter date",IF(OR(E94="",N(F94)&lt;=0),"⚠ Type / quantity missing",IF(AND(E94="In",G94=""),"⚠ Enter purchase rate",IF(OR(B94&lt;Setup!$C$6,B94&gt;Setup!$C$7),"Outside period",IF(K94&lt;0,"⚠ Stock goes negative","✔ OK"))))))))</f>
        <v/>
      </c>
      <c r="M94" s="9" t="str">
        <f aca="false">IF(OR(C94="",B94=""),"",B94+ROW()/1000000)</f>
        <v/>
      </c>
      <c r="N94" s="9" t="str">
        <f aca="false">IF(AND(E94="In",M94&lt;&gt;""),SUMIFS($F$7:$F$506,$C$7:$C$506,C94,$E$7:$E$506,"In",$M$7:$M$506,"&gt;"&amp;M94),"")</f>
        <v/>
      </c>
      <c r="O94" s="9" t="str">
        <f aca="false">IF(N94="","",IFERROR(INDEX('Item Master'!$K$6:$K$105,MATCH(C94,'Item Master'!$A$6:$A$105,0)),0))</f>
        <v/>
      </c>
      <c r="P94" s="9" t="n">
        <f aca="false">IF(N94="",0,MAX(0,MIN(N(F94),O94-N94))*N(G94))</f>
        <v>0</v>
      </c>
      <c r="Q94" s="9" t="str">
        <f aca="false">IF(AND(C94&lt;&gt;"",C94='Stock Ledger'!$C$4),M94,"")</f>
        <v/>
      </c>
    </row>
    <row r="95" customFormat="false" ht="15" hidden="false" customHeight="false" outlineLevel="0" collapsed="false">
      <c r="A95" s="45" t="str">
        <f aca="false">IF(C95="","",ROW()-6)</f>
        <v/>
      </c>
      <c r="B95" s="85"/>
      <c r="C95" s="80"/>
      <c r="D95" s="47" t="str">
        <f aca="false">IF(C95="","",IFERROR(INDEX('Item Master'!$B$6:$B$105,MATCH(C95,'Item Master'!$A$6:$A$105,0)),"?"))</f>
        <v/>
      </c>
      <c r="E95" s="82"/>
      <c r="F95" s="83"/>
      <c r="G95" s="84"/>
      <c r="H95" s="81"/>
      <c r="I95" s="80"/>
      <c r="J95" s="41" t="str">
        <f aca="false">IF(OR(C95="",G95=""),"",N(F95)*N(G95))</f>
        <v/>
      </c>
      <c r="K95" s="48" t="str">
        <f aca="false">IF(M95="","",N(IFERROR(INDEX('Item Master'!$E$6:$E$105,MATCH(C95,'Item Master'!$A$6:$A$105,0)),0))+SUMIFS($F$7:$F$506,$C$7:$C$506,C95,$E$7:$E$506,"In",$M$7:$M$506,"&lt;="&amp;M95)-SUMIFS($F$7:$F$506,$C$7:$C$506,C95,$E$7:$E$506,"Out",$M$7:$M$506,"&lt;="&amp;M95))</f>
        <v/>
      </c>
      <c r="L95" s="44" t="str">
        <f aca="false">IF(AND(B95="",C95="",F95=""),"",IF(C95="","⚠ Pick item",IF(D95="?","⚠ Code not in Item Master",IF(B95="","⚠ Enter date",IF(OR(E95="",N(F95)&lt;=0),"⚠ Type / quantity missing",IF(AND(E95="In",G95=""),"⚠ Enter purchase rate",IF(OR(B95&lt;Setup!$C$6,B95&gt;Setup!$C$7),"Outside period",IF(K95&lt;0,"⚠ Stock goes negative","✔ OK"))))))))</f>
        <v/>
      </c>
      <c r="M95" s="9" t="str">
        <f aca="false">IF(OR(C95="",B95=""),"",B95+ROW()/1000000)</f>
        <v/>
      </c>
      <c r="N95" s="9" t="str">
        <f aca="false">IF(AND(E95="In",M95&lt;&gt;""),SUMIFS($F$7:$F$506,$C$7:$C$506,C95,$E$7:$E$506,"In",$M$7:$M$506,"&gt;"&amp;M95),"")</f>
        <v/>
      </c>
      <c r="O95" s="9" t="str">
        <f aca="false">IF(N95="","",IFERROR(INDEX('Item Master'!$K$6:$K$105,MATCH(C95,'Item Master'!$A$6:$A$105,0)),0))</f>
        <v/>
      </c>
      <c r="P95" s="9" t="n">
        <f aca="false">IF(N95="",0,MAX(0,MIN(N(F95),O95-N95))*N(G95))</f>
        <v>0</v>
      </c>
      <c r="Q95" s="9" t="str">
        <f aca="false">IF(AND(C95&lt;&gt;"",C95='Stock Ledger'!$C$4),M95,"")</f>
        <v/>
      </c>
    </row>
    <row r="96" customFormat="false" ht="15" hidden="false" customHeight="false" outlineLevel="0" collapsed="false">
      <c r="A96" s="45" t="str">
        <f aca="false">IF(C96="","",ROW()-6)</f>
        <v/>
      </c>
      <c r="B96" s="85"/>
      <c r="C96" s="80"/>
      <c r="D96" s="47" t="str">
        <f aca="false">IF(C96="","",IFERROR(INDEX('Item Master'!$B$6:$B$105,MATCH(C96,'Item Master'!$A$6:$A$105,0)),"?"))</f>
        <v/>
      </c>
      <c r="E96" s="82"/>
      <c r="F96" s="83"/>
      <c r="G96" s="84"/>
      <c r="H96" s="81"/>
      <c r="I96" s="80"/>
      <c r="J96" s="41" t="str">
        <f aca="false">IF(OR(C96="",G96=""),"",N(F96)*N(G96))</f>
        <v/>
      </c>
      <c r="K96" s="48" t="str">
        <f aca="false">IF(M96="","",N(IFERROR(INDEX('Item Master'!$E$6:$E$105,MATCH(C96,'Item Master'!$A$6:$A$105,0)),0))+SUMIFS($F$7:$F$506,$C$7:$C$506,C96,$E$7:$E$506,"In",$M$7:$M$506,"&lt;="&amp;M96)-SUMIFS($F$7:$F$506,$C$7:$C$506,C96,$E$7:$E$506,"Out",$M$7:$M$506,"&lt;="&amp;M96))</f>
        <v/>
      </c>
      <c r="L96" s="44" t="str">
        <f aca="false">IF(AND(B96="",C96="",F96=""),"",IF(C96="","⚠ Pick item",IF(D96="?","⚠ Code not in Item Master",IF(B96="","⚠ Enter date",IF(OR(E96="",N(F96)&lt;=0),"⚠ Type / quantity missing",IF(AND(E96="In",G96=""),"⚠ Enter purchase rate",IF(OR(B96&lt;Setup!$C$6,B96&gt;Setup!$C$7),"Outside period",IF(K96&lt;0,"⚠ Stock goes negative","✔ OK"))))))))</f>
        <v/>
      </c>
      <c r="M96" s="9" t="str">
        <f aca="false">IF(OR(C96="",B96=""),"",B96+ROW()/1000000)</f>
        <v/>
      </c>
      <c r="N96" s="9" t="str">
        <f aca="false">IF(AND(E96="In",M96&lt;&gt;""),SUMIFS($F$7:$F$506,$C$7:$C$506,C96,$E$7:$E$506,"In",$M$7:$M$506,"&gt;"&amp;M96),"")</f>
        <v/>
      </c>
      <c r="O96" s="9" t="str">
        <f aca="false">IF(N96="","",IFERROR(INDEX('Item Master'!$K$6:$K$105,MATCH(C96,'Item Master'!$A$6:$A$105,0)),0))</f>
        <v/>
      </c>
      <c r="P96" s="9" t="n">
        <f aca="false">IF(N96="",0,MAX(0,MIN(N(F96),O96-N96))*N(G96))</f>
        <v>0</v>
      </c>
      <c r="Q96" s="9" t="str">
        <f aca="false">IF(AND(C96&lt;&gt;"",C96='Stock Ledger'!$C$4),M96,"")</f>
        <v/>
      </c>
    </row>
    <row r="97" customFormat="false" ht="15" hidden="false" customHeight="false" outlineLevel="0" collapsed="false">
      <c r="A97" s="45" t="str">
        <f aca="false">IF(C97="","",ROW()-6)</f>
        <v/>
      </c>
      <c r="B97" s="85"/>
      <c r="C97" s="80"/>
      <c r="D97" s="47" t="str">
        <f aca="false">IF(C97="","",IFERROR(INDEX('Item Master'!$B$6:$B$105,MATCH(C97,'Item Master'!$A$6:$A$105,0)),"?"))</f>
        <v/>
      </c>
      <c r="E97" s="82"/>
      <c r="F97" s="83"/>
      <c r="G97" s="84"/>
      <c r="H97" s="81"/>
      <c r="I97" s="80"/>
      <c r="J97" s="41" t="str">
        <f aca="false">IF(OR(C97="",G97=""),"",N(F97)*N(G97))</f>
        <v/>
      </c>
      <c r="K97" s="48" t="str">
        <f aca="false">IF(M97="","",N(IFERROR(INDEX('Item Master'!$E$6:$E$105,MATCH(C97,'Item Master'!$A$6:$A$105,0)),0))+SUMIFS($F$7:$F$506,$C$7:$C$506,C97,$E$7:$E$506,"In",$M$7:$M$506,"&lt;="&amp;M97)-SUMIFS($F$7:$F$506,$C$7:$C$506,C97,$E$7:$E$506,"Out",$M$7:$M$506,"&lt;="&amp;M97))</f>
        <v/>
      </c>
      <c r="L97" s="44" t="str">
        <f aca="false">IF(AND(B97="",C97="",F97=""),"",IF(C97="","⚠ Pick item",IF(D97="?","⚠ Code not in Item Master",IF(B97="","⚠ Enter date",IF(OR(E97="",N(F97)&lt;=0),"⚠ Type / quantity missing",IF(AND(E97="In",G97=""),"⚠ Enter purchase rate",IF(OR(B97&lt;Setup!$C$6,B97&gt;Setup!$C$7),"Outside period",IF(K97&lt;0,"⚠ Stock goes negative","✔ OK"))))))))</f>
        <v/>
      </c>
      <c r="M97" s="9" t="str">
        <f aca="false">IF(OR(C97="",B97=""),"",B97+ROW()/1000000)</f>
        <v/>
      </c>
      <c r="N97" s="9" t="str">
        <f aca="false">IF(AND(E97="In",M97&lt;&gt;""),SUMIFS($F$7:$F$506,$C$7:$C$506,C97,$E$7:$E$506,"In",$M$7:$M$506,"&gt;"&amp;M97),"")</f>
        <v/>
      </c>
      <c r="O97" s="9" t="str">
        <f aca="false">IF(N97="","",IFERROR(INDEX('Item Master'!$K$6:$K$105,MATCH(C97,'Item Master'!$A$6:$A$105,0)),0))</f>
        <v/>
      </c>
      <c r="P97" s="9" t="n">
        <f aca="false">IF(N97="",0,MAX(0,MIN(N(F97),O97-N97))*N(G97))</f>
        <v>0</v>
      </c>
      <c r="Q97" s="9" t="str">
        <f aca="false">IF(AND(C97&lt;&gt;"",C97='Stock Ledger'!$C$4),M97,"")</f>
        <v/>
      </c>
    </row>
    <row r="98" customFormat="false" ht="15" hidden="false" customHeight="false" outlineLevel="0" collapsed="false">
      <c r="A98" s="45" t="str">
        <f aca="false">IF(C98="","",ROW()-6)</f>
        <v/>
      </c>
      <c r="B98" s="85"/>
      <c r="C98" s="80"/>
      <c r="D98" s="47" t="str">
        <f aca="false">IF(C98="","",IFERROR(INDEX('Item Master'!$B$6:$B$105,MATCH(C98,'Item Master'!$A$6:$A$105,0)),"?"))</f>
        <v/>
      </c>
      <c r="E98" s="82"/>
      <c r="F98" s="83"/>
      <c r="G98" s="84"/>
      <c r="H98" s="81"/>
      <c r="I98" s="80"/>
      <c r="J98" s="41" t="str">
        <f aca="false">IF(OR(C98="",G98=""),"",N(F98)*N(G98))</f>
        <v/>
      </c>
      <c r="K98" s="48" t="str">
        <f aca="false">IF(M98="","",N(IFERROR(INDEX('Item Master'!$E$6:$E$105,MATCH(C98,'Item Master'!$A$6:$A$105,0)),0))+SUMIFS($F$7:$F$506,$C$7:$C$506,C98,$E$7:$E$506,"In",$M$7:$M$506,"&lt;="&amp;M98)-SUMIFS($F$7:$F$506,$C$7:$C$506,C98,$E$7:$E$506,"Out",$M$7:$M$506,"&lt;="&amp;M98))</f>
        <v/>
      </c>
      <c r="L98" s="44" t="str">
        <f aca="false">IF(AND(B98="",C98="",F98=""),"",IF(C98="","⚠ Pick item",IF(D98="?","⚠ Code not in Item Master",IF(B98="","⚠ Enter date",IF(OR(E98="",N(F98)&lt;=0),"⚠ Type / quantity missing",IF(AND(E98="In",G98=""),"⚠ Enter purchase rate",IF(OR(B98&lt;Setup!$C$6,B98&gt;Setup!$C$7),"Outside period",IF(K98&lt;0,"⚠ Stock goes negative","✔ OK"))))))))</f>
        <v/>
      </c>
      <c r="M98" s="9" t="str">
        <f aca="false">IF(OR(C98="",B98=""),"",B98+ROW()/1000000)</f>
        <v/>
      </c>
      <c r="N98" s="9" t="str">
        <f aca="false">IF(AND(E98="In",M98&lt;&gt;""),SUMIFS($F$7:$F$506,$C$7:$C$506,C98,$E$7:$E$506,"In",$M$7:$M$506,"&gt;"&amp;M98),"")</f>
        <v/>
      </c>
      <c r="O98" s="9" t="str">
        <f aca="false">IF(N98="","",IFERROR(INDEX('Item Master'!$K$6:$K$105,MATCH(C98,'Item Master'!$A$6:$A$105,0)),0))</f>
        <v/>
      </c>
      <c r="P98" s="9" t="n">
        <f aca="false">IF(N98="",0,MAX(0,MIN(N(F98),O98-N98))*N(G98))</f>
        <v>0</v>
      </c>
      <c r="Q98" s="9" t="str">
        <f aca="false">IF(AND(C98&lt;&gt;"",C98='Stock Ledger'!$C$4),M98,"")</f>
        <v/>
      </c>
    </row>
    <row r="99" customFormat="false" ht="15" hidden="false" customHeight="false" outlineLevel="0" collapsed="false">
      <c r="A99" s="45" t="str">
        <f aca="false">IF(C99="","",ROW()-6)</f>
        <v/>
      </c>
      <c r="B99" s="85"/>
      <c r="C99" s="80"/>
      <c r="D99" s="47" t="str">
        <f aca="false">IF(C99="","",IFERROR(INDEX('Item Master'!$B$6:$B$105,MATCH(C99,'Item Master'!$A$6:$A$105,0)),"?"))</f>
        <v/>
      </c>
      <c r="E99" s="82"/>
      <c r="F99" s="83"/>
      <c r="G99" s="84"/>
      <c r="H99" s="81"/>
      <c r="I99" s="80"/>
      <c r="J99" s="41" t="str">
        <f aca="false">IF(OR(C99="",G99=""),"",N(F99)*N(G99))</f>
        <v/>
      </c>
      <c r="K99" s="48" t="str">
        <f aca="false">IF(M99="","",N(IFERROR(INDEX('Item Master'!$E$6:$E$105,MATCH(C99,'Item Master'!$A$6:$A$105,0)),0))+SUMIFS($F$7:$F$506,$C$7:$C$506,C99,$E$7:$E$506,"In",$M$7:$M$506,"&lt;="&amp;M99)-SUMIFS($F$7:$F$506,$C$7:$C$506,C99,$E$7:$E$506,"Out",$M$7:$M$506,"&lt;="&amp;M99))</f>
        <v/>
      </c>
      <c r="L99" s="44" t="str">
        <f aca="false">IF(AND(B99="",C99="",F99=""),"",IF(C99="","⚠ Pick item",IF(D99="?","⚠ Code not in Item Master",IF(B99="","⚠ Enter date",IF(OR(E99="",N(F99)&lt;=0),"⚠ Type / quantity missing",IF(AND(E99="In",G99=""),"⚠ Enter purchase rate",IF(OR(B99&lt;Setup!$C$6,B99&gt;Setup!$C$7),"Outside period",IF(K99&lt;0,"⚠ Stock goes negative","✔ OK"))))))))</f>
        <v/>
      </c>
      <c r="M99" s="9" t="str">
        <f aca="false">IF(OR(C99="",B99=""),"",B99+ROW()/1000000)</f>
        <v/>
      </c>
      <c r="N99" s="9" t="str">
        <f aca="false">IF(AND(E99="In",M99&lt;&gt;""),SUMIFS($F$7:$F$506,$C$7:$C$506,C99,$E$7:$E$506,"In",$M$7:$M$506,"&gt;"&amp;M99),"")</f>
        <v/>
      </c>
      <c r="O99" s="9" t="str">
        <f aca="false">IF(N99="","",IFERROR(INDEX('Item Master'!$K$6:$K$105,MATCH(C99,'Item Master'!$A$6:$A$105,0)),0))</f>
        <v/>
      </c>
      <c r="P99" s="9" t="n">
        <f aca="false">IF(N99="",0,MAX(0,MIN(N(F99),O99-N99))*N(G99))</f>
        <v>0</v>
      </c>
      <c r="Q99" s="9" t="str">
        <f aca="false">IF(AND(C99&lt;&gt;"",C99='Stock Ledger'!$C$4),M99,"")</f>
        <v/>
      </c>
    </row>
    <row r="100" customFormat="false" ht="15" hidden="false" customHeight="false" outlineLevel="0" collapsed="false">
      <c r="A100" s="45" t="str">
        <f aca="false">IF(C100="","",ROW()-6)</f>
        <v/>
      </c>
      <c r="B100" s="85"/>
      <c r="C100" s="80"/>
      <c r="D100" s="47" t="str">
        <f aca="false">IF(C100="","",IFERROR(INDEX('Item Master'!$B$6:$B$105,MATCH(C100,'Item Master'!$A$6:$A$105,0)),"?"))</f>
        <v/>
      </c>
      <c r="E100" s="82"/>
      <c r="F100" s="83"/>
      <c r="G100" s="84"/>
      <c r="H100" s="81"/>
      <c r="I100" s="80"/>
      <c r="J100" s="41" t="str">
        <f aca="false">IF(OR(C100="",G100=""),"",N(F100)*N(G100))</f>
        <v/>
      </c>
      <c r="K100" s="48" t="str">
        <f aca="false">IF(M100="","",N(IFERROR(INDEX('Item Master'!$E$6:$E$105,MATCH(C100,'Item Master'!$A$6:$A$105,0)),0))+SUMIFS($F$7:$F$506,$C$7:$C$506,C100,$E$7:$E$506,"In",$M$7:$M$506,"&lt;="&amp;M100)-SUMIFS($F$7:$F$506,$C$7:$C$506,C100,$E$7:$E$506,"Out",$M$7:$M$506,"&lt;="&amp;M100))</f>
        <v/>
      </c>
      <c r="L100" s="44" t="str">
        <f aca="false">IF(AND(B100="",C100="",F100=""),"",IF(C100="","⚠ Pick item",IF(D100="?","⚠ Code not in Item Master",IF(B100="","⚠ Enter date",IF(OR(E100="",N(F100)&lt;=0),"⚠ Type / quantity missing",IF(AND(E100="In",G100=""),"⚠ Enter purchase rate",IF(OR(B100&lt;Setup!$C$6,B100&gt;Setup!$C$7),"Outside period",IF(K100&lt;0,"⚠ Stock goes negative","✔ OK"))))))))</f>
        <v/>
      </c>
      <c r="M100" s="9" t="str">
        <f aca="false">IF(OR(C100="",B100=""),"",B100+ROW()/1000000)</f>
        <v/>
      </c>
      <c r="N100" s="9" t="str">
        <f aca="false">IF(AND(E100="In",M100&lt;&gt;""),SUMIFS($F$7:$F$506,$C$7:$C$506,C100,$E$7:$E$506,"In",$M$7:$M$506,"&gt;"&amp;M100),"")</f>
        <v/>
      </c>
      <c r="O100" s="9" t="str">
        <f aca="false">IF(N100="","",IFERROR(INDEX('Item Master'!$K$6:$K$105,MATCH(C100,'Item Master'!$A$6:$A$105,0)),0))</f>
        <v/>
      </c>
      <c r="P100" s="9" t="n">
        <f aca="false">IF(N100="",0,MAX(0,MIN(N(F100),O100-N100))*N(G100))</f>
        <v>0</v>
      </c>
      <c r="Q100" s="9" t="str">
        <f aca="false">IF(AND(C100&lt;&gt;"",C100='Stock Ledger'!$C$4),M100,"")</f>
        <v/>
      </c>
    </row>
    <row r="101" customFormat="false" ht="15" hidden="false" customHeight="false" outlineLevel="0" collapsed="false">
      <c r="A101" s="45" t="str">
        <f aca="false">IF(C101="","",ROW()-6)</f>
        <v/>
      </c>
      <c r="B101" s="85"/>
      <c r="C101" s="80"/>
      <c r="D101" s="47" t="str">
        <f aca="false">IF(C101="","",IFERROR(INDEX('Item Master'!$B$6:$B$105,MATCH(C101,'Item Master'!$A$6:$A$105,0)),"?"))</f>
        <v/>
      </c>
      <c r="E101" s="82"/>
      <c r="F101" s="83"/>
      <c r="G101" s="84"/>
      <c r="H101" s="81"/>
      <c r="I101" s="80"/>
      <c r="J101" s="41" t="str">
        <f aca="false">IF(OR(C101="",G101=""),"",N(F101)*N(G101))</f>
        <v/>
      </c>
      <c r="K101" s="48" t="str">
        <f aca="false">IF(M101="","",N(IFERROR(INDEX('Item Master'!$E$6:$E$105,MATCH(C101,'Item Master'!$A$6:$A$105,0)),0))+SUMIFS($F$7:$F$506,$C$7:$C$506,C101,$E$7:$E$506,"In",$M$7:$M$506,"&lt;="&amp;M101)-SUMIFS($F$7:$F$506,$C$7:$C$506,C101,$E$7:$E$506,"Out",$M$7:$M$506,"&lt;="&amp;M101))</f>
        <v/>
      </c>
      <c r="L101" s="44" t="str">
        <f aca="false">IF(AND(B101="",C101="",F101=""),"",IF(C101="","⚠ Pick item",IF(D101="?","⚠ Code not in Item Master",IF(B101="","⚠ Enter date",IF(OR(E101="",N(F101)&lt;=0),"⚠ Type / quantity missing",IF(AND(E101="In",G101=""),"⚠ Enter purchase rate",IF(OR(B101&lt;Setup!$C$6,B101&gt;Setup!$C$7),"Outside period",IF(K101&lt;0,"⚠ Stock goes negative","✔ OK"))))))))</f>
        <v/>
      </c>
      <c r="M101" s="9" t="str">
        <f aca="false">IF(OR(C101="",B101=""),"",B101+ROW()/1000000)</f>
        <v/>
      </c>
      <c r="N101" s="9" t="str">
        <f aca="false">IF(AND(E101="In",M101&lt;&gt;""),SUMIFS($F$7:$F$506,$C$7:$C$506,C101,$E$7:$E$506,"In",$M$7:$M$506,"&gt;"&amp;M101),"")</f>
        <v/>
      </c>
      <c r="O101" s="9" t="str">
        <f aca="false">IF(N101="","",IFERROR(INDEX('Item Master'!$K$6:$K$105,MATCH(C101,'Item Master'!$A$6:$A$105,0)),0))</f>
        <v/>
      </c>
      <c r="P101" s="9" t="n">
        <f aca="false">IF(N101="",0,MAX(0,MIN(N(F101),O101-N101))*N(G101))</f>
        <v>0</v>
      </c>
      <c r="Q101" s="9" t="str">
        <f aca="false">IF(AND(C101&lt;&gt;"",C101='Stock Ledger'!$C$4),M101,"")</f>
        <v/>
      </c>
    </row>
    <row r="102" customFormat="false" ht="15" hidden="false" customHeight="false" outlineLevel="0" collapsed="false">
      <c r="A102" s="45" t="str">
        <f aca="false">IF(C102="","",ROW()-6)</f>
        <v/>
      </c>
      <c r="B102" s="85"/>
      <c r="C102" s="80"/>
      <c r="D102" s="47" t="str">
        <f aca="false">IF(C102="","",IFERROR(INDEX('Item Master'!$B$6:$B$105,MATCH(C102,'Item Master'!$A$6:$A$105,0)),"?"))</f>
        <v/>
      </c>
      <c r="E102" s="82"/>
      <c r="F102" s="83"/>
      <c r="G102" s="84"/>
      <c r="H102" s="81"/>
      <c r="I102" s="80"/>
      <c r="J102" s="41" t="str">
        <f aca="false">IF(OR(C102="",G102=""),"",N(F102)*N(G102))</f>
        <v/>
      </c>
      <c r="K102" s="48" t="str">
        <f aca="false">IF(M102="","",N(IFERROR(INDEX('Item Master'!$E$6:$E$105,MATCH(C102,'Item Master'!$A$6:$A$105,0)),0))+SUMIFS($F$7:$F$506,$C$7:$C$506,C102,$E$7:$E$506,"In",$M$7:$M$506,"&lt;="&amp;M102)-SUMIFS($F$7:$F$506,$C$7:$C$506,C102,$E$7:$E$506,"Out",$M$7:$M$506,"&lt;="&amp;M102))</f>
        <v/>
      </c>
      <c r="L102" s="44" t="str">
        <f aca="false">IF(AND(B102="",C102="",F102=""),"",IF(C102="","⚠ Pick item",IF(D102="?","⚠ Code not in Item Master",IF(B102="","⚠ Enter date",IF(OR(E102="",N(F102)&lt;=0),"⚠ Type / quantity missing",IF(AND(E102="In",G102=""),"⚠ Enter purchase rate",IF(OR(B102&lt;Setup!$C$6,B102&gt;Setup!$C$7),"Outside period",IF(K102&lt;0,"⚠ Stock goes negative","✔ OK"))))))))</f>
        <v/>
      </c>
      <c r="M102" s="9" t="str">
        <f aca="false">IF(OR(C102="",B102=""),"",B102+ROW()/1000000)</f>
        <v/>
      </c>
      <c r="N102" s="9" t="str">
        <f aca="false">IF(AND(E102="In",M102&lt;&gt;""),SUMIFS($F$7:$F$506,$C$7:$C$506,C102,$E$7:$E$506,"In",$M$7:$M$506,"&gt;"&amp;M102),"")</f>
        <v/>
      </c>
      <c r="O102" s="9" t="str">
        <f aca="false">IF(N102="","",IFERROR(INDEX('Item Master'!$K$6:$K$105,MATCH(C102,'Item Master'!$A$6:$A$105,0)),0))</f>
        <v/>
      </c>
      <c r="P102" s="9" t="n">
        <f aca="false">IF(N102="",0,MAX(0,MIN(N(F102),O102-N102))*N(G102))</f>
        <v>0</v>
      </c>
      <c r="Q102" s="9" t="str">
        <f aca="false">IF(AND(C102&lt;&gt;"",C102='Stock Ledger'!$C$4),M102,"")</f>
        <v/>
      </c>
    </row>
    <row r="103" customFormat="false" ht="15" hidden="false" customHeight="false" outlineLevel="0" collapsed="false">
      <c r="A103" s="45" t="str">
        <f aca="false">IF(C103="","",ROW()-6)</f>
        <v/>
      </c>
      <c r="B103" s="85"/>
      <c r="C103" s="80"/>
      <c r="D103" s="47" t="str">
        <f aca="false">IF(C103="","",IFERROR(INDEX('Item Master'!$B$6:$B$105,MATCH(C103,'Item Master'!$A$6:$A$105,0)),"?"))</f>
        <v/>
      </c>
      <c r="E103" s="82"/>
      <c r="F103" s="83"/>
      <c r="G103" s="84"/>
      <c r="H103" s="81"/>
      <c r="I103" s="80"/>
      <c r="J103" s="41" t="str">
        <f aca="false">IF(OR(C103="",G103=""),"",N(F103)*N(G103))</f>
        <v/>
      </c>
      <c r="K103" s="48" t="str">
        <f aca="false">IF(M103="","",N(IFERROR(INDEX('Item Master'!$E$6:$E$105,MATCH(C103,'Item Master'!$A$6:$A$105,0)),0))+SUMIFS($F$7:$F$506,$C$7:$C$506,C103,$E$7:$E$506,"In",$M$7:$M$506,"&lt;="&amp;M103)-SUMIFS($F$7:$F$506,$C$7:$C$506,C103,$E$7:$E$506,"Out",$M$7:$M$506,"&lt;="&amp;M103))</f>
        <v/>
      </c>
      <c r="L103" s="44" t="str">
        <f aca="false">IF(AND(B103="",C103="",F103=""),"",IF(C103="","⚠ Pick item",IF(D103="?","⚠ Code not in Item Master",IF(B103="","⚠ Enter date",IF(OR(E103="",N(F103)&lt;=0),"⚠ Type / quantity missing",IF(AND(E103="In",G103=""),"⚠ Enter purchase rate",IF(OR(B103&lt;Setup!$C$6,B103&gt;Setup!$C$7),"Outside period",IF(K103&lt;0,"⚠ Stock goes negative","✔ OK"))))))))</f>
        <v/>
      </c>
      <c r="M103" s="9" t="str">
        <f aca="false">IF(OR(C103="",B103=""),"",B103+ROW()/1000000)</f>
        <v/>
      </c>
      <c r="N103" s="9" t="str">
        <f aca="false">IF(AND(E103="In",M103&lt;&gt;""),SUMIFS($F$7:$F$506,$C$7:$C$506,C103,$E$7:$E$506,"In",$M$7:$M$506,"&gt;"&amp;M103),"")</f>
        <v/>
      </c>
      <c r="O103" s="9" t="str">
        <f aca="false">IF(N103="","",IFERROR(INDEX('Item Master'!$K$6:$K$105,MATCH(C103,'Item Master'!$A$6:$A$105,0)),0))</f>
        <v/>
      </c>
      <c r="P103" s="9" t="n">
        <f aca="false">IF(N103="",0,MAX(0,MIN(N(F103),O103-N103))*N(G103))</f>
        <v>0</v>
      </c>
      <c r="Q103" s="9" t="str">
        <f aca="false">IF(AND(C103&lt;&gt;"",C103='Stock Ledger'!$C$4),M103,"")</f>
        <v/>
      </c>
    </row>
    <row r="104" customFormat="false" ht="15" hidden="false" customHeight="false" outlineLevel="0" collapsed="false">
      <c r="A104" s="45" t="str">
        <f aca="false">IF(C104="","",ROW()-6)</f>
        <v/>
      </c>
      <c r="B104" s="85"/>
      <c r="C104" s="80"/>
      <c r="D104" s="47" t="str">
        <f aca="false">IF(C104="","",IFERROR(INDEX('Item Master'!$B$6:$B$105,MATCH(C104,'Item Master'!$A$6:$A$105,0)),"?"))</f>
        <v/>
      </c>
      <c r="E104" s="82"/>
      <c r="F104" s="83"/>
      <c r="G104" s="84"/>
      <c r="H104" s="81"/>
      <c r="I104" s="80"/>
      <c r="J104" s="41" t="str">
        <f aca="false">IF(OR(C104="",G104=""),"",N(F104)*N(G104))</f>
        <v/>
      </c>
      <c r="K104" s="48" t="str">
        <f aca="false">IF(M104="","",N(IFERROR(INDEX('Item Master'!$E$6:$E$105,MATCH(C104,'Item Master'!$A$6:$A$105,0)),0))+SUMIFS($F$7:$F$506,$C$7:$C$506,C104,$E$7:$E$506,"In",$M$7:$M$506,"&lt;="&amp;M104)-SUMIFS($F$7:$F$506,$C$7:$C$506,C104,$E$7:$E$506,"Out",$M$7:$M$506,"&lt;="&amp;M104))</f>
        <v/>
      </c>
      <c r="L104" s="44" t="str">
        <f aca="false">IF(AND(B104="",C104="",F104=""),"",IF(C104="","⚠ Pick item",IF(D104="?","⚠ Code not in Item Master",IF(B104="","⚠ Enter date",IF(OR(E104="",N(F104)&lt;=0),"⚠ Type / quantity missing",IF(AND(E104="In",G104=""),"⚠ Enter purchase rate",IF(OR(B104&lt;Setup!$C$6,B104&gt;Setup!$C$7),"Outside period",IF(K104&lt;0,"⚠ Stock goes negative","✔ OK"))))))))</f>
        <v/>
      </c>
      <c r="M104" s="9" t="str">
        <f aca="false">IF(OR(C104="",B104=""),"",B104+ROW()/1000000)</f>
        <v/>
      </c>
      <c r="N104" s="9" t="str">
        <f aca="false">IF(AND(E104="In",M104&lt;&gt;""),SUMIFS($F$7:$F$506,$C$7:$C$506,C104,$E$7:$E$506,"In",$M$7:$M$506,"&gt;"&amp;M104),"")</f>
        <v/>
      </c>
      <c r="O104" s="9" t="str">
        <f aca="false">IF(N104="","",IFERROR(INDEX('Item Master'!$K$6:$K$105,MATCH(C104,'Item Master'!$A$6:$A$105,0)),0))</f>
        <v/>
      </c>
      <c r="P104" s="9" t="n">
        <f aca="false">IF(N104="",0,MAX(0,MIN(N(F104),O104-N104))*N(G104))</f>
        <v>0</v>
      </c>
      <c r="Q104" s="9" t="str">
        <f aca="false">IF(AND(C104&lt;&gt;"",C104='Stock Ledger'!$C$4),M104,"")</f>
        <v/>
      </c>
    </row>
    <row r="105" customFormat="false" ht="15" hidden="false" customHeight="false" outlineLevel="0" collapsed="false">
      <c r="A105" s="45" t="str">
        <f aca="false">IF(C105="","",ROW()-6)</f>
        <v/>
      </c>
      <c r="B105" s="85"/>
      <c r="C105" s="80"/>
      <c r="D105" s="47" t="str">
        <f aca="false">IF(C105="","",IFERROR(INDEX('Item Master'!$B$6:$B$105,MATCH(C105,'Item Master'!$A$6:$A$105,0)),"?"))</f>
        <v/>
      </c>
      <c r="E105" s="82"/>
      <c r="F105" s="83"/>
      <c r="G105" s="84"/>
      <c r="H105" s="81"/>
      <c r="I105" s="80"/>
      <c r="J105" s="41" t="str">
        <f aca="false">IF(OR(C105="",G105=""),"",N(F105)*N(G105))</f>
        <v/>
      </c>
      <c r="K105" s="48" t="str">
        <f aca="false">IF(M105="","",N(IFERROR(INDEX('Item Master'!$E$6:$E$105,MATCH(C105,'Item Master'!$A$6:$A$105,0)),0))+SUMIFS($F$7:$F$506,$C$7:$C$506,C105,$E$7:$E$506,"In",$M$7:$M$506,"&lt;="&amp;M105)-SUMIFS($F$7:$F$506,$C$7:$C$506,C105,$E$7:$E$506,"Out",$M$7:$M$506,"&lt;="&amp;M105))</f>
        <v/>
      </c>
      <c r="L105" s="44" t="str">
        <f aca="false">IF(AND(B105="",C105="",F105=""),"",IF(C105="","⚠ Pick item",IF(D105="?","⚠ Code not in Item Master",IF(B105="","⚠ Enter date",IF(OR(E105="",N(F105)&lt;=0),"⚠ Type / quantity missing",IF(AND(E105="In",G105=""),"⚠ Enter purchase rate",IF(OR(B105&lt;Setup!$C$6,B105&gt;Setup!$C$7),"Outside period",IF(K105&lt;0,"⚠ Stock goes negative","✔ OK"))))))))</f>
        <v/>
      </c>
      <c r="M105" s="9" t="str">
        <f aca="false">IF(OR(C105="",B105=""),"",B105+ROW()/1000000)</f>
        <v/>
      </c>
      <c r="N105" s="9" t="str">
        <f aca="false">IF(AND(E105="In",M105&lt;&gt;""),SUMIFS($F$7:$F$506,$C$7:$C$506,C105,$E$7:$E$506,"In",$M$7:$M$506,"&gt;"&amp;M105),"")</f>
        <v/>
      </c>
      <c r="O105" s="9" t="str">
        <f aca="false">IF(N105="","",IFERROR(INDEX('Item Master'!$K$6:$K$105,MATCH(C105,'Item Master'!$A$6:$A$105,0)),0))</f>
        <v/>
      </c>
      <c r="P105" s="9" t="n">
        <f aca="false">IF(N105="",0,MAX(0,MIN(N(F105),O105-N105))*N(G105))</f>
        <v>0</v>
      </c>
      <c r="Q105" s="9" t="str">
        <f aca="false">IF(AND(C105&lt;&gt;"",C105='Stock Ledger'!$C$4),M105,"")</f>
        <v/>
      </c>
    </row>
    <row r="106" customFormat="false" ht="15" hidden="false" customHeight="false" outlineLevel="0" collapsed="false">
      <c r="A106" s="45" t="str">
        <f aca="false">IF(C106="","",ROW()-6)</f>
        <v/>
      </c>
      <c r="B106" s="85"/>
      <c r="C106" s="80"/>
      <c r="D106" s="47" t="str">
        <f aca="false">IF(C106="","",IFERROR(INDEX('Item Master'!$B$6:$B$105,MATCH(C106,'Item Master'!$A$6:$A$105,0)),"?"))</f>
        <v/>
      </c>
      <c r="E106" s="82"/>
      <c r="F106" s="83"/>
      <c r="G106" s="84"/>
      <c r="H106" s="81"/>
      <c r="I106" s="80"/>
      <c r="J106" s="41" t="str">
        <f aca="false">IF(OR(C106="",G106=""),"",N(F106)*N(G106))</f>
        <v/>
      </c>
      <c r="K106" s="48" t="str">
        <f aca="false">IF(M106="","",N(IFERROR(INDEX('Item Master'!$E$6:$E$105,MATCH(C106,'Item Master'!$A$6:$A$105,0)),0))+SUMIFS($F$7:$F$506,$C$7:$C$506,C106,$E$7:$E$506,"In",$M$7:$M$506,"&lt;="&amp;M106)-SUMIFS($F$7:$F$506,$C$7:$C$506,C106,$E$7:$E$506,"Out",$M$7:$M$506,"&lt;="&amp;M106))</f>
        <v/>
      </c>
      <c r="L106" s="44" t="str">
        <f aca="false">IF(AND(B106="",C106="",F106=""),"",IF(C106="","⚠ Pick item",IF(D106="?","⚠ Code not in Item Master",IF(B106="","⚠ Enter date",IF(OR(E106="",N(F106)&lt;=0),"⚠ Type / quantity missing",IF(AND(E106="In",G106=""),"⚠ Enter purchase rate",IF(OR(B106&lt;Setup!$C$6,B106&gt;Setup!$C$7),"Outside period",IF(K106&lt;0,"⚠ Stock goes negative","✔ OK"))))))))</f>
        <v/>
      </c>
      <c r="M106" s="9" t="str">
        <f aca="false">IF(OR(C106="",B106=""),"",B106+ROW()/1000000)</f>
        <v/>
      </c>
      <c r="N106" s="9" t="str">
        <f aca="false">IF(AND(E106="In",M106&lt;&gt;""),SUMIFS($F$7:$F$506,$C$7:$C$506,C106,$E$7:$E$506,"In",$M$7:$M$506,"&gt;"&amp;M106),"")</f>
        <v/>
      </c>
      <c r="O106" s="9" t="str">
        <f aca="false">IF(N106="","",IFERROR(INDEX('Item Master'!$K$6:$K$105,MATCH(C106,'Item Master'!$A$6:$A$105,0)),0))</f>
        <v/>
      </c>
      <c r="P106" s="9" t="n">
        <f aca="false">IF(N106="",0,MAX(0,MIN(N(F106),O106-N106))*N(G106))</f>
        <v>0</v>
      </c>
      <c r="Q106" s="9" t="str">
        <f aca="false">IF(AND(C106&lt;&gt;"",C106='Stock Ledger'!$C$4),M106,"")</f>
        <v/>
      </c>
    </row>
    <row r="107" customFormat="false" ht="15" hidden="false" customHeight="false" outlineLevel="0" collapsed="false">
      <c r="A107" s="45" t="str">
        <f aca="false">IF(C107="","",ROW()-6)</f>
        <v/>
      </c>
      <c r="B107" s="85"/>
      <c r="C107" s="80"/>
      <c r="D107" s="47" t="str">
        <f aca="false">IF(C107="","",IFERROR(INDEX('Item Master'!$B$6:$B$105,MATCH(C107,'Item Master'!$A$6:$A$105,0)),"?"))</f>
        <v/>
      </c>
      <c r="E107" s="82"/>
      <c r="F107" s="83"/>
      <c r="G107" s="84"/>
      <c r="H107" s="81"/>
      <c r="I107" s="80"/>
      <c r="J107" s="41" t="str">
        <f aca="false">IF(OR(C107="",G107=""),"",N(F107)*N(G107))</f>
        <v/>
      </c>
      <c r="K107" s="48" t="str">
        <f aca="false">IF(M107="","",N(IFERROR(INDEX('Item Master'!$E$6:$E$105,MATCH(C107,'Item Master'!$A$6:$A$105,0)),0))+SUMIFS($F$7:$F$506,$C$7:$C$506,C107,$E$7:$E$506,"In",$M$7:$M$506,"&lt;="&amp;M107)-SUMIFS($F$7:$F$506,$C$7:$C$506,C107,$E$7:$E$506,"Out",$M$7:$M$506,"&lt;="&amp;M107))</f>
        <v/>
      </c>
      <c r="L107" s="44" t="str">
        <f aca="false">IF(AND(B107="",C107="",F107=""),"",IF(C107="","⚠ Pick item",IF(D107="?","⚠ Code not in Item Master",IF(B107="","⚠ Enter date",IF(OR(E107="",N(F107)&lt;=0),"⚠ Type / quantity missing",IF(AND(E107="In",G107=""),"⚠ Enter purchase rate",IF(OR(B107&lt;Setup!$C$6,B107&gt;Setup!$C$7),"Outside period",IF(K107&lt;0,"⚠ Stock goes negative","✔ OK"))))))))</f>
        <v/>
      </c>
      <c r="M107" s="9" t="str">
        <f aca="false">IF(OR(C107="",B107=""),"",B107+ROW()/1000000)</f>
        <v/>
      </c>
      <c r="N107" s="9" t="str">
        <f aca="false">IF(AND(E107="In",M107&lt;&gt;""),SUMIFS($F$7:$F$506,$C$7:$C$506,C107,$E$7:$E$506,"In",$M$7:$M$506,"&gt;"&amp;M107),"")</f>
        <v/>
      </c>
      <c r="O107" s="9" t="str">
        <f aca="false">IF(N107="","",IFERROR(INDEX('Item Master'!$K$6:$K$105,MATCH(C107,'Item Master'!$A$6:$A$105,0)),0))</f>
        <v/>
      </c>
      <c r="P107" s="9" t="n">
        <f aca="false">IF(N107="",0,MAX(0,MIN(N(F107),O107-N107))*N(G107))</f>
        <v>0</v>
      </c>
      <c r="Q107" s="9" t="str">
        <f aca="false">IF(AND(C107&lt;&gt;"",C107='Stock Ledger'!$C$4),M107,"")</f>
        <v/>
      </c>
    </row>
    <row r="108" customFormat="false" ht="15" hidden="false" customHeight="false" outlineLevel="0" collapsed="false">
      <c r="A108" s="45" t="str">
        <f aca="false">IF(C108="","",ROW()-6)</f>
        <v/>
      </c>
      <c r="B108" s="85"/>
      <c r="C108" s="80"/>
      <c r="D108" s="47" t="str">
        <f aca="false">IF(C108="","",IFERROR(INDEX('Item Master'!$B$6:$B$105,MATCH(C108,'Item Master'!$A$6:$A$105,0)),"?"))</f>
        <v/>
      </c>
      <c r="E108" s="82"/>
      <c r="F108" s="83"/>
      <c r="G108" s="84"/>
      <c r="H108" s="81"/>
      <c r="I108" s="80"/>
      <c r="J108" s="41" t="str">
        <f aca="false">IF(OR(C108="",G108=""),"",N(F108)*N(G108))</f>
        <v/>
      </c>
      <c r="K108" s="48" t="str">
        <f aca="false">IF(M108="","",N(IFERROR(INDEX('Item Master'!$E$6:$E$105,MATCH(C108,'Item Master'!$A$6:$A$105,0)),0))+SUMIFS($F$7:$F$506,$C$7:$C$506,C108,$E$7:$E$506,"In",$M$7:$M$506,"&lt;="&amp;M108)-SUMIFS($F$7:$F$506,$C$7:$C$506,C108,$E$7:$E$506,"Out",$M$7:$M$506,"&lt;="&amp;M108))</f>
        <v/>
      </c>
      <c r="L108" s="44" t="str">
        <f aca="false">IF(AND(B108="",C108="",F108=""),"",IF(C108="","⚠ Pick item",IF(D108="?","⚠ Code not in Item Master",IF(B108="","⚠ Enter date",IF(OR(E108="",N(F108)&lt;=0),"⚠ Type / quantity missing",IF(AND(E108="In",G108=""),"⚠ Enter purchase rate",IF(OR(B108&lt;Setup!$C$6,B108&gt;Setup!$C$7),"Outside period",IF(K108&lt;0,"⚠ Stock goes negative","✔ OK"))))))))</f>
        <v/>
      </c>
      <c r="M108" s="9" t="str">
        <f aca="false">IF(OR(C108="",B108=""),"",B108+ROW()/1000000)</f>
        <v/>
      </c>
      <c r="N108" s="9" t="str">
        <f aca="false">IF(AND(E108="In",M108&lt;&gt;""),SUMIFS($F$7:$F$506,$C$7:$C$506,C108,$E$7:$E$506,"In",$M$7:$M$506,"&gt;"&amp;M108),"")</f>
        <v/>
      </c>
      <c r="O108" s="9" t="str">
        <f aca="false">IF(N108="","",IFERROR(INDEX('Item Master'!$K$6:$K$105,MATCH(C108,'Item Master'!$A$6:$A$105,0)),0))</f>
        <v/>
      </c>
      <c r="P108" s="9" t="n">
        <f aca="false">IF(N108="",0,MAX(0,MIN(N(F108),O108-N108))*N(G108))</f>
        <v>0</v>
      </c>
      <c r="Q108" s="9" t="str">
        <f aca="false">IF(AND(C108&lt;&gt;"",C108='Stock Ledger'!$C$4),M108,"")</f>
        <v/>
      </c>
    </row>
    <row r="109" customFormat="false" ht="15" hidden="false" customHeight="false" outlineLevel="0" collapsed="false">
      <c r="A109" s="45" t="str">
        <f aca="false">IF(C109="","",ROW()-6)</f>
        <v/>
      </c>
      <c r="B109" s="85"/>
      <c r="C109" s="80"/>
      <c r="D109" s="47" t="str">
        <f aca="false">IF(C109="","",IFERROR(INDEX('Item Master'!$B$6:$B$105,MATCH(C109,'Item Master'!$A$6:$A$105,0)),"?"))</f>
        <v/>
      </c>
      <c r="E109" s="82"/>
      <c r="F109" s="83"/>
      <c r="G109" s="84"/>
      <c r="H109" s="81"/>
      <c r="I109" s="80"/>
      <c r="J109" s="41" t="str">
        <f aca="false">IF(OR(C109="",G109=""),"",N(F109)*N(G109))</f>
        <v/>
      </c>
      <c r="K109" s="48" t="str">
        <f aca="false">IF(M109="","",N(IFERROR(INDEX('Item Master'!$E$6:$E$105,MATCH(C109,'Item Master'!$A$6:$A$105,0)),0))+SUMIFS($F$7:$F$506,$C$7:$C$506,C109,$E$7:$E$506,"In",$M$7:$M$506,"&lt;="&amp;M109)-SUMIFS($F$7:$F$506,$C$7:$C$506,C109,$E$7:$E$506,"Out",$M$7:$M$506,"&lt;="&amp;M109))</f>
        <v/>
      </c>
      <c r="L109" s="44" t="str">
        <f aca="false">IF(AND(B109="",C109="",F109=""),"",IF(C109="","⚠ Pick item",IF(D109="?","⚠ Code not in Item Master",IF(B109="","⚠ Enter date",IF(OR(E109="",N(F109)&lt;=0),"⚠ Type / quantity missing",IF(AND(E109="In",G109=""),"⚠ Enter purchase rate",IF(OR(B109&lt;Setup!$C$6,B109&gt;Setup!$C$7),"Outside period",IF(K109&lt;0,"⚠ Stock goes negative","✔ OK"))))))))</f>
        <v/>
      </c>
      <c r="M109" s="9" t="str">
        <f aca="false">IF(OR(C109="",B109=""),"",B109+ROW()/1000000)</f>
        <v/>
      </c>
      <c r="N109" s="9" t="str">
        <f aca="false">IF(AND(E109="In",M109&lt;&gt;""),SUMIFS($F$7:$F$506,$C$7:$C$506,C109,$E$7:$E$506,"In",$M$7:$M$506,"&gt;"&amp;M109),"")</f>
        <v/>
      </c>
      <c r="O109" s="9" t="str">
        <f aca="false">IF(N109="","",IFERROR(INDEX('Item Master'!$K$6:$K$105,MATCH(C109,'Item Master'!$A$6:$A$105,0)),0))</f>
        <v/>
      </c>
      <c r="P109" s="9" t="n">
        <f aca="false">IF(N109="",0,MAX(0,MIN(N(F109),O109-N109))*N(G109))</f>
        <v>0</v>
      </c>
      <c r="Q109" s="9" t="str">
        <f aca="false">IF(AND(C109&lt;&gt;"",C109='Stock Ledger'!$C$4),M109,"")</f>
        <v/>
      </c>
    </row>
    <row r="110" customFormat="false" ht="15" hidden="false" customHeight="false" outlineLevel="0" collapsed="false">
      <c r="A110" s="45" t="str">
        <f aca="false">IF(C110="","",ROW()-6)</f>
        <v/>
      </c>
      <c r="B110" s="85"/>
      <c r="C110" s="80"/>
      <c r="D110" s="47" t="str">
        <f aca="false">IF(C110="","",IFERROR(INDEX('Item Master'!$B$6:$B$105,MATCH(C110,'Item Master'!$A$6:$A$105,0)),"?"))</f>
        <v/>
      </c>
      <c r="E110" s="82"/>
      <c r="F110" s="83"/>
      <c r="G110" s="84"/>
      <c r="H110" s="81"/>
      <c r="I110" s="80"/>
      <c r="J110" s="41" t="str">
        <f aca="false">IF(OR(C110="",G110=""),"",N(F110)*N(G110))</f>
        <v/>
      </c>
      <c r="K110" s="48" t="str">
        <f aca="false">IF(M110="","",N(IFERROR(INDEX('Item Master'!$E$6:$E$105,MATCH(C110,'Item Master'!$A$6:$A$105,0)),0))+SUMIFS($F$7:$F$506,$C$7:$C$506,C110,$E$7:$E$506,"In",$M$7:$M$506,"&lt;="&amp;M110)-SUMIFS($F$7:$F$506,$C$7:$C$506,C110,$E$7:$E$506,"Out",$M$7:$M$506,"&lt;="&amp;M110))</f>
        <v/>
      </c>
      <c r="L110" s="44" t="str">
        <f aca="false">IF(AND(B110="",C110="",F110=""),"",IF(C110="","⚠ Pick item",IF(D110="?","⚠ Code not in Item Master",IF(B110="","⚠ Enter date",IF(OR(E110="",N(F110)&lt;=0),"⚠ Type / quantity missing",IF(AND(E110="In",G110=""),"⚠ Enter purchase rate",IF(OR(B110&lt;Setup!$C$6,B110&gt;Setup!$C$7),"Outside period",IF(K110&lt;0,"⚠ Stock goes negative","✔ OK"))))))))</f>
        <v/>
      </c>
      <c r="M110" s="9" t="str">
        <f aca="false">IF(OR(C110="",B110=""),"",B110+ROW()/1000000)</f>
        <v/>
      </c>
      <c r="N110" s="9" t="str">
        <f aca="false">IF(AND(E110="In",M110&lt;&gt;""),SUMIFS($F$7:$F$506,$C$7:$C$506,C110,$E$7:$E$506,"In",$M$7:$M$506,"&gt;"&amp;M110),"")</f>
        <v/>
      </c>
      <c r="O110" s="9" t="str">
        <f aca="false">IF(N110="","",IFERROR(INDEX('Item Master'!$K$6:$K$105,MATCH(C110,'Item Master'!$A$6:$A$105,0)),0))</f>
        <v/>
      </c>
      <c r="P110" s="9" t="n">
        <f aca="false">IF(N110="",0,MAX(0,MIN(N(F110),O110-N110))*N(G110))</f>
        <v>0</v>
      </c>
      <c r="Q110" s="9" t="str">
        <f aca="false">IF(AND(C110&lt;&gt;"",C110='Stock Ledger'!$C$4),M110,"")</f>
        <v/>
      </c>
    </row>
    <row r="111" customFormat="false" ht="15" hidden="false" customHeight="false" outlineLevel="0" collapsed="false">
      <c r="A111" s="45" t="str">
        <f aca="false">IF(C111="","",ROW()-6)</f>
        <v/>
      </c>
      <c r="B111" s="85"/>
      <c r="C111" s="80"/>
      <c r="D111" s="47" t="str">
        <f aca="false">IF(C111="","",IFERROR(INDEX('Item Master'!$B$6:$B$105,MATCH(C111,'Item Master'!$A$6:$A$105,0)),"?"))</f>
        <v/>
      </c>
      <c r="E111" s="82"/>
      <c r="F111" s="83"/>
      <c r="G111" s="84"/>
      <c r="H111" s="81"/>
      <c r="I111" s="80"/>
      <c r="J111" s="41" t="str">
        <f aca="false">IF(OR(C111="",G111=""),"",N(F111)*N(G111))</f>
        <v/>
      </c>
      <c r="K111" s="48" t="str">
        <f aca="false">IF(M111="","",N(IFERROR(INDEX('Item Master'!$E$6:$E$105,MATCH(C111,'Item Master'!$A$6:$A$105,0)),0))+SUMIFS($F$7:$F$506,$C$7:$C$506,C111,$E$7:$E$506,"In",$M$7:$M$506,"&lt;="&amp;M111)-SUMIFS($F$7:$F$506,$C$7:$C$506,C111,$E$7:$E$506,"Out",$M$7:$M$506,"&lt;="&amp;M111))</f>
        <v/>
      </c>
      <c r="L111" s="44" t="str">
        <f aca="false">IF(AND(B111="",C111="",F111=""),"",IF(C111="","⚠ Pick item",IF(D111="?","⚠ Code not in Item Master",IF(B111="","⚠ Enter date",IF(OR(E111="",N(F111)&lt;=0),"⚠ Type / quantity missing",IF(AND(E111="In",G111=""),"⚠ Enter purchase rate",IF(OR(B111&lt;Setup!$C$6,B111&gt;Setup!$C$7),"Outside period",IF(K111&lt;0,"⚠ Stock goes negative","✔ OK"))))))))</f>
        <v/>
      </c>
      <c r="M111" s="9" t="str">
        <f aca="false">IF(OR(C111="",B111=""),"",B111+ROW()/1000000)</f>
        <v/>
      </c>
      <c r="N111" s="9" t="str">
        <f aca="false">IF(AND(E111="In",M111&lt;&gt;""),SUMIFS($F$7:$F$506,$C$7:$C$506,C111,$E$7:$E$506,"In",$M$7:$M$506,"&gt;"&amp;M111),"")</f>
        <v/>
      </c>
      <c r="O111" s="9" t="str">
        <f aca="false">IF(N111="","",IFERROR(INDEX('Item Master'!$K$6:$K$105,MATCH(C111,'Item Master'!$A$6:$A$105,0)),0))</f>
        <v/>
      </c>
      <c r="P111" s="9" t="n">
        <f aca="false">IF(N111="",0,MAX(0,MIN(N(F111),O111-N111))*N(G111))</f>
        <v>0</v>
      </c>
      <c r="Q111" s="9" t="str">
        <f aca="false">IF(AND(C111&lt;&gt;"",C111='Stock Ledger'!$C$4),M111,"")</f>
        <v/>
      </c>
    </row>
    <row r="112" customFormat="false" ht="15" hidden="false" customHeight="false" outlineLevel="0" collapsed="false">
      <c r="A112" s="45" t="str">
        <f aca="false">IF(C112="","",ROW()-6)</f>
        <v/>
      </c>
      <c r="B112" s="85"/>
      <c r="C112" s="80"/>
      <c r="D112" s="47" t="str">
        <f aca="false">IF(C112="","",IFERROR(INDEX('Item Master'!$B$6:$B$105,MATCH(C112,'Item Master'!$A$6:$A$105,0)),"?"))</f>
        <v/>
      </c>
      <c r="E112" s="82"/>
      <c r="F112" s="83"/>
      <c r="G112" s="84"/>
      <c r="H112" s="81"/>
      <c r="I112" s="80"/>
      <c r="J112" s="41" t="str">
        <f aca="false">IF(OR(C112="",G112=""),"",N(F112)*N(G112))</f>
        <v/>
      </c>
      <c r="K112" s="48" t="str">
        <f aca="false">IF(M112="","",N(IFERROR(INDEX('Item Master'!$E$6:$E$105,MATCH(C112,'Item Master'!$A$6:$A$105,0)),0))+SUMIFS($F$7:$F$506,$C$7:$C$506,C112,$E$7:$E$506,"In",$M$7:$M$506,"&lt;="&amp;M112)-SUMIFS($F$7:$F$506,$C$7:$C$506,C112,$E$7:$E$506,"Out",$M$7:$M$506,"&lt;="&amp;M112))</f>
        <v/>
      </c>
      <c r="L112" s="44" t="str">
        <f aca="false">IF(AND(B112="",C112="",F112=""),"",IF(C112="","⚠ Pick item",IF(D112="?","⚠ Code not in Item Master",IF(B112="","⚠ Enter date",IF(OR(E112="",N(F112)&lt;=0),"⚠ Type / quantity missing",IF(AND(E112="In",G112=""),"⚠ Enter purchase rate",IF(OR(B112&lt;Setup!$C$6,B112&gt;Setup!$C$7),"Outside period",IF(K112&lt;0,"⚠ Stock goes negative","✔ OK"))))))))</f>
        <v/>
      </c>
      <c r="M112" s="9" t="str">
        <f aca="false">IF(OR(C112="",B112=""),"",B112+ROW()/1000000)</f>
        <v/>
      </c>
      <c r="N112" s="9" t="str">
        <f aca="false">IF(AND(E112="In",M112&lt;&gt;""),SUMIFS($F$7:$F$506,$C$7:$C$506,C112,$E$7:$E$506,"In",$M$7:$M$506,"&gt;"&amp;M112),"")</f>
        <v/>
      </c>
      <c r="O112" s="9" t="str">
        <f aca="false">IF(N112="","",IFERROR(INDEX('Item Master'!$K$6:$K$105,MATCH(C112,'Item Master'!$A$6:$A$105,0)),0))</f>
        <v/>
      </c>
      <c r="P112" s="9" t="n">
        <f aca="false">IF(N112="",0,MAX(0,MIN(N(F112),O112-N112))*N(G112))</f>
        <v>0</v>
      </c>
      <c r="Q112" s="9" t="str">
        <f aca="false">IF(AND(C112&lt;&gt;"",C112='Stock Ledger'!$C$4),M112,"")</f>
        <v/>
      </c>
    </row>
    <row r="113" customFormat="false" ht="15" hidden="false" customHeight="false" outlineLevel="0" collapsed="false">
      <c r="A113" s="45" t="str">
        <f aca="false">IF(C113="","",ROW()-6)</f>
        <v/>
      </c>
      <c r="B113" s="85"/>
      <c r="C113" s="80"/>
      <c r="D113" s="47" t="str">
        <f aca="false">IF(C113="","",IFERROR(INDEX('Item Master'!$B$6:$B$105,MATCH(C113,'Item Master'!$A$6:$A$105,0)),"?"))</f>
        <v/>
      </c>
      <c r="E113" s="82"/>
      <c r="F113" s="83"/>
      <c r="G113" s="84"/>
      <c r="H113" s="81"/>
      <c r="I113" s="80"/>
      <c r="J113" s="41" t="str">
        <f aca="false">IF(OR(C113="",G113=""),"",N(F113)*N(G113))</f>
        <v/>
      </c>
      <c r="K113" s="48" t="str">
        <f aca="false">IF(M113="","",N(IFERROR(INDEX('Item Master'!$E$6:$E$105,MATCH(C113,'Item Master'!$A$6:$A$105,0)),0))+SUMIFS($F$7:$F$506,$C$7:$C$506,C113,$E$7:$E$506,"In",$M$7:$M$506,"&lt;="&amp;M113)-SUMIFS($F$7:$F$506,$C$7:$C$506,C113,$E$7:$E$506,"Out",$M$7:$M$506,"&lt;="&amp;M113))</f>
        <v/>
      </c>
      <c r="L113" s="44" t="str">
        <f aca="false">IF(AND(B113="",C113="",F113=""),"",IF(C113="","⚠ Pick item",IF(D113="?","⚠ Code not in Item Master",IF(B113="","⚠ Enter date",IF(OR(E113="",N(F113)&lt;=0),"⚠ Type / quantity missing",IF(AND(E113="In",G113=""),"⚠ Enter purchase rate",IF(OR(B113&lt;Setup!$C$6,B113&gt;Setup!$C$7),"Outside period",IF(K113&lt;0,"⚠ Stock goes negative","✔ OK"))))))))</f>
        <v/>
      </c>
      <c r="M113" s="9" t="str">
        <f aca="false">IF(OR(C113="",B113=""),"",B113+ROW()/1000000)</f>
        <v/>
      </c>
      <c r="N113" s="9" t="str">
        <f aca="false">IF(AND(E113="In",M113&lt;&gt;""),SUMIFS($F$7:$F$506,$C$7:$C$506,C113,$E$7:$E$506,"In",$M$7:$M$506,"&gt;"&amp;M113),"")</f>
        <v/>
      </c>
      <c r="O113" s="9" t="str">
        <f aca="false">IF(N113="","",IFERROR(INDEX('Item Master'!$K$6:$K$105,MATCH(C113,'Item Master'!$A$6:$A$105,0)),0))</f>
        <v/>
      </c>
      <c r="P113" s="9" t="n">
        <f aca="false">IF(N113="",0,MAX(0,MIN(N(F113),O113-N113))*N(G113))</f>
        <v>0</v>
      </c>
      <c r="Q113" s="9" t="str">
        <f aca="false">IF(AND(C113&lt;&gt;"",C113='Stock Ledger'!$C$4),M113,"")</f>
        <v/>
      </c>
    </row>
    <row r="114" customFormat="false" ht="15" hidden="false" customHeight="false" outlineLevel="0" collapsed="false">
      <c r="A114" s="45" t="str">
        <f aca="false">IF(C114="","",ROW()-6)</f>
        <v/>
      </c>
      <c r="B114" s="85"/>
      <c r="C114" s="80"/>
      <c r="D114" s="47" t="str">
        <f aca="false">IF(C114="","",IFERROR(INDEX('Item Master'!$B$6:$B$105,MATCH(C114,'Item Master'!$A$6:$A$105,0)),"?"))</f>
        <v/>
      </c>
      <c r="E114" s="82"/>
      <c r="F114" s="83"/>
      <c r="G114" s="84"/>
      <c r="H114" s="81"/>
      <c r="I114" s="80"/>
      <c r="J114" s="41" t="str">
        <f aca="false">IF(OR(C114="",G114=""),"",N(F114)*N(G114))</f>
        <v/>
      </c>
      <c r="K114" s="48" t="str">
        <f aca="false">IF(M114="","",N(IFERROR(INDEX('Item Master'!$E$6:$E$105,MATCH(C114,'Item Master'!$A$6:$A$105,0)),0))+SUMIFS($F$7:$F$506,$C$7:$C$506,C114,$E$7:$E$506,"In",$M$7:$M$506,"&lt;="&amp;M114)-SUMIFS($F$7:$F$506,$C$7:$C$506,C114,$E$7:$E$506,"Out",$M$7:$M$506,"&lt;="&amp;M114))</f>
        <v/>
      </c>
      <c r="L114" s="44" t="str">
        <f aca="false">IF(AND(B114="",C114="",F114=""),"",IF(C114="","⚠ Pick item",IF(D114="?","⚠ Code not in Item Master",IF(B114="","⚠ Enter date",IF(OR(E114="",N(F114)&lt;=0),"⚠ Type / quantity missing",IF(AND(E114="In",G114=""),"⚠ Enter purchase rate",IF(OR(B114&lt;Setup!$C$6,B114&gt;Setup!$C$7),"Outside period",IF(K114&lt;0,"⚠ Stock goes negative","✔ OK"))))))))</f>
        <v/>
      </c>
      <c r="M114" s="9" t="str">
        <f aca="false">IF(OR(C114="",B114=""),"",B114+ROW()/1000000)</f>
        <v/>
      </c>
      <c r="N114" s="9" t="str">
        <f aca="false">IF(AND(E114="In",M114&lt;&gt;""),SUMIFS($F$7:$F$506,$C$7:$C$506,C114,$E$7:$E$506,"In",$M$7:$M$506,"&gt;"&amp;M114),"")</f>
        <v/>
      </c>
      <c r="O114" s="9" t="str">
        <f aca="false">IF(N114="","",IFERROR(INDEX('Item Master'!$K$6:$K$105,MATCH(C114,'Item Master'!$A$6:$A$105,0)),0))</f>
        <v/>
      </c>
      <c r="P114" s="9" t="n">
        <f aca="false">IF(N114="",0,MAX(0,MIN(N(F114),O114-N114))*N(G114))</f>
        <v>0</v>
      </c>
      <c r="Q114" s="9" t="str">
        <f aca="false">IF(AND(C114&lt;&gt;"",C114='Stock Ledger'!$C$4),M114,"")</f>
        <v/>
      </c>
    </row>
    <row r="115" customFormat="false" ht="15" hidden="false" customHeight="false" outlineLevel="0" collapsed="false">
      <c r="A115" s="45" t="str">
        <f aca="false">IF(C115="","",ROW()-6)</f>
        <v/>
      </c>
      <c r="B115" s="85"/>
      <c r="C115" s="80"/>
      <c r="D115" s="47" t="str">
        <f aca="false">IF(C115="","",IFERROR(INDEX('Item Master'!$B$6:$B$105,MATCH(C115,'Item Master'!$A$6:$A$105,0)),"?"))</f>
        <v/>
      </c>
      <c r="E115" s="82"/>
      <c r="F115" s="83"/>
      <c r="G115" s="84"/>
      <c r="H115" s="81"/>
      <c r="I115" s="80"/>
      <c r="J115" s="41" t="str">
        <f aca="false">IF(OR(C115="",G115=""),"",N(F115)*N(G115))</f>
        <v/>
      </c>
      <c r="K115" s="48" t="str">
        <f aca="false">IF(M115="","",N(IFERROR(INDEX('Item Master'!$E$6:$E$105,MATCH(C115,'Item Master'!$A$6:$A$105,0)),0))+SUMIFS($F$7:$F$506,$C$7:$C$506,C115,$E$7:$E$506,"In",$M$7:$M$506,"&lt;="&amp;M115)-SUMIFS($F$7:$F$506,$C$7:$C$506,C115,$E$7:$E$506,"Out",$M$7:$M$506,"&lt;="&amp;M115))</f>
        <v/>
      </c>
      <c r="L115" s="44" t="str">
        <f aca="false">IF(AND(B115="",C115="",F115=""),"",IF(C115="","⚠ Pick item",IF(D115="?","⚠ Code not in Item Master",IF(B115="","⚠ Enter date",IF(OR(E115="",N(F115)&lt;=0),"⚠ Type / quantity missing",IF(AND(E115="In",G115=""),"⚠ Enter purchase rate",IF(OR(B115&lt;Setup!$C$6,B115&gt;Setup!$C$7),"Outside period",IF(K115&lt;0,"⚠ Stock goes negative","✔ OK"))))))))</f>
        <v/>
      </c>
      <c r="M115" s="9" t="str">
        <f aca="false">IF(OR(C115="",B115=""),"",B115+ROW()/1000000)</f>
        <v/>
      </c>
      <c r="N115" s="9" t="str">
        <f aca="false">IF(AND(E115="In",M115&lt;&gt;""),SUMIFS($F$7:$F$506,$C$7:$C$506,C115,$E$7:$E$506,"In",$M$7:$M$506,"&gt;"&amp;M115),"")</f>
        <v/>
      </c>
      <c r="O115" s="9" t="str">
        <f aca="false">IF(N115="","",IFERROR(INDEX('Item Master'!$K$6:$K$105,MATCH(C115,'Item Master'!$A$6:$A$105,0)),0))</f>
        <v/>
      </c>
      <c r="P115" s="9" t="n">
        <f aca="false">IF(N115="",0,MAX(0,MIN(N(F115),O115-N115))*N(G115))</f>
        <v>0</v>
      </c>
      <c r="Q115" s="9" t="str">
        <f aca="false">IF(AND(C115&lt;&gt;"",C115='Stock Ledger'!$C$4),M115,"")</f>
        <v/>
      </c>
    </row>
    <row r="116" customFormat="false" ht="15" hidden="false" customHeight="false" outlineLevel="0" collapsed="false">
      <c r="A116" s="45" t="str">
        <f aca="false">IF(C116="","",ROW()-6)</f>
        <v/>
      </c>
      <c r="B116" s="85"/>
      <c r="C116" s="80"/>
      <c r="D116" s="47" t="str">
        <f aca="false">IF(C116="","",IFERROR(INDEX('Item Master'!$B$6:$B$105,MATCH(C116,'Item Master'!$A$6:$A$105,0)),"?"))</f>
        <v/>
      </c>
      <c r="E116" s="82"/>
      <c r="F116" s="83"/>
      <c r="G116" s="84"/>
      <c r="H116" s="81"/>
      <c r="I116" s="80"/>
      <c r="J116" s="41" t="str">
        <f aca="false">IF(OR(C116="",G116=""),"",N(F116)*N(G116))</f>
        <v/>
      </c>
      <c r="K116" s="48" t="str">
        <f aca="false">IF(M116="","",N(IFERROR(INDEX('Item Master'!$E$6:$E$105,MATCH(C116,'Item Master'!$A$6:$A$105,0)),0))+SUMIFS($F$7:$F$506,$C$7:$C$506,C116,$E$7:$E$506,"In",$M$7:$M$506,"&lt;="&amp;M116)-SUMIFS($F$7:$F$506,$C$7:$C$506,C116,$E$7:$E$506,"Out",$M$7:$M$506,"&lt;="&amp;M116))</f>
        <v/>
      </c>
      <c r="L116" s="44" t="str">
        <f aca="false">IF(AND(B116="",C116="",F116=""),"",IF(C116="","⚠ Pick item",IF(D116="?","⚠ Code not in Item Master",IF(B116="","⚠ Enter date",IF(OR(E116="",N(F116)&lt;=0),"⚠ Type / quantity missing",IF(AND(E116="In",G116=""),"⚠ Enter purchase rate",IF(OR(B116&lt;Setup!$C$6,B116&gt;Setup!$C$7),"Outside period",IF(K116&lt;0,"⚠ Stock goes negative","✔ OK"))))))))</f>
        <v/>
      </c>
      <c r="M116" s="9" t="str">
        <f aca="false">IF(OR(C116="",B116=""),"",B116+ROW()/1000000)</f>
        <v/>
      </c>
      <c r="N116" s="9" t="str">
        <f aca="false">IF(AND(E116="In",M116&lt;&gt;""),SUMIFS($F$7:$F$506,$C$7:$C$506,C116,$E$7:$E$506,"In",$M$7:$M$506,"&gt;"&amp;M116),"")</f>
        <v/>
      </c>
      <c r="O116" s="9" t="str">
        <f aca="false">IF(N116="","",IFERROR(INDEX('Item Master'!$K$6:$K$105,MATCH(C116,'Item Master'!$A$6:$A$105,0)),0))</f>
        <v/>
      </c>
      <c r="P116" s="9" t="n">
        <f aca="false">IF(N116="",0,MAX(0,MIN(N(F116),O116-N116))*N(G116))</f>
        <v>0</v>
      </c>
      <c r="Q116" s="9" t="str">
        <f aca="false">IF(AND(C116&lt;&gt;"",C116='Stock Ledger'!$C$4),M116,"")</f>
        <v/>
      </c>
    </row>
    <row r="117" customFormat="false" ht="15" hidden="false" customHeight="false" outlineLevel="0" collapsed="false">
      <c r="A117" s="45" t="str">
        <f aca="false">IF(C117="","",ROW()-6)</f>
        <v/>
      </c>
      <c r="B117" s="85"/>
      <c r="C117" s="80"/>
      <c r="D117" s="47" t="str">
        <f aca="false">IF(C117="","",IFERROR(INDEX('Item Master'!$B$6:$B$105,MATCH(C117,'Item Master'!$A$6:$A$105,0)),"?"))</f>
        <v/>
      </c>
      <c r="E117" s="82"/>
      <c r="F117" s="83"/>
      <c r="G117" s="84"/>
      <c r="H117" s="81"/>
      <c r="I117" s="80"/>
      <c r="J117" s="41" t="str">
        <f aca="false">IF(OR(C117="",G117=""),"",N(F117)*N(G117))</f>
        <v/>
      </c>
      <c r="K117" s="48" t="str">
        <f aca="false">IF(M117="","",N(IFERROR(INDEX('Item Master'!$E$6:$E$105,MATCH(C117,'Item Master'!$A$6:$A$105,0)),0))+SUMIFS($F$7:$F$506,$C$7:$C$506,C117,$E$7:$E$506,"In",$M$7:$M$506,"&lt;="&amp;M117)-SUMIFS($F$7:$F$506,$C$7:$C$506,C117,$E$7:$E$506,"Out",$M$7:$M$506,"&lt;="&amp;M117))</f>
        <v/>
      </c>
      <c r="L117" s="44" t="str">
        <f aca="false">IF(AND(B117="",C117="",F117=""),"",IF(C117="","⚠ Pick item",IF(D117="?","⚠ Code not in Item Master",IF(B117="","⚠ Enter date",IF(OR(E117="",N(F117)&lt;=0),"⚠ Type / quantity missing",IF(AND(E117="In",G117=""),"⚠ Enter purchase rate",IF(OR(B117&lt;Setup!$C$6,B117&gt;Setup!$C$7),"Outside period",IF(K117&lt;0,"⚠ Stock goes negative","✔ OK"))))))))</f>
        <v/>
      </c>
      <c r="M117" s="9" t="str">
        <f aca="false">IF(OR(C117="",B117=""),"",B117+ROW()/1000000)</f>
        <v/>
      </c>
      <c r="N117" s="9" t="str">
        <f aca="false">IF(AND(E117="In",M117&lt;&gt;""),SUMIFS($F$7:$F$506,$C$7:$C$506,C117,$E$7:$E$506,"In",$M$7:$M$506,"&gt;"&amp;M117),"")</f>
        <v/>
      </c>
      <c r="O117" s="9" t="str">
        <f aca="false">IF(N117="","",IFERROR(INDEX('Item Master'!$K$6:$K$105,MATCH(C117,'Item Master'!$A$6:$A$105,0)),0))</f>
        <v/>
      </c>
      <c r="P117" s="9" t="n">
        <f aca="false">IF(N117="",0,MAX(0,MIN(N(F117),O117-N117))*N(G117))</f>
        <v>0</v>
      </c>
      <c r="Q117" s="9" t="str">
        <f aca="false">IF(AND(C117&lt;&gt;"",C117='Stock Ledger'!$C$4),M117,"")</f>
        <v/>
      </c>
    </row>
    <row r="118" customFormat="false" ht="15" hidden="false" customHeight="false" outlineLevel="0" collapsed="false">
      <c r="A118" s="45" t="str">
        <f aca="false">IF(C118="","",ROW()-6)</f>
        <v/>
      </c>
      <c r="B118" s="85"/>
      <c r="C118" s="80"/>
      <c r="D118" s="47" t="str">
        <f aca="false">IF(C118="","",IFERROR(INDEX('Item Master'!$B$6:$B$105,MATCH(C118,'Item Master'!$A$6:$A$105,0)),"?"))</f>
        <v/>
      </c>
      <c r="E118" s="82"/>
      <c r="F118" s="83"/>
      <c r="G118" s="84"/>
      <c r="H118" s="81"/>
      <c r="I118" s="80"/>
      <c r="J118" s="41" t="str">
        <f aca="false">IF(OR(C118="",G118=""),"",N(F118)*N(G118))</f>
        <v/>
      </c>
      <c r="K118" s="48" t="str">
        <f aca="false">IF(M118="","",N(IFERROR(INDEX('Item Master'!$E$6:$E$105,MATCH(C118,'Item Master'!$A$6:$A$105,0)),0))+SUMIFS($F$7:$F$506,$C$7:$C$506,C118,$E$7:$E$506,"In",$M$7:$M$506,"&lt;="&amp;M118)-SUMIFS($F$7:$F$506,$C$7:$C$506,C118,$E$7:$E$506,"Out",$M$7:$M$506,"&lt;="&amp;M118))</f>
        <v/>
      </c>
      <c r="L118" s="44" t="str">
        <f aca="false">IF(AND(B118="",C118="",F118=""),"",IF(C118="","⚠ Pick item",IF(D118="?","⚠ Code not in Item Master",IF(B118="","⚠ Enter date",IF(OR(E118="",N(F118)&lt;=0),"⚠ Type / quantity missing",IF(AND(E118="In",G118=""),"⚠ Enter purchase rate",IF(OR(B118&lt;Setup!$C$6,B118&gt;Setup!$C$7),"Outside period",IF(K118&lt;0,"⚠ Stock goes negative","✔ OK"))))))))</f>
        <v/>
      </c>
      <c r="M118" s="9" t="str">
        <f aca="false">IF(OR(C118="",B118=""),"",B118+ROW()/1000000)</f>
        <v/>
      </c>
      <c r="N118" s="9" t="str">
        <f aca="false">IF(AND(E118="In",M118&lt;&gt;""),SUMIFS($F$7:$F$506,$C$7:$C$506,C118,$E$7:$E$506,"In",$M$7:$M$506,"&gt;"&amp;M118),"")</f>
        <v/>
      </c>
      <c r="O118" s="9" t="str">
        <f aca="false">IF(N118="","",IFERROR(INDEX('Item Master'!$K$6:$K$105,MATCH(C118,'Item Master'!$A$6:$A$105,0)),0))</f>
        <v/>
      </c>
      <c r="P118" s="9" t="n">
        <f aca="false">IF(N118="",0,MAX(0,MIN(N(F118),O118-N118))*N(G118))</f>
        <v>0</v>
      </c>
      <c r="Q118" s="9" t="str">
        <f aca="false">IF(AND(C118&lt;&gt;"",C118='Stock Ledger'!$C$4),M118,"")</f>
        <v/>
      </c>
    </row>
    <row r="119" customFormat="false" ht="15" hidden="false" customHeight="false" outlineLevel="0" collapsed="false">
      <c r="A119" s="45" t="str">
        <f aca="false">IF(C119="","",ROW()-6)</f>
        <v/>
      </c>
      <c r="B119" s="85"/>
      <c r="C119" s="80"/>
      <c r="D119" s="47" t="str">
        <f aca="false">IF(C119="","",IFERROR(INDEX('Item Master'!$B$6:$B$105,MATCH(C119,'Item Master'!$A$6:$A$105,0)),"?"))</f>
        <v/>
      </c>
      <c r="E119" s="82"/>
      <c r="F119" s="83"/>
      <c r="G119" s="84"/>
      <c r="H119" s="81"/>
      <c r="I119" s="80"/>
      <c r="J119" s="41" t="str">
        <f aca="false">IF(OR(C119="",G119=""),"",N(F119)*N(G119))</f>
        <v/>
      </c>
      <c r="K119" s="48" t="str">
        <f aca="false">IF(M119="","",N(IFERROR(INDEX('Item Master'!$E$6:$E$105,MATCH(C119,'Item Master'!$A$6:$A$105,0)),0))+SUMIFS($F$7:$F$506,$C$7:$C$506,C119,$E$7:$E$506,"In",$M$7:$M$506,"&lt;="&amp;M119)-SUMIFS($F$7:$F$506,$C$7:$C$506,C119,$E$7:$E$506,"Out",$M$7:$M$506,"&lt;="&amp;M119))</f>
        <v/>
      </c>
      <c r="L119" s="44" t="str">
        <f aca="false">IF(AND(B119="",C119="",F119=""),"",IF(C119="","⚠ Pick item",IF(D119="?","⚠ Code not in Item Master",IF(B119="","⚠ Enter date",IF(OR(E119="",N(F119)&lt;=0),"⚠ Type / quantity missing",IF(AND(E119="In",G119=""),"⚠ Enter purchase rate",IF(OR(B119&lt;Setup!$C$6,B119&gt;Setup!$C$7),"Outside period",IF(K119&lt;0,"⚠ Stock goes negative","✔ OK"))))))))</f>
        <v/>
      </c>
      <c r="M119" s="9" t="str">
        <f aca="false">IF(OR(C119="",B119=""),"",B119+ROW()/1000000)</f>
        <v/>
      </c>
      <c r="N119" s="9" t="str">
        <f aca="false">IF(AND(E119="In",M119&lt;&gt;""),SUMIFS($F$7:$F$506,$C$7:$C$506,C119,$E$7:$E$506,"In",$M$7:$M$506,"&gt;"&amp;M119),"")</f>
        <v/>
      </c>
      <c r="O119" s="9" t="str">
        <f aca="false">IF(N119="","",IFERROR(INDEX('Item Master'!$K$6:$K$105,MATCH(C119,'Item Master'!$A$6:$A$105,0)),0))</f>
        <v/>
      </c>
      <c r="P119" s="9" t="n">
        <f aca="false">IF(N119="",0,MAX(0,MIN(N(F119),O119-N119))*N(G119))</f>
        <v>0</v>
      </c>
      <c r="Q119" s="9" t="str">
        <f aca="false">IF(AND(C119&lt;&gt;"",C119='Stock Ledger'!$C$4),M119,"")</f>
        <v/>
      </c>
    </row>
    <row r="120" customFormat="false" ht="15" hidden="false" customHeight="false" outlineLevel="0" collapsed="false">
      <c r="A120" s="45" t="str">
        <f aca="false">IF(C120="","",ROW()-6)</f>
        <v/>
      </c>
      <c r="B120" s="85"/>
      <c r="C120" s="80"/>
      <c r="D120" s="47" t="str">
        <f aca="false">IF(C120="","",IFERROR(INDEX('Item Master'!$B$6:$B$105,MATCH(C120,'Item Master'!$A$6:$A$105,0)),"?"))</f>
        <v/>
      </c>
      <c r="E120" s="82"/>
      <c r="F120" s="83"/>
      <c r="G120" s="84"/>
      <c r="H120" s="81"/>
      <c r="I120" s="80"/>
      <c r="J120" s="41" t="str">
        <f aca="false">IF(OR(C120="",G120=""),"",N(F120)*N(G120))</f>
        <v/>
      </c>
      <c r="K120" s="48" t="str">
        <f aca="false">IF(M120="","",N(IFERROR(INDEX('Item Master'!$E$6:$E$105,MATCH(C120,'Item Master'!$A$6:$A$105,0)),0))+SUMIFS($F$7:$F$506,$C$7:$C$506,C120,$E$7:$E$506,"In",$M$7:$M$506,"&lt;="&amp;M120)-SUMIFS($F$7:$F$506,$C$7:$C$506,C120,$E$7:$E$506,"Out",$M$7:$M$506,"&lt;="&amp;M120))</f>
        <v/>
      </c>
      <c r="L120" s="44" t="str">
        <f aca="false">IF(AND(B120="",C120="",F120=""),"",IF(C120="","⚠ Pick item",IF(D120="?","⚠ Code not in Item Master",IF(B120="","⚠ Enter date",IF(OR(E120="",N(F120)&lt;=0),"⚠ Type / quantity missing",IF(AND(E120="In",G120=""),"⚠ Enter purchase rate",IF(OR(B120&lt;Setup!$C$6,B120&gt;Setup!$C$7),"Outside period",IF(K120&lt;0,"⚠ Stock goes negative","✔ OK"))))))))</f>
        <v/>
      </c>
      <c r="M120" s="9" t="str">
        <f aca="false">IF(OR(C120="",B120=""),"",B120+ROW()/1000000)</f>
        <v/>
      </c>
      <c r="N120" s="9" t="str">
        <f aca="false">IF(AND(E120="In",M120&lt;&gt;""),SUMIFS($F$7:$F$506,$C$7:$C$506,C120,$E$7:$E$506,"In",$M$7:$M$506,"&gt;"&amp;M120),"")</f>
        <v/>
      </c>
      <c r="O120" s="9" t="str">
        <f aca="false">IF(N120="","",IFERROR(INDEX('Item Master'!$K$6:$K$105,MATCH(C120,'Item Master'!$A$6:$A$105,0)),0))</f>
        <v/>
      </c>
      <c r="P120" s="9" t="n">
        <f aca="false">IF(N120="",0,MAX(0,MIN(N(F120),O120-N120))*N(G120))</f>
        <v>0</v>
      </c>
      <c r="Q120" s="9" t="str">
        <f aca="false">IF(AND(C120&lt;&gt;"",C120='Stock Ledger'!$C$4),M120,"")</f>
        <v/>
      </c>
    </row>
    <row r="121" customFormat="false" ht="15" hidden="false" customHeight="false" outlineLevel="0" collapsed="false">
      <c r="A121" s="45" t="str">
        <f aca="false">IF(C121="","",ROW()-6)</f>
        <v/>
      </c>
      <c r="B121" s="85"/>
      <c r="C121" s="80"/>
      <c r="D121" s="47" t="str">
        <f aca="false">IF(C121="","",IFERROR(INDEX('Item Master'!$B$6:$B$105,MATCH(C121,'Item Master'!$A$6:$A$105,0)),"?"))</f>
        <v/>
      </c>
      <c r="E121" s="82"/>
      <c r="F121" s="83"/>
      <c r="G121" s="84"/>
      <c r="H121" s="81"/>
      <c r="I121" s="80"/>
      <c r="J121" s="41" t="str">
        <f aca="false">IF(OR(C121="",G121=""),"",N(F121)*N(G121))</f>
        <v/>
      </c>
      <c r="K121" s="48" t="str">
        <f aca="false">IF(M121="","",N(IFERROR(INDEX('Item Master'!$E$6:$E$105,MATCH(C121,'Item Master'!$A$6:$A$105,0)),0))+SUMIFS($F$7:$F$506,$C$7:$C$506,C121,$E$7:$E$506,"In",$M$7:$M$506,"&lt;="&amp;M121)-SUMIFS($F$7:$F$506,$C$7:$C$506,C121,$E$7:$E$506,"Out",$M$7:$M$506,"&lt;="&amp;M121))</f>
        <v/>
      </c>
      <c r="L121" s="44" t="str">
        <f aca="false">IF(AND(B121="",C121="",F121=""),"",IF(C121="","⚠ Pick item",IF(D121="?","⚠ Code not in Item Master",IF(B121="","⚠ Enter date",IF(OR(E121="",N(F121)&lt;=0),"⚠ Type / quantity missing",IF(AND(E121="In",G121=""),"⚠ Enter purchase rate",IF(OR(B121&lt;Setup!$C$6,B121&gt;Setup!$C$7),"Outside period",IF(K121&lt;0,"⚠ Stock goes negative","✔ OK"))))))))</f>
        <v/>
      </c>
      <c r="M121" s="9" t="str">
        <f aca="false">IF(OR(C121="",B121=""),"",B121+ROW()/1000000)</f>
        <v/>
      </c>
      <c r="N121" s="9" t="str">
        <f aca="false">IF(AND(E121="In",M121&lt;&gt;""),SUMIFS($F$7:$F$506,$C$7:$C$506,C121,$E$7:$E$506,"In",$M$7:$M$506,"&gt;"&amp;M121),"")</f>
        <v/>
      </c>
      <c r="O121" s="9" t="str">
        <f aca="false">IF(N121="","",IFERROR(INDEX('Item Master'!$K$6:$K$105,MATCH(C121,'Item Master'!$A$6:$A$105,0)),0))</f>
        <v/>
      </c>
      <c r="P121" s="9" t="n">
        <f aca="false">IF(N121="",0,MAX(0,MIN(N(F121),O121-N121))*N(G121))</f>
        <v>0</v>
      </c>
      <c r="Q121" s="9" t="str">
        <f aca="false">IF(AND(C121&lt;&gt;"",C121='Stock Ledger'!$C$4),M121,"")</f>
        <v/>
      </c>
    </row>
    <row r="122" customFormat="false" ht="15" hidden="false" customHeight="false" outlineLevel="0" collapsed="false">
      <c r="A122" s="45" t="str">
        <f aca="false">IF(C122="","",ROW()-6)</f>
        <v/>
      </c>
      <c r="B122" s="85"/>
      <c r="C122" s="80"/>
      <c r="D122" s="47" t="str">
        <f aca="false">IF(C122="","",IFERROR(INDEX('Item Master'!$B$6:$B$105,MATCH(C122,'Item Master'!$A$6:$A$105,0)),"?"))</f>
        <v/>
      </c>
      <c r="E122" s="82"/>
      <c r="F122" s="83"/>
      <c r="G122" s="84"/>
      <c r="H122" s="81"/>
      <c r="I122" s="80"/>
      <c r="J122" s="41" t="str">
        <f aca="false">IF(OR(C122="",G122=""),"",N(F122)*N(G122))</f>
        <v/>
      </c>
      <c r="K122" s="48" t="str">
        <f aca="false">IF(M122="","",N(IFERROR(INDEX('Item Master'!$E$6:$E$105,MATCH(C122,'Item Master'!$A$6:$A$105,0)),0))+SUMIFS($F$7:$F$506,$C$7:$C$506,C122,$E$7:$E$506,"In",$M$7:$M$506,"&lt;="&amp;M122)-SUMIFS($F$7:$F$506,$C$7:$C$506,C122,$E$7:$E$506,"Out",$M$7:$M$506,"&lt;="&amp;M122))</f>
        <v/>
      </c>
      <c r="L122" s="44" t="str">
        <f aca="false">IF(AND(B122="",C122="",F122=""),"",IF(C122="","⚠ Pick item",IF(D122="?","⚠ Code not in Item Master",IF(B122="","⚠ Enter date",IF(OR(E122="",N(F122)&lt;=0),"⚠ Type / quantity missing",IF(AND(E122="In",G122=""),"⚠ Enter purchase rate",IF(OR(B122&lt;Setup!$C$6,B122&gt;Setup!$C$7),"Outside period",IF(K122&lt;0,"⚠ Stock goes negative","✔ OK"))))))))</f>
        <v/>
      </c>
      <c r="M122" s="9" t="str">
        <f aca="false">IF(OR(C122="",B122=""),"",B122+ROW()/1000000)</f>
        <v/>
      </c>
      <c r="N122" s="9" t="str">
        <f aca="false">IF(AND(E122="In",M122&lt;&gt;""),SUMIFS($F$7:$F$506,$C$7:$C$506,C122,$E$7:$E$506,"In",$M$7:$M$506,"&gt;"&amp;M122),"")</f>
        <v/>
      </c>
      <c r="O122" s="9" t="str">
        <f aca="false">IF(N122="","",IFERROR(INDEX('Item Master'!$K$6:$K$105,MATCH(C122,'Item Master'!$A$6:$A$105,0)),0))</f>
        <v/>
      </c>
      <c r="P122" s="9" t="n">
        <f aca="false">IF(N122="",0,MAX(0,MIN(N(F122),O122-N122))*N(G122))</f>
        <v>0</v>
      </c>
      <c r="Q122" s="9" t="str">
        <f aca="false">IF(AND(C122&lt;&gt;"",C122='Stock Ledger'!$C$4),M122,"")</f>
        <v/>
      </c>
    </row>
    <row r="123" customFormat="false" ht="15" hidden="false" customHeight="false" outlineLevel="0" collapsed="false">
      <c r="A123" s="45" t="str">
        <f aca="false">IF(C123="","",ROW()-6)</f>
        <v/>
      </c>
      <c r="B123" s="85"/>
      <c r="C123" s="80"/>
      <c r="D123" s="47" t="str">
        <f aca="false">IF(C123="","",IFERROR(INDEX('Item Master'!$B$6:$B$105,MATCH(C123,'Item Master'!$A$6:$A$105,0)),"?"))</f>
        <v/>
      </c>
      <c r="E123" s="82"/>
      <c r="F123" s="83"/>
      <c r="G123" s="84"/>
      <c r="H123" s="81"/>
      <c r="I123" s="80"/>
      <c r="J123" s="41" t="str">
        <f aca="false">IF(OR(C123="",G123=""),"",N(F123)*N(G123))</f>
        <v/>
      </c>
      <c r="K123" s="48" t="str">
        <f aca="false">IF(M123="","",N(IFERROR(INDEX('Item Master'!$E$6:$E$105,MATCH(C123,'Item Master'!$A$6:$A$105,0)),0))+SUMIFS($F$7:$F$506,$C$7:$C$506,C123,$E$7:$E$506,"In",$M$7:$M$506,"&lt;="&amp;M123)-SUMIFS($F$7:$F$506,$C$7:$C$506,C123,$E$7:$E$506,"Out",$M$7:$M$506,"&lt;="&amp;M123))</f>
        <v/>
      </c>
      <c r="L123" s="44" t="str">
        <f aca="false">IF(AND(B123="",C123="",F123=""),"",IF(C123="","⚠ Pick item",IF(D123="?","⚠ Code not in Item Master",IF(B123="","⚠ Enter date",IF(OR(E123="",N(F123)&lt;=0),"⚠ Type / quantity missing",IF(AND(E123="In",G123=""),"⚠ Enter purchase rate",IF(OR(B123&lt;Setup!$C$6,B123&gt;Setup!$C$7),"Outside period",IF(K123&lt;0,"⚠ Stock goes negative","✔ OK"))))))))</f>
        <v/>
      </c>
      <c r="M123" s="9" t="str">
        <f aca="false">IF(OR(C123="",B123=""),"",B123+ROW()/1000000)</f>
        <v/>
      </c>
      <c r="N123" s="9" t="str">
        <f aca="false">IF(AND(E123="In",M123&lt;&gt;""),SUMIFS($F$7:$F$506,$C$7:$C$506,C123,$E$7:$E$506,"In",$M$7:$M$506,"&gt;"&amp;M123),"")</f>
        <v/>
      </c>
      <c r="O123" s="9" t="str">
        <f aca="false">IF(N123="","",IFERROR(INDEX('Item Master'!$K$6:$K$105,MATCH(C123,'Item Master'!$A$6:$A$105,0)),0))</f>
        <v/>
      </c>
      <c r="P123" s="9" t="n">
        <f aca="false">IF(N123="",0,MAX(0,MIN(N(F123),O123-N123))*N(G123))</f>
        <v>0</v>
      </c>
      <c r="Q123" s="9" t="str">
        <f aca="false">IF(AND(C123&lt;&gt;"",C123='Stock Ledger'!$C$4),M123,"")</f>
        <v/>
      </c>
    </row>
    <row r="124" customFormat="false" ht="15" hidden="false" customHeight="false" outlineLevel="0" collapsed="false">
      <c r="A124" s="45" t="str">
        <f aca="false">IF(C124="","",ROW()-6)</f>
        <v/>
      </c>
      <c r="B124" s="85"/>
      <c r="C124" s="80"/>
      <c r="D124" s="47" t="str">
        <f aca="false">IF(C124="","",IFERROR(INDEX('Item Master'!$B$6:$B$105,MATCH(C124,'Item Master'!$A$6:$A$105,0)),"?"))</f>
        <v/>
      </c>
      <c r="E124" s="82"/>
      <c r="F124" s="83"/>
      <c r="G124" s="84"/>
      <c r="H124" s="81"/>
      <c r="I124" s="80"/>
      <c r="J124" s="41" t="str">
        <f aca="false">IF(OR(C124="",G124=""),"",N(F124)*N(G124))</f>
        <v/>
      </c>
      <c r="K124" s="48" t="str">
        <f aca="false">IF(M124="","",N(IFERROR(INDEX('Item Master'!$E$6:$E$105,MATCH(C124,'Item Master'!$A$6:$A$105,0)),0))+SUMIFS($F$7:$F$506,$C$7:$C$506,C124,$E$7:$E$506,"In",$M$7:$M$506,"&lt;="&amp;M124)-SUMIFS($F$7:$F$506,$C$7:$C$506,C124,$E$7:$E$506,"Out",$M$7:$M$506,"&lt;="&amp;M124))</f>
        <v/>
      </c>
      <c r="L124" s="44" t="str">
        <f aca="false">IF(AND(B124="",C124="",F124=""),"",IF(C124="","⚠ Pick item",IF(D124="?","⚠ Code not in Item Master",IF(B124="","⚠ Enter date",IF(OR(E124="",N(F124)&lt;=0),"⚠ Type / quantity missing",IF(AND(E124="In",G124=""),"⚠ Enter purchase rate",IF(OR(B124&lt;Setup!$C$6,B124&gt;Setup!$C$7),"Outside period",IF(K124&lt;0,"⚠ Stock goes negative","✔ OK"))))))))</f>
        <v/>
      </c>
      <c r="M124" s="9" t="str">
        <f aca="false">IF(OR(C124="",B124=""),"",B124+ROW()/1000000)</f>
        <v/>
      </c>
      <c r="N124" s="9" t="str">
        <f aca="false">IF(AND(E124="In",M124&lt;&gt;""),SUMIFS($F$7:$F$506,$C$7:$C$506,C124,$E$7:$E$506,"In",$M$7:$M$506,"&gt;"&amp;M124),"")</f>
        <v/>
      </c>
      <c r="O124" s="9" t="str">
        <f aca="false">IF(N124="","",IFERROR(INDEX('Item Master'!$K$6:$K$105,MATCH(C124,'Item Master'!$A$6:$A$105,0)),0))</f>
        <v/>
      </c>
      <c r="P124" s="9" t="n">
        <f aca="false">IF(N124="",0,MAX(0,MIN(N(F124),O124-N124))*N(G124))</f>
        <v>0</v>
      </c>
      <c r="Q124" s="9" t="str">
        <f aca="false">IF(AND(C124&lt;&gt;"",C124='Stock Ledger'!$C$4),M124,"")</f>
        <v/>
      </c>
    </row>
    <row r="125" customFormat="false" ht="15" hidden="false" customHeight="false" outlineLevel="0" collapsed="false">
      <c r="A125" s="45" t="str">
        <f aca="false">IF(C125="","",ROW()-6)</f>
        <v/>
      </c>
      <c r="B125" s="85"/>
      <c r="C125" s="80"/>
      <c r="D125" s="47" t="str">
        <f aca="false">IF(C125="","",IFERROR(INDEX('Item Master'!$B$6:$B$105,MATCH(C125,'Item Master'!$A$6:$A$105,0)),"?"))</f>
        <v/>
      </c>
      <c r="E125" s="82"/>
      <c r="F125" s="83"/>
      <c r="G125" s="84"/>
      <c r="H125" s="81"/>
      <c r="I125" s="80"/>
      <c r="J125" s="41" t="str">
        <f aca="false">IF(OR(C125="",G125=""),"",N(F125)*N(G125))</f>
        <v/>
      </c>
      <c r="K125" s="48" t="str">
        <f aca="false">IF(M125="","",N(IFERROR(INDEX('Item Master'!$E$6:$E$105,MATCH(C125,'Item Master'!$A$6:$A$105,0)),0))+SUMIFS($F$7:$F$506,$C$7:$C$506,C125,$E$7:$E$506,"In",$M$7:$M$506,"&lt;="&amp;M125)-SUMIFS($F$7:$F$506,$C$7:$C$506,C125,$E$7:$E$506,"Out",$M$7:$M$506,"&lt;="&amp;M125))</f>
        <v/>
      </c>
      <c r="L125" s="44" t="str">
        <f aca="false">IF(AND(B125="",C125="",F125=""),"",IF(C125="","⚠ Pick item",IF(D125="?","⚠ Code not in Item Master",IF(B125="","⚠ Enter date",IF(OR(E125="",N(F125)&lt;=0),"⚠ Type / quantity missing",IF(AND(E125="In",G125=""),"⚠ Enter purchase rate",IF(OR(B125&lt;Setup!$C$6,B125&gt;Setup!$C$7),"Outside period",IF(K125&lt;0,"⚠ Stock goes negative","✔ OK"))))))))</f>
        <v/>
      </c>
      <c r="M125" s="9" t="str">
        <f aca="false">IF(OR(C125="",B125=""),"",B125+ROW()/1000000)</f>
        <v/>
      </c>
      <c r="N125" s="9" t="str">
        <f aca="false">IF(AND(E125="In",M125&lt;&gt;""),SUMIFS($F$7:$F$506,$C$7:$C$506,C125,$E$7:$E$506,"In",$M$7:$M$506,"&gt;"&amp;M125),"")</f>
        <v/>
      </c>
      <c r="O125" s="9" t="str">
        <f aca="false">IF(N125="","",IFERROR(INDEX('Item Master'!$K$6:$K$105,MATCH(C125,'Item Master'!$A$6:$A$105,0)),0))</f>
        <v/>
      </c>
      <c r="P125" s="9" t="n">
        <f aca="false">IF(N125="",0,MAX(0,MIN(N(F125),O125-N125))*N(G125))</f>
        <v>0</v>
      </c>
      <c r="Q125" s="9" t="str">
        <f aca="false">IF(AND(C125&lt;&gt;"",C125='Stock Ledger'!$C$4),M125,"")</f>
        <v/>
      </c>
    </row>
    <row r="126" customFormat="false" ht="15" hidden="false" customHeight="false" outlineLevel="0" collapsed="false">
      <c r="A126" s="45" t="str">
        <f aca="false">IF(C126="","",ROW()-6)</f>
        <v/>
      </c>
      <c r="B126" s="85"/>
      <c r="C126" s="80"/>
      <c r="D126" s="47" t="str">
        <f aca="false">IF(C126="","",IFERROR(INDEX('Item Master'!$B$6:$B$105,MATCH(C126,'Item Master'!$A$6:$A$105,0)),"?"))</f>
        <v/>
      </c>
      <c r="E126" s="82"/>
      <c r="F126" s="83"/>
      <c r="G126" s="84"/>
      <c r="H126" s="81"/>
      <c r="I126" s="80"/>
      <c r="J126" s="41" t="str">
        <f aca="false">IF(OR(C126="",G126=""),"",N(F126)*N(G126))</f>
        <v/>
      </c>
      <c r="K126" s="48" t="str">
        <f aca="false">IF(M126="","",N(IFERROR(INDEX('Item Master'!$E$6:$E$105,MATCH(C126,'Item Master'!$A$6:$A$105,0)),0))+SUMIFS($F$7:$F$506,$C$7:$C$506,C126,$E$7:$E$506,"In",$M$7:$M$506,"&lt;="&amp;M126)-SUMIFS($F$7:$F$506,$C$7:$C$506,C126,$E$7:$E$506,"Out",$M$7:$M$506,"&lt;="&amp;M126))</f>
        <v/>
      </c>
      <c r="L126" s="44" t="str">
        <f aca="false">IF(AND(B126="",C126="",F126=""),"",IF(C126="","⚠ Pick item",IF(D126="?","⚠ Code not in Item Master",IF(B126="","⚠ Enter date",IF(OR(E126="",N(F126)&lt;=0),"⚠ Type / quantity missing",IF(AND(E126="In",G126=""),"⚠ Enter purchase rate",IF(OR(B126&lt;Setup!$C$6,B126&gt;Setup!$C$7),"Outside period",IF(K126&lt;0,"⚠ Stock goes negative","✔ OK"))))))))</f>
        <v/>
      </c>
      <c r="M126" s="9" t="str">
        <f aca="false">IF(OR(C126="",B126=""),"",B126+ROW()/1000000)</f>
        <v/>
      </c>
      <c r="N126" s="9" t="str">
        <f aca="false">IF(AND(E126="In",M126&lt;&gt;""),SUMIFS($F$7:$F$506,$C$7:$C$506,C126,$E$7:$E$506,"In",$M$7:$M$506,"&gt;"&amp;M126),"")</f>
        <v/>
      </c>
      <c r="O126" s="9" t="str">
        <f aca="false">IF(N126="","",IFERROR(INDEX('Item Master'!$K$6:$K$105,MATCH(C126,'Item Master'!$A$6:$A$105,0)),0))</f>
        <v/>
      </c>
      <c r="P126" s="9" t="n">
        <f aca="false">IF(N126="",0,MAX(0,MIN(N(F126),O126-N126))*N(G126))</f>
        <v>0</v>
      </c>
      <c r="Q126" s="9" t="str">
        <f aca="false">IF(AND(C126&lt;&gt;"",C126='Stock Ledger'!$C$4),M126,"")</f>
        <v/>
      </c>
    </row>
    <row r="127" customFormat="false" ht="15" hidden="false" customHeight="false" outlineLevel="0" collapsed="false">
      <c r="A127" s="45" t="str">
        <f aca="false">IF(C127="","",ROW()-6)</f>
        <v/>
      </c>
      <c r="B127" s="85"/>
      <c r="C127" s="80"/>
      <c r="D127" s="47" t="str">
        <f aca="false">IF(C127="","",IFERROR(INDEX('Item Master'!$B$6:$B$105,MATCH(C127,'Item Master'!$A$6:$A$105,0)),"?"))</f>
        <v/>
      </c>
      <c r="E127" s="82"/>
      <c r="F127" s="83"/>
      <c r="G127" s="84"/>
      <c r="H127" s="81"/>
      <c r="I127" s="80"/>
      <c r="J127" s="41" t="str">
        <f aca="false">IF(OR(C127="",G127=""),"",N(F127)*N(G127))</f>
        <v/>
      </c>
      <c r="K127" s="48" t="str">
        <f aca="false">IF(M127="","",N(IFERROR(INDEX('Item Master'!$E$6:$E$105,MATCH(C127,'Item Master'!$A$6:$A$105,0)),0))+SUMIFS($F$7:$F$506,$C$7:$C$506,C127,$E$7:$E$506,"In",$M$7:$M$506,"&lt;="&amp;M127)-SUMIFS($F$7:$F$506,$C$7:$C$506,C127,$E$7:$E$506,"Out",$M$7:$M$506,"&lt;="&amp;M127))</f>
        <v/>
      </c>
      <c r="L127" s="44" t="str">
        <f aca="false">IF(AND(B127="",C127="",F127=""),"",IF(C127="","⚠ Pick item",IF(D127="?","⚠ Code not in Item Master",IF(B127="","⚠ Enter date",IF(OR(E127="",N(F127)&lt;=0),"⚠ Type / quantity missing",IF(AND(E127="In",G127=""),"⚠ Enter purchase rate",IF(OR(B127&lt;Setup!$C$6,B127&gt;Setup!$C$7),"Outside period",IF(K127&lt;0,"⚠ Stock goes negative","✔ OK"))))))))</f>
        <v/>
      </c>
      <c r="M127" s="9" t="str">
        <f aca="false">IF(OR(C127="",B127=""),"",B127+ROW()/1000000)</f>
        <v/>
      </c>
      <c r="N127" s="9" t="str">
        <f aca="false">IF(AND(E127="In",M127&lt;&gt;""),SUMIFS($F$7:$F$506,$C$7:$C$506,C127,$E$7:$E$506,"In",$M$7:$M$506,"&gt;"&amp;M127),"")</f>
        <v/>
      </c>
      <c r="O127" s="9" t="str">
        <f aca="false">IF(N127="","",IFERROR(INDEX('Item Master'!$K$6:$K$105,MATCH(C127,'Item Master'!$A$6:$A$105,0)),0))</f>
        <v/>
      </c>
      <c r="P127" s="9" t="n">
        <f aca="false">IF(N127="",0,MAX(0,MIN(N(F127),O127-N127))*N(G127))</f>
        <v>0</v>
      </c>
      <c r="Q127" s="9" t="str">
        <f aca="false">IF(AND(C127&lt;&gt;"",C127='Stock Ledger'!$C$4),M127,"")</f>
        <v/>
      </c>
    </row>
    <row r="128" customFormat="false" ht="15" hidden="false" customHeight="false" outlineLevel="0" collapsed="false">
      <c r="A128" s="45" t="str">
        <f aca="false">IF(C128="","",ROW()-6)</f>
        <v/>
      </c>
      <c r="B128" s="85"/>
      <c r="C128" s="80"/>
      <c r="D128" s="47" t="str">
        <f aca="false">IF(C128="","",IFERROR(INDEX('Item Master'!$B$6:$B$105,MATCH(C128,'Item Master'!$A$6:$A$105,0)),"?"))</f>
        <v/>
      </c>
      <c r="E128" s="82"/>
      <c r="F128" s="83"/>
      <c r="G128" s="84"/>
      <c r="H128" s="81"/>
      <c r="I128" s="80"/>
      <c r="J128" s="41" t="str">
        <f aca="false">IF(OR(C128="",G128=""),"",N(F128)*N(G128))</f>
        <v/>
      </c>
      <c r="K128" s="48" t="str">
        <f aca="false">IF(M128="","",N(IFERROR(INDEX('Item Master'!$E$6:$E$105,MATCH(C128,'Item Master'!$A$6:$A$105,0)),0))+SUMIFS($F$7:$F$506,$C$7:$C$506,C128,$E$7:$E$506,"In",$M$7:$M$506,"&lt;="&amp;M128)-SUMIFS($F$7:$F$506,$C$7:$C$506,C128,$E$7:$E$506,"Out",$M$7:$M$506,"&lt;="&amp;M128))</f>
        <v/>
      </c>
      <c r="L128" s="44" t="str">
        <f aca="false">IF(AND(B128="",C128="",F128=""),"",IF(C128="","⚠ Pick item",IF(D128="?","⚠ Code not in Item Master",IF(B128="","⚠ Enter date",IF(OR(E128="",N(F128)&lt;=0),"⚠ Type / quantity missing",IF(AND(E128="In",G128=""),"⚠ Enter purchase rate",IF(OR(B128&lt;Setup!$C$6,B128&gt;Setup!$C$7),"Outside period",IF(K128&lt;0,"⚠ Stock goes negative","✔ OK"))))))))</f>
        <v/>
      </c>
      <c r="M128" s="9" t="str">
        <f aca="false">IF(OR(C128="",B128=""),"",B128+ROW()/1000000)</f>
        <v/>
      </c>
      <c r="N128" s="9" t="str">
        <f aca="false">IF(AND(E128="In",M128&lt;&gt;""),SUMIFS($F$7:$F$506,$C$7:$C$506,C128,$E$7:$E$506,"In",$M$7:$M$506,"&gt;"&amp;M128),"")</f>
        <v/>
      </c>
      <c r="O128" s="9" t="str">
        <f aca="false">IF(N128="","",IFERROR(INDEX('Item Master'!$K$6:$K$105,MATCH(C128,'Item Master'!$A$6:$A$105,0)),0))</f>
        <v/>
      </c>
      <c r="P128" s="9" t="n">
        <f aca="false">IF(N128="",0,MAX(0,MIN(N(F128),O128-N128))*N(G128))</f>
        <v>0</v>
      </c>
      <c r="Q128" s="9" t="str">
        <f aca="false">IF(AND(C128&lt;&gt;"",C128='Stock Ledger'!$C$4),M128,"")</f>
        <v/>
      </c>
    </row>
    <row r="129" customFormat="false" ht="15" hidden="false" customHeight="false" outlineLevel="0" collapsed="false">
      <c r="A129" s="45" t="str">
        <f aca="false">IF(C129="","",ROW()-6)</f>
        <v/>
      </c>
      <c r="B129" s="85"/>
      <c r="C129" s="80"/>
      <c r="D129" s="47" t="str">
        <f aca="false">IF(C129="","",IFERROR(INDEX('Item Master'!$B$6:$B$105,MATCH(C129,'Item Master'!$A$6:$A$105,0)),"?"))</f>
        <v/>
      </c>
      <c r="E129" s="82"/>
      <c r="F129" s="83"/>
      <c r="G129" s="84"/>
      <c r="H129" s="81"/>
      <c r="I129" s="80"/>
      <c r="J129" s="41" t="str">
        <f aca="false">IF(OR(C129="",G129=""),"",N(F129)*N(G129))</f>
        <v/>
      </c>
      <c r="K129" s="48" t="str">
        <f aca="false">IF(M129="","",N(IFERROR(INDEX('Item Master'!$E$6:$E$105,MATCH(C129,'Item Master'!$A$6:$A$105,0)),0))+SUMIFS($F$7:$F$506,$C$7:$C$506,C129,$E$7:$E$506,"In",$M$7:$M$506,"&lt;="&amp;M129)-SUMIFS($F$7:$F$506,$C$7:$C$506,C129,$E$7:$E$506,"Out",$M$7:$M$506,"&lt;="&amp;M129))</f>
        <v/>
      </c>
      <c r="L129" s="44" t="str">
        <f aca="false">IF(AND(B129="",C129="",F129=""),"",IF(C129="","⚠ Pick item",IF(D129="?","⚠ Code not in Item Master",IF(B129="","⚠ Enter date",IF(OR(E129="",N(F129)&lt;=0),"⚠ Type / quantity missing",IF(AND(E129="In",G129=""),"⚠ Enter purchase rate",IF(OR(B129&lt;Setup!$C$6,B129&gt;Setup!$C$7),"Outside period",IF(K129&lt;0,"⚠ Stock goes negative","✔ OK"))))))))</f>
        <v/>
      </c>
      <c r="M129" s="9" t="str">
        <f aca="false">IF(OR(C129="",B129=""),"",B129+ROW()/1000000)</f>
        <v/>
      </c>
      <c r="N129" s="9" t="str">
        <f aca="false">IF(AND(E129="In",M129&lt;&gt;""),SUMIFS($F$7:$F$506,$C$7:$C$506,C129,$E$7:$E$506,"In",$M$7:$M$506,"&gt;"&amp;M129),"")</f>
        <v/>
      </c>
      <c r="O129" s="9" t="str">
        <f aca="false">IF(N129="","",IFERROR(INDEX('Item Master'!$K$6:$K$105,MATCH(C129,'Item Master'!$A$6:$A$105,0)),0))</f>
        <v/>
      </c>
      <c r="P129" s="9" t="n">
        <f aca="false">IF(N129="",0,MAX(0,MIN(N(F129),O129-N129))*N(G129))</f>
        <v>0</v>
      </c>
      <c r="Q129" s="9" t="str">
        <f aca="false">IF(AND(C129&lt;&gt;"",C129='Stock Ledger'!$C$4),M129,"")</f>
        <v/>
      </c>
    </row>
    <row r="130" customFormat="false" ht="15" hidden="false" customHeight="false" outlineLevel="0" collapsed="false">
      <c r="A130" s="45" t="str">
        <f aca="false">IF(C130="","",ROW()-6)</f>
        <v/>
      </c>
      <c r="B130" s="85"/>
      <c r="C130" s="80"/>
      <c r="D130" s="47" t="str">
        <f aca="false">IF(C130="","",IFERROR(INDEX('Item Master'!$B$6:$B$105,MATCH(C130,'Item Master'!$A$6:$A$105,0)),"?"))</f>
        <v/>
      </c>
      <c r="E130" s="82"/>
      <c r="F130" s="83"/>
      <c r="G130" s="84"/>
      <c r="H130" s="81"/>
      <c r="I130" s="80"/>
      <c r="J130" s="41" t="str">
        <f aca="false">IF(OR(C130="",G130=""),"",N(F130)*N(G130))</f>
        <v/>
      </c>
      <c r="K130" s="48" t="str">
        <f aca="false">IF(M130="","",N(IFERROR(INDEX('Item Master'!$E$6:$E$105,MATCH(C130,'Item Master'!$A$6:$A$105,0)),0))+SUMIFS($F$7:$F$506,$C$7:$C$506,C130,$E$7:$E$506,"In",$M$7:$M$506,"&lt;="&amp;M130)-SUMIFS($F$7:$F$506,$C$7:$C$506,C130,$E$7:$E$506,"Out",$M$7:$M$506,"&lt;="&amp;M130))</f>
        <v/>
      </c>
      <c r="L130" s="44" t="str">
        <f aca="false">IF(AND(B130="",C130="",F130=""),"",IF(C130="","⚠ Pick item",IF(D130="?","⚠ Code not in Item Master",IF(B130="","⚠ Enter date",IF(OR(E130="",N(F130)&lt;=0),"⚠ Type / quantity missing",IF(AND(E130="In",G130=""),"⚠ Enter purchase rate",IF(OR(B130&lt;Setup!$C$6,B130&gt;Setup!$C$7),"Outside period",IF(K130&lt;0,"⚠ Stock goes negative","✔ OK"))))))))</f>
        <v/>
      </c>
      <c r="M130" s="9" t="str">
        <f aca="false">IF(OR(C130="",B130=""),"",B130+ROW()/1000000)</f>
        <v/>
      </c>
      <c r="N130" s="9" t="str">
        <f aca="false">IF(AND(E130="In",M130&lt;&gt;""),SUMIFS($F$7:$F$506,$C$7:$C$506,C130,$E$7:$E$506,"In",$M$7:$M$506,"&gt;"&amp;M130),"")</f>
        <v/>
      </c>
      <c r="O130" s="9" t="str">
        <f aca="false">IF(N130="","",IFERROR(INDEX('Item Master'!$K$6:$K$105,MATCH(C130,'Item Master'!$A$6:$A$105,0)),0))</f>
        <v/>
      </c>
      <c r="P130" s="9" t="n">
        <f aca="false">IF(N130="",0,MAX(0,MIN(N(F130),O130-N130))*N(G130))</f>
        <v>0</v>
      </c>
      <c r="Q130" s="9" t="str">
        <f aca="false">IF(AND(C130&lt;&gt;"",C130='Stock Ledger'!$C$4),M130,"")</f>
        <v/>
      </c>
    </row>
    <row r="131" customFormat="false" ht="15" hidden="false" customHeight="false" outlineLevel="0" collapsed="false">
      <c r="A131" s="45" t="str">
        <f aca="false">IF(C131="","",ROW()-6)</f>
        <v/>
      </c>
      <c r="B131" s="85"/>
      <c r="C131" s="80"/>
      <c r="D131" s="47" t="str">
        <f aca="false">IF(C131="","",IFERROR(INDEX('Item Master'!$B$6:$B$105,MATCH(C131,'Item Master'!$A$6:$A$105,0)),"?"))</f>
        <v/>
      </c>
      <c r="E131" s="82"/>
      <c r="F131" s="83"/>
      <c r="G131" s="84"/>
      <c r="H131" s="81"/>
      <c r="I131" s="80"/>
      <c r="J131" s="41" t="str">
        <f aca="false">IF(OR(C131="",G131=""),"",N(F131)*N(G131))</f>
        <v/>
      </c>
      <c r="K131" s="48" t="str">
        <f aca="false">IF(M131="","",N(IFERROR(INDEX('Item Master'!$E$6:$E$105,MATCH(C131,'Item Master'!$A$6:$A$105,0)),0))+SUMIFS($F$7:$F$506,$C$7:$C$506,C131,$E$7:$E$506,"In",$M$7:$M$506,"&lt;="&amp;M131)-SUMIFS($F$7:$F$506,$C$7:$C$506,C131,$E$7:$E$506,"Out",$M$7:$M$506,"&lt;="&amp;M131))</f>
        <v/>
      </c>
      <c r="L131" s="44" t="str">
        <f aca="false">IF(AND(B131="",C131="",F131=""),"",IF(C131="","⚠ Pick item",IF(D131="?","⚠ Code not in Item Master",IF(B131="","⚠ Enter date",IF(OR(E131="",N(F131)&lt;=0),"⚠ Type / quantity missing",IF(AND(E131="In",G131=""),"⚠ Enter purchase rate",IF(OR(B131&lt;Setup!$C$6,B131&gt;Setup!$C$7),"Outside period",IF(K131&lt;0,"⚠ Stock goes negative","✔ OK"))))))))</f>
        <v/>
      </c>
      <c r="M131" s="9" t="str">
        <f aca="false">IF(OR(C131="",B131=""),"",B131+ROW()/1000000)</f>
        <v/>
      </c>
      <c r="N131" s="9" t="str">
        <f aca="false">IF(AND(E131="In",M131&lt;&gt;""),SUMIFS($F$7:$F$506,$C$7:$C$506,C131,$E$7:$E$506,"In",$M$7:$M$506,"&gt;"&amp;M131),"")</f>
        <v/>
      </c>
      <c r="O131" s="9" t="str">
        <f aca="false">IF(N131="","",IFERROR(INDEX('Item Master'!$K$6:$K$105,MATCH(C131,'Item Master'!$A$6:$A$105,0)),0))</f>
        <v/>
      </c>
      <c r="P131" s="9" t="n">
        <f aca="false">IF(N131="",0,MAX(0,MIN(N(F131),O131-N131))*N(G131))</f>
        <v>0</v>
      </c>
      <c r="Q131" s="9" t="str">
        <f aca="false">IF(AND(C131&lt;&gt;"",C131='Stock Ledger'!$C$4),M131,"")</f>
        <v/>
      </c>
    </row>
    <row r="132" customFormat="false" ht="15" hidden="false" customHeight="false" outlineLevel="0" collapsed="false">
      <c r="A132" s="45" t="str">
        <f aca="false">IF(C132="","",ROW()-6)</f>
        <v/>
      </c>
      <c r="B132" s="85"/>
      <c r="C132" s="80"/>
      <c r="D132" s="47" t="str">
        <f aca="false">IF(C132="","",IFERROR(INDEX('Item Master'!$B$6:$B$105,MATCH(C132,'Item Master'!$A$6:$A$105,0)),"?"))</f>
        <v/>
      </c>
      <c r="E132" s="82"/>
      <c r="F132" s="83"/>
      <c r="G132" s="84"/>
      <c r="H132" s="81"/>
      <c r="I132" s="80"/>
      <c r="J132" s="41" t="str">
        <f aca="false">IF(OR(C132="",G132=""),"",N(F132)*N(G132))</f>
        <v/>
      </c>
      <c r="K132" s="48" t="str">
        <f aca="false">IF(M132="","",N(IFERROR(INDEX('Item Master'!$E$6:$E$105,MATCH(C132,'Item Master'!$A$6:$A$105,0)),0))+SUMIFS($F$7:$F$506,$C$7:$C$506,C132,$E$7:$E$506,"In",$M$7:$M$506,"&lt;="&amp;M132)-SUMIFS($F$7:$F$506,$C$7:$C$506,C132,$E$7:$E$506,"Out",$M$7:$M$506,"&lt;="&amp;M132))</f>
        <v/>
      </c>
      <c r="L132" s="44" t="str">
        <f aca="false">IF(AND(B132="",C132="",F132=""),"",IF(C132="","⚠ Pick item",IF(D132="?","⚠ Code not in Item Master",IF(B132="","⚠ Enter date",IF(OR(E132="",N(F132)&lt;=0),"⚠ Type / quantity missing",IF(AND(E132="In",G132=""),"⚠ Enter purchase rate",IF(OR(B132&lt;Setup!$C$6,B132&gt;Setup!$C$7),"Outside period",IF(K132&lt;0,"⚠ Stock goes negative","✔ OK"))))))))</f>
        <v/>
      </c>
      <c r="M132" s="9" t="str">
        <f aca="false">IF(OR(C132="",B132=""),"",B132+ROW()/1000000)</f>
        <v/>
      </c>
      <c r="N132" s="9" t="str">
        <f aca="false">IF(AND(E132="In",M132&lt;&gt;""),SUMIFS($F$7:$F$506,$C$7:$C$506,C132,$E$7:$E$506,"In",$M$7:$M$506,"&gt;"&amp;M132),"")</f>
        <v/>
      </c>
      <c r="O132" s="9" t="str">
        <f aca="false">IF(N132="","",IFERROR(INDEX('Item Master'!$K$6:$K$105,MATCH(C132,'Item Master'!$A$6:$A$105,0)),0))</f>
        <v/>
      </c>
      <c r="P132" s="9" t="n">
        <f aca="false">IF(N132="",0,MAX(0,MIN(N(F132),O132-N132))*N(G132))</f>
        <v>0</v>
      </c>
      <c r="Q132" s="9" t="str">
        <f aca="false">IF(AND(C132&lt;&gt;"",C132='Stock Ledger'!$C$4),M132,"")</f>
        <v/>
      </c>
    </row>
    <row r="133" customFormat="false" ht="15" hidden="false" customHeight="false" outlineLevel="0" collapsed="false">
      <c r="A133" s="45" t="str">
        <f aca="false">IF(C133="","",ROW()-6)</f>
        <v/>
      </c>
      <c r="B133" s="85"/>
      <c r="C133" s="80"/>
      <c r="D133" s="47" t="str">
        <f aca="false">IF(C133="","",IFERROR(INDEX('Item Master'!$B$6:$B$105,MATCH(C133,'Item Master'!$A$6:$A$105,0)),"?"))</f>
        <v/>
      </c>
      <c r="E133" s="82"/>
      <c r="F133" s="83"/>
      <c r="G133" s="84"/>
      <c r="H133" s="81"/>
      <c r="I133" s="80"/>
      <c r="J133" s="41" t="str">
        <f aca="false">IF(OR(C133="",G133=""),"",N(F133)*N(G133))</f>
        <v/>
      </c>
      <c r="K133" s="48" t="str">
        <f aca="false">IF(M133="","",N(IFERROR(INDEX('Item Master'!$E$6:$E$105,MATCH(C133,'Item Master'!$A$6:$A$105,0)),0))+SUMIFS($F$7:$F$506,$C$7:$C$506,C133,$E$7:$E$506,"In",$M$7:$M$506,"&lt;="&amp;M133)-SUMIFS($F$7:$F$506,$C$7:$C$506,C133,$E$7:$E$506,"Out",$M$7:$M$506,"&lt;="&amp;M133))</f>
        <v/>
      </c>
      <c r="L133" s="44" t="str">
        <f aca="false">IF(AND(B133="",C133="",F133=""),"",IF(C133="","⚠ Pick item",IF(D133="?","⚠ Code not in Item Master",IF(B133="","⚠ Enter date",IF(OR(E133="",N(F133)&lt;=0),"⚠ Type / quantity missing",IF(AND(E133="In",G133=""),"⚠ Enter purchase rate",IF(OR(B133&lt;Setup!$C$6,B133&gt;Setup!$C$7),"Outside period",IF(K133&lt;0,"⚠ Stock goes negative","✔ OK"))))))))</f>
        <v/>
      </c>
      <c r="M133" s="9" t="str">
        <f aca="false">IF(OR(C133="",B133=""),"",B133+ROW()/1000000)</f>
        <v/>
      </c>
      <c r="N133" s="9" t="str">
        <f aca="false">IF(AND(E133="In",M133&lt;&gt;""),SUMIFS($F$7:$F$506,$C$7:$C$506,C133,$E$7:$E$506,"In",$M$7:$M$506,"&gt;"&amp;M133),"")</f>
        <v/>
      </c>
      <c r="O133" s="9" t="str">
        <f aca="false">IF(N133="","",IFERROR(INDEX('Item Master'!$K$6:$K$105,MATCH(C133,'Item Master'!$A$6:$A$105,0)),0))</f>
        <v/>
      </c>
      <c r="P133" s="9" t="n">
        <f aca="false">IF(N133="",0,MAX(0,MIN(N(F133),O133-N133))*N(G133))</f>
        <v>0</v>
      </c>
      <c r="Q133" s="9" t="str">
        <f aca="false">IF(AND(C133&lt;&gt;"",C133='Stock Ledger'!$C$4),M133,"")</f>
        <v/>
      </c>
    </row>
    <row r="134" customFormat="false" ht="15" hidden="false" customHeight="false" outlineLevel="0" collapsed="false">
      <c r="A134" s="45" t="str">
        <f aca="false">IF(C134="","",ROW()-6)</f>
        <v/>
      </c>
      <c r="B134" s="85"/>
      <c r="C134" s="80"/>
      <c r="D134" s="47" t="str">
        <f aca="false">IF(C134="","",IFERROR(INDEX('Item Master'!$B$6:$B$105,MATCH(C134,'Item Master'!$A$6:$A$105,0)),"?"))</f>
        <v/>
      </c>
      <c r="E134" s="82"/>
      <c r="F134" s="83"/>
      <c r="G134" s="84"/>
      <c r="H134" s="81"/>
      <c r="I134" s="80"/>
      <c r="J134" s="41" t="str">
        <f aca="false">IF(OR(C134="",G134=""),"",N(F134)*N(G134))</f>
        <v/>
      </c>
      <c r="K134" s="48" t="str">
        <f aca="false">IF(M134="","",N(IFERROR(INDEX('Item Master'!$E$6:$E$105,MATCH(C134,'Item Master'!$A$6:$A$105,0)),0))+SUMIFS($F$7:$F$506,$C$7:$C$506,C134,$E$7:$E$506,"In",$M$7:$M$506,"&lt;="&amp;M134)-SUMIFS($F$7:$F$506,$C$7:$C$506,C134,$E$7:$E$506,"Out",$M$7:$M$506,"&lt;="&amp;M134))</f>
        <v/>
      </c>
      <c r="L134" s="44" t="str">
        <f aca="false">IF(AND(B134="",C134="",F134=""),"",IF(C134="","⚠ Pick item",IF(D134="?","⚠ Code not in Item Master",IF(B134="","⚠ Enter date",IF(OR(E134="",N(F134)&lt;=0),"⚠ Type / quantity missing",IF(AND(E134="In",G134=""),"⚠ Enter purchase rate",IF(OR(B134&lt;Setup!$C$6,B134&gt;Setup!$C$7),"Outside period",IF(K134&lt;0,"⚠ Stock goes negative","✔ OK"))))))))</f>
        <v/>
      </c>
      <c r="M134" s="9" t="str">
        <f aca="false">IF(OR(C134="",B134=""),"",B134+ROW()/1000000)</f>
        <v/>
      </c>
      <c r="N134" s="9" t="str">
        <f aca="false">IF(AND(E134="In",M134&lt;&gt;""),SUMIFS($F$7:$F$506,$C$7:$C$506,C134,$E$7:$E$506,"In",$M$7:$M$506,"&gt;"&amp;M134),"")</f>
        <v/>
      </c>
      <c r="O134" s="9" t="str">
        <f aca="false">IF(N134="","",IFERROR(INDEX('Item Master'!$K$6:$K$105,MATCH(C134,'Item Master'!$A$6:$A$105,0)),0))</f>
        <v/>
      </c>
      <c r="P134" s="9" t="n">
        <f aca="false">IF(N134="",0,MAX(0,MIN(N(F134),O134-N134))*N(G134))</f>
        <v>0</v>
      </c>
      <c r="Q134" s="9" t="str">
        <f aca="false">IF(AND(C134&lt;&gt;"",C134='Stock Ledger'!$C$4),M134,"")</f>
        <v/>
      </c>
    </row>
    <row r="135" customFormat="false" ht="15" hidden="false" customHeight="false" outlineLevel="0" collapsed="false">
      <c r="A135" s="45" t="str">
        <f aca="false">IF(C135="","",ROW()-6)</f>
        <v/>
      </c>
      <c r="B135" s="85"/>
      <c r="C135" s="80"/>
      <c r="D135" s="47" t="str">
        <f aca="false">IF(C135="","",IFERROR(INDEX('Item Master'!$B$6:$B$105,MATCH(C135,'Item Master'!$A$6:$A$105,0)),"?"))</f>
        <v/>
      </c>
      <c r="E135" s="82"/>
      <c r="F135" s="83"/>
      <c r="G135" s="84"/>
      <c r="H135" s="81"/>
      <c r="I135" s="80"/>
      <c r="J135" s="41" t="str">
        <f aca="false">IF(OR(C135="",G135=""),"",N(F135)*N(G135))</f>
        <v/>
      </c>
      <c r="K135" s="48" t="str">
        <f aca="false">IF(M135="","",N(IFERROR(INDEX('Item Master'!$E$6:$E$105,MATCH(C135,'Item Master'!$A$6:$A$105,0)),0))+SUMIFS($F$7:$F$506,$C$7:$C$506,C135,$E$7:$E$506,"In",$M$7:$M$506,"&lt;="&amp;M135)-SUMIFS($F$7:$F$506,$C$7:$C$506,C135,$E$7:$E$506,"Out",$M$7:$M$506,"&lt;="&amp;M135))</f>
        <v/>
      </c>
      <c r="L135" s="44" t="str">
        <f aca="false">IF(AND(B135="",C135="",F135=""),"",IF(C135="","⚠ Pick item",IF(D135="?","⚠ Code not in Item Master",IF(B135="","⚠ Enter date",IF(OR(E135="",N(F135)&lt;=0),"⚠ Type / quantity missing",IF(AND(E135="In",G135=""),"⚠ Enter purchase rate",IF(OR(B135&lt;Setup!$C$6,B135&gt;Setup!$C$7),"Outside period",IF(K135&lt;0,"⚠ Stock goes negative","✔ OK"))))))))</f>
        <v/>
      </c>
      <c r="M135" s="9" t="str">
        <f aca="false">IF(OR(C135="",B135=""),"",B135+ROW()/1000000)</f>
        <v/>
      </c>
      <c r="N135" s="9" t="str">
        <f aca="false">IF(AND(E135="In",M135&lt;&gt;""),SUMIFS($F$7:$F$506,$C$7:$C$506,C135,$E$7:$E$506,"In",$M$7:$M$506,"&gt;"&amp;M135),"")</f>
        <v/>
      </c>
      <c r="O135" s="9" t="str">
        <f aca="false">IF(N135="","",IFERROR(INDEX('Item Master'!$K$6:$K$105,MATCH(C135,'Item Master'!$A$6:$A$105,0)),0))</f>
        <v/>
      </c>
      <c r="P135" s="9" t="n">
        <f aca="false">IF(N135="",0,MAX(0,MIN(N(F135),O135-N135))*N(G135))</f>
        <v>0</v>
      </c>
      <c r="Q135" s="9" t="str">
        <f aca="false">IF(AND(C135&lt;&gt;"",C135='Stock Ledger'!$C$4),M135,"")</f>
        <v/>
      </c>
    </row>
    <row r="136" customFormat="false" ht="15" hidden="false" customHeight="false" outlineLevel="0" collapsed="false">
      <c r="A136" s="45" t="str">
        <f aca="false">IF(C136="","",ROW()-6)</f>
        <v/>
      </c>
      <c r="B136" s="85"/>
      <c r="C136" s="80"/>
      <c r="D136" s="47" t="str">
        <f aca="false">IF(C136="","",IFERROR(INDEX('Item Master'!$B$6:$B$105,MATCH(C136,'Item Master'!$A$6:$A$105,0)),"?"))</f>
        <v/>
      </c>
      <c r="E136" s="82"/>
      <c r="F136" s="83"/>
      <c r="G136" s="84"/>
      <c r="H136" s="81"/>
      <c r="I136" s="80"/>
      <c r="J136" s="41" t="str">
        <f aca="false">IF(OR(C136="",G136=""),"",N(F136)*N(G136))</f>
        <v/>
      </c>
      <c r="K136" s="48" t="str">
        <f aca="false">IF(M136="","",N(IFERROR(INDEX('Item Master'!$E$6:$E$105,MATCH(C136,'Item Master'!$A$6:$A$105,0)),0))+SUMIFS($F$7:$F$506,$C$7:$C$506,C136,$E$7:$E$506,"In",$M$7:$M$506,"&lt;="&amp;M136)-SUMIFS($F$7:$F$506,$C$7:$C$506,C136,$E$7:$E$506,"Out",$M$7:$M$506,"&lt;="&amp;M136))</f>
        <v/>
      </c>
      <c r="L136" s="44" t="str">
        <f aca="false">IF(AND(B136="",C136="",F136=""),"",IF(C136="","⚠ Pick item",IF(D136="?","⚠ Code not in Item Master",IF(B136="","⚠ Enter date",IF(OR(E136="",N(F136)&lt;=0),"⚠ Type / quantity missing",IF(AND(E136="In",G136=""),"⚠ Enter purchase rate",IF(OR(B136&lt;Setup!$C$6,B136&gt;Setup!$C$7),"Outside period",IF(K136&lt;0,"⚠ Stock goes negative","✔ OK"))))))))</f>
        <v/>
      </c>
      <c r="M136" s="9" t="str">
        <f aca="false">IF(OR(C136="",B136=""),"",B136+ROW()/1000000)</f>
        <v/>
      </c>
      <c r="N136" s="9" t="str">
        <f aca="false">IF(AND(E136="In",M136&lt;&gt;""),SUMIFS($F$7:$F$506,$C$7:$C$506,C136,$E$7:$E$506,"In",$M$7:$M$506,"&gt;"&amp;M136),"")</f>
        <v/>
      </c>
      <c r="O136" s="9" t="str">
        <f aca="false">IF(N136="","",IFERROR(INDEX('Item Master'!$K$6:$K$105,MATCH(C136,'Item Master'!$A$6:$A$105,0)),0))</f>
        <v/>
      </c>
      <c r="P136" s="9" t="n">
        <f aca="false">IF(N136="",0,MAX(0,MIN(N(F136),O136-N136))*N(G136))</f>
        <v>0</v>
      </c>
      <c r="Q136" s="9" t="str">
        <f aca="false">IF(AND(C136&lt;&gt;"",C136='Stock Ledger'!$C$4),M136,"")</f>
        <v/>
      </c>
    </row>
    <row r="137" customFormat="false" ht="15" hidden="false" customHeight="false" outlineLevel="0" collapsed="false">
      <c r="A137" s="45" t="str">
        <f aca="false">IF(C137="","",ROW()-6)</f>
        <v/>
      </c>
      <c r="B137" s="85"/>
      <c r="C137" s="80"/>
      <c r="D137" s="47" t="str">
        <f aca="false">IF(C137="","",IFERROR(INDEX('Item Master'!$B$6:$B$105,MATCH(C137,'Item Master'!$A$6:$A$105,0)),"?"))</f>
        <v/>
      </c>
      <c r="E137" s="82"/>
      <c r="F137" s="83"/>
      <c r="G137" s="84"/>
      <c r="H137" s="81"/>
      <c r="I137" s="80"/>
      <c r="J137" s="41" t="str">
        <f aca="false">IF(OR(C137="",G137=""),"",N(F137)*N(G137))</f>
        <v/>
      </c>
      <c r="K137" s="48" t="str">
        <f aca="false">IF(M137="","",N(IFERROR(INDEX('Item Master'!$E$6:$E$105,MATCH(C137,'Item Master'!$A$6:$A$105,0)),0))+SUMIFS($F$7:$F$506,$C$7:$C$506,C137,$E$7:$E$506,"In",$M$7:$M$506,"&lt;="&amp;M137)-SUMIFS($F$7:$F$506,$C$7:$C$506,C137,$E$7:$E$506,"Out",$M$7:$M$506,"&lt;="&amp;M137))</f>
        <v/>
      </c>
      <c r="L137" s="44" t="str">
        <f aca="false">IF(AND(B137="",C137="",F137=""),"",IF(C137="","⚠ Pick item",IF(D137="?","⚠ Code not in Item Master",IF(B137="","⚠ Enter date",IF(OR(E137="",N(F137)&lt;=0),"⚠ Type / quantity missing",IF(AND(E137="In",G137=""),"⚠ Enter purchase rate",IF(OR(B137&lt;Setup!$C$6,B137&gt;Setup!$C$7),"Outside period",IF(K137&lt;0,"⚠ Stock goes negative","✔ OK"))))))))</f>
        <v/>
      </c>
      <c r="M137" s="9" t="str">
        <f aca="false">IF(OR(C137="",B137=""),"",B137+ROW()/1000000)</f>
        <v/>
      </c>
      <c r="N137" s="9" t="str">
        <f aca="false">IF(AND(E137="In",M137&lt;&gt;""),SUMIFS($F$7:$F$506,$C$7:$C$506,C137,$E$7:$E$506,"In",$M$7:$M$506,"&gt;"&amp;M137),"")</f>
        <v/>
      </c>
      <c r="O137" s="9" t="str">
        <f aca="false">IF(N137="","",IFERROR(INDEX('Item Master'!$K$6:$K$105,MATCH(C137,'Item Master'!$A$6:$A$105,0)),0))</f>
        <v/>
      </c>
      <c r="P137" s="9" t="n">
        <f aca="false">IF(N137="",0,MAX(0,MIN(N(F137),O137-N137))*N(G137))</f>
        <v>0</v>
      </c>
      <c r="Q137" s="9" t="str">
        <f aca="false">IF(AND(C137&lt;&gt;"",C137='Stock Ledger'!$C$4),M137,"")</f>
        <v/>
      </c>
    </row>
    <row r="138" customFormat="false" ht="15" hidden="false" customHeight="false" outlineLevel="0" collapsed="false">
      <c r="A138" s="45" t="str">
        <f aca="false">IF(C138="","",ROW()-6)</f>
        <v/>
      </c>
      <c r="B138" s="85"/>
      <c r="C138" s="80"/>
      <c r="D138" s="47" t="str">
        <f aca="false">IF(C138="","",IFERROR(INDEX('Item Master'!$B$6:$B$105,MATCH(C138,'Item Master'!$A$6:$A$105,0)),"?"))</f>
        <v/>
      </c>
      <c r="E138" s="82"/>
      <c r="F138" s="83"/>
      <c r="G138" s="84"/>
      <c r="H138" s="81"/>
      <c r="I138" s="80"/>
      <c r="J138" s="41" t="str">
        <f aca="false">IF(OR(C138="",G138=""),"",N(F138)*N(G138))</f>
        <v/>
      </c>
      <c r="K138" s="48" t="str">
        <f aca="false">IF(M138="","",N(IFERROR(INDEX('Item Master'!$E$6:$E$105,MATCH(C138,'Item Master'!$A$6:$A$105,0)),0))+SUMIFS($F$7:$F$506,$C$7:$C$506,C138,$E$7:$E$506,"In",$M$7:$M$506,"&lt;="&amp;M138)-SUMIFS($F$7:$F$506,$C$7:$C$506,C138,$E$7:$E$506,"Out",$M$7:$M$506,"&lt;="&amp;M138))</f>
        <v/>
      </c>
      <c r="L138" s="44" t="str">
        <f aca="false">IF(AND(B138="",C138="",F138=""),"",IF(C138="","⚠ Pick item",IF(D138="?","⚠ Code not in Item Master",IF(B138="","⚠ Enter date",IF(OR(E138="",N(F138)&lt;=0),"⚠ Type / quantity missing",IF(AND(E138="In",G138=""),"⚠ Enter purchase rate",IF(OR(B138&lt;Setup!$C$6,B138&gt;Setup!$C$7),"Outside period",IF(K138&lt;0,"⚠ Stock goes negative","✔ OK"))))))))</f>
        <v/>
      </c>
      <c r="M138" s="9" t="str">
        <f aca="false">IF(OR(C138="",B138=""),"",B138+ROW()/1000000)</f>
        <v/>
      </c>
      <c r="N138" s="9" t="str">
        <f aca="false">IF(AND(E138="In",M138&lt;&gt;""),SUMIFS($F$7:$F$506,$C$7:$C$506,C138,$E$7:$E$506,"In",$M$7:$M$506,"&gt;"&amp;M138),"")</f>
        <v/>
      </c>
      <c r="O138" s="9" t="str">
        <f aca="false">IF(N138="","",IFERROR(INDEX('Item Master'!$K$6:$K$105,MATCH(C138,'Item Master'!$A$6:$A$105,0)),0))</f>
        <v/>
      </c>
      <c r="P138" s="9" t="n">
        <f aca="false">IF(N138="",0,MAX(0,MIN(N(F138),O138-N138))*N(G138))</f>
        <v>0</v>
      </c>
      <c r="Q138" s="9" t="str">
        <f aca="false">IF(AND(C138&lt;&gt;"",C138='Stock Ledger'!$C$4),M138,"")</f>
        <v/>
      </c>
    </row>
    <row r="139" customFormat="false" ht="15" hidden="false" customHeight="false" outlineLevel="0" collapsed="false">
      <c r="A139" s="45" t="str">
        <f aca="false">IF(C139="","",ROW()-6)</f>
        <v/>
      </c>
      <c r="B139" s="85"/>
      <c r="C139" s="80"/>
      <c r="D139" s="47" t="str">
        <f aca="false">IF(C139="","",IFERROR(INDEX('Item Master'!$B$6:$B$105,MATCH(C139,'Item Master'!$A$6:$A$105,0)),"?"))</f>
        <v/>
      </c>
      <c r="E139" s="82"/>
      <c r="F139" s="83"/>
      <c r="G139" s="84"/>
      <c r="H139" s="81"/>
      <c r="I139" s="80"/>
      <c r="J139" s="41" t="str">
        <f aca="false">IF(OR(C139="",G139=""),"",N(F139)*N(G139))</f>
        <v/>
      </c>
      <c r="K139" s="48" t="str">
        <f aca="false">IF(M139="","",N(IFERROR(INDEX('Item Master'!$E$6:$E$105,MATCH(C139,'Item Master'!$A$6:$A$105,0)),0))+SUMIFS($F$7:$F$506,$C$7:$C$506,C139,$E$7:$E$506,"In",$M$7:$M$506,"&lt;="&amp;M139)-SUMIFS($F$7:$F$506,$C$7:$C$506,C139,$E$7:$E$506,"Out",$M$7:$M$506,"&lt;="&amp;M139))</f>
        <v/>
      </c>
      <c r="L139" s="44" t="str">
        <f aca="false">IF(AND(B139="",C139="",F139=""),"",IF(C139="","⚠ Pick item",IF(D139="?","⚠ Code not in Item Master",IF(B139="","⚠ Enter date",IF(OR(E139="",N(F139)&lt;=0),"⚠ Type / quantity missing",IF(AND(E139="In",G139=""),"⚠ Enter purchase rate",IF(OR(B139&lt;Setup!$C$6,B139&gt;Setup!$C$7),"Outside period",IF(K139&lt;0,"⚠ Stock goes negative","✔ OK"))))))))</f>
        <v/>
      </c>
      <c r="M139" s="9" t="str">
        <f aca="false">IF(OR(C139="",B139=""),"",B139+ROW()/1000000)</f>
        <v/>
      </c>
      <c r="N139" s="9" t="str">
        <f aca="false">IF(AND(E139="In",M139&lt;&gt;""),SUMIFS($F$7:$F$506,$C$7:$C$506,C139,$E$7:$E$506,"In",$M$7:$M$506,"&gt;"&amp;M139),"")</f>
        <v/>
      </c>
      <c r="O139" s="9" t="str">
        <f aca="false">IF(N139="","",IFERROR(INDEX('Item Master'!$K$6:$K$105,MATCH(C139,'Item Master'!$A$6:$A$105,0)),0))</f>
        <v/>
      </c>
      <c r="P139" s="9" t="n">
        <f aca="false">IF(N139="",0,MAX(0,MIN(N(F139),O139-N139))*N(G139))</f>
        <v>0</v>
      </c>
      <c r="Q139" s="9" t="str">
        <f aca="false">IF(AND(C139&lt;&gt;"",C139='Stock Ledger'!$C$4),M139,"")</f>
        <v/>
      </c>
    </row>
    <row r="140" customFormat="false" ht="15" hidden="false" customHeight="false" outlineLevel="0" collapsed="false">
      <c r="A140" s="45" t="str">
        <f aca="false">IF(C140="","",ROW()-6)</f>
        <v/>
      </c>
      <c r="B140" s="85"/>
      <c r="C140" s="80"/>
      <c r="D140" s="47" t="str">
        <f aca="false">IF(C140="","",IFERROR(INDEX('Item Master'!$B$6:$B$105,MATCH(C140,'Item Master'!$A$6:$A$105,0)),"?"))</f>
        <v/>
      </c>
      <c r="E140" s="82"/>
      <c r="F140" s="83"/>
      <c r="G140" s="84"/>
      <c r="H140" s="81"/>
      <c r="I140" s="80"/>
      <c r="J140" s="41" t="str">
        <f aca="false">IF(OR(C140="",G140=""),"",N(F140)*N(G140))</f>
        <v/>
      </c>
      <c r="K140" s="48" t="str">
        <f aca="false">IF(M140="","",N(IFERROR(INDEX('Item Master'!$E$6:$E$105,MATCH(C140,'Item Master'!$A$6:$A$105,0)),0))+SUMIFS($F$7:$F$506,$C$7:$C$506,C140,$E$7:$E$506,"In",$M$7:$M$506,"&lt;="&amp;M140)-SUMIFS($F$7:$F$506,$C$7:$C$506,C140,$E$7:$E$506,"Out",$M$7:$M$506,"&lt;="&amp;M140))</f>
        <v/>
      </c>
      <c r="L140" s="44" t="str">
        <f aca="false">IF(AND(B140="",C140="",F140=""),"",IF(C140="","⚠ Pick item",IF(D140="?","⚠ Code not in Item Master",IF(B140="","⚠ Enter date",IF(OR(E140="",N(F140)&lt;=0),"⚠ Type / quantity missing",IF(AND(E140="In",G140=""),"⚠ Enter purchase rate",IF(OR(B140&lt;Setup!$C$6,B140&gt;Setup!$C$7),"Outside period",IF(K140&lt;0,"⚠ Stock goes negative","✔ OK"))))))))</f>
        <v/>
      </c>
      <c r="M140" s="9" t="str">
        <f aca="false">IF(OR(C140="",B140=""),"",B140+ROW()/1000000)</f>
        <v/>
      </c>
      <c r="N140" s="9" t="str">
        <f aca="false">IF(AND(E140="In",M140&lt;&gt;""),SUMIFS($F$7:$F$506,$C$7:$C$506,C140,$E$7:$E$506,"In",$M$7:$M$506,"&gt;"&amp;M140),"")</f>
        <v/>
      </c>
      <c r="O140" s="9" t="str">
        <f aca="false">IF(N140="","",IFERROR(INDEX('Item Master'!$K$6:$K$105,MATCH(C140,'Item Master'!$A$6:$A$105,0)),0))</f>
        <v/>
      </c>
      <c r="P140" s="9" t="n">
        <f aca="false">IF(N140="",0,MAX(0,MIN(N(F140),O140-N140))*N(G140))</f>
        <v>0</v>
      </c>
      <c r="Q140" s="9" t="str">
        <f aca="false">IF(AND(C140&lt;&gt;"",C140='Stock Ledger'!$C$4),M140,"")</f>
        <v/>
      </c>
    </row>
    <row r="141" customFormat="false" ht="15" hidden="false" customHeight="false" outlineLevel="0" collapsed="false">
      <c r="A141" s="45" t="str">
        <f aca="false">IF(C141="","",ROW()-6)</f>
        <v/>
      </c>
      <c r="B141" s="85"/>
      <c r="C141" s="80"/>
      <c r="D141" s="47" t="str">
        <f aca="false">IF(C141="","",IFERROR(INDEX('Item Master'!$B$6:$B$105,MATCH(C141,'Item Master'!$A$6:$A$105,0)),"?"))</f>
        <v/>
      </c>
      <c r="E141" s="82"/>
      <c r="F141" s="83"/>
      <c r="G141" s="84"/>
      <c r="H141" s="81"/>
      <c r="I141" s="80"/>
      <c r="J141" s="41" t="str">
        <f aca="false">IF(OR(C141="",G141=""),"",N(F141)*N(G141))</f>
        <v/>
      </c>
      <c r="K141" s="48" t="str">
        <f aca="false">IF(M141="","",N(IFERROR(INDEX('Item Master'!$E$6:$E$105,MATCH(C141,'Item Master'!$A$6:$A$105,0)),0))+SUMIFS($F$7:$F$506,$C$7:$C$506,C141,$E$7:$E$506,"In",$M$7:$M$506,"&lt;="&amp;M141)-SUMIFS($F$7:$F$506,$C$7:$C$506,C141,$E$7:$E$506,"Out",$M$7:$M$506,"&lt;="&amp;M141))</f>
        <v/>
      </c>
      <c r="L141" s="44" t="str">
        <f aca="false">IF(AND(B141="",C141="",F141=""),"",IF(C141="","⚠ Pick item",IF(D141="?","⚠ Code not in Item Master",IF(B141="","⚠ Enter date",IF(OR(E141="",N(F141)&lt;=0),"⚠ Type / quantity missing",IF(AND(E141="In",G141=""),"⚠ Enter purchase rate",IF(OR(B141&lt;Setup!$C$6,B141&gt;Setup!$C$7),"Outside period",IF(K141&lt;0,"⚠ Stock goes negative","✔ OK"))))))))</f>
        <v/>
      </c>
      <c r="M141" s="9" t="str">
        <f aca="false">IF(OR(C141="",B141=""),"",B141+ROW()/1000000)</f>
        <v/>
      </c>
      <c r="N141" s="9" t="str">
        <f aca="false">IF(AND(E141="In",M141&lt;&gt;""),SUMIFS($F$7:$F$506,$C$7:$C$506,C141,$E$7:$E$506,"In",$M$7:$M$506,"&gt;"&amp;M141),"")</f>
        <v/>
      </c>
      <c r="O141" s="9" t="str">
        <f aca="false">IF(N141="","",IFERROR(INDEX('Item Master'!$K$6:$K$105,MATCH(C141,'Item Master'!$A$6:$A$105,0)),0))</f>
        <v/>
      </c>
      <c r="P141" s="9" t="n">
        <f aca="false">IF(N141="",0,MAX(0,MIN(N(F141),O141-N141))*N(G141))</f>
        <v>0</v>
      </c>
      <c r="Q141" s="9" t="str">
        <f aca="false">IF(AND(C141&lt;&gt;"",C141='Stock Ledger'!$C$4),M141,"")</f>
        <v/>
      </c>
    </row>
    <row r="142" customFormat="false" ht="15" hidden="false" customHeight="false" outlineLevel="0" collapsed="false">
      <c r="A142" s="45" t="str">
        <f aca="false">IF(C142="","",ROW()-6)</f>
        <v/>
      </c>
      <c r="B142" s="85"/>
      <c r="C142" s="80"/>
      <c r="D142" s="47" t="str">
        <f aca="false">IF(C142="","",IFERROR(INDEX('Item Master'!$B$6:$B$105,MATCH(C142,'Item Master'!$A$6:$A$105,0)),"?"))</f>
        <v/>
      </c>
      <c r="E142" s="82"/>
      <c r="F142" s="83"/>
      <c r="G142" s="84"/>
      <c r="H142" s="81"/>
      <c r="I142" s="80"/>
      <c r="J142" s="41" t="str">
        <f aca="false">IF(OR(C142="",G142=""),"",N(F142)*N(G142))</f>
        <v/>
      </c>
      <c r="K142" s="48" t="str">
        <f aca="false">IF(M142="","",N(IFERROR(INDEX('Item Master'!$E$6:$E$105,MATCH(C142,'Item Master'!$A$6:$A$105,0)),0))+SUMIFS($F$7:$F$506,$C$7:$C$506,C142,$E$7:$E$506,"In",$M$7:$M$506,"&lt;="&amp;M142)-SUMIFS($F$7:$F$506,$C$7:$C$506,C142,$E$7:$E$506,"Out",$M$7:$M$506,"&lt;="&amp;M142))</f>
        <v/>
      </c>
      <c r="L142" s="44" t="str">
        <f aca="false">IF(AND(B142="",C142="",F142=""),"",IF(C142="","⚠ Pick item",IF(D142="?","⚠ Code not in Item Master",IF(B142="","⚠ Enter date",IF(OR(E142="",N(F142)&lt;=0),"⚠ Type / quantity missing",IF(AND(E142="In",G142=""),"⚠ Enter purchase rate",IF(OR(B142&lt;Setup!$C$6,B142&gt;Setup!$C$7),"Outside period",IF(K142&lt;0,"⚠ Stock goes negative","✔ OK"))))))))</f>
        <v/>
      </c>
      <c r="M142" s="9" t="str">
        <f aca="false">IF(OR(C142="",B142=""),"",B142+ROW()/1000000)</f>
        <v/>
      </c>
      <c r="N142" s="9" t="str">
        <f aca="false">IF(AND(E142="In",M142&lt;&gt;""),SUMIFS($F$7:$F$506,$C$7:$C$506,C142,$E$7:$E$506,"In",$M$7:$M$506,"&gt;"&amp;M142),"")</f>
        <v/>
      </c>
      <c r="O142" s="9" t="str">
        <f aca="false">IF(N142="","",IFERROR(INDEX('Item Master'!$K$6:$K$105,MATCH(C142,'Item Master'!$A$6:$A$105,0)),0))</f>
        <v/>
      </c>
      <c r="P142" s="9" t="n">
        <f aca="false">IF(N142="",0,MAX(0,MIN(N(F142),O142-N142))*N(G142))</f>
        <v>0</v>
      </c>
      <c r="Q142" s="9" t="str">
        <f aca="false">IF(AND(C142&lt;&gt;"",C142='Stock Ledger'!$C$4),M142,"")</f>
        <v/>
      </c>
    </row>
    <row r="143" customFormat="false" ht="15" hidden="false" customHeight="false" outlineLevel="0" collapsed="false">
      <c r="A143" s="45" t="str">
        <f aca="false">IF(C143="","",ROW()-6)</f>
        <v/>
      </c>
      <c r="B143" s="85"/>
      <c r="C143" s="80"/>
      <c r="D143" s="47" t="str">
        <f aca="false">IF(C143="","",IFERROR(INDEX('Item Master'!$B$6:$B$105,MATCH(C143,'Item Master'!$A$6:$A$105,0)),"?"))</f>
        <v/>
      </c>
      <c r="E143" s="82"/>
      <c r="F143" s="83"/>
      <c r="G143" s="84"/>
      <c r="H143" s="81"/>
      <c r="I143" s="80"/>
      <c r="J143" s="41" t="str">
        <f aca="false">IF(OR(C143="",G143=""),"",N(F143)*N(G143))</f>
        <v/>
      </c>
      <c r="K143" s="48" t="str">
        <f aca="false">IF(M143="","",N(IFERROR(INDEX('Item Master'!$E$6:$E$105,MATCH(C143,'Item Master'!$A$6:$A$105,0)),0))+SUMIFS($F$7:$F$506,$C$7:$C$506,C143,$E$7:$E$506,"In",$M$7:$M$506,"&lt;="&amp;M143)-SUMIFS($F$7:$F$506,$C$7:$C$506,C143,$E$7:$E$506,"Out",$M$7:$M$506,"&lt;="&amp;M143))</f>
        <v/>
      </c>
      <c r="L143" s="44" t="str">
        <f aca="false">IF(AND(B143="",C143="",F143=""),"",IF(C143="","⚠ Pick item",IF(D143="?","⚠ Code not in Item Master",IF(B143="","⚠ Enter date",IF(OR(E143="",N(F143)&lt;=0),"⚠ Type / quantity missing",IF(AND(E143="In",G143=""),"⚠ Enter purchase rate",IF(OR(B143&lt;Setup!$C$6,B143&gt;Setup!$C$7),"Outside period",IF(K143&lt;0,"⚠ Stock goes negative","✔ OK"))))))))</f>
        <v/>
      </c>
      <c r="M143" s="9" t="str">
        <f aca="false">IF(OR(C143="",B143=""),"",B143+ROW()/1000000)</f>
        <v/>
      </c>
      <c r="N143" s="9" t="str">
        <f aca="false">IF(AND(E143="In",M143&lt;&gt;""),SUMIFS($F$7:$F$506,$C$7:$C$506,C143,$E$7:$E$506,"In",$M$7:$M$506,"&gt;"&amp;M143),"")</f>
        <v/>
      </c>
      <c r="O143" s="9" t="str">
        <f aca="false">IF(N143="","",IFERROR(INDEX('Item Master'!$K$6:$K$105,MATCH(C143,'Item Master'!$A$6:$A$105,0)),0))</f>
        <v/>
      </c>
      <c r="P143" s="9" t="n">
        <f aca="false">IF(N143="",0,MAX(0,MIN(N(F143),O143-N143))*N(G143))</f>
        <v>0</v>
      </c>
      <c r="Q143" s="9" t="str">
        <f aca="false">IF(AND(C143&lt;&gt;"",C143='Stock Ledger'!$C$4),M143,"")</f>
        <v/>
      </c>
    </row>
    <row r="144" customFormat="false" ht="15" hidden="false" customHeight="false" outlineLevel="0" collapsed="false">
      <c r="A144" s="45" t="str">
        <f aca="false">IF(C144="","",ROW()-6)</f>
        <v/>
      </c>
      <c r="B144" s="85"/>
      <c r="C144" s="80"/>
      <c r="D144" s="47" t="str">
        <f aca="false">IF(C144="","",IFERROR(INDEX('Item Master'!$B$6:$B$105,MATCH(C144,'Item Master'!$A$6:$A$105,0)),"?"))</f>
        <v/>
      </c>
      <c r="E144" s="82"/>
      <c r="F144" s="83"/>
      <c r="G144" s="84"/>
      <c r="H144" s="81"/>
      <c r="I144" s="80"/>
      <c r="J144" s="41" t="str">
        <f aca="false">IF(OR(C144="",G144=""),"",N(F144)*N(G144))</f>
        <v/>
      </c>
      <c r="K144" s="48" t="str">
        <f aca="false">IF(M144="","",N(IFERROR(INDEX('Item Master'!$E$6:$E$105,MATCH(C144,'Item Master'!$A$6:$A$105,0)),0))+SUMIFS($F$7:$F$506,$C$7:$C$506,C144,$E$7:$E$506,"In",$M$7:$M$506,"&lt;="&amp;M144)-SUMIFS($F$7:$F$506,$C$7:$C$506,C144,$E$7:$E$506,"Out",$M$7:$M$506,"&lt;="&amp;M144))</f>
        <v/>
      </c>
      <c r="L144" s="44" t="str">
        <f aca="false">IF(AND(B144="",C144="",F144=""),"",IF(C144="","⚠ Pick item",IF(D144="?","⚠ Code not in Item Master",IF(B144="","⚠ Enter date",IF(OR(E144="",N(F144)&lt;=0),"⚠ Type / quantity missing",IF(AND(E144="In",G144=""),"⚠ Enter purchase rate",IF(OR(B144&lt;Setup!$C$6,B144&gt;Setup!$C$7),"Outside period",IF(K144&lt;0,"⚠ Stock goes negative","✔ OK"))))))))</f>
        <v/>
      </c>
      <c r="M144" s="9" t="str">
        <f aca="false">IF(OR(C144="",B144=""),"",B144+ROW()/1000000)</f>
        <v/>
      </c>
      <c r="N144" s="9" t="str">
        <f aca="false">IF(AND(E144="In",M144&lt;&gt;""),SUMIFS($F$7:$F$506,$C$7:$C$506,C144,$E$7:$E$506,"In",$M$7:$M$506,"&gt;"&amp;M144),"")</f>
        <v/>
      </c>
      <c r="O144" s="9" t="str">
        <f aca="false">IF(N144="","",IFERROR(INDEX('Item Master'!$K$6:$K$105,MATCH(C144,'Item Master'!$A$6:$A$105,0)),0))</f>
        <v/>
      </c>
      <c r="P144" s="9" t="n">
        <f aca="false">IF(N144="",0,MAX(0,MIN(N(F144),O144-N144))*N(G144))</f>
        <v>0</v>
      </c>
      <c r="Q144" s="9" t="str">
        <f aca="false">IF(AND(C144&lt;&gt;"",C144='Stock Ledger'!$C$4),M144,"")</f>
        <v/>
      </c>
    </row>
    <row r="145" customFormat="false" ht="15" hidden="false" customHeight="false" outlineLevel="0" collapsed="false">
      <c r="A145" s="45" t="str">
        <f aca="false">IF(C145="","",ROW()-6)</f>
        <v/>
      </c>
      <c r="B145" s="85"/>
      <c r="C145" s="80"/>
      <c r="D145" s="47" t="str">
        <f aca="false">IF(C145="","",IFERROR(INDEX('Item Master'!$B$6:$B$105,MATCH(C145,'Item Master'!$A$6:$A$105,0)),"?"))</f>
        <v/>
      </c>
      <c r="E145" s="82"/>
      <c r="F145" s="83"/>
      <c r="G145" s="84"/>
      <c r="H145" s="81"/>
      <c r="I145" s="80"/>
      <c r="J145" s="41" t="str">
        <f aca="false">IF(OR(C145="",G145=""),"",N(F145)*N(G145))</f>
        <v/>
      </c>
      <c r="K145" s="48" t="str">
        <f aca="false">IF(M145="","",N(IFERROR(INDEX('Item Master'!$E$6:$E$105,MATCH(C145,'Item Master'!$A$6:$A$105,0)),0))+SUMIFS($F$7:$F$506,$C$7:$C$506,C145,$E$7:$E$506,"In",$M$7:$M$506,"&lt;="&amp;M145)-SUMIFS($F$7:$F$506,$C$7:$C$506,C145,$E$7:$E$506,"Out",$M$7:$M$506,"&lt;="&amp;M145))</f>
        <v/>
      </c>
      <c r="L145" s="44" t="str">
        <f aca="false">IF(AND(B145="",C145="",F145=""),"",IF(C145="","⚠ Pick item",IF(D145="?","⚠ Code not in Item Master",IF(B145="","⚠ Enter date",IF(OR(E145="",N(F145)&lt;=0),"⚠ Type / quantity missing",IF(AND(E145="In",G145=""),"⚠ Enter purchase rate",IF(OR(B145&lt;Setup!$C$6,B145&gt;Setup!$C$7),"Outside period",IF(K145&lt;0,"⚠ Stock goes negative","✔ OK"))))))))</f>
        <v/>
      </c>
      <c r="M145" s="9" t="str">
        <f aca="false">IF(OR(C145="",B145=""),"",B145+ROW()/1000000)</f>
        <v/>
      </c>
      <c r="N145" s="9" t="str">
        <f aca="false">IF(AND(E145="In",M145&lt;&gt;""),SUMIFS($F$7:$F$506,$C$7:$C$506,C145,$E$7:$E$506,"In",$M$7:$M$506,"&gt;"&amp;M145),"")</f>
        <v/>
      </c>
      <c r="O145" s="9" t="str">
        <f aca="false">IF(N145="","",IFERROR(INDEX('Item Master'!$K$6:$K$105,MATCH(C145,'Item Master'!$A$6:$A$105,0)),0))</f>
        <v/>
      </c>
      <c r="P145" s="9" t="n">
        <f aca="false">IF(N145="",0,MAX(0,MIN(N(F145),O145-N145))*N(G145))</f>
        <v>0</v>
      </c>
      <c r="Q145" s="9" t="str">
        <f aca="false">IF(AND(C145&lt;&gt;"",C145='Stock Ledger'!$C$4),M145,"")</f>
        <v/>
      </c>
    </row>
    <row r="146" customFormat="false" ht="15" hidden="false" customHeight="false" outlineLevel="0" collapsed="false">
      <c r="A146" s="45" t="str">
        <f aca="false">IF(C146="","",ROW()-6)</f>
        <v/>
      </c>
      <c r="B146" s="85"/>
      <c r="C146" s="80"/>
      <c r="D146" s="47" t="str">
        <f aca="false">IF(C146="","",IFERROR(INDEX('Item Master'!$B$6:$B$105,MATCH(C146,'Item Master'!$A$6:$A$105,0)),"?"))</f>
        <v/>
      </c>
      <c r="E146" s="82"/>
      <c r="F146" s="83"/>
      <c r="G146" s="84"/>
      <c r="H146" s="81"/>
      <c r="I146" s="80"/>
      <c r="J146" s="41" t="str">
        <f aca="false">IF(OR(C146="",G146=""),"",N(F146)*N(G146))</f>
        <v/>
      </c>
      <c r="K146" s="48" t="str">
        <f aca="false">IF(M146="","",N(IFERROR(INDEX('Item Master'!$E$6:$E$105,MATCH(C146,'Item Master'!$A$6:$A$105,0)),0))+SUMIFS($F$7:$F$506,$C$7:$C$506,C146,$E$7:$E$506,"In",$M$7:$M$506,"&lt;="&amp;M146)-SUMIFS($F$7:$F$506,$C$7:$C$506,C146,$E$7:$E$506,"Out",$M$7:$M$506,"&lt;="&amp;M146))</f>
        <v/>
      </c>
      <c r="L146" s="44" t="str">
        <f aca="false">IF(AND(B146="",C146="",F146=""),"",IF(C146="","⚠ Pick item",IF(D146="?","⚠ Code not in Item Master",IF(B146="","⚠ Enter date",IF(OR(E146="",N(F146)&lt;=0),"⚠ Type / quantity missing",IF(AND(E146="In",G146=""),"⚠ Enter purchase rate",IF(OR(B146&lt;Setup!$C$6,B146&gt;Setup!$C$7),"Outside period",IF(K146&lt;0,"⚠ Stock goes negative","✔ OK"))))))))</f>
        <v/>
      </c>
      <c r="M146" s="9" t="str">
        <f aca="false">IF(OR(C146="",B146=""),"",B146+ROW()/1000000)</f>
        <v/>
      </c>
      <c r="N146" s="9" t="str">
        <f aca="false">IF(AND(E146="In",M146&lt;&gt;""),SUMIFS($F$7:$F$506,$C$7:$C$506,C146,$E$7:$E$506,"In",$M$7:$M$506,"&gt;"&amp;M146),"")</f>
        <v/>
      </c>
      <c r="O146" s="9" t="str">
        <f aca="false">IF(N146="","",IFERROR(INDEX('Item Master'!$K$6:$K$105,MATCH(C146,'Item Master'!$A$6:$A$105,0)),0))</f>
        <v/>
      </c>
      <c r="P146" s="9" t="n">
        <f aca="false">IF(N146="",0,MAX(0,MIN(N(F146),O146-N146))*N(G146))</f>
        <v>0</v>
      </c>
      <c r="Q146" s="9" t="str">
        <f aca="false">IF(AND(C146&lt;&gt;"",C146='Stock Ledger'!$C$4),M146,"")</f>
        <v/>
      </c>
    </row>
    <row r="147" customFormat="false" ht="15" hidden="false" customHeight="false" outlineLevel="0" collapsed="false">
      <c r="A147" s="45" t="str">
        <f aca="false">IF(C147="","",ROW()-6)</f>
        <v/>
      </c>
      <c r="B147" s="85"/>
      <c r="C147" s="80"/>
      <c r="D147" s="47" t="str">
        <f aca="false">IF(C147="","",IFERROR(INDEX('Item Master'!$B$6:$B$105,MATCH(C147,'Item Master'!$A$6:$A$105,0)),"?"))</f>
        <v/>
      </c>
      <c r="E147" s="82"/>
      <c r="F147" s="83"/>
      <c r="G147" s="84"/>
      <c r="H147" s="81"/>
      <c r="I147" s="80"/>
      <c r="J147" s="41" t="str">
        <f aca="false">IF(OR(C147="",G147=""),"",N(F147)*N(G147))</f>
        <v/>
      </c>
      <c r="K147" s="48" t="str">
        <f aca="false">IF(M147="","",N(IFERROR(INDEX('Item Master'!$E$6:$E$105,MATCH(C147,'Item Master'!$A$6:$A$105,0)),0))+SUMIFS($F$7:$F$506,$C$7:$C$506,C147,$E$7:$E$506,"In",$M$7:$M$506,"&lt;="&amp;M147)-SUMIFS($F$7:$F$506,$C$7:$C$506,C147,$E$7:$E$506,"Out",$M$7:$M$506,"&lt;="&amp;M147))</f>
        <v/>
      </c>
      <c r="L147" s="44" t="str">
        <f aca="false">IF(AND(B147="",C147="",F147=""),"",IF(C147="","⚠ Pick item",IF(D147="?","⚠ Code not in Item Master",IF(B147="","⚠ Enter date",IF(OR(E147="",N(F147)&lt;=0),"⚠ Type / quantity missing",IF(AND(E147="In",G147=""),"⚠ Enter purchase rate",IF(OR(B147&lt;Setup!$C$6,B147&gt;Setup!$C$7),"Outside period",IF(K147&lt;0,"⚠ Stock goes negative","✔ OK"))))))))</f>
        <v/>
      </c>
      <c r="M147" s="9" t="str">
        <f aca="false">IF(OR(C147="",B147=""),"",B147+ROW()/1000000)</f>
        <v/>
      </c>
      <c r="N147" s="9" t="str">
        <f aca="false">IF(AND(E147="In",M147&lt;&gt;""),SUMIFS($F$7:$F$506,$C$7:$C$506,C147,$E$7:$E$506,"In",$M$7:$M$506,"&gt;"&amp;M147),"")</f>
        <v/>
      </c>
      <c r="O147" s="9" t="str">
        <f aca="false">IF(N147="","",IFERROR(INDEX('Item Master'!$K$6:$K$105,MATCH(C147,'Item Master'!$A$6:$A$105,0)),0))</f>
        <v/>
      </c>
      <c r="P147" s="9" t="n">
        <f aca="false">IF(N147="",0,MAX(0,MIN(N(F147),O147-N147))*N(G147))</f>
        <v>0</v>
      </c>
      <c r="Q147" s="9" t="str">
        <f aca="false">IF(AND(C147&lt;&gt;"",C147='Stock Ledger'!$C$4),M147,"")</f>
        <v/>
      </c>
    </row>
    <row r="148" customFormat="false" ht="15" hidden="false" customHeight="false" outlineLevel="0" collapsed="false">
      <c r="A148" s="45" t="str">
        <f aca="false">IF(C148="","",ROW()-6)</f>
        <v/>
      </c>
      <c r="B148" s="85"/>
      <c r="C148" s="80"/>
      <c r="D148" s="47" t="str">
        <f aca="false">IF(C148="","",IFERROR(INDEX('Item Master'!$B$6:$B$105,MATCH(C148,'Item Master'!$A$6:$A$105,0)),"?"))</f>
        <v/>
      </c>
      <c r="E148" s="82"/>
      <c r="F148" s="83"/>
      <c r="G148" s="84"/>
      <c r="H148" s="81"/>
      <c r="I148" s="80"/>
      <c r="J148" s="41" t="str">
        <f aca="false">IF(OR(C148="",G148=""),"",N(F148)*N(G148))</f>
        <v/>
      </c>
      <c r="K148" s="48" t="str">
        <f aca="false">IF(M148="","",N(IFERROR(INDEX('Item Master'!$E$6:$E$105,MATCH(C148,'Item Master'!$A$6:$A$105,0)),0))+SUMIFS($F$7:$F$506,$C$7:$C$506,C148,$E$7:$E$506,"In",$M$7:$M$506,"&lt;="&amp;M148)-SUMIFS($F$7:$F$506,$C$7:$C$506,C148,$E$7:$E$506,"Out",$M$7:$M$506,"&lt;="&amp;M148))</f>
        <v/>
      </c>
      <c r="L148" s="44" t="str">
        <f aca="false">IF(AND(B148="",C148="",F148=""),"",IF(C148="","⚠ Pick item",IF(D148="?","⚠ Code not in Item Master",IF(B148="","⚠ Enter date",IF(OR(E148="",N(F148)&lt;=0),"⚠ Type / quantity missing",IF(AND(E148="In",G148=""),"⚠ Enter purchase rate",IF(OR(B148&lt;Setup!$C$6,B148&gt;Setup!$C$7),"Outside period",IF(K148&lt;0,"⚠ Stock goes negative","✔ OK"))))))))</f>
        <v/>
      </c>
      <c r="M148" s="9" t="str">
        <f aca="false">IF(OR(C148="",B148=""),"",B148+ROW()/1000000)</f>
        <v/>
      </c>
      <c r="N148" s="9" t="str">
        <f aca="false">IF(AND(E148="In",M148&lt;&gt;""),SUMIFS($F$7:$F$506,$C$7:$C$506,C148,$E$7:$E$506,"In",$M$7:$M$506,"&gt;"&amp;M148),"")</f>
        <v/>
      </c>
      <c r="O148" s="9" t="str">
        <f aca="false">IF(N148="","",IFERROR(INDEX('Item Master'!$K$6:$K$105,MATCH(C148,'Item Master'!$A$6:$A$105,0)),0))</f>
        <v/>
      </c>
      <c r="P148" s="9" t="n">
        <f aca="false">IF(N148="",0,MAX(0,MIN(N(F148),O148-N148))*N(G148))</f>
        <v>0</v>
      </c>
      <c r="Q148" s="9" t="str">
        <f aca="false">IF(AND(C148&lt;&gt;"",C148='Stock Ledger'!$C$4),M148,"")</f>
        <v/>
      </c>
    </row>
    <row r="149" customFormat="false" ht="15" hidden="false" customHeight="false" outlineLevel="0" collapsed="false">
      <c r="A149" s="45" t="str">
        <f aca="false">IF(C149="","",ROW()-6)</f>
        <v/>
      </c>
      <c r="B149" s="85"/>
      <c r="C149" s="80"/>
      <c r="D149" s="47" t="str">
        <f aca="false">IF(C149="","",IFERROR(INDEX('Item Master'!$B$6:$B$105,MATCH(C149,'Item Master'!$A$6:$A$105,0)),"?"))</f>
        <v/>
      </c>
      <c r="E149" s="82"/>
      <c r="F149" s="83"/>
      <c r="G149" s="84"/>
      <c r="H149" s="81"/>
      <c r="I149" s="80"/>
      <c r="J149" s="41" t="str">
        <f aca="false">IF(OR(C149="",G149=""),"",N(F149)*N(G149))</f>
        <v/>
      </c>
      <c r="K149" s="48" t="str">
        <f aca="false">IF(M149="","",N(IFERROR(INDEX('Item Master'!$E$6:$E$105,MATCH(C149,'Item Master'!$A$6:$A$105,0)),0))+SUMIFS($F$7:$F$506,$C$7:$C$506,C149,$E$7:$E$506,"In",$M$7:$M$506,"&lt;="&amp;M149)-SUMIFS($F$7:$F$506,$C$7:$C$506,C149,$E$7:$E$506,"Out",$M$7:$M$506,"&lt;="&amp;M149))</f>
        <v/>
      </c>
      <c r="L149" s="44" t="str">
        <f aca="false">IF(AND(B149="",C149="",F149=""),"",IF(C149="","⚠ Pick item",IF(D149="?","⚠ Code not in Item Master",IF(B149="","⚠ Enter date",IF(OR(E149="",N(F149)&lt;=0),"⚠ Type / quantity missing",IF(AND(E149="In",G149=""),"⚠ Enter purchase rate",IF(OR(B149&lt;Setup!$C$6,B149&gt;Setup!$C$7),"Outside period",IF(K149&lt;0,"⚠ Stock goes negative","✔ OK"))))))))</f>
        <v/>
      </c>
      <c r="M149" s="9" t="str">
        <f aca="false">IF(OR(C149="",B149=""),"",B149+ROW()/1000000)</f>
        <v/>
      </c>
      <c r="N149" s="9" t="str">
        <f aca="false">IF(AND(E149="In",M149&lt;&gt;""),SUMIFS($F$7:$F$506,$C$7:$C$506,C149,$E$7:$E$506,"In",$M$7:$M$506,"&gt;"&amp;M149),"")</f>
        <v/>
      </c>
      <c r="O149" s="9" t="str">
        <f aca="false">IF(N149="","",IFERROR(INDEX('Item Master'!$K$6:$K$105,MATCH(C149,'Item Master'!$A$6:$A$105,0)),0))</f>
        <v/>
      </c>
      <c r="P149" s="9" t="n">
        <f aca="false">IF(N149="",0,MAX(0,MIN(N(F149),O149-N149))*N(G149))</f>
        <v>0</v>
      </c>
      <c r="Q149" s="9" t="str">
        <f aca="false">IF(AND(C149&lt;&gt;"",C149='Stock Ledger'!$C$4),M149,"")</f>
        <v/>
      </c>
    </row>
    <row r="150" customFormat="false" ht="15" hidden="false" customHeight="false" outlineLevel="0" collapsed="false">
      <c r="A150" s="45" t="str">
        <f aca="false">IF(C150="","",ROW()-6)</f>
        <v/>
      </c>
      <c r="B150" s="85"/>
      <c r="C150" s="80"/>
      <c r="D150" s="47" t="str">
        <f aca="false">IF(C150="","",IFERROR(INDEX('Item Master'!$B$6:$B$105,MATCH(C150,'Item Master'!$A$6:$A$105,0)),"?"))</f>
        <v/>
      </c>
      <c r="E150" s="82"/>
      <c r="F150" s="83"/>
      <c r="G150" s="84"/>
      <c r="H150" s="81"/>
      <c r="I150" s="80"/>
      <c r="J150" s="41" t="str">
        <f aca="false">IF(OR(C150="",G150=""),"",N(F150)*N(G150))</f>
        <v/>
      </c>
      <c r="K150" s="48" t="str">
        <f aca="false">IF(M150="","",N(IFERROR(INDEX('Item Master'!$E$6:$E$105,MATCH(C150,'Item Master'!$A$6:$A$105,0)),0))+SUMIFS($F$7:$F$506,$C$7:$C$506,C150,$E$7:$E$506,"In",$M$7:$M$506,"&lt;="&amp;M150)-SUMIFS($F$7:$F$506,$C$7:$C$506,C150,$E$7:$E$506,"Out",$M$7:$M$506,"&lt;="&amp;M150))</f>
        <v/>
      </c>
      <c r="L150" s="44" t="str">
        <f aca="false">IF(AND(B150="",C150="",F150=""),"",IF(C150="","⚠ Pick item",IF(D150="?","⚠ Code not in Item Master",IF(B150="","⚠ Enter date",IF(OR(E150="",N(F150)&lt;=0),"⚠ Type / quantity missing",IF(AND(E150="In",G150=""),"⚠ Enter purchase rate",IF(OR(B150&lt;Setup!$C$6,B150&gt;Setup!$C$7),"Outside period",IF(K150&lt;0,"⚠ Stock goes negative","✔ OK"))))))))</f>
        <v/>
      </c>
      <c r="M150" s="9" t="str">
        <f aca="false">IF(OR(C150="",B150=""),"",B150+ROW()/1000000)</f>
        <v/>
      </c>
      <c r="N150" s="9" t="str">
        <f aca="false">IF(AND(E150="In",M150&lt;&gt;""),SUMIFS($F$7:$F$506,$C$7:$C$506,C150,$E$7:$E$506,"In",$M$7:$M$506,"&gt;"&amp;M150),"")</f>
        <v/>
      </c>
      <c r="O150" s="9" t="str">
        <f aca="false">IF(N150="","",IFERROR(INDEX('Item Master'!$K$6:$K$105,MATCH(C150,'Item Master'!$A$6:$A$105,0)),0))</f>
        <v/>
      </c>
      <c r="P150" s="9" t="n">
        <f aca="false">IF(N150="",0,MAX(0,MIN(N(F150),O150-N150))*N(G150))</f>
        <v>0</v>
      </c>
      <c r="Q150" s="9" t="str">
        <f aca="false">IF(AND(C150&lt;&gt;"",C150='Stock Ledger'!$C$4),M150,"")</f>
        <v/>
      </c>
    </row>
    <row r="151" customFormat="false" ht="15" hidden="false" customHeight="false" outlineLevel="0" collapsed="false">
      <c r="A151" s="45" t="str">
        <f aca="false">IF(C151="","",ROW()-6)</f>
        <v/>
      </c>
      <c r="B151" s="85"/>
      <c r="C151" s="80"/>
      <c r="D151" s="47" t="str">
        <f aca="false">IF(C151="","",IFERROR(INDEX('Item Master'!$B$6:$B$105,MATCH(C151,'Item Master'!$A$6:$A$105,0)),"?"))</f>
        <v/>
      </c>
      <c r="E151" s="82"/>
      <c r="F151" s="83"/>
      <c r="G151" s="84"/>
      <c r="H151" s="81"/>
      <c r="I151" s="80"/>
      <c r="J151" s="41" t="str">
        <f aca="false">IF(OR(C151="",G151=""),"",N(F151)*N(G151))</f>
        <v/>
      </c>
      <c r="K151" s="48" t="str">
        <f aca="false">IF(M151="","",N(IFERROR(INDEX('Item Master'!$E$6:$E$105,MATCH(C151,'Item Master'!$A$6:$A$105,0)),0))+SUMIFS($F$7:$F$506,$C$7:$C$506,C151,$E$7:$E$506,"In",$M$7:$M$506,"&lt;="&amp;M151)-SUMIFS($F$7:$F$506,$C$7:$C$506,C151,$E$7:$E$506,"Out",$M$7:$M$506,"&lt;="&amp;M151))</f>
        <v/>
      </c>
      <c r="L151" s="44" t="str">
        <f aca="false">IF(AND(B151="",C151="",F151=""),"",IF(C151="","⚠ Pick item",IF(D151="?","⚠ Code not in Item Master",IF(B151="","⚠ Enter date",IF(OR(E151="",N(F151)&lt;=0),"⚠ Type / quantity missing",IF(AND(E151="In",G151=""),"⚠ Enter purchase rate",IF(OR(B151&lt;Setup!$C$6,B151&gt;Setup!$C$7),"Outside period",IF(K151&lt;0,"⚠ Stock goes negative","✔ OK"))))))))</f>
        <v/>
      </c>
      <c r="M151" s="9" t="str">
        <f aca="false">IF(OR(C151="",B151=""),"",B151+ROW()/1000000)</f>
        <v/>
      </c>
      <c r="N151" s="9" t="str">
        <f aca="false">IF(AND(E151="In",M151&lt;&gt;""),SUMIFS($F$7:$F$506,$C$7:$C$506,C151,$E$7:$E$506,"In",$M$7:$M$506,"&gt;"&amp;M151),"")</f>
        <v/>
      </c>
      <c r="O151" s="9" t="str">
        <f aca="false">IF(N151="","",IFERROR(INDEX('Item Master'!$K$6:$K$105,MATCH(C151,'Item Master'!$A$6:$A$105,0)),0))</f>
        <v/>
      </c>
      <c r="P151" s="9" t="n">
        <f aca="false">IF(N151="",0,MAX(0,MIN(N(F151),O151-N151))*N(G151))</f>
        <v>0</v>
      </c>
      <c r="Q151" s="9" t="str">
        <f aca="false">IF(AND(C151&lt;&gt;"",C151='Stock Ledger'!$C$4),M151,"")</f>
        <v/>
      </c>
    </row>
    <row r="152" customFormat="false" ht="15" hidden="false" customHeight="false" outlineLevel="0" collapsed="false">
      <c r="A152" s="45" t="str">
        <f aca="false">IF(C152="","",ROW()-6)</f>
        <v/>
      </c>
      <c r="B152" s="85"/>
      <c r="C152" s="80"/>
      <c r="D152" s="47" t="str">
        <f aca="false">IF(C152="","",IFERROR(INDEX('Item Master'!$B$6:$B$105,MATCH(C152,'Item Master'!$A$6:$A$105,0)),"?"))</f>
        <v/>
      </c>
      <c r="E152" s="82"/>
      <c r="F152" s="83"/>
      <c r="G152" s="84"/>
      <c r="H152" s="81"/>
      <c r="I152" s="80"/>
      <c r="J152" s="41" t="str">
        <f aca="false">IF(OR(C152="",G152=""),"",N(F152)*N(G152))</f>
        <v/>
      </c>
      <c r="K152" s="48" t="str">
        <f aca="false">IF(M152="","",N(IFERROR(INDEX('Item Master'!$E$6:$E$105,MATCH(C152,'Item Master'!$A$6:$A$105,0)),0))+SUMIFS($F$7:$F$506,$C$7:$C$506,C152,$E$7:$E$506,"In",$M$7:$M$506,"&lt;="&amp;M152)-SUMIFS($F$7:$F$506,$C$7:$C$506,C152,$E$7:$E$506,"Out",$M$7:$M$506,"&lt;="&amp;M152))</f>
        <v/>
      </c>
      <c r="L152" s="44" t="str">
        <f aca="false">IF(AND(B152="",C152="",F152=""),"",IF(C152="","⚠ Pick item",IF(D152="?","⚠ Code not in Item Master",IF(B152="","⚠ Enter date",IF(OR(E152="",N(F152)&lt;=0),"⚠ Type / quantity missing",IF(AND(E152="In",G152=""),"⚠ Enter purchase rate",IF(OR(B152&lt;Setup!$C$6,B152&gt;Setup!$C$7),"Outside period",IF(K152&lt;0,"⚠ Stock goes negative","✔ OK"))))))))</f>
        <v/>
      </c>
      <c r="M152" s="9" t="str">
        <f aca="false">IF(OR(C152="",B152=""),"",B152+ROW()/1000000)</f>
        <v/>
      </c>
      <c r="N152" s="9" t="str">
        <f aca="false">IF(AND(E152="In",M152&lt;&gt;""),SUMIFS($F$7:$F$506,$C$7:$C$506,C152,$E$7:$E$506,"In",$M$7:$M$506,"&gt;"&amp;M152),"")</f>
        <v/>
      </c>
      <c r="O152" s="9" t="str">
        <f aca="false">IF(N152="","",IFERROR(INDEX('Item Master'!$K$6:$K$105,MATCH(C152,'Item Master'!$A$6:$A$105,0)),0))</f>
        <v/>
      </c>
      <c r="P152" s="9" t="n">
        <f aca="false">IF(N152="",0,MAX(0,MIN(N(F152),O152-N152))*N(G152))</f>
        <v>0</v>
      </c>
      <c r="Q152" s="9" t="str">
        <f aca="false">IF(AND(C152&lt;&gt;"",C152='Stock Ledger'!$C$4),M152,"")</f>
        <v/>
      </c>
    </row>
    <row r="153" customFormat="false" ht="15" hidden="false" customHeight="false" outlineLevel="0" collapsed="false">
      <c r="A153" s="45" t="str">
        <f aca="false">IF(C153="","",ROW()-6)</f>
        <v/>
      </c>
      <c r="B153" s="85"/>
      <c r="C153" s="80"/>
      <c r="D153" s="47" t="str">
        <f aca="false">IF(C153="","",IFERROR(INDEX('Item Master'!$B$6:$B$105,MATCH(C153,'Item Master'!$A$6:$A$105,0)),"?"))</f>
        <v/>
      </c>
      <c r="E153" s="82"/>
      <c r="F153" s="83"/>
      <c r="G153" s="84"/>
      <c r="H153" s="81"/>
      <c r="I153" s="80"/>
      <c r="J153" s="41" t="str">
        <f aca="false">IF(OR(C153="",G153=""),"",N(F153)*N(G153))</f>
        <v/>
      </c>
      <c r="K153" s="48" t="str">
        <f aca="false">IF(M153="","",N(IFERROR(INDEX('Item Master'!$E$6:$E$105,MATCH(C153,'Item Master'!$A$6:$A$105,0)),0))+SUMIFS($F$7:$F$506,$C$7:$C$506,C153,$E$7:$E$506,"In",$M$7:$M$506,"&lt;="&amp;M153)-SUMIFS($F$7:$F$506,$C$7:$C$506,C153,$E$7:$E$506,"Out",$M$7:$M$506,"&lt;="&amp;M153))</f>
        <v/>
      </c>
      <c r="L153" s="44" t="str">
        <f aca="false">IF(AND(B153="",C153="",F153=""),"",IF(C153="","⚠ Pick item",IF(D153="?","⚠ Code not in Item Master",IF(B153="","⚠ Enter date",IF(OR(E153="",N(F153)&lt;=0),"⚠ Type / quantity missing",IF(AND(E153="In",G153=""),"⚠ Enter purchase rate",IF(OR(B153&lt;Setup!$C$6,B153&gt;Setup!$C$7),"Outside period",IF(K153&lt;0,"⚠ Stock goes negative","✔ OK"))))))))</f>
        <v/>
      </c>
      <c r="M153" s="9" t="str">
        <f aca="false">IF(OR(C153="",B153=""),"",B153+ROW()/1000000)</f>
        <v/>
      </c>
      <c r="N153" s="9" t="str">
        <f aca="false">IF(AND(E153="In",M153&lt;&gt;""),SUMIFS($F$7:$F$506,$C$7:$C$506,C153,$E$7:$E$506,"In",$M$7:$M$506,"&gt;"&amp;M153),"")</f>
        <v/>
      </c>
      <c r="O153" s="9" t="str">
        <f aca="false">IF(N153="","",IFERROR(INDEX('Item Master'!$K$6:$K$105,MATCH(C153,'Item Master'!$A$6:$A$105,0)),0))</f>
        <v/>
      </c>
      <c r="P153" s="9" t="n">
        <f aca="false">IF(N153="",0,MAX(0,MIN(N(F153),O153-N153))*N(G153))</f>
        <v>0</v>
      </c>
      <c r="Q153" s="9" t="str">
        <f aca="false">IF(AND(C153&lt;&gt;"",C153='Stock Ledger'!$C$4),M153,"")</f>
        <v/>
      </c>
    </row>
    <row r="154" customFormat="false" ht="15" hidden="false" customHeight="false" outlineLevel="0" collapsed="false">
      <c r="A154" s="45" t="str">
        <f aca="false">IF(C154="","",ROW()-6)</f>
        <v/>
      </c>
      <c r="B154" s="85"/>
      <c r="C154" s="80"/>
      <c r="D154" s="47" t="str">
        <f aca="false">IF(C154="","",IFERROR(INDEX('Item Master'!$B$6:$B$105,MATCH(C154,'Item Master'!$A$6:$A$105,0)),"?"))</f>
        <v/>
      </c>
      <c r="E154" s="82"/>
      <c r="F154" s="83"/>
      <c r="G154" s="84"/>
      <c r="H154" s="81"/>
      <c r="I154" s="80"/>
      <c r="J154" s="41" t="str">
        <f aca="false">IF(OR(C154="",G154=""),"",N(F154)*N(G154))</f>
        <v/>
      </c>
      <c r="K154" s="48" t="str">
        <f aca="false">IF(M154="","",N(IFERROR(INDEX('Item Master'!$E$6:$E$105,MATCH(C154,'Item Master'!$A$6:$A$105,0)),0))+SUMIFS($F$7:$F$506,$C$7:$C$506,C154,$E$7:$E$506,"In",$M$7:$M$506,"&lt;="&amp;M154)-SUMIFS($F$7:$F$506,$C$7:$C$506,C154,$E$7:$E$506,"Out",$M$7:$M$506,"&lt;="&amp;M154))</f>
        <v/>
      </c>
      <c r="L154" s="44" t="str">
        <f aca="false">IF(AND(B154="",C154="",F154=""),"",IF(C154="","⚠ Pick item",IF(D154="?","⚠ Code not in Item Master",IF(B154="","⚠ Enter date",IF(OR(E154="",N(F154)&lt;=0),"⚠ Type / quantity missing",IF(AND(E154="In",G154=""),"⚠ Enter purchase rate",IF(OR(B154&lt;Setup!$C$6,B154&gt;Setup!$C$7),"Outside period",IF(K154&lt;0,"⚠ Stock goes negative","✔ OK"))))))))</f>
        <v/>
      </c>
      <c r="M154" s="9" t="str">
        <f aca="false">IF(OR(C154="",B154=""),"",B154+ROW()/1000000)</f>
        <v/>
      </c>
      <c r="N154" s="9" t="str">
        <f aca="false">IF(AND(E154="In",M154&lt;&gt;""),SUMIFS($F$7:$F$506,$C$7:$C$506,C154,$E$7:$E$506,"In",$M$7:$M$506,"&gt;"&amp;M154),"")</f>
        <v/>
      </c>
      <c r="O154" s="9" t="str">
        <f aca="false">IF(N154="","",IFERROR(INDEX('Item Master'!$K$6:$K$105,MATCH(C154,'Item Master'!$A$6:$A$105,0)),0))</f>
        <v/>
      </c>
      <c r="P154" s="9" t="n">
        <f aca="false">IF(N154="",0,MAX(0,MIN(N(F154),O154-N154))*N(G154))</f>
        <v>0</v>
      </c>
      <c r="Q154" s="9" t="str">
        <f aca="false">IF(AND(C154&lt;&gt;"",C154='Stock Ledger'!$C$4),M154,"")</f>
        <v/>
      </c>
    </row>
    <row r="155" customFormat="false" ht="15" hidden="false" customHeight="false" outlineLevel="0" collapsed="false">
      <c r="A155" s="45" t="str">
        <f aca="false">IF(C155="","",ROW()-6)</f>
        <v/>
      </c>
      <c r="B155" s="85"/>
      <c r="C155" s="80"/>
      <c r="D155" s="47" t="str">
        <f aca="false">IF(C155="","",IFERROR(INDEX('Item Master'!$B$6:$B$105,MATCH(C155,'Item Master'!$A$6:$A$105,0)),"?"))</f>
        <v/>
      </c>
      <c r="E155" s="82"/>
      <c r="F155" s="83"/>
      <c r="G155" s="84"/>
      <c r="H155" s="81"/>
      <c r="I155" s="80"/>
      <c r="J155" s="41" t="str">
        <f aca="false">IF(OR(C155="",G155=""),"",N(F155)*N(G155))</f>
        <v/>
      </c>
      <c r="K155" s="48" t="str">
        <f aca="false">IF(M155="","",N(IFERROR(INDEX('Item Master'!$E$6:$E$105,MATCH(C155,'Item Master'!$A$6:$A$105,0)),0))+SUMIFS($F$7:$F$506,$C$7:$C$506,C155,$E$7:$E$506,"In",$M$7:$M$506,"&lt;="&amp;M155)-SUMIFS($F$7:$F$506,$C$7:$C$506,C155,$E$7:$E$506,"Out",$M$7:$M$506,"&lt;="&amp;M155))</f>
        <v/>
      </c>
      <c r="L155" s="44" t="str">
        <f aca="false">IF(AND(B155="",C155="",F155=""),"",IF(C155="","⚠ Pick item",IF(D155="?","⚠ Code not in Item Master",IF(B155="","⚠ Enter date",IF(OR(E155="",N(F155)&lt;=0),"⚠ Type / quantity missing",IF(AND(E155="In",G155=""),"⚠ Enter purchase rate",IF(OR(B155&lt;Setup!$C$6,B155&gt;Setup!$C$7),"Outside period",IF(K155&lt;0,"⚠ Stock goes negative","✔ OK"))))))))</f>
        <v/>
      </c>
      <c r="M155" s="9" t="str">
        <f aca="false">IF(OR(C155="",B155=""),"",B155+ROW()/1000000)</f>
        <v/>
      </c>
      <c r="N155" s="9" t="str">
        <f aca="false">IF(AND(E155="In",M155&lt;&gt;""),SUMIFS($F$7:$F$506,$C$7:$C$506,C155,$E$7:$E$506,"In",$M$7:$M$506,"&gt;"&amp;M155),"")</f>
        <v/>
      </c>
      <c r="O155" s="9" t="str">
        <f aca="false">IF(N155="","",IFERROR(INDEX('Item Master'!$K$6:$K$105,MATCH(C155,'Item Master'!$A$6:$A$105,0)),0))</f>
        <v/>
      </c>
      <c r="P155" s="9" t="n">
        <f aca="false">IF(N155="",0,MAX(0,MIN(N(F155),O155-N155))*N(G155))</f>
        <v>0</v>
      </c>
      <c r="Q155" s="9" t="str">
        <f aca="false">IF(AND(C155&lt;&gt;"",C155='Stock Ledger'!$C$4),M155,"")</f>
        <v/>
      </c>
    </row>
    <row r="156" customFormat="false" ht="15" hidden="false" customHeight="false" outlineLevel="0" collapsed="false">
      <c r="A156" s="45" t="str">
        <f aca="false">IF(C156="","",ROW()-6)</f>
        <v/>
      </c>
      <c r="B156" s="85"/>
      <c r="C156" s="80"/>
      <c r="D156" s="47" t="str">
        <f aca="false">IF(C156="","",IFERROR(INDEX('Item Master'!$B$6:$B$105,MATCH(C156,'Item Master'!$A$6:$A$105,0)),"?"))</f>
        <v/>
      </c>
      <c r="E156" s="82"/>
      <c r="F156" s="83"/>
      <c r="G156" s="84"/>
      <c r="H156" s="81"/>
      <c r="I156" s="80"/>
      <c r="J156" s="41" t="str">
        <f aca="false">IF(OR(C156="",G156=""),"",N(F156)*N(G156))</f>
        <v/>
      </c>
      <c r="K156" s="48" t="str">
        <f aca="false">IF(M156="","",N(IFERROR(INDEX('Item Master'!$E$6:$E$105,MATCH(C156,'Item Master'!$A$6:$A$105,0)),0))+SUMIFS($F$7:$F$506,$C$7:$C$506,C156,$E$7:$E$506,"In",$M$7:$M$506,"&lt;="&amp;M156)-SUMIFS($F$7:$F$506,$C$7:$C$506,C156,$E$7:$E$506,"Out",$M$7:$M$506,"&lt;="&amp;M156))</f>
        <v/>
      </c>
      <c r="L156" s="44" t="str">
        <f aca="false">IF(AND(B156="",C156="",F156=""),"",IF(C156="","⚠ Pick item",IF(D156="?","⚠ Code not in Item Master",IF(B156="","⚠ Enter date",IF(OR(E156="",N(F156)&lt;=0),"⚠ Type / quantity missing",IF(AND(E156="In",G156=""),"⚠ Enter purchase rate",IF(OR(B156&lt;Setup!$C$6,B156&gt;Setup!$C$7),"Outside period",IF(K156&lt;0,"⚠ Stock goes negative","✔ OK"))))))))</f>
        <v/>
      </c>
      <c r="M156" s="9" t="str">
        <f aca="false">IF(OR(C156="",B156=""),"",B156+ROW()/1000000)</f>
        <v/>
      </c>
      <c r="N156" s="9" t="str">
        <f aca="false">IF(AND(E156="In",M156&lt;&gt;""),SUMIFS($F$7:$F$506,$C$7:$C$506,C156,$E$7:$E$506,"In",$M$7:$M$506,"&gt;"&amp;M156),"")</f>
        <v/>
      </c>
      <c r="O156" s="9" t="str">
        <f aca="false">IF(N156="","",IFERROR(INDEX('Item Master'!$K$6:$K$105,MATCH(C156,'Item Master'!$A$6:$A$105,0)),0))</f>
        <v/>
      </c>
      <c r="P156" s="9" t="n">
        <f aca="false">IF(N156="",0,MAX(0,MIN(N(F156),O156-N156))*N(G156))</f>
        <v>0</v>
      </c>
      <c r="Q156" s="9" t="str">
        <f aca="false">IF(AND(C156&lt;&gt;"",C156='Stock Ledger'!$C$4),M156,"")</f>
        <v/>
      </c>
    </row>
    <row r="157" customFormat="false" ht="15" hidden="false" customHeight="false" outlineLevel="0" collapsed="false">
      <c r="A157" s="45" t="str">
        <f aca="false">IF(C157="","",ROW()-6)</f>
        <v/>
      </c>
      <c r="B157" s="85"/>
      <c r="C157" s="80"/>
      <c r="D157" s="47" t="str">
        <f aca="false">IF(C157="","",IFERROR(INDEX('Item Master'!$B$6:$B$105,MATCH(C157,'Item Master'!$A$6:$A$105,0)),"?"))</f>
        <v/>
      </c>
      <c r="E157" s="82"/>
      <c r="F157" s="83"/>
      <c r="G157" s="84"/>
      <c r="H157" s="81"/>
      <c r="I157" s="80"/>
      <c r="J157" s="41" t="str">
        <f aca="false">IF(OR(C157="",G157=""),"",N(F157)*N(G157))</f>
        <v/>
      </c>
      <c r="K157" s="48" t="str">
        <f aca="false">IF(M157="","",N(IFERROR(INDEX('Item Master'!$E$6:$E$105,MATCH(C157,'Item Master'!$A$6:$A$105,0)),0))+SUMIFS($F$7:$F$506,$C$7:$C$506,C157,$E$7:$E$506,"In",$M$7:$M$506,"&lt;="&amp;M157)-SUMIFS($F$7:$F$506,$C$7:$C$506,C157,$E$7:$E$506,"Out",$M$7:$M$506,"&lt;="&amp;M157))</f>
        <v/>
      </c>
      <c r="L157" s="44" t="str">
        <f aca="false">IF(AND(B157="",C157="",F157=""),"",IF(C157="","⚠ Pick item",IF(D157="?","⚠ Code not in Item Master",IF(B157="","⚠ Enter date",IF(OR(E157="",N(F157)&lt;=0),"⚠ Type / quantity missing",IF(AND(E157="In",G157=""),"⚠ Enter purchase rate",IF(OR(B157&lt;Setup!$C$6,B157&gt;Setup!$C$7),"Outside period",IF(K157&lt;0,"⚠ Stock goes negative","✔ OK"))))))))</f>
        <v/>
      </c>
      <c r="M157" s="9" t="str">
        <f aca="false">IF(OR(C157="",B157=""),"",B157+ROW()/1000000)</f>
        <v/>
      </c>
      <c r="N157" s="9" t="str">
        <f aca="false">IF(AND(E157="In",M157&lt;&gt;""),SUMIFS($F$7:$F$506,$C$7:$C$506,C157,$E$7:$E$506,"In",$M$7:$M$506,"&gt;"&amp;M157),"")</f>
        <v/>
      </c>
      <c r="O157" s="9" t="str">
        <f aca="false">IF(N157="","",IFERROR(INDEX('Item Master'!$K$6:$K$105,MATCH(C157,'Item Master'!$A$6:$A$105,0)),0))</f>
        <v/>
      </c>
      <c r="P157" s="9" t="n">
        <f aca="false">IF(N157="",0,MAX(0,MIN(N(F157),O157-N157))*N(G157))</f>
        <v>0</v>
      </c>
      <c r="Q157" s="9" t="str">
        <f aca="false">IF(AND(C157&lt;&gt;"",C157='Stock Ledger'!$C$4),M157,"")</f>
        <v/>
      </c>
    </row>
    <row r="158" customFormat="false" ht="15" hidden="false" customHeight="false" outlineLevel="0" collapsed="false">
      <c r="A158" s="45" t="str">
        <f aca="false">IF(C158="","",ROW()-6)</f>
        <v/>
      </c>
      <c r="B158" s="85"/>
      <c r="C158" s="80"/>
      <c r="D158" s="47" t="str">
        <f aca="false">IF(C158="","",IFERROR(INDEX('Item Master'!$B$6:$B$105,MATCH(C158,'Item Master'!$A$6:$A$105,0)),"?"))</f>
        <v/>
      </c>
      <c r="E158" s="82"/>
      <c r="F158" s="83"/>
      <c r="G158" s="84"/>
      <c r="H158" s="81"/>
      <c r="I158" s="80"/>
      <c r="J158" s="41" t="str">
        <f aca="false">IF(OR(C158="",G158=""),"",N(F158)*N(G158))</f>
        <v/>
      </c>
      <c r="K158" s="48" t="str">
        <f aca="false">IF(M158="","",N(IFERROR(INDEX('Item Master'!$E$6:$E$105,MATCH(C158,'Item Master'!$A$6:$A$105,0)),0))+SUMIFS($F$7:$F$506,$C$7:$C$506,C158,$E$7:$E$506,"In",$M$7:$M$506,"&lt;="&amp;M158)-SUMIFS($F$7:$F$506,$C$7:$C$506,C158,$E$7:$E$506,"Out",$M$7:$M$506,"&lt;="&amp;M158))</f>
        <v/>
      </c>
      <c r="L158" s="44" t="str">
        <f aca="false">IF(AND(B158="",C158="",F158=""),"",IF(C158="","⚠ Pick item",IF(D158="?","⚠ Code not in Item Master",IF(B158="","⚠ Enter date",IF(OR(E158="",N(F158)&lt;=0),"⚠ Type / quantity missing",IF(AND(E158="In",G158=""),"⚠ Enter purchase rate",IF(OR(B158&lt;Setup!$C$6,B158&gt;Setup!$C$7),"Outside period",IF(K158&lt;0,"⚠ Stock goes negative","✔ OK"))))))))</f>
        <v/>
      </c>
      <c r="M158" s="9" t="str">
        <f aca="false">IF(OR(C158="",B158=""),"",B158+ROW()/1000000)</f>
        <v/>
      </c>
      <c r="N158" s="9" t="str">
        <f aca="false">IF(AND(E158="In",M158&lt;&gt;""),SUMIFS($F$7:$F$506,$C$7:$C$506,C158,$E$7:$E$506,"In",$M$7:$M$506,"&gt;"&amp;M158),"")</f>
        <v/>
      </c>
      <c r="O158" s="9" t="str">
        <f aca="false">IF(N158="","",IFERROR(INDEX('Item Master'!$K$6:$K$105,MATCH(C158,'Item Master'!$A$6:$A$105,0)),0))</f>
        <v/>
      </c>
      <c r="P158" s="9" t="n">
        <f aca="false">IF(N158="",0,MAX(0,MIN(N(F158),O158-N158))*N(G158))</f>
        <v>0</v>
      </c>
      <c r="Q158" s="9" t="str">
        <f aca="false">IF(AND(C158&lt;&gt;"",C158='Stock Ledger'!$C$4),M158,"")</f>
        <v/>
      </c>
    </row>
    <row r="159" customFormat="false" ht="15" hidden="false" customHeight="false" outlineLevel="0" collapsed="false">
      <c r="A159" s="45" t="str">
        <f aca="false">IF(C159="","",ROW()-6)</f>
        <v/>
      </c>
      <c r="B159" s="85"/>
      <c r="C159" s="80"/>
      <c r="D159" s="47" t="str">
        <f aca="false">IF(C159="","",IFERROR(INDEX('Item Master'!$B$6:$B$105,MATCH(C159,'Item Master'!$A$6:$A$105,0)),"?"))</f>
        <v/>
      </c>
      <c r="E159" s="82"/>
      <c r="F159" s="83"/>
      <c r="G159" s="84"/>
      <c r="H159" s="81"/>
      <c r="I159" s="80"/>
      <c r="J159" s="41" t="str">
        <f aca="false">IF(OR(C159="",G159=""),"",N(F159)*N(G159))</f>
        <v/>
      </c>
      <c r="K159" s="48" t="str">
        <f aca="false">IF(M159="","",N(IFERROR(INDEX('Item Master'!$E$6:$E$105,MATCH(C159,'Item Master'!$A$6:$A$105,0)),0))+SUMIFS($F$7:$F$506,$C$7:$C$506,C159,$E$7:$E$506,"In",$M$7:$M$506,"&lt;="&amp;M159)-SUMIFS($F$7:$F$506,$C$7:$C$506,C159,$E$7:$E$506,"Out",$M$7:$M$506,"&lt;="&amp;M159))</f>
        <v/>
      </c>
      <c r="L159" s="44" t="str">
        <f aca="false">IF(AND(B159="",C159="",F159=""),"",IF(C159="","⚠ Pick item",IF(D159="?","⚠ Code not in Item Master",IF(B159="","⚠ Enter date",IF(OR(E159="",N(F159)&lt;=0),"⚠ Type / quantity missing",IF(AND(E159="In",G159=""),"⚠ Enter purchase rate",IF(OR(B159&lt;Setup!$C$6,B159&gt;Setup!$C$7),"Outside period",IF(K159&lt;0,"⚠ Stock goes negative","✔ OK"))))))))</f>
        <v/>
      </c>
      <c r="M159" s="9" t="str">
        <f aca="false">IF(OR(C159="",B159=""),"",B159+ROW()/1000000)</f>
        <v/>
      </c>
      <c r="N159" s="9" t="str">
        <f aca="false">IF(AND(E159="In",M159&lt;&gt;""),SUMIFS($F$7:$F$506,$C$7:$C$506,C159,$E$7:$E$506,"In",$M$7:$M$506,"&gt;"&amp;M159),"")</f>
        <v/>
      </c>
      <c r="O159" s="9" t="str">
        <f aca="false">IF(N159="","",IFERROR(INDEX('Item Master'!$K$6:$K$105,MATCH(C159,'Item Master'!$A$6:$A$105,0)),0))</f>
        <v/>
      </c>
      <c r="P159" s="9" t="n">
        <f aca="false">IF(N159="",0,MAX(0,MIN(N(F159),O159-N159))*N(G159))</f>
        <v>0</v>
      </c>
      <c r="Q159" s="9" t="str">
        <f aca="false">IF(AND(C159&lt;&gt;"",C159='Stock Ledger'!$C$4),M159,"")</f>
        <v/>
      </c>
    </row>
    <row r="160" customFormat="false" ht="15" hidden="false" customHeight="false" outlineLevel="0" collapsed="false">
      <c r="A160" s="45" t="str">
        <f aca="false">IF(C160="","",ROW()-6)</f>
        <v/>
      </c>
      <c r="B160" s="85"/>
      <c r="C160" s="80"/>
      <c r="D160" s="47" t="str">
        <f aca="false">IF(C160="","",IFERROR(INDEX('Item Master'!$B$6:$B$105,MATCH(C160,'Item Master'!$A$6:$A$105,0)),"?"))</f>
        <v/>
      </c>
      <c r="E160" s="82"/>
      <c r="F160" s="83"/>
      <c r="G160" s="84"/>
      <c r="H160" s="81"/>
      <c r="I160" s="80"/>
      <c r="J160" s="41" t="str">
        <f aca="false">IF(OR(C160="",G160=""),"",N(F160)*N(G160))</f>
        <v/>
      </c>
      <c r="K160" s="48" t="str">
        <f aca="false">IF(M160="","",N(IFERROR(INDEX('Item Master'!$E$6:$E$105,MATCH(C160,'Item Master'!$A$6:$A$105,0)),0))+SUMIFS($F$7:$F$506,$C$7:$C$506,C160,$E$7:$E$506,"In",$M$7:$M$506,"&lt;="&amp;M160)-SUMIFS($F$7:$F$506,$C$7:$C$506,C160,$E$7:$E$506,"Out",$M$7:$M$506,"&lt;="&amp;M160))</f>
        <v/>
      </c>
      <c r="L160" s="44" t="str">
        <f aca="false">IF(AND(B160="",C160="",F160=""),"",IF(C160="","⚠ Pick item",IF(D160="?","⚠ Code not in Item Master",IF(B160="","⚠ Enter date",IF(OR(E160="",N(F160)&lt;=0),"⚠ Type / quantity missing",IF(AND(E160="In",G160=""),"⚠ Enter purchase rate",IF(OR(B160&lt;Setup!$C$6,B160&gt;Setup!$C$7),"Outside period",IF(K160&lt;0,"⚠ Stock goes negative","✔ OK"))))))))</f>
        <v/>
      </c>
      <c r="M160" s="9" t="str">
        <f aca="false">IF(OR(C160="",B160=""),"",B160+ROW()/1000000)</f>
        <v/>
      </c>
      <c r="N160" s="9" t="str">
        <f aca="false">IF(AND(E160="In",M160&lt;&gt;""),SUMIFS($F$7:$F$506,$C$7:$C$506,C160,$E$7:$E$506,"In",$M$7:$M$506,"&gt;"&amp;M160),"")</f>
        <v/>
      </c>
      <c r="O160" s="9" t="str">
        <f aca="false">IF(N160="","",IFERROR(INDEX('Item Master'!$K$6:$K$105,MATCH(C160,'Item Master'!$A$6:$A$105,0)),0))</f>
        <v/>
      </c>
      <c r="P160" s="9" t="n">
        <f aca="false">IF(N160="",0,MAX(0,MIN(N(F160),O160-N160))*N(G160))</f>
        <v>0</v>
      </c>
      <c r="Q160" s="9" t="str">
        <f aca="false">IF(AND(C160&lt;&gt;"",C160='Stock Ledger'!$C$4),M160,"")</f>
        <v/>
      </c>
    </row>
    <row r="161" customFormat="false" ht="15" hidden="false" customHeight="false" outlineLevel="0" collapsed="false">
      <c r="A161" s="45" t="str">
        <f aca="false">IF(C161="","",ROW()-6)</f>
        <v/>
      </c>
      <c r="B161" s="85"/>
      <c r="C161" s="80"/>
      <c r="D161" s="47" t="str">
        <f aca="false">IF(C161="","",IFERROR(INDEX('Item Master'!$B$6:$B$105,MATCH(C161,'Item Master'!$A$6:$A$105,0)),"?"))</f>
        <v/>
      </c>
      <c r="E161" s="82"/>
      <c r="F161" s="83"/>
      <c r="G161" s="84"/>
      <c r="H161" s="81"/>
      <c r="I161" s="80"/>
      <c r="J161" s="41" t="str">
        <f aca="false">IF(OR(C161="",G161=""),"",N(F161)*N(G161))</f>
        <v/>
      </c>
      <c r="K161" s="48" t="str">
        <f aca="false">IF(M161="","",N(IFERROR(INDEX('Item Master'!$E$6:$E$105,MATCH(C161,'Item Master'!$A$6:$A$105,0)),0))+SUMIFS($F$7:$F$506,$C$7:$C$506,C161,$E$7:$E$506,"In",$M$7:$M$506,"&lt;="&amp;M161)-SUMIFS($F$7:$F$506,$C$7:$C$506,C161,$E$7:$E$506,"Out",$M$7:$M$506,"&lt;="&amp;M161))</f>
        <v/>
      </c>
      <c r="L161" s="44" t="str">
        <f aca="false">IF(AND(B161="",C161="",F161=""),"",IF(C161="","⚠ Pick item",IF(D161="?","⚠ Code not in Item Master",IF(B161="","⚠ Enter date",IF(OR(E161="",N(F161)&lt;=0),"⚠ Type / quantity missing",IF(AND(E161="In",G161=""),"⚠ Enter purchase rate",IF(OR(B161&lt;Setup!$C$6,B161&gt;Setup!$C$7),"Outside period",IF(K161&lt;0,"⚠ Stock goes negative","✔ OK"))))))))</f>
        <v/>
      </c>
      <c r="M161" s="9" t="str">
        <f aca="false">IF(OR(C161="",B161=""),"",B161+ROW()/1000000)</f>
        <v/>
      </c>
      <c r="N161" s="9" t="str">
        <f aca="false">IF(AND(E161="In",M161&lt;&gt;""),SUMIFS($F$7:$F$506,$C$7:$C$506,C161,$E$7:$E$506,"In",$M$7:$M$506,"&gt;"&amp;M161),"")</f>
        <v/>
      </c>
      <c r="O161" s="9" t="str">
        <f aca="false">IF(N161="","",IFERROR(INDEX('Item Master'!$K$6:$K$105,MATCH(C161,'Item Master'!$A$6:$A$105,0)),0))</f>
        <v/>
      </c>
      <c r="P161" s="9" t="n">
        <f aca="false">IF(N161="",0,MAX(0,MIN(N(F161),O161-N161))*N(G161))</f>
        <v>0</v>
      </c>
      <c r="Q161" s="9" t="str">
        <f aca="false">IF(AND(C161&lt;&gt;"",C161='Stock Ledger'!$C$4),M161,"")</f>
        <v/>
      </c>
    </row>
    <row r="162" customFormat="false" ht="15" hidden="false" customHeight="false" outlineLevel="0" collapsed="false">
      <c r="A162" s="45" t="str">
        <f aca="false">IF(C162="","",ROW()-6)</f>
        <v/>
      </c>
      <c r="B162" s="85"/>
      <c r="C162" s="80"/>
      <c r="D162" s="47" t="str">
        <f aca="false">IF(C162="","",IFERROR(INDEX('Item Master'!$B$6:$B$105,MATCH(C162,'Item Master'!$A$6:$A$105,0)),"?"))</f>
        <v/>
      </c>
      <c r="E162" s="82"/>
      <c r="F162" s="83"/>
      <c r="G162" s="84"/>
      <c r="H162" s="81"/>
      <c r="I162" s="80"/>
      <c r="J162" s="41" t="str">
        <f aca="false">IF(OR(C162="",G162=""),"",N(F162)*N(G162))</f>
        <v/>
      </c>
      <c r="K162" s="48" t="str">
        <f aca="false">IF(M162="","",N(IFERROR(INDEX('Item Master'!$E$6:$E$105,MATCH(C162,'Item Master'!$A$6:$A$105,0)),0))+SUMIFS($F$7:$F$506,$C$7:$C$506,C162,$E$7:$E$506,"In",$M$7:$M$506,"&lt;="&amp;M162)-SUMIFS($F$7:$F$506,$C$7:$C$506,C162,$E$7:$E$506,"Out",$M$7:$M$506,"&lt;="&amp;M162))</f>
        <v/>
      </c>
      <c r="L162" s="44" t="str">
        <f aca="false">IF(AND(B162="",C162="",F162=""),"",IF(C162="","⚠ Pick item",IF(D162="?","⚠ Code not in Item Master",IF(B162="","⚠ Enter date",IF(OR(E162="",N(F162)&lt;=0),"⚠ Type / quantity missing",IF(AND(E162="In",G162=""),"⚠ Enter purchase rate",IF(OR(B162&lt;Setup!$C$6,B162&gt;Setup!$C$7),"Outside period",IF(K162&lt;0,"⚠ Stock goes negative","✔ OK"))))))))</f>
        <v/>
      </c>
      <c r="M162" s="9" t="str">
        <f aca="false">IF(OR(C162="",B162=""),"",B162+ROW()/1000000)</f>
        <v/>
      </c>
      <c r="N162" s="9" t="str">
        <f aca="false">IF(AND(E162="In",M162&lt;&gt;""),SUMIFS($F$7:$F$506,$C$7:$C$506,C162,$E$7:$E$506,"In",$M$7:$M$506,"&gt;"&amp;M162),"")</f>
        <v/>
      </c>
      <c r="O162" s="9" t="str">
        <f aca="false">IF(N162="","",IFERROR(INDEX('Item Master'!$K$6:$K$105,MATCH(C162,'Item Master'!$A$6:$A$105,0)),0))</f>
        <v/>
      </c>
      <c r="P162" s="9" t="n">
        <f aca="false">IF(N162="",0,MAX(0,MIN(N(F162),O162-N162))*N(G162))</f>
        <v>0</v>
      </c>
      <c r="Q162" s="9" t="str">
        <f aca="false">IF(AND(C162&lt;&gt;"",C162='Stock Ledger'!$C$4),M162,"")</f>
        <v/>
      </c>
    </row>
    <row r="163" customFormat="false" ht="15" hidden="false" customHeight="false" outlineLevel="0" collapsed="false">
      <c r="A163" s="45" t="str">
        <f aca="false">IF(C163="","",ROW()-6)</f>
        <v/>
      </c>
      <c r="B163" s="85"/>
      <c r="C163" s="80"/>
      <c r="D163" s="47" t="str">
        <f aca="false">IF(C163="","",IFERROR(INDEX('Item Master'!$B$6:$B$105,MATCH(C163,'Item Master'!$A$6:$A$105,0)),"?"))</f>
        <v/>
      </c>
      <c r="E163" s="82"/>
      <c r="F163" s="83"/>
      <c r="G163" s="84"/>
      <c r="H163" s="81"/>
      <c r="I163" s="80"/>
      <c r="J163" s="41" t="str">
        <f aca="false">IF(OR(C163="",G163=""),"",N(F163)*N(G163))</f>
        <v/>
      </c>
      <c r="K163" s="48" t="str">
        <f aca="false">IF(M163="","",N(IFERROR(INDEX('Item Master'!$E$6:$E$105,MATCH(C163,'Item Master'!$A$6:$A$105,0)),0))+SUMIFS($F$7:$F$506,$C$7:$C$506,C163,$E$7:$E$506,"In",$M$7:$M$506,"&lt;="&amp;M163)-SUMIFS($F$7:$F$506,$C$7:$C$506,C163,$E$7:$E$506,"Out",$M$7:$M$506,"&lt;="&amp;M163))</f>
        <v/>
      </c>
      <c r="L163" s="44" t="str">
        <f aca="false">IF(AND(B163="",C163="",F163=""),"",IF(C163="","⚠ Pick item",IF(D163="?","⚠ Code not in Item Master",IF(B163="","⚠ Enter date",IF(OR(E163="",N(F163)&lt;=0),"⚠ Type / quantity missing",IF(AND(E163="In",G163=""),"⚠ Enter purchase rate",IF(OR(B163&lt;Setup!$C$6,B163&gt;Setup!$C$7),"Outside period",IF(K163&lt;0,"⚠ Stock goes negative","✔ OK"))))))))</f>
        <v/>
      </c>
      <c r="M163" s="9" t="str">
        <f aca="false">IF(OR(C163="",B163=""),"",B163+ROW()/1000000)</f>
        <v/>
      </c>
      <c r="N163" s="9" t="str">
        <f aca="false">IF(AND(E163="In",M163&lt;&gt;""),SUMIFS($F$7:$F$506,$C$7:$C$506,C163,$E$7:$E$506,"In",$M$7:$M$506,"&gt;"&amp;M163),"")</f>
        <v/>
      </c>
      <c r="O163" s="9" t="str">
        <f aca="false">IF(N163="","",IFERROR(INDEX('Item Master'!$K$6:$K$105,MATCH(C163,'Item Master'!$A$6:$A$105,0)),0))</f>
        <v/>
      </c>
      <c r="P163" s="9" t="n">
        <f aca="false">IF(N163="",0,MAX(0,MIN(N(F163),O163-N163))*N(G163))</f>
        <v>0</v>
      </c>
      <c r="Q163" s="9" t="str">
        <f aca="false">IF(AND(C163&lt;&gt;"",C163='Stock Ledger'!$C$4),M163,"")</f>
        <v/>
      </c>
    </row>
    <row r="164" customFormat="false" ht="15" hidden="false" customHeight="false" outlineLevel="0" collapsed="false">
      <c r="A164" s="45" t="str">
        <f aca="false">IF(C164="","",ROW()-6)</f>
        <v/>
      </c>
      <c r="B164" s="85"/>
      <c r="C164" s="80"/>
      <c r="D164" s="47" t="str">
        <f aca="false">IF(C164="","",IFERROR(INDEX('Item Master'!$B$6:$B$105,MATCH(C164,'Item Master'!$A$6:$A$105,0)),"?"))</f>
        <v/>
      </c>
      <c r="E164" s="82"/>
      <c r="F164" s="83"/>
      <c r="G164" s="84"/>
      <c r="H164" s="81"/>
      <c r="I164" s="80"/>
      <c r="J164" s="41" t="str">
        <f aca="false">IF(OR(C164="",G164=""),"",N(F164)*N(G164))</f>
        <v/>
      </c>
      <c r="K164" s="48" t="str">
        <f aca="false">IF(M164="","",N(IFERROR(INDEX('Item Master'!$E$6:$E$105,MATCH(C164,'Item Master'!$A$6:$A$105,0)),0))+SUMIFS($F$7:$F$506,$C$7:$C$506,C164,$E$7:$E$506,"In",$M$7:$M$506,"&lt;="&amp;M164)-SUMIFS($F$7:$F$506,$C$7:$C$506,C164,$E$7:$E$506,"Out",$M$7:$M$506,"&lt;="&amp;M164))</f>
        <v/>
      </c>
      <c r="L164" s="44" t="str">
        <f aca="false">IF(AND(B164="",C164="",F164=""),"",IF(C164="","⚠ Pick item",IF(D164="?","⚠ Code not in Item Master",IF(B164="","⚠ Enter date",IF(OR(E164="",N(F164)&lt;=0),"⚠ Type / quantity missing",IF(AND(E164="In",G164=""),"⚠ Enter purchase rate",IF(OR(B164&lt;Setup!$C$6,B164&gt;Setup!$C$7),"Outside period",IF(K164&lt;0,"⚠ Stock goes negative","✔ OK"))))))))</f>
        <v/>
      </c>
      <c r="M164" s="9" t="str">
        <f aca="false">IF(OR(C164="",B164=""),"",B164+ROW()/1000000)</f>
        <v/>
      </c>
      <c r="N164" s="9" t="str">
        <f aca="false">IF(AND(E164="In",M164&lt;&gt;""),SUMIFS($F$7:$F$506,$C$7:$C$506,C164,$E$7:$E$506,"In",$M$7:$M$506,"&gt;"&amp;M164),"")</f>
        <v/>
      </c>
      <c r="O164" s="9" t="str">
        <f aca="false">IF(N164="","",IFERROR(INDEX('Item Master'!$K$6:$K$105,MATCH(C164,'Item Master'!$A$6:$A$105,0)),0))</f>
        <v/>
      </c>
      <c r="P164" s="9" t="n">
        <f aca="false">IF(N164="",0,MAX(0,MIN(N(F164),O164-N164))*N(G164))</f>
        <v>0</v>
      </c>
      <c r="Q164" s="9" t="str">
        <f aca="false">IF(AND(C164&lt;&gt;"",C164='Stock Ledger'!$C$4),M164,"")</f>
        <v/>
      </c>
    </row>
    <row r="165" customFormat="false" ht="15" hidden="false" customHeight="false" outlineLevel="0" collapsed="false">
      <c r="A165" s="45" t="str">
        <f aca="false">IF(C165="","",ROW()-6)</f>
        <v/>
      </c>
      <c r="B165" s="85"/>
      <c r="C165" s="80"/>
      <c r="D165" s="47" t="str">
        <f aca="false">IF(C165="","",IFERROR(INDEX('Item Master'!$B$6:$B$105,MATCH(C165,'Item Master'!$A$6:$A$105,0)),"?"))</f>
        <v/>
      </c>
      <c r="E165" s="82"/>
      <c r="F165" s="83"/>
      <c r="G165" s="84"/>
      <c r="H165" s="81"/>
      <c r="I165" s="80"/>
      <c r="J165" s="41" t="str">
        <f aca="false">IF(OR(C165="",G165=""),"",N(F165)*N(G165))</f>
        <v/>
      </c>
      <c r="K165" s="48" t="str">
        <f aca="false">IF(M165="","",N(IFERROR(INDEX('Item Master'!$E$6:$E$105,MATCH(C165,'Item Master'!$A$6:$A$105,0)),0))+SUMIFS($F$7:$F$506,$C$7:$C$506,C165,$E$7:$E$506,"In",$M$7:$M$506,"&lt;="&amp;M165)-SUMIFS($F$7:$F$506,$C$7:$C$506,C165,$E$7:$E$506,"Out",$M$7:$M$506,"&lt;="&amp;M165))</f>
        <v/>
      </c>
      <c r="L165" s="44" t="str">
        <f aca="false">IF(AND(B165="",C165="",F165=""),"",IF(C165="","⚠ Pick item",IF(D165="?","⚠ Code not in Item Master",IF(B165="","⚠ Enter date",IF(OR(E165="",N(F165)&lt;=0),"⚠ Type / quantity missing",IF(AND(E165="In",G165=""),"⚠ Enter purchase rate",IF(OR(B165&lt;Setup!$C$6,B165&gt;Setup!$C$7),"Outside period",IF(K165&lt;0,"⚠ Stock goes negative","✔ OK"))))))))</f>
        <v/>
      </c>
      <c r="M165" s="9" t="str">
        <f aca="false">IF(OR(C165="",B165=""),"",B165+ROW()/1000000)</f>
        <v/>
      </c>
      <c r="N165" s="9" t="str">
        <f aca="false">IF(AND(E165="In",M165&lt;&gt;""),SUMIFS($F$7:$F$506,$C$7:$C$506,C165,$E$7:$E$506,"In",$M$7:$M$506,"&gt;"&amp;M165),"")</f>
        <v/>
      </c>
      <c r="O165" s="9" t="str">
        <f aca="false">IF(N165="","",IFERROR(INDEX('Item Master'!$K$6:$K$105,MATCH(C165,'Item Master'!$A$6:$A$105,0)),0))</f>
        <v/>
      </c>
      <c r="P165" s="9" t="n">
        <f aca="false">IF(N165="",0,MAX(0,MIN(N(F165),O165-N165))*N(G165))</f>
        <v>0</v>
      </c>
      <c r="Q165" s="9" t="str">
        <f aca="false">IF(AND(C165&lt;&gt;"",C165='Stock Ledger'!$C$4),M165,"")</f>
        <v/>
      </c>
    </row>
    <row r="166" customFormat="false" ht="15" hidden="false" customHeight="false" outlineLevel="0" collapsed="false">
      <c r="A166" s="45" t="str">
        <f aca="false">IF(C166="","",ROW()-6)</f>
        <v/>
      </c>
      <c r="B166" s="85"/>
      <c r="C166" s="80"/>
      <c r="D166" s="47" t="str">
        <f aca="false">IF(C166="","",IFERROR(INDEX('Item Master'!$B$6:$B$105,MATCH(C166,'Item Master'!$A$6:$A$105,0)),"?"))</f>
        <v/>
      </c>
      <c r="E166" s="82"/>
      <c r="F166" s="83"/>
      <c r="G166" s="84"/>
      <c r="H166" s="81"/>
      <c r="I166" s="80"/>
      <c r="J166" s="41" t="str">
        <f aca="false">IF(OR(C166="",G166=""),"",N(F166)*N(G166))</f>
        <v/>
      </c>
      <c r="K166" s="48" t="str">
        <f aca="false">IF(M166="","",N(IFERROR(INDEX('Item Master'!$E$6:$E$105,MATCH(C166,'Item Master'!$A$6:$A$105,0)),0))+SUMIFS($F$7:$F$506,$C$7:$C$506,C166,$E$7:$E$506,"In",$M$7:$M$506,"&lt;="&amp;M166)-SUMIFS($F$7:$F$506,$C$7:$C$506,C166,$E$7:$E$506,"Out",$M$7:$M$506,"&lt;="&amp;M166))</f>
        <v/>
      </c>
      <c r="L166" s="44" t="str">
        <f aca="false">IF(AND(B166="",C166="",F166=""),"",IF(C166="","⚠ Pick item",IF(D166="?","⚠ Code not in Item Master",IF(B166="","⚠ Enter date",IF(OR(E166="",N(F166)&lt;=0),"⚠ Type / quantity missing",IF(AND(E166="In",G166=""),"⚠ Enter purchase rate",IF(OR(B166&lt;Setup!$C$6,B166&gt;Setup!$C$7),"Outside period",IF(K166&lt;0,"⚠ Stock goes negative","✔ OK"))))))))</f>
        <v/>
      </c>
      <c r="M166" s="9" t="str">
        <f aca="false">IF(OR(C166="",B166=""),"",B166+ROW()/1000000)</f>
        <v/>
      </c>
      <c r="N166" s="9" t="str">
        <f aca="false">IF(AND(E166="In",M166&lt;&gt;""),SUMIFS($F$7:$F$506,$C$7:$C$506,C166,$E$7:$E$506,"In",$M$7:$M$506,"&gt;"&amp;M166),"")</f>
        <v/>
      </c>
      <c r="O166" s="9" t="str">
        <f aca="false">IF(N166="","",IFERROR(INDEX('Item Master'!$K$6:$K$105,MATCH(C166,'Item Master'!$A$6:$A$105,0)),0))</f>
        <v/>
      </c>
      <c r="P166" s="9" t="n">
        <f aca="false">IF(N166="",0,MAX(0,MIN(N(F166),O166-N166))*N(G166))</f>
        <v>0</v>
      </c>
      <c r="Q166" s="9" t="str">
        <f aca="false">IF(AND(C166&lt;&gt;"",C166='Stock Ledger'!$C$4),M166,"")</f>
        <v/>
      </c>
    </row>
    <row r="167" customFormat="false" ht="15" hidden="false" customHeight="false" outlineLevel="0" collapsed="false">
      <c r="A167" s="45" t="str">
        <f aca="false">IF(C167="","",ROW()-6)</f>
        <v/>
      </c>
      <c r="B167" s="85"/>
      <c r="C167" s="80"/>
      <c r="D167" s="47" t="str">
        <f aca="false">IF(C167="","",IFERROR(INDEX('Item Master'!$B$6:$B$105,MATCH(C167,'Item Master'!$A$6:$A$105,0)),"?"))</f>
        <v/>
      </c>
      <c r="E167" s="82"/>
      <c r="F167" s="83"/>
      <c r="G167" s="84"/>
      <c r="H167" s="81"/>
      <c r="I167" s="80"/>
      <c r="J167" s="41" t="str">
        <f aca="false">IF(OR(C167="",G167=""),"",N(F167)*N(G167))</f>
        <v/>
      </c>
      <c r="K167" s="48" t="str">
        <f aca="false">IF(M167="","",N(IFERROR(INDEX('Item Master'!$E$6:$E$105,MATCH(C167,'Item Master'!$A$6:$A$105,0)),0))+SUMIFS($F$7:$F$506,$C$7:$C$506,C167,$E$7:$E$506,"In",$M$7:$M$506,"&lt;="&amp;M167)-SUMIFS($F$7:$F$506,$C$7:$C$506,C167,$E$7:$E$506,"Out",$M$7:$M$506,"&lt;="&amp;M167))</f>
        <v/>
      </c>
      <c r="L167" s="44" t="str">
        <f aca="false">IF(AND(B167="",C167="",F167=""),"",IF(C167="","⚠ Pick item",IF(D167="?","⚠ Code not in Item Master",IF(B167="","⚠ Enter date",IF(OR(E167="",N(F167)&lt;=0),"⚠ Type / quantity missing",IF(AND(E167="In",G167=""),"⚠ Enter purchase rate",IF(OR(B167&lt;Setup!$C$6,B167&gt;Setup!$C$7),"Outside period",IF(K167&lt;0,"⚠ Stock goes negative","✔ OK"))))))))</f>
        <v/>
      </c>
      <c r="M167" s="9" t="str">
        <f aca="false">IF(OR(C167="",B167=""),"",B167+ROW()/1000000)</f>
        <v/>
      </c>
      <c r="N167" s="9" t="str">
        <f aca="false">IF(AND(E167="In",M167&lt;&gt;""),SUMIFS($F$7:$F$506,$C$7:$C$506,C167,$E$7:$E$506,"In",$M$7:$M$506,"&gt;"&amp;M167),"")</f>
        <v/>
      </c>
      <c r="O167" s="9" t="str">
        <f aca="false">IF(N167="","",IFERROR(INDEX('Item Master'!$K$6:$K$105,MATCH(C167,'Item Master'!$A$6:$A$105,0)),0))</f>
        <v/>
      </c>
      <c r="P167" s="9" t="n">
        <f aca="false">IF(N167="",0,MAX(0,MIN(N(F167),O167-N167))*N(G167))</f>
        <v>0</v>
      </c>
      <c r="Q167" s="9" t="str">
        <f aca="false">IF(AND(C167&lt;&gt;"",C167='Stock Ledger'!$C$4),M167,"")</f>
        <v/>
      </c>
    </row>
    <row r="168" customFormat="false" ht="15" hidden="false" customHeight="false" outlineLevel="0" collapsed="false">
      <c r="A168" s="45" t="str">
        <f aca="false">IF(C168="","",ROW()-6)</f>
        <v/>
      </c>
      <c r="B168" s="85"/>
      <c r="C168" s="80"/>
      <c r="D168" s="47" t="str">
        <f aca="false">IF(C168="","",IFERROR(INDEX('Item Master'!$B$6:$B$105,MATCH(C168,'Item Master'!$A$6:$A$105,0)),"?"))</f>
        <v/>
      </c>
      <c r="E168" s="82"/>
      <c r="F168" s="83"/>
      <c r="G168" s="84"/>
      <c r="H168" s="81"/>
      <c r="I168" s="80"/>
      <c r="J168" s="41" t="str">
        <f aca="false">IF(OR(C168="",G168=""),"",N(F168)*N(G168))</f>
        <v/>
      </c>
      <c r="K168" s="48" t="str">
        <f aca="false">IF(M168="","",N(IFERROR(INDEX('Item Master'!$E$6:$E$105,MATCH(C168,'Item Master'!$A$6:$A$105,0)),0))+SUMIFS($F$7:$F$506,$C$7:$C$506,C168,$E$7:$E$506,"In",$M$7:$M$506,"&lt;="&amp;M168)-SUMIFS($F$7:$F$506,$C$7:$C$506,C168,$E$7:$E$506,"Out",$M$7:$M$506,"&lt;="&amp;M168))</f>
        <v/>
      </c>
      <c r="L168" s="44" t="str">
        <f aca="false">IF(AND(B168="",C168="",F168=""),"",IF(C168="","⚠ Pick item",IF(D168="?","⚠ Code not in Item Master",IF(B168="","⚠ Enter date",IF(OR(E168="",N(F168)&lt;=0),"⚠ Type / quantity missing",IF(AND(E168="In",G168=""),"⚠ Enter purchase rate",IF(OR(B168&lt;Setup!$C$6,B168&gt;Setup!$C$7),"Outside period",IF(K168&lt;0,"⚠ Stock goes negative","✔ OK"))))))))</f>
        <v/>
      </c>
      <c r="M168" s="9" t="str">
        <f aca="false">IF(OR(C168="",B168=""),"",B168+ROW()/1000000)</f>
        <v/>
      </c>
      <c r="N168" s="9" t="str">
        <f aca="false">IF(AND(E168="In",M168&lt;&gt;""),SUMIFS($F$7:$F$506,$C$7:$C$506,C168,$E$7:$E$506,"In",$M$7:$M$506,"&gt;"&amp;M168),"")</f>
        <v/>
      </c>
      <c r="O168" s="9" t="str">
        <f aca="false">IF(N168="","",IFERROR(INDEX('Item Master'!$K$6:$K$105,MATCH(C168,'Item Master'!$A$6:$A$105,0)),0))</f>
        <v/>
      </c>
      <c r="P168" s="9" t="n">
        <f aca="false">IF(N168="",0,MAX(0,MIN(N(F168),O168-N168))*N(G168))</f>
        <v>0</v>
      </c>
      <c r="Q168" s="9" t="str">
        <f aca="false">IF(AND(C168&lt;&gt;"",C168='Stock Ledger'!$C$4),M168,"")</f>
        <v/>
      </c>
    </row>
    <row r="169" customFormat="false" ht="15" hidden="false" customHeight="false" outlineLevel="0" collapsed="false">
      <c r="A169" s="45" t="str">
        <f aca="false">IF(C169="","",ROW()-6)</f>
        <v/>
      </c>
      <c r="B169" s="85"/>
      <c r="C169" s="80"/>
      <c r="D169" s="47" t="str">
        <f aca="false">IF(C169="","",IFERROR(INDEX('Item Master'!$B$6:$B$105,MATCH(C169,'Item Master'!$A$6:$A$105,0)),"?"))</f>
        <v/>
      </c>
      <c r="E169" s="82"/>
      <c r="F169" s="83"/>
      <c r="G169" s="84"/>
      <c r="H169" s="81"/>
      <c r="I169" s="80"/>
      <c r="J169" s="41" t="str">
        <f aca="false">IF(OR(C169="",G169=""),"",N(F169)*N(G169))</f>
        <v/>
      </c>
      <c r="K169" s="48" t="str">
        <f aca="false">IF(M169="","",N(IFERROR(INDEX('Item Master'!$E$6:$E$105,MATCH(C169,'Item Master'!$A$6:$A$105,0)),0))+SUMIFS($F$7:$F$506,$C$7:$C$506,C169,$E$7:$E$506,"In",$M$7:$M$506,"&lt;="&amp;M169)-SUMIFS($F$7:$F$506,$C$7:$C$506,C169,$E$7:$E$506,"Out",$M$7:$M$506,"&lt;="&amp;M169))</f>
        <v/>
      </c>
      <c r="L169" s="44" t="str">
        <f aca="false">IF(AND(B169="",C169="",F169=""),"",IF(C169="","⚠ Pick item",IF(D169="?","⚠ Code not in Item Master",IF(B169="","⚠ Enter date",IF(OR(E169="",N(F169)&lt;=0),"⚠ Type / quantity missing",IF(AND(E169="In",G169=""),"⚠ Enter purchase rate",IF(OR(B169&lt;Setup!$C$6,B169&gt;Setup!$C$7),"Outside period",IF(K169&lt;0,"⚠ Stock goes negative","✔ OK"))))))))</f>
        <v/>
      </c>
      <c r="M169" s="9" t="str">
        <f aca="false">IF(OR(C169="",B169=""),"",B169+ROW()/1000000)</f>
        <v/>
      </c>
      <c r="N169" s="9" t="str">
        <f aca="false">IF(AND(E169="In",M169&lt;&gt;""),SUMIFS($F$7:$F$506,$C$7:$C$506,C169,$E$7:$E$506,"In",$M$7:$M$506,"&gt;"&amp;M169),"")</f>
        <v/>
      </c>
      <c r="O169" s="9" t="str">
        <f aca="false">IF(N169="","",IFERROR(INDEX('Item Master'!$K$6:$K$105,MATCH(C169,'Item Master'!$A$6:$A$105,0)),0))</f>
        <v/>
      </c>
      <c r="P169" s="9" t="n">
        <f aca="false">IF(N169="",0,MAX(0,MIN(N(F169),O169-N169))*N(G169))</f>
        <v>0</v>
      </c>
      <c r="Q169" s="9" t="str">
        <f aca="false">IF(AND(C169&lt;&gt;"",C169='Stock Ledger'!$C$4),M169,"")</f>
        <v/>
      </c>
    </row>
    <row r="170" customFormat="false" ht="15" hidden="false" customHeight="false" outlineLevel="0" collapsed="false">
      <c r="A170" s="45" t="str">
        <f aca="false">IF(C170="","",ROW()-6)</f>
        <v/>
      </c>
      <c r="B170" s="85"/>
      <c r="C170" s="80"/>
      <c r="D170" s="47" t="str">
        <f aca="false">IF(C170="","",IFERROR(INDEX('Item Master'!$B$6:$B$105,MATCH(C170,'Item Master'!$A$6:$A$105,0)),"?"))</f>
        <v/>
      </c>
      <c r="E170" s="82"/>
      <c r="F170" s="83"/>
      <c r="G170" s="84"/>
      <c r="H170" s="81"/>
      <c r="I170" s="80"/>
      <c r="J170" s="41" t="str">
        <f aca="false">IF(OR(C170="",G170=""),"",N(F170)*N(G170))</f>
        <v/>
      </c>
      <c r="K170" s="48" t="str">
        <f aca="false">IF(M170="","",N(IFERROR(INDEX('Item Master'!$E$6:$E$105,MATCH(C170,'Item Master'!$A$6:$A$105,0)),0))+SUMIFS($F$7:$F$506,$C$7:$C$506,C170,$E$7:$E$506,"In",$M$7:$M$506,"&lt;="&amp;M170)-SUMIFS($F$7:$F$506,$C$7:$C$506,C170,$E$7:$E$506,"Out",$M$7:$M$506,"&lt;="&amp;M170))</f>
        <v/>
      </c>
      <c r="L170" s="44" t="str">
        <f aca="false">IF(AND(B170="",C170="",F170=""),"",IF(C170="","⚠ Pick item",IF(D170="?","⚠ Code not in Item Master",IF(B170="","⚠ Enter date",IF(OR(E170="",N(F170)&lt;=0),"⚠ Type / quantity missing",IF(AND(E170="In",G170=""),"⚠ Enter purchase rate",IF(OR(B170&lt;Setup!$C$6,B170&gt;Setup!$C$7),"Outside period",IF(K170&lt;0,"⚠ Stock goes negative","✔ OK"))))))))</f>
        <v/>
      </c>
      <c r="M170" s="9" t="str">
        <f aca="false">IF(OR(C170="",B170=""),"",B170+ROW()/1000000)</f>
        <v/>
      </c>
      <c r="N170" s="9" t="str">
        <f aca="false">IF(AND(E170="In",M170&lt;&gt;""),SUMIFS($F$7:$F$506,$C$7:$C$506,C170,$E$7:$E$506,"In",$M$7:$M$506,"&gt;"&amp;M170),"")</f>
        <v/>
      </c>
      <c r="O170" s="9" t="str">
        <f aca="false">IF(N170="","",IFERROR(INDEX('Item Master'!$K$6:$K$105,MATCH(C170,'Item Master'!$A$6:$A$105,0)),0))</f>
        <v/>
      </c>
      <c r="P170" s="9" t="n">
        <f aca="false">IF(N170="",0,MAX(0,MIN(N(F170),O170-N170))*N(G170))</f>
        <v>0</v>
      </c>
      <c r="Q170" s="9" t="str">
        <f aca="false">IF(AND(C170&lt;&gt;"",C170='Stock Ledger'!$C$4),M170,"")</f>
        <v/>
      </c>
    </row>
    <row r="171" customFormat="false" ht="15" hidden="false" customHeight="false" outlineLevel="0" collapsed="false">
      <c r="A171" s="45" t="str">
        <f aca="false">IF(C171="","",ROW()-6)</f>
        <v/>
      </c>
      <c r="B171" s="85"/>
      <c r="C171" s="80"/>
      <c r="D171" s="47" t="str">
        <f aca="false">IF(C171="","",IFERROR(INDEX('Item Master'!$B$6:$B$105,MATCH(C171,'Item Master'!$A$6:$A$105,0)),"?"))</f>
        <v/>
      </c>
      <c r="E171" s="82"/>
      <c r="F171" s="83"/>
      <c r="G171" s="84"/>
      <c r="H171" s="81"/>
      <c r="I171" s="80"/>
      <c r="J171" s="41" t="str">
        <f aca="false">IF(OR(C171="",G171=""),"",N(F171)*N(G171))</f>
        <v/>
      </c>
      <c r="K171" s="48" t="str">
        <f aca="false">IF(M171="","",N(IFERROR(INDEX('Item Master'!$E$6:$E$105,MATCH(C171,'Item Master'!$A$6:$A$105,0)),0))+SUMIFS($F$7:$F$506,$C$7:$C$506,C171,$E$7:$E$506,"In",$M$7:$M$506,"&lt;="&amp;M171)-SUMIFS($F$7:$F$506,$C$7:$C$506,C171,$E$7:$E$506,"Out",$M$7:$M$506,"&lt;="&amp;M171))</f>
        <v/>
      </c>
      <c r="L171" s="44" t="str">
        <f aca="false">IF(AND(B171="",C171="",F171=""),"",IF(C171="","⚠ Pick item",IF(D171="?","⚠ Code not in Item Master",IF(B171="","⚠ Enter date",IF(OR(E171="",N(F171)&lt;=0),"⚠ Type / quantity missing",IF(AND(E171="In",G171=""),"⚠ Enter purchase rate",IF(OR(B171&lt;Setup!$C$6,B171&gt;Setup!$C$7),"Outside period",IF(K171&lt;0,"⚠ Stock goes negative","✔ OK"))))))))</f>
        <v/>
      </c>
      <c r="M171" s="9" t="str">
        <f aca="false">IF(OR(C171="",B171=""),"",B171+ROW()/1000000)</f>
        <v/>
      </c>
      <c r="N171" s="9" t="str">
        <f aca="false">IF(AND(E171="In",M171&lt;&gt;""),SUMIFS($F$7:$F$506,$C$7:$C$506,C171,$E$7:$E$506,"In",$M$7:$M$506,"&gt;"&amp;M171),"")</f>
        <v/>
      </c>
      <c r="O171" s="9" t="str">
        <f aca="false">IF(N171="","",IFERROR(INDEX('Item Master'!$K$6:$K$105,MATCH(C171,'Item Master'!$A$6:$A$105,0)),0))</f>
        <v/>
      </c>
      <c r="P171" s="9" t="n">
        <f aca="false">IF(N171="",0,MAX(0,MIN(N(F171),O171-N171))*N(G171))</f>
        <v>0</v>
      </c>
      <c r="Q171" s="9" t="str">
        <f aca="false">IF(AND(C171&lt;&gt;"",C171='Stock Ledger'!$C$4),M171,"")</f>
        <v/>
      </c>
    </row>
    <row r="172" customFormat="false" ht="15" hidden="false" customHeight="false" outlineLevel="0" collapsed="false">
      <c r="A172" s="45" t="str">
        <f aca="false">IF(C172="","",ROW()-6)</f>
        <v/>
      </c>
      <c r="B172" s="85"/>
      <c r="C172" s="80"/>
      <c r="D172" s="47" t="str">
        <f aca="false">IF(C172="","",IFERROR(INDEX('Item Master'!$B$6:$B$105,MATCH(C172,'Item Master'!$A$6:$A$105,0)),"?"))</f>
        <v/>
      </c>
      <c r="E172" s="82"/>
      <c r="F172" s="83"/>
      <c r="G172" s="84"/>
      <c r="H172" s="81"/>
      <c r="I172" s="80"/>
      <c r="J172" s="41" t="str">
        <f aca="false">IF(OR(C172="",G172=""),"",N(F172)*N(G172))</f>
        <v/>
      </c>
      <c r="K172" s="48" t="str">
        <f aca="false">IF(M172="","",N(IFERROR(INDEX('Item Master'!$E$6:$E$105,MATCH(C172,'Item Master'!$A$6:$A$105,0)),0))+SUMIFS($F$7:$F$506,$C$7:$C$506,C172,$E$7:$E$506,"In",$M$7:$M$506,"&lt;="&amp;M172)-SUMIFS($F$7:$F$506,$C$7:$C$506,C172,$E$7:$E$506,"Out",$M$7:$M$506,"&lt;="&amp;M172))</f>
        <v/>
      </c>
      <c r="L172" s="44" t="str">
        <f aca="false">IF(AND(B172="",C172="",F172=""),"",IF(C172="","⚠ Pick item",IF(D172="?","⚠ Code not in Item Master",IF(B172="","⚠ Enter date",IF(OR(E172="",N(F172)&lt;=0),"⚠ Type / quantity missing",IF(AND(E172="In",G172=""),"⚠ Enter purchase rate",IF(OR(B172&lt;Setup!$C$6,B172&gt;Setup!$C$7),"Outside period",IF(K172&lt;0,"⚠ Stock goes negative","✔ OK"))))))))</f>
        <v/>
      </c>
      <c r="M172" s="9" t="str">
        <f aca="false">IF(OR(C172="",B172=""),"",B172+ROW()/1000000)</f>
        <v/>
      </c>
      <c r="N172" s="9" t="str">
        <f aca="false">IF(AND(E172="In",M172&lt;&gt;""),SUMIFS($F$7:$F$506,$C$7:$C$506,C172,$E$7:$E$506,"In",$M$7:$M$506,"&gt;"&amp;M172),"")</f>
        <v/>
      </c>
      <c r="O172" s="9" t="str">
        <f aca="false">IF(N172="","",IFERROR(INDEX('Item Master'!$K$6:$K$105,MATCH(C172,'Item Master'!$A$6:$A$105,0)),0))</f>
        <v/>
      </c>
      <c r="P172" s="9" t="n">
        <f aca="false">IF(N172="",0,MAX(0,MIN(N(F172),O172-N172))*N(G172))</f>
        <v>0</v>
      </c>
      <c r="Q172" s="9" t="str">
        <f aca="false">IF(AND(C172&lt;&gt;"",C172='Stock Ledger'!$C$4),M172,"")</f>
        <v/>
      </c>
    </row>
    <row r="173" customFormat="false" ht="15" hidden="false" customHeight="false" outlineLevel="0" collapsed="false">
      <c r="A173" s="45" t="str">
        <f aca="false">IF(C173="","",ROW()-6)</f>
        <v/>
      </c>
      <c r="B173" s="85"/>
      <c r="C173" s="80"/>
      <c r="D173" s="47" t="str">
        <f aca="false">IF(C173="","",IFERROR(INDEX('Item Master'!$B$6:$B$105,MATCH(C173,'Item Master'!$A$6:$A$105,0)),"?"))</f>
        <v/>
      </c>
      <c r="E173" s="82"/>
      <c r="F173" s="83"/>
      <c r="G173" s="84"/>
      <c r="H173" s="81"/>
      <c r="I173" s="80"/>
      <c r="J173" s="41" t="str">
        <f aca="false">IF(OR(C173="",G173=""),"",N(F173)*N(G173))</f>
        <v/>
      </c>
      <c r="K173" s="48" t="str">
        <f aca="false">IF(M173="","",N(IFERROR(INDEX('Item Master'!$E$6:$E$105,MATCH(C173,'Item Master'!$A$6:$A$105,0)),0))+SUMIFS($F$7:$F$506,$C$7:$C$506,C173,$E$7:$E$506,"In",$M$7:$M$506,"&lt;="&amp;M173)-SUMIFS($F$7:$F$506,$C$7:$C$506,C173,$E$7:$E$506,"Out",$M$7:$M$506,"&lt;="&amp;M173))</f>
        <v/>
      </c>
      <c r="L173" s="44" t="str">
        <f aca="false">IF(AND(B173="",C173="",F173=""),"",IF(C173="","⚠ Pick item",IF(D173="?","⚠ Code not in Item Master",IF(B173="","⚠ Enter date",IF(OR(E173="",N(F173)&lt;=0),"⚠ Type / quantity missing",IF(AND(E173="In",G173=""),"⚠ Enter purchase rate",IF(OR(B173&lt;Setup!$C$6,B173&gt;Setup!$C$7),"Outside period",IF(K173&lt;0,"⚠ Stock goes negative","✔ OK"))))))))</f>
        <v/>
      </c>
      <c r="M173" s="9" t="str">
        <f aca="false">IF(OR(C173="",B173=""),"",B173+ROW()/1000000)</f>
        <v/>
      </c>
      <c r="N173" s="9" t="str">
        <f aca="false">IF(AND(E173="In",M173&lt;&gt;""),SUMIFS($F$7:$F$506,$C$7:$C$506,C173,$E$7:$E$506,"In",$M$7:$M$506,"&gt;"&amp;M173),"")</f>
        <v/>
      </c>
      <c r="O173" s="9" t="str">
        <f aca="false">IF(N173="","",IFERROR(INDEX('Item Master'!$K$6:$K$105,MATCH(C173,'Item Master'!$A$6:$A$105,0)),0))</f>
        <v/>
      </c>
      <c r="P173" s="9" t="n">
        <f aca="false">IF(N173="",0,MAX(0,MIN(N(F173),O173-N173))*N(G173))</f>
        <v>0</v>
      </c>
      <c r="Q173" s="9" t="str">
        <f aca="false">IF(AND(C173&lt;&gt;"",C173='Stock Ledger'!$C$4),M173,"")</f>
        <v/>
      </c>
    </row>
    <row r="174" customFormat="false" ht="15" hidden="false" customHeight="false" outlineLevel="0" collapsed="false">
      <c r="A174" s="45" t="str">
        <f aca="false">IF(C174="","",ROW()-6)</f>
        <v/>
      </c>
      <c r="B174" s="85"/>
      <c r="C174" s="80"/>
      <c r="D174" s="47" t="str">
        <f aca="false">IF(C174="","",IFERROR(INDEX('Item Master'!$B$6:$B$105,MATCH(C174,'Item Master'!$A$6:$A$105,0)),"?"))</f>
        <v/>
      </c>
      <c r="E174" s="82"/>
      <c r="F174" s="83"/>
      <c r="G174" s="84"/>
      <c r="H174" s="81"/>
      <c r="I174" s="80"/>
      <c r="J174" s="41" t="str">
        <f aca="false">IF(OR(C174="",G174=""),"",N(F174)*N(G174))</f>
        <v/>
      </c>
      <c r="K174" s="48" t="str">
        <f aca="false">IF(M174="","",N(IFERROR(INDEX('Item Master'!$E$6:$E$105,MATCH(C174,'Item Master'!$A$6:$A$105,0)),0))+SUMIFS($F$7:$F$506,$C$7:$C$506,C174,$E$7:$E$506,"In",$M$7:$M$506,"&lt;="&amp;M174)-SUMIFS($F$7:$F$506,$C$7:$C$506,C174,$E$7:$E$506,"Out",$M$7:$M$506,"&lt;="&amp;M174))</f>
        <v/>
      </c>
      <c r="L174" s="44" t="str">
        <f aca="false">IF(AND(B174="",C174="",F174=""),"",IF(C174="","⚠ Pick item",IF(D174="?","⚠ Code not in Item Master",IF(B174="","⚠ Enter date",IF(OR(E174="",N(F174)&lt;=0),"⚠ Type / quantity missing",IF(AND(E174="In",G174=""),"⚠ Enter purchase rate",IF(OR(B174&lt;Setup!$C$6,B174&gt;Setup!$C$7),"Outside period",IF(K174&lt;0,"⚠ Stock goes negative","✔ OK"))))))))</f>
        <v/>
      </c>
      <c r="M174" s="9" t="str">
        <f aca="false">IF(OR(C174="",B174=""),"",B174+ROW()/1000000)</f>
        <v/>
      </c>
      <c r="N174" s="9" t="str">
        <f aca="false">IF(AND(E174="In",M174&lt;&gt;""),SUMIFS($F$7:$F$506,$C$7:$C$506,C174,$E$7:$E$506,"In",$M$7:$M$506,"&gt;"&amp;M174),"")</f>
        <v/>
      </c>
      <c r="O174" s="9" t="str">
        <f aca="false">IF(N174="","",IFERROR(INDEX('Item Master'!$K$6:$K$105,MATCH(C174,'Item Master'!$A$6:$A$105,0)),0))</f>
        <v/>
      </c>
      <c r="P174" s="9" t="n">
        <f aca="false">IF(N174="",0,MAX(0,MIN(N(F174),O174-N174))*N(G174))</f>
        <v>0</v>
      </c>
      <c r="Q174" s="9" t="str">
        <f aca="false">IF(AND(C174&lt;&gt;"",C174='Stock Ledger'!$C$4),M174,"")</f>
        <v/>
      </c>
    </row>
    <row r="175" customFormat="false" ht="15" hidden="false" customHeight="false" outlineLevel="0" collapsed="false">
      <c r="A175" s="45" t="str">
        <f aca="false">IF(C175="","",ROW()-6)</f>
        <v/>
      </c>
      <c r="B175" s="85"/>
      <c r="C175" s="80"/>
      <c r="D175" s="47" t="str">
        <f aca="false">IF(C175="","",IFERROR(INDEX('Item Master'!$B$6:$B$105,MATCH(C175,'Item Master'!$A$6:$A$105,0)),"?"))</f>
        <v/>
      </c>
      <c r="E175" s="82"/>
      <c r="F175" s="83"/>
      <c r="G175" s="84"/>
      <c r="H175" s="81"/>
      <c r="I175" s="80"/>
      <c r="J175" s="41" t="str">
        <f aca="false">IF(OR(C175="",G175=""),"",N(F175)*N(G175))</f>
        <v/>
      </c>
      <c r="K175" s="48" t="str">
        <f aca="false">IF(M175="","",N(IFERROR(INDEX('Item Master'!$E$6:$E$105,MATCH(C175,'Item Master'!$A$6:$A$105,0)),0))+SUMIFS($F$7:$F$506,$C$7:$C$506,C175,$E$7:$E$506,"In",$M$7:$M$506,"&lt;="&amp;M175)-SUMIFS($F$7:$F$506,$C$7:$C$506,C175,$E$7:$E$506,"Out",$M$7:$M$506,"&lt;="&amp;M175))</f>
        <v/>
      </c>
      <c r="L175" s="44" t="str">
        <f aca="false">IF(AND(B175="",C175="",F175=""),"",IF(C175="","⚠ Pick item",IF(D175="?","⚠ Code not in Item Master",IF(B175="","⚠ Enter date",IF(OR(E175="",N(F175)&lt;=0),"⚠ Type / quantity missing",IF(AND(E175="In",G175=""),"⚠ Enter purchase rate",IF(OR(B175&lt;Setup!$C$6,B175&gt;Setup!$C$7),"Outside period",IF(K175&lt;0,"⚠ Stock goes negative","✔ OK"))))))))</f>
        <v/>
      </c>
      <c r="M175" s="9" t="str">
        <f aca="false">IF(OR(C175="",B175=""),"",B175+ROW()/1000000)</f>
        <v/>
      </c>
      <c r="N175" s="9" t="str">
        <f aca="false">IF(AND(E175="In",M175&lt;&gt;""),SUMIFS($F$7:$F$506,$C$7:$C$506,C175,$E$7:$E$506,"In",$M$7:$M$506,"&gt;"&amp;M175),"")</f>
        <v/>
      </c>
      <c r="O175" s="9" t="str">
        <f aca="false">IF(N175="","",IFERROR(INDEX('Item Master'!$K$6:$K$105,MATCH(C175,'Item Master'!$A$6:$A$105,0)),0))</f>
        <v/>
      </c>
      <c r="P175" s="9" t="n">
        <f aca="false">IF(N175="",0,MAX(0,MIN(N(F175),O175-N175))*N(G175))</f>
        <v>0</v>
      </c>
      <c r="Q175" s="9" t="str">
        <f aca="false">IF(AND(C175&lt;&gt;"",C175='Stock Ledger'!$C$4),M175,"")</f>
        <v/>
      </c>
    </row>
    <row r="176" customFormat="false" ht="15" hidden="false" customHeight="false" outlineLevel="0" collapsed="false">
      <c r="A176" s="45" t="str">
        <f aca="false">IF(C176="","",ROW()-6)</f>
        <v/>
      </c>
      <c r="B176" s="85"/>
      <c r="C176" s="80"/>
      <c r="D176" s="47" t="str">
        <f aca="false">IF(C176="","",IFERROR(INDEX('Item Master'!$B$6:$B$105,MATCH(C176,'Item Master'!$A$6:$A$105,0)),"?"))</f>
        <v/>
      </c>
      <c r="E176" s="82"/>
      <c r="F176" s="83"/>
      <c r="G176" s="84"/>
      <c r="H176" s="81"/>
      <c r="I176" s="80"/>
      <c r="J176" s="41" t="str">
        <f aca="false">IF(OR(C176="",G176=""),"",N(F176)*N(G176))</f>
        <v/>
      </c>
      <c r="K176" s="48" t="str">
        <f aca="false">IF(M176="","",N(IFERROR(INDEX('Item Master'!$E$6:$E$105,MATCH(C176,'Item Master'!$A$6:$A$105,0)),0))+SUMIFS($F$7:$F$506,$C$7:$C$506,C176,$E$7:$E$506,"In",$M$7:$M$506,"&lt;="&amp;M176)-SUMIFS($F$7:$F$506,$C$7:$C$506,C176,$E$7:$E$506,"Out",$M$7:$M$506,"&lt;="&amp;M176))</f>
        <v/>
      </c>
      <c r="L176" s="44" t="str">
        <f aca="false">IF(AND(B176="",C176="",F176=""),"",IF(C176="","⚠ Pick item",IF(D176="?","⚠ Code not in Item Master",IF(B176="","⚠ Enter date",IF(OR(E176="",N(F176)&lt;=0),"⚠ Type / quantity missing",IF(AND(E176="In",G176=""),"⚠ Enter purchase rate",IF(OR(B176&lt;Setup!$C$6,B176&gt;Setup!$C$7),"Outside period",IF(K176&lt;0,"⚠ Stock goes negative","✔ OK"))))))))</f>
        <v/>
      </c>
      <c r="M176" s="9" t="str">
        <f aca="false">IF(OR(C176="",B176=""),"",B176+ROW()/1000000)</f>
        <v/>
      </c>
      <c r="N176" s="9" t="str">
        <f aca="false">IF(AND(E176="In",M176&lt;&gt;""),SUMIFS($F$7:$F$506,$C$7:$C$506,C176,$E$7:$E$506,"In",$M$7:$M$506,"&gt;"&amp;M176),"")</f>
        <v/>
      </c>
      <c r="O176" s="9" t="str">
        <f aca="false">IF(N176="","",IFERROR(INDEX('Item Master'!$K$6:$K$105,MATCH(C176,'Item Master'!$A$6:$A$105,0)),0))</f>
        <v/>
      </c>
      <c r="P176" s="9" t="n">
        <f aca="false">IF(N176="",0,MAX(0,MIN(N(F176),O176-N176))*N(G176))</f>
        <v>0</v>
      </c>
      <c r="Q176" s="9" t="str">
        <f aca="false">IF(AND(C176&lt;&gt;"",C176='Stock Ledger'!$C$4),M176,"")</f>
        <v/>
      </c>
    </row>
    <row r="177" customFormat="false" ht="15" hidden="false" customHeight="false" outlineLevel="0" collapsed="false">
      <c r="A177" s="45" t="str">
        <f aca="false">IF(C177="","",ROW()-6)</f>
        <v/>
      </c>
      <c r="B177" s="85"/>
      <c r="C177" s="80"/>
      <c r="D177" s="47" t="str">
        <f aca="false">IF(C177="","",IFERROR(INDEX('Item Master'!$B$6:$B$105,MATCH(C177,'Item Master'!$A$6:$A$105,0)),"?"))</f>
        <v/>
      </c>
      <c r="E177" s="82"/>
      <c r="F177" s="83"/>
      <c r="G177" s="84"/>
      <c r="H177" s="81"/>
      <c r="I177" s="80"/>
      <c r="J177" s="41" t="str">
        <f aca="false">IF(OR(C177="",G177=""),"",N(F177)*N(G177))</f>
        <v/>
      </c>
      <c r="K177" s="48" t="str">
        <f aca="false">IF(M177="","",N(IFERROR(INDEX('Item Master'!$E$6:$E$105,MATCH(C177,'Item Master'!$A$6:$A$105,0)),0))+SUMIFS($F$7:$F$506,$C$7:$C$506,C177,$E$7:$E$506,"In",$M$7:$M$506,"&lt;="&amp;M177)-SUMIFS($F$7:$F$506,$C$7:$C$506,C177,$E$7:$E$506,"Out",$M$7:$M$506,"&lt;="&amp;M177))</f>
        <v/>
      </c>
      <c r="L177" s="44" t="str">
        <f aca="false">IF(AND(B177="",C177="",F177=""),"",IF(C177="","⚠ Pick item",IF(D177="?","⚠ Code not in Item Master",IF(B177="","⚠ Enter date",IF(OR(E177="",N(F177)&lt;=0),"⚠ Type / quantity missing",IF(AND(E177="In",G177=""),"⚠ Enter purchase rate",IF(OR(B177&lt;Setup!$C$6,B177&gt;Setup!$C$7),"Outside period",IF(K177&lt;0,"⚠ Stock goes negative","✔ OK"))))))))</f>
        <v/>
      </c>
      <c r="M177" s="9" t="str">
        <f aca="false">IF(OR(C177="",B177=""),"",B177+ROW()/1000000)</f>
        <v/>
      </c>
      <c r="N177" s="9" t="str">
        <f aca="false">IF(AND(E177="In",M177&lt;&gt;""),SUMIFS($F$7:$F$506,$C$7:$C$506,C177,$E$7:$E$506,"In",$M$7:$M$506,"&gt;"&amp;M177),"")</f>
        <v/>
      </c>
      <c r="O177" s="9" t="str">
        <f aca="false">IF(N177="","",IFERROR(INDEX('Item Master'!$K$6:$K$105,MATCH(C177,'Item Master'!$A$6:$A$105,0)),0))</f>
        <v/>
      </c>
      <c r="P177" s="9" t="n">
        <f aca="false">IF(N177="",0,MAX(0,MIN(N(F177),O177-N177))*N(G177))</f>
        <v>0</v>
      </c>
      <c r="Q177" s="9" t="str">
        <f aca="false">IF(AND(C177&lt;&gt;"",C177='Stock Ledger'!$C$4),M177,"")</f>
        <v/>
      </c>
    </row>
    <row r="178" customFormat="false" ht="15" hidden="false" customHeight="false" outlineLevel="0" collapsed="false">
      <c r="A178" s="45" t="str">
        <f aca="false">IF(C178="","",ROW()-6)</f>
        <v/>
      </c>
      <c r="B178" s="85"/>
      <c r="C178" s="80"/>
      <c r="D178" s="47" t="str">
        <f aca="false">IF(C178="","",IFERROR(INDEX('Item Master'!$B$6:$B$105,MATCH(C178,'Item Master'!$A$6:$A$105,0)),"?"))</f>
        <v/>
      </c>
      <c r="E178" s="82"/>
      <c r="F178" s="83"/>
      <c r="G178" s="84"/>
      <c r="H178" s="81"/>
      <c r="I178" s="80"/>
      <c r="J178" s="41" t="str">
        <f aca="false">IF(OR(C178="",G178=""),"",N(F178)*N(G178))</f>
        <v/>
      </c>
      <c r="K178" s="48" t="str">
        <f aca="false">IF(M178="","",N(IFERROR(INDEX('Item Master'!$E$6:$E$105,MATCH(C178,'Item Master'!$A$6:$A$105,0)),0))+SUMIFS($F$7:$F$506,$C$7:$C$506,C178,$E$7:$E$506,"In",$M$7:$M$506,"&lt;="&amp;M178)-SUMIFS($F$7:$F$506,$C$7:$C$506,C178,$E$7:$E$506,"Out",$M$7:$M$506,"&lt;="&amp;M178))</f>
        <v/>
      </c>
      <c r="L178" s="44" t="str">
        <f aca="false">IF(AND(B178="",C178="",F178=""),"",IF(C178="","⚠ Pick item",IF(D178="?","⚠ Code not in Item Master",IF(B178="","⚠ Enter date",IF(OR(E178="",N(F178)&lt;=0),"⚠ Type / quantity missing",IF(AND(E178="In",G178=""),"⚠ Enter purchase rate",IF(OR(B178&lt;Setup!$C$6,B178&gt;Setup!$C$7),"Outside period",IF(K178&lt;0,"⚠ Stock goes negative","✔ OK"))))))))</f>
        <v/>
      </c>
      <c r="M178" s="9" t="str">
        <f aca="false">IF(OR(C178="",B178=""),"",B178+ROW()/1000000)</f>
        <v/>
      </c>
      <c r="N178" s="9" t="str">
        <f aca="false">IF(AND(E178="In",M178&lt;&gt;""),SUMIFS($F$7:$F$506,$C$7:$C$506,C178,$E$7:$E$506,"In",$M$7:$M$506,"&gt;"&amp;M178),"")</f>
        <v/>
      </c>
      <c r="O178" s="9" t="str">
        <f aca="false">IF(N178="","",IFERROR(INDEX('Item Master'!$K$6:$K$105,MATCH(C178,'Item Master'!$A$6:$A$105,0)),0))</f>
        <v/>
      </c>
      <c r="P178" s="9" t="n">
        <f aca="false">IF(N178="",0,MAX(0,MIN(N(F178),O178-N178))*N(G178))</f>
        <v>0</v>
      </c>
      <c r="Q178" s="9" t="str">
        <f aca="false">IF(AND(C178&lt;&gt;"",C178='Stock Ledger'!$C$4),M178,"")</f>
        <v/>
      </c>
    </row>
    <row r="179" customFormat="false" ht="15" hidden="false" customHeight="false" outlineLevel="0" collapsed="false">
      <c r="A179" s="45" t="str">
        <f aca="false">IF(C179="","",ROW()-6)</f>
        <v/>
      </c>
      <c r="B179" s="85"/>
      <c r="C179" s="80"/>
      <c r="D179" s="47" t="str">
        <f aca="false">IF(C179="","",IFERROR(INDEX('Item Master'!$B$6:$B$105,MATCH(C179,'Item Master'!$A$6:$A$105,0)),"?"))</f>
        <v/>
      </c>
      <c r="E179" s="82"/>
      <c r="F179" s="83"/>
      <c r="G179" s="84"/>
      <c r="H179" s="81"/>
      <c r="I179" s="80"/>
      <c r="J179" s="41" t="str">
        <f aca="false">IF(OR(C179="",G179=""),"",N(F179)*N(G179))</f>
        <v/>
      </c>
      <c r="K179" s="48" t="str">
        <f aca="false">IF(M179="","",N(IFERROR(INDEX('Item Master'!$E$6:$E$105,MATCH(C179,'Item Master'!$A$6:$A$105,0)),0))+SUMIFS($F$7:$F$506,$C$7:$C$506,C179,$E$7:$E$506,"In",$M$7:$M$506,"&lt;="&amp;M179)-SUMIFS($F$7:$F$506,$C$7:$C$506,C179,$E$7:$E$506,"Out",$M$7:$M$506,"&lt;="&amp;M179))</f>
        <v/>
      </c>
      <c r="L179" s="44" t="str">
        <f aca="false">IF(AND(B179="",C179="",F179=""),"",IF(C179="","⚠ Pick item",IF(D179="?","⚠ Code not in Item Master",IF(B179="","⚠ Enter date",IF(OR(E179="",N(F179)&lt;=0),"⚠ Type / quantity missing",IF(AND(E179="In",G179=""),"⚠ Enter purchase rate",IF(OR(B179&lt;Setup!$C$6,B179&gt;Setup!$C$7),"Outside period",IF(K179&lt;0,"⚠ Stock goes negative","✔ OK"))))))))</f>
        <v/>
      </c>
      <c r="M179" s="9" t="str">
        <f aca="false">IF(OR(C179="",B179=""),"",B179+ROW()/1000000)</f>
        <v/>
      </c>
      <c r="N179" s="9" t="str">
        <f aca="false">IF(AND(E179="In",M179&lt;&gt;""),SUMIFS($F$7:$F$506,$C$7:$C$506,C179,$E$7:$E$506,"In",$M$7:$M$506,"&gt;"&amp;M179),"")</f>
        <v/>
      </c>
      <c r="O179" s="9" t="str">
        <f aca="false">IF(N179="","",IFERROR(INDEX('Item Master'!$K$6:$K$105,MATCH(C179,'Item Master'!$A$6:$A$105,0)),0))</f>
        <v/>
      </c>
      <c r="P179" s="9" t="n">
        <f aca="false">IF(N179="",0,MAX(0,MIN(N(F179),O179-N179))*N(G179))</f>
        <v>0</v>
      </c>
      <c r="Q179" s="9" t="str">
        <f aca="false">IF(AND(C179&lt;&gt;"",C179='Stock Ledger'!$C$4),M179,"")</f>
        <v/>
      </c>
    </row>
    <row r="180" customFormat="false" ht="15" hidden="false" customHeight="false" outlineLevel="0" collapsed="false">
      <c r="A180" s="45" t="str">
        <f aca="false">IF(C180="","",ROW()-6)</f>
        <v/>
      </c>
      <c r="B180" s="85"/>
      <c r="C180" s="80"/>
      <c r="D180" s="47" t="str">
        <f aca="false">IF(C180="","",IFERROR(INDEX('Item Master'!$B$6:$B$105,MATCH(C180,'Item Master'!$A$6:$A$105,0)),"?"))</f>
        <v/>
      </c>
      <c r="E180" s="82"/>
      <c r="F180" s="83"/>
      <c r="G180" s="84"/>
      <c r="H180" s="81"/>
      <c r="I180" s="80"/>
      <c r="J180" s="41" t="str">
        <f aca="false">IF(OR(C180="",G180=""),"",N(F180)*N(G180))</f>
        <v/>
      </c>
      <c r="K180" s="48" t="str">
        <f aca="false">IF(M180="","",N(IFERROR(INDEX('Item Master'!$E$6:$E$105,MATCH(C180,'Item Master'!$A$6:$A$105,0)),0))+SUMIFS($F$7:$F$506,$C$7:$C$506,C180,$E$7:$E$506,"In",$M$7:$M$506,"&lt;="&amp;M180)-SUMIFS($F$7:$F$506,$C$7:$C$506,C180,$E$7:$E$506,"Out",$M$7:$M$506,"&lt;="&amp;M180))</f>
        <v/>
      </c>
      <c r="L180" s="44" t="str">
        <f aca="false">IF(AND(B180="",C180="",F180=""),"",IF(C180="","⚠ Pick item",IF(D180="?","⚠ Code not in Item Master",IF(B180="","⚠ Enter date",IF(OR(E180="",N(F180)&lt;=0),"⚠ Type / quantity missing",IF(AND(E180="In",G180=""),"⚠ Enter purchase rate",IF(OR(B180&lt;Setup!$C$6,B180&gt;Setup!$C$7),"Outside period",IF(K180&lt;0,"⚠ Stock goes negative","✔ OK"))))))))</f>
        <v/>
      </c>
      <c r="M180" s="9" t="str">
        <f aca="false">IF(OR(C180="",B180=""),"",B180+ROW()/1000000)</f>
        <v/>
      </c>
      <c r="N180" s="9" t="str">
        <f aca="false">IF(AND(E180="In",M180&lt;&gt;""),SUMIFS($F$7:$F$506,$C$7:$C$506,C180,$E$7:$E$506,"In",$M$7:$M$506,"&gt;"&amp;M180),"")</f>
        <v/>
      </c>
      <c r="O180" s="9" t="str">
        <f aca="false">IF(N180="","",IFERROR(INDEX('Item Master'!$K$6:$K$105,MATCH(C180,'Item Master'!$A$6:$A$105,0)),0))</f>
        <v/>
      </c>
      <c r="P180" s="9" t="n">
        <f aca="false">IF(N180="",0,MAX(0,MIN(N(F180),O180-N180))*N(G180))</f>
        <v>0</v>
      </c>
      <c r="Q180" s="9" t="str">
        <f aca="false">IF(AND(C180&lt;&gt;"",C180='Stock Ledger'!$C$4),M180,"")</f>
        <v/>
      </c>
    </row>
    <row r="181" customFormat="false" ht="15" hidden="false" customHeight="false" outlineLevel="0" collapsed="false">
      <c r="A181" s="45" t="str">
        <f aca="false">IF(C181="","",ROW()-6)</f>
        <v/>
      </c>
      <c r="B181" s="85"/>
      <c r="C181" s="80"/>
      <c r="D181" s="47" t="str">
        <f aca="false">IF(C181="","",IFERROR(INDEX('Item Master'!$B$6:$B$105,MATCH(C181,'Item Master'!$A$6:$A$105,0)),"?"))</f>
        <v/>
      </c>
      <c r="E181" s="82"/>
      <c r="F181" s="83"/>
      <c r="G181" s="84"/>
      <c r="H181" s="81"/>
      <c r="I181" s="80"/>
      <c r="J181" s="41" t="str">
        <f aca="false">IF(OR(C181="",G181=""),"",N(F181)*N(G181))</f>
        <v/>
      </c>
      <c r="K181" s="48" t="str">
        <f aca="false">IF(M181="","",N(IFERROR(INDEX('Item Master'!$E$6:$E$105,MATCH(C181,'Item Master'!$A$6:$A$105,0)),0))+SUMIFS($F$7:$F$506,$C$7:$C$506,C181,$E$7:$E$506,"In",$M$7:$M$506,"&lt;="&amp;M181)-SUMIFS($F$7:$F$506,$C$7:$C$506,C181,$E$7:$E$506,"Out",$M$7:$M$506,"&lt;="&amp;M181))</f>
        <v/>
      </c>
      <c r="L181" s="44" t="str">
        <f aca="false">IF(AND(B181="",C181="",F181=""),"",IF(C181="","⚠ Pick item",IF(D181="?","⚠ Code not in Item Master",IF(B181="","⚠ Enter date",IF(OR(E181="",N(F181)&lt;=0),"⚠ Type / quantity missing",IF(AND(E181="In",G181=""),"⚠ Enter purchase rate",IF(OR(B181&lt;Setup!$C$6,B181&gt;Setup!$C$7),"Outside period",IF(K181&lt;0,"⚠ Stock goes negative","✔ OK"))))))))</f>
        <v/>
      </c>
      <c r="M181" s="9" t="str">
        <f aca="false">IF(OR(C181="",B181=""),"",B181+ROW()/1000000)</f>
        <v/>
      </c>
      <c r="N181" s="9" t="str">
        <f aca="false">IF(AND(E181="In",M181&lt;&gt;""),SUMIFS($F$7:$F$506,$C$7:$C$506,C181,$E$7:$E$506,"In",$M$7:$M$506,"&gt;"&amp;M181),"")</f>
        <v/>
      </c>
      <c r="O181" s="9" t="str">
        <f aca="false">IF(N181="","",IFERROR(INDEX('Item Master'!$K$6:$K$105,MATCH(C181,'Item Master'!$A$6:$A$105,0)),0))</f>
        <v/>
      </c>
      <c r="P181" s="9" t="n">
        <f aca="false">IF(N181="",0,MAX(0,MIN(N(F181),O181-N181))*N(G181))</f>
        <v>0</v>
      </c>
      <c r="Q181" s="9" t="str">
        <f aca="false">IF(AND(C181&lt;&gt;"",C181='Stock Ledger'!$C$4),M181,"")</f>
        <v/>
      </c>
    </row>
    <row r="182" customFormat="false" ht="15" hidden="false" customHeight="false" outlineLevel="0" collapsed="false">
      <c r="A182" s="45" t="str">
        <f aca="false">IF(C182="","",ROW()-6)</f>
        <v/>
      </c>
      <c r="B182" s="85"/>
      <c r="C182" s="80"/>
      <c r="D182" s="47" t="str">
        <f aca="false">IF(C182="","",IFERROR(INDEX('Item Master'!$B$6:$B$105,MATCH(C182,'Item Master'!$A$6:$A$105,0)),"?"))</f>
        <v/>
      </c>
      <c r="E182" s="82"/>
      <c r="F182" s="83"/>
      <c r="G182" s="84"/>
      <c r="H182" s="81"/>
      <c r="I182" s="80"/>
      <c r="J182" s="41" t="str">
        <f aca="false">IF(OR(C182="",G182=""),"",N(F182)*N(G182))</f>
        <v/>
      </c>
      <c r="K182" s="48" t="str">
        <f aca="false">IF(M182="","",N(IFERROR(INDEX('Item Master'!$E$6:$E$105,MATCH(C182,'Item Master'!$A$6:$A$105,0)),0))+SUMIFS($F$7:$F$506,$C$7:$C$506,C182,$E$7:$E$506,"In",$M$7:$M$506,"&lt;="&amp;M182)-SUMIFS($F$7:$F$506,$C$7:$C$506,C182,$E$7:$E$506,"Out",$M$7:$M$506,"&lt;="&amp;M182))</f>
        <v/>
      </c>
      <c r="L182" s="44" t="str">
        <f aca="false">IF(AND(B182="",C182="",F182=""),"",IF(C182="","⚠ Pick item",IF(D182="?","⚠ Code not in Item Master",IF(B182="","⚠ Enter date",IF(OR(E182="",N(F182)&lt;=0),"⚠ Type / quantity missing",IF(AND(E182="In",G182=""),"⚠ Enter purchase rate",IF(OR(B182&lt;Setup!$C$6,B182&gt;Setup!$C$7),"Outside period",IF(K182&lt;0,"⚠ Stock goes negative","✔ OK"))))))))</f>
        <v/>
      </c>
      <c r="M182" s="9" t="str">
        <f aca="false">IF(OR(C182="",B182=""),"",B182+ROW()/1000000)</f>
        <v/>
      </c>
      <c r="N182" s="9" t="str">
        <f aca="false">IF(AND(E182="In",M182&lt;&gt;""),SUMIFS($F$7:$F$506,$C$7:$C$506,C182,$E$7:$E$506,"In",$M$7:$M$506,"&gt;"&amp;M182),"")</f>
        <v/>
      </c>
      <c r="O182" s="9" t="str">
        <f aca="false">IF(N182="","",IFERROR(INDEX('Item Master'!$K$6:$K$105,MATCH(C182,'Item Master'!$A$6:$A$105,0)),0))</f>
        <v/>
      </c>
      <c r="P182" s="9" t="n">
        <f aca="false">IF(N182="",0,MAX(0,MIN(N(F182),O182-N182))*N(G182))</f>
        <v>0</v>
      </c>
      <c r="Q182" s="9" t="str">
        <f aca="false">IF(AND(C182&lt;&gt;"",C182='Stock Ledger'!$C$4),M182,"")</f>
        <v/>
      </c>
    </row>
    <row r="183" customFormat="false" ht="15" hidden="false" customHeight="false" outlineLevel="0" collapsed="false">
      <c r="A183" s="45" t="str">
        <f aca="false">IF(C183="","",ROW()-6)</f>
        <v/>
      </c>
      <c r="B183" s="85"/>
      <c r="C183" s="80"/>
      <c r="D183" s="47" t="str">
        <f aca="false">IF(C183="","",IFERROR(INDEX('Item Master'!$B$6:$B$105,MATCH(C183,'Item Master'!$A$6:$A$105,0)),"?"))</f>
        <v/>
      </c>
      <c r="E183" s="82"/>
      <c r="F183" s="83"/>
      <c r="G183" s="84"/>
      <c r="H183" s="81"/>
      <c r="I183" s="80"/>
      <c r="J183" s="41" t="str">
        <f aca="false">IF(OR(C183="",G183=""),"",N(F183)*N(G183))</f>
        <v/>
      </c>
      <c r="K183" s="48" t="str">
        <f aca="false">IF(M183="","",N(IFERROR(INDEX('Item Master'!$E$6:$E$105,MATCH(C183,'Item Master'!$A$6:$A$105,0)),0))+SUMIFS($F$7:$F$506,$C$7:$C$506,C183,$E$7:$E$506,"In",$M$7:$M$506,"&lt;="&amp;M183)-SUMIFS($F$7:$F$506,$C$7:$C$506,C183,$E$7:$E$506,"Out",$M$7:$M$506,"&lt;="&amp;M183))</f>
        <v/>
      </c>
      <c r="L183" s="44" t="str">
        <f aca="false">IF(AND(B183="",C183="",F183=""),"",IF(C183="","⚠ Pick item",IF(D183="?","⚠ Code not in Item Master",IF(B183="","⚠ Enter date",IF(OR(E183="",N(F183)&lt;=0),"⚠ Type / quantity missing",IF(AND(E183="In",G183=""),"⚠ Enter purchase rate",IF(OR(B183&lt;Setup!$C$6,B183&gt;Setup!$C$7),"Outside period",IF(K183&lt;0,"⚠ Stock goes negative","✔ OK"))))))))</f>
        <v/>
      </c>
      <c r="M183" s="9" t="str">
        <f aca="false">IF(OR(C183="",B183=""),"",B183+ROW()/1000000)</f>
        <v/>
      </c>
      <c r="N183" s="9" t="str">
        <f aca="false">IF(AND(E183="In",M183&lt;&gt;""),SUMIFS($F$7:$F$506,$C$7:$C$506,C183,$E$7:$E$506,"In",$M$7:$M$506,"&gt;"&amp;M183),"")</f>
        <v/>
      </c>
      <c r="O183" s="9" t="str">
        <f aca="false">IF(N183="","",IFERROR(INDEX('Item Master'!$K$6:$K$105,MATCH(C183,'Item Master'!$A$6:$A$105,0)),0))</f>
        <v/>
      </c>
      <c r="P183" s="9" t="n">
        <f aca="false">IF(N183="",0,MAX(0,MIN(N(F183),O183-N183))*N(G183))</f>
        <v>0</v>
      </c>
      <c r="Q183" s="9" t="str">
        <f aca="false">IF(AND(C183&lt;&gt;"",C183='Stock Ledger'!$C$4),M183,"")</f>
        <v/>
      </c>
    </row>
    <row r="184" customFormat="false" ht="15" hidden="false" customHeight="false" outlineLevel="0" collapsed="false">
      <c r="A184" s="45" t="str">
        <f aca="false">IF(C184="","",ROW()-6)</f>
        <v/>
      </c>
      <c r="B184" s="85"/>
      <c r="C184" s="80"/>
      <c r="D184" s="47" t="str">
        <f aca="false">IF(C184="","",IFERROR(INDEX('Item Master'!$B$6:$B$105,MATCH(C184,'Item Master'!$A$6:$A$105,0)),"?"))</f>
        <v/>
      </c>
      <c r="E184" s="82"/>
      <c r="F184" s="83"/>
      <c r="G184" s="84"/>
      <c r="H184" s="81"/>
      <c r="I184" s="80"/>
      <c r="J184" s="41" t="str">
        <f aca="false">IF(OR(C184="",G184=""),"",N(F184)*N(G184))</f>
        <v/>
      </c>
      <c r="K184" s="48" t="str">
        <f aca="false">IF(M184="","",N(IFERROR(INDEX('Item Master'!$E$6:$E$105,MATCH(C184,'Item Master'!$A$6:$A$105,0)),0))+SUMIFS($F$7:$F$506,$C$7:$C$506,C184,$E$7:$E$506,"In",$M$7:$M$506,"&lt;="&amp;M184)-SUMIFS($F$7:$F$506,$C$7:$C$506,C184,$E$7:$E$506,"Out",$M$7:$M$506,"&lt;="&amp;M184))</f>
        <v/>
      </c>
      <c r="L184" s="44" t="str">
        <f aca="false">IF(AND(B184="",C184="",F184=""),"",IF(C184="","⚠ Pick item",IF(D184="?","⚠ Code not in Item Master",IF(B184="","⚠ Enter date",IF(OR(E184="",N(F184)&lt;=0),"⚠ Type / quantity missing",IF(AND(E184="In",G184=""),"⚠ Enter purchase rate",IF(OR(B184&lt;Setup!$C$6,B184&gt;Setup!$C$7),"Outside period",IF(K184&lt;0,"⚠ Stock goes negative","✔ OK"))))))))</f>
        <v/>
      </c>
      <c r="M184" s="9" t="str">
        <f aca="false">IF(OR(C184="",B184=""),"",B184+ROW()/1000000)</f>
        <v/>
      </c>
      <c r="N184" s="9" t="str">
        <f aca="false">IF(AND(E184="In",M184&lt;&gt;""),SUMIFS($F$7:$F$506,$C$7:$C$506,C184,$E$7:$E$506,"In",$M$7:$M$506,"&gt;"&amp;M184),"")</f>
        <v/>
      </c>
      <c r="O184" s="9" t="str">
        <f aca="false">IF(N184="","",IFERROR(INDEX('Item Master'!$K$6:$K$105,MATCH(C184,'Item Master'!$A$6:$A$105,0)),0))</f>
        <v/>
      </c>
      <c r="P184" s="9" t="n">
        <f aca="false">IF(N184="",0,MAX(0,MIN(N(F184),O184-N184))*N(G184))</f>
        <v>0</v>
      </c>
      <c r="Q184" s="9" t="str">
        <f aca="false">IF(AND(C184&lt;&gt;"",C184='Stock Ledger'!$C$4),M184,"")</f>
        <v/>
      </c>
    </row>
    <row r="185" customFormat="false" ht="15" hidden="false" customHeight="false" outlineLevel="0" collapsed="false">
      <c r="A185" s="45" t="str">
        <f aca="false">IF(C185="","",ROW()-6)</f>
        <v/>
      </c>
      <c r="B185" s="85"/>
      <c r="C185" s="80"/>
      <c r="D185" s="47" t="str">
        <f aca="false">IF(C185="","",IFERROR(INDEX('Item Master'!$B$6:$B$105,MATCH(C185,'Item Master'!$A$6:$A$105,0)),"?"))</f>
        <v/>
      </c>
      <c r="E185" s="82"/>
      <c r="F185" s="83"/>
      <c r="G185" s="84"/>
      <c r="H185" s="81"/>
      <c r="I185" s="80"/>
      <c r="J185" s="41" t="str">
        <f aca="false">IF(OR(C185="",G185=""),"",N(F185)*N(G185))</f>
        <v/>
      </c>
      <c r="K185" s="48" t="str">
        <f aca="false">IF(M185="","",N(IFERROR(INDEX('Item Master'!$E$6:$E$105,MATCH(C185,'Item Master'!$A$6:$A$105,0)),0))+SUMIFS($F$7:$F$506,$C$7:$C$506,C185,$E$7:$E$506,"In",$M$7:$M$506,"&lt;="&amp;M185)-SUMIFS($F$7:$F$506,$C$7:$C$506,C185,$E$7:$E$506,"Out",$M$7:$M$506,"&lt;="&amp;M185))</f>
        <v/>
      </c>
      <c r="L185" s="44" t="str">
        <f aca="false">IF(AND(B185="",C185="",F185=""),"",IF(C185="","⚠ Pick item",IF(D185="?","⚠ Code not in Item Master",IF(B185="","⚠ Enter date",IF(OR(E185="",N(F185)&lt;=0),"⚠ Type / quantity missing",IF(AND(E185="In",G185=""),"⚠ Enter purchase rate",IF(OR(B185&lt;Setup!$C$6,B185&gt;Setup!$C$7),"Outside period",IF(K185&lt;0,"⚠ Stock goes negative","✔ OK"))))))))</f>
        <v/>
      </c>
      <c r="M185" s="9" t="str">
        <f aca="false">IF(OR(C185="",B185=""),"",B185+ROW()/1000000)</f>
        <v/>
      </c>
      <c r="N185" s="9" t="str">
        <f aca="false">IF(AND(E185="In",M185&lt;&gt;""),SUMIFS($F$7:$F$506,$C$7:$C$506,C185,$E$7:$E$506,"In",$M$7:$M$506,"&gt;"&amp;M185),"")</f>
        <v/>
      </c>
      <c r="O185" s="9" t="str">
        <f aca="false">IF(N185="","",IFERROR(INDEX('Item Master'!$K$6:$K$105,MATCH(C185,'Item Master'!$A$6:$A$105,0)),0))</f>
        <v/>
      </c>
      <c r="P185" s="9" t="n">
        <f aca="false">IF(N185="",0,MAX(0,MIN(N(F185),O185-N185))*N(G185))</f>
        <v>0</v>
      </c>
      <c r="Q185" s="9" t="str">
        <f aca="false">IF(AND(C185&lt;&gt;"",C185='Stock Ledger'!$C$4),M185,"")</f>
        <v/>
      </c>
    </row>
    <row r="186" customFormat="false" ht="15" hidden="false" customHeight="false" outlineLevel="0" collapsed="false">
      <c r="A186" s="45" t="str">
        <f aca="false">IF(C186="","",ROW()-6)</f>
        <v/>
      </c>
      <c r="B186" s="85"/>
      <c r="C186" s="80"/>
      <c r="D186" s="47" t="str">
        <f aca="false">IF(C186="","",IFERROR(INDEX('Item Master'!$B$6:$B$105,MATCH(C186,'Item Master'!$A$6:$A$105,0)),"?"))</f>
        <v/>
      </c>
      <c r="E186" s="82"/>
      <c r="F186" s="83"/>
      <c r="G186" s="84"/>
      <c r="H186" s="81"/>
      <c r="I186" s="80"/>
      <c r="J186" s="41" t="str">
        <f aca="false">IF(OR(C186="",G186=""),"",N(F186)*N(G186))</f>
        <v/>
      </c>
      <c r="K186" s="48" t="str">
        <f aca="false">IF(M186="","",N(IFERROR(INDEX('Item Master'!$E$6:$E$105,MATCH(C186,'Item Master'!$A$6:$A$105,0)),0))+SUMIFS($F$7:$F$506,$C$7:$C$506,C186,$E$7:$E$506,"In",$M$7:$M$506,"&lt;="&amp;M186)-SUMIFS($F$7:$F$506,$C$7:$C$506,C186,$E$7:$E$506,"Out",$M$7:$M$506,"&lt;="&amp;M186))</f>
        <v/>
      </c>
      <c r="L186" s="44" t="str">
        <f aca="false">IF(AND(B186="",C186="",F186=""),"",IF(C186="","⚠ Pick item",IF(D186="?","⚠ Code not in Item Master",IF(B186="","⚠ Enter date",IF(OR(E186="",N(F186)&lt;=0),"⚠ Type / quantity missing",IF(AND(E186="In",G186=""),"⚠ Enter purchase rate",IF(OR(B186&lt;Setup!$C$6,B186&gt;Setup!$C$7),"Outside period",IF(K186&lt;0,"⚠ Stock goes negative","✔ OK"))))))))</f>
        <v/>
      </c>
      <c r="M186" s="9" t="str">
        <f aca="false">IF(OR(C186="",B186=""),"",B186+ROW()/1000000)</f>
        <v/>
      </c>
      <c r="N186" s="9" t="str">
        <f aca="false">IF(AND(E186="In",M186&lt;&gt;""),SUMIFS($F$7:$F$506,$C$7:$C$506,C186,$E$7:$E$506,"In",$M$7:$M$506,"&gt;"&amp;M186),"")</f>
        <v/>
      </c>
      <c r="O186" s="9" t="str">
        <f aca="false">IF(N186="","",IFERROR(INDEX('Item Master'!$K$6:$K$105,MATCH(C186,'Item Master'!$A$6:$A$105,0)),0))</f>
        <v/>
      </c>
      <c r="P186" s="9" t="n">
        <f aca="false">IF(N186="",0,MAX(0,MIN(N(F186),O186-N186))*N(G186))</f>
        <v>0</v>
      </c>
      <c r="Q186" s="9" t="str">
        <f aca="false">IF(AND(C186&lt;&gt;"",C186='Stock Ledger'!$C$4),M186,"")</f>
        <v/>
      </c>
    </row>
    <row r="187" customFormat="false" ht="15" hidden="false" customHeight="false" outlineLevel="0" collapsed="false">
      <c r="A187" s="45" t="str">
        <f aca="false">IF(C187="","",ROW()-6)</f>
        <v/>
      </c>
      <c r="B187" s="85"/>
      <c r="C187" s="80"/>
      <c r="D187" s="47" t="str">
        <f aca="false">IF(C187="","",IFERROR(INDEX('Item Master'!$B$6:$B$105,MATCH(C187,'Item Master'!$A$6:$A$105,0)),"?"))</f>
        <v/>
      </c>
      <c r="E187" s="82"/>
      <c r="F187" s="83"/>
      <c r="G187" s="84"/>
      <c r="H187" s="81"/>
      <c r="I187" s="80"/>
      <c r="J187" s="41" t="str">
        <f aca="false">IF(OR(C187="",G187=""),"",N(F187)*N(G187))</f>
        <v/>
      </c>
      <c r="K187" s="48" t="str">
        <f aca="false">IF(M187="","",N(IFERROR(INDEX('Item Master'!$E$6:$E$105,MATCH(C187,'Item Master'!$A$6:$A$105,0)),0))+SUMIFS($F$7:$F$506,$C$7:$C$506,C187,$E$7:$E$506,"In",$M$7:$M$506,"&lt;="&amp;M187)-SUMIFS($F$7:$F$506,$C$7:$C$506,C187,$E$7:$E$506,"Out",$M$7:$M$506,"&lt;="&amp;M187))</f>
        <v/>
      </c>
      <c r="L187" s="44" t="str">
        <f aca="false">IF(AND(B187="",C187="",F187=""),"",IF(C187="","⚠ Pick item",IF(D187="?","⚠ Code not in Item Master",IF(B187="","⚠ Enter date",IF(OR(E187="",N(F187)&lt;=0),"⚠ Type / quantity missing",IF(AND(E187="In",G187=""),"⚠ Enter purchase rate",IF(OR(B187&lt;Setup!$C$6,B187&gt;Setup!$C$7),"Outside period",IF(K187&lt;0,"⚠ Stock goes negative","✔ OK"))))))))</f>
        <v/>
      </c>
      <c r="M187" s="9" t="str">
        <f aca="false">IF(OR(C187="",B187=""),"",B187+ROW()/1000000)</f>
        <v/>
      </c>
      <c r="N187" s="9" t="str">
        <f aca="false">IF(AND(E187="In",M187&lt;&gt;""),SUMIFS($F$7:$F$506,$C$7:$C$506,C187,$E$7:$E$506,"In",$M$7:$M$506,"&gt;"&amp;M187),"")</f>
        <v/>
      </c>
      <c r="O187" s="9" t="str">
        <f aca="false">IF(N187="","",IFERROR(INDEX('Item Master'!$K$6:$K$105,MATCH(C187,'Item Master'!$A$6:$A$105,0)),0))</f>
        <v/>
      </c>
      <c r="P187" s="9" t="n">
        <f aca="false">IF(N187="",0,MAX(0,MIN(N(F187),O187-N187))*N(G187))</f>
        <v>0</v>
      </c>
      <c r="Q187" s="9" t="str">
        <f aca="false">IF(AND(C187&lt;&gt;"",C187='Stock Ledger'!$C$4),M187,"")</f>
        <v/>
      </c>
    </row>
    <row r="188" customFormat="false" ht="15" hidden="false" customHeight="false" outlineLevel="0" collapsed="false">
      <c r="A188" s="45" t="str">
        <f aca="false">IF(C188="","",ROW()-6)</f>
        <v/>
      </c>
      <c r="B188" s="85"/>
      <c r="C188" s="80"/>
      <c r="D188" s="47" t="str">
        <f aca="false">IF(C188="","",IFERROR(INDEX('Item Master'!$B$6:$B$105,MATCH(C188,'Item Master'!$A$6:$A$105,0)),"?"))</f>
        <v/>
      </c>
      <c r="E188" s="82"/>
      <c r="F188" s="83"/>
      <c r="G188" s="84"/>
      <c r="H188" s="81"/>
      <c r="I188" s="80"/>
      <c r="J188" s="41" t="str">
        <f aca="false">IF(OR(C188="",G188=""),"",N(F188)*N(G188))</f>
        <v/>
      </c>
      <c r="K188" s="48" t="str">
        <f aca="false">IF(M188="","",N(IFERROR(INDEX('Item Master'!$E$6:$E$105,MATCH(C188,'Item Master'!$A$6:$A$105,0)),0))+SUMIFS($F$7:$F$506,$C$7:$C$506,C188,$E$7:$E$506,"In",$M$7:$M$506,"&lt;="&amp;M188)-SUMIFS($F$7:$F$506,$C$7:$C$506,C188,$E$7:$E$506,"Out",$M$7:$M$506,"&lt;="&amp;M188))</f>
        <v/>
      </c>
      <c r="L188" s="44" t="str">
        <f aca="false">IF(AND(B188="",C188="",F188=""),"",IF(C188="","⚠ Pick item",IF(D188="?","⚠ Code not in Item Master",IF(B188="","⚠ Enter date",IF(OR(E188="",N(F188)&lt;=0),"⚠ Type / quantity missing",IF(AND(E188="In",G188=""),"⚠ Enter purchase rate",IF(OR(B188&lt;Setup!$C$6,B188&gt;Setup!$C$7),"Outside period",IF(K188&lt;0,"⚠ Stock goes negative","✔ OK"))))))))</f>
        <v/>
      </c>
      <c r="M188" s="9" t="str">
        <f aca="false">IF(OR(C188="",B188=""),"",B188+ROW()/1000000)</f>
        <v/>
      </c>
      <c r="N188" s="9" t="str">
        <f aca="false">IF(AND(E188="In",M188&lt;&gt;""),SUMIFS($F$7:$F$506,$C$7:$C$506,C188,$E$7:$E$506,"In",$M$7:$M$506,"&gt;"&amp;M188),"")</f>
        <v/>
      </c>
      <c r="O188" s="9" t="str">
        <f aca="false">IF(N188="","",IFERROR(INDEX('Item Master'!$K$6:$K$105,MATCH(C188,'Item Master'!$A$6:$A$105,0)),0))</f>
        <v/>
      </c>
      <c r="P188" s="9" t="n">
        <f aca="false">IF(N188="",0,MAX(0,MIN(N(F188),O188-N188))*N(G188))</f>
        <v>0</v>
      </c>
      <c r="Q188" s="9" t="str">
        <f aca="false">IF(AND(C188&lt;&gt;"",C188='Stock Ledger'!$C$4),M188,"")</f>
        <v/>
      </c>
    </row>
    <row r="189" customFormat="false" ht="15" hidden="false" customHeight="false" outlineLevel="0" collapsed="false">
      <c r="A189" s="45" t="str">
        <f aca="false">IF(C189="","",ROW()-6)</f>
        <v/>
      </c>
      <c r="B189" s="85"/>
      <c r="C189" s="80"/>
      <c r="D189" s="47" t="str">
        <f aca="false">IF(C189="","",IFERROR(INDEX('Item Master'!$B$6:$B$105,MATCH(C189,'Item Master'!$A$6:$A$105,0)),"?"))</f>
        <v/>
      </c>
      <c r="E189" s="82"/>
      <c r="F189" s="83"/>
      <c r="G189" s="84"/>
      <c r="H189" s="81"/>
      <c r="I189" s="80"/>
      <c r="J189" s="41" t="str">
        <f aca="false">IF(OR(C189="",G189=""),"",N(F189)*N(G189))</f>
        <v/>
      </c>
      <c r="K189" s="48" t="str">
        <f aca="false">IF(M189="","",N(IFERROR(INDEX('Item Master'!$E$6:$E$105,MATCH(C189,'Item Master'!$A$6:$A$105,0)),0))+SUMIFS($F$7:$F$506,$C$7:$C$506,C189,$E$7:$E$506,"In",$M$7:$M$506,"&lt;="&amp;M189)-SUMIFS($F$7:$F$506,$C$7:$C$506,C189,$E$7:$E$506,"Out",$M$7:$M$506,"&lt;="&amp;M189))</f>
        <v/>
      </c>
      <c r="L189" s="44" t="str">
        <f aca="false">IF(AND(B189="",C189="",F189=""),"",IF(C189="","⚠ Pick item",IF(D189="?","⚠ Code not in Item Master",IF(B189="","⚠ Enter date",IF(OR(E189="",N(F189)&lt;=0),"⚠ Type / quantity missing",IF(AND(E189="In",G189=""),"⚠ Enter purchase rate",IF(OR(B189&lt;Setup!$C$6,B189&gt;Setup!$C$7),"Outside period",IF(K189&lt;0,"⚠ Stock goes negative","✔ OK"))))))))</f>
        <v/>
      </c>
      <c r="M189" s="9" t="str">
        <f aca="false">IF(OR(C189="",B189=""),"",B189+ROW()/1000000)</f>
        <v/>
      </c>
      <c r="N189" s="9" t="str">
        <f aca="false">IF(AND(E189="In",M189&lt;&gt;""),SUMIFS($F$7:$F$506,$C$7:$C$506,C189,$E$7:$E$506,"In",$M$7:$M$506,"&gt;"&amp;M189),"")</f>
        <v/>
      </c>
      <c r="O189" s="9" t="str">
        <f aca="false">IF(N189="","",IFERROR(INDEX('Item Master'!$K$6:$K$105,MATCH(C189,'Item Master'!$A$6:$A$105,0)),0))</f>
        <v/>
      </c>
      <c r="P189" s="9" t="n">
        <f aca="false">IF(N189="",0,MAX(0,MIN(N(F189),O189-N189))*N(G189))</f>
        <v>0</v>
      </c>
      <c r="Q189" s="9" t="str">
        <f aca="false">IF(AND(C189&lt;&gt;"",C189='Stock Ledger'!$C$4),M189,"")</f>
        <v/>
      </c>
    </row>
    <row r="190" customFormat="false" ht="15" hidden="false" customHeight="false" outlineLevel="0" collapsed="false">
      <c r="A190" s="45" t="str">
        <f aca="false">IF(C190="","",ROW()-6)</f>
        <v/>
      </c>
      <c r="B190" s="85"/>
      <c r="C190" s="80"/>
      <c r="D190" s="47" t="str">
        <f aca="false">IF(C190="","",IFERROR(INDEX('Item Master'!$B$6:$B$105,MATCH(C190,'Item Master'!$A$6:$A$105,0)),"?"))</f>
        <v/>
      </c>
      <c r="E190" s="82"/>
      <c r="F190" s="83"/>
      <c r="G190" s="84"/>
      <c r="H190" s="81"/>
      <c r="I190" s="80"/>
      <c r="J190" s="41" t="str">
        <f aca="false">IF(OR(C190="",G190=""),"",N(F190)*N(G190))</f>
        <v/>
      </c>
      <c r="K190" s="48" t="str">
        <f aca="false">IF(M190="","",N(IFERROR(INDEX('Item Master'!$E$6:$E$105,MATCH(C190,'Item Master'!$A$6:$A$105,0)),0))+SUMIFS($F$7:$F$506,$C$7:$C$506,C190,$E$7:$E$506,"In",$M$7:$M$506,"&lt;="&amp;M190)-SUMIFS($F$7:$F$506,$C$7:$C$506,C190,$E$7:$E$506,"Out",$M$7:$M$506,"&lt;="&amp;M190))</f>
        <v/>
      </c>
      <c r="L190" s="44" t="str">
        <f aca="false">IF(AND(B190="",C190="",F190=""),"",IF(C190="","⚠ Pick item",IF(D190="?","⚠ Code not in Item Master",IF(B190="","⚠ Enter date",IF(OR(E190="",N(F190)&lt;=0),"⚠ Type / quantity missing",IF(AND(E190="In",G190=""),"⚠ Enter purchase rate",IF(OR(B190&lt;Setup!$C$6,B190&gt;Setup!$C$7),"Outside period",IF(K190&lt;0,"⚠ Stock goes negative","✔ OK"))))))))</f>
        <v/>
      </c>
      <c r="M190" s="9" t="str">
        <f aca="false">IF(OR(C190="",B190=""),"",B190+ROW()/1000000)</f>
        <v/>
      </c>
      <c r="N190" s="9" t="str">
        <f aca="false">IF(AND(E190="In",M190&lt;&gt;""),SUMIFS($F$7:$F$506,$C$7:$C$506,C190,$E$7:$E$506,"In",$M$7:$M$506,"&gt;"&amp;M190),"")</f>
        <v/>
      </c>
      <c r="O190" s="9" t="str">
        <f aca="false">IF(N190="","",IFERROR(INDEX('Item Master'!$K$6:$K$105,MATCH(C190,'Item Master'!$A$6:$A$105,0)),0))</f>
        <v/>
      </c>
      <c r="P190" s="9" t="n">
        <f aca="false">IF(N190="",0,MAX(0,MIN(N(F190),O190-N190))*N(G190))</f>
        <v>0</v>
      </c>
      <c r="Q190" s="9" t="str">
        <f aca="false">IF(AND(C190&lt;&gt;"",C190='Stock Ledger'!$C$4),M190,"")</f>
        <v/>
      </c>
    </row>
    <row r="191" customFormat="false" ht="15" hidden="false" customHeight="false" outlineLevel="0" collapsed="false">
      <c r="A191" s="45" t="str">
        <f aca="false">IF(C191="","",ROW()-6)</f>
        <v/>
      </c>
      <c r="B191" s="85"/>
      <c r="C191" s="80"/>
      <c r="D191" s="47" t="str">
        <f aca="false">IF(C191="","",IFERROR(INDEX('Item Master'!$B$6:$B$105,MATCH(C191,'Item Master'!$A$6:$A$105,0)),"?"))</f>
        <v/>
      </c>
      <c r="E191" s="82"/>
      <c r="F191" s="83"/>
      <c r="G191" s="84"/>
      <c r="H191" s="81"/>
      <c r="I191" s="80"/>
      <c r="J191" s="41" t="str">
        <f aca="false">IF(OR(C191="",G191=""),"",N(F191)*N(G191))</f>
        <v/>
      </c>
      <c r="K191" s="48" t="str">
        <f aca="false">IF(M191="","",N(IFERROR(INDEX('Item Master'!$E$6:$E$105,MATCH(C191,'Item Master'!$A$6:$A$105,0)),0))+SUMIFS($F$7:$F$506,$C$7:$C$506,C191,$E$7:$E$506,"In",$M$7:$M$506,"&lt;="&amp;M191)-SUMIFS($F$7:$F$506,$C$7:$C$506,C191,$E$7:$E$506,"Out",$M$7:$M$506,"&lt;="&amp;M191))</f>
        <v/>
      </c>
      <c r="L191" s="44" t="str">
        <f aca="false">IF(AND(B191="",C191="",F191=""),"",IF(C191="","⚠ Pick item",IF(D191="?","⚠ Code not in Item Master",IF(B191="","⚠ Enter date",IF(OR(E191="",N(F191)&lt;=0),"⚠ Type / quantity missing",IF(AND(E191="In",G191=""),"⚠ Enter purchase rate",IF(OR(B191&lt;Setup!$C$6,B191&gt;Setup!$C$7),"Outside period",IF(K191&lt;0,"⚠ Stock goes negative","✔ OK"))))))))</f>
        <v/>
      </c>
      <c r="M191" s="9" t="str">
        <f aca="false">IF(OR(C191="",B191=""),"",B191+ROW()/1000000)</f>
        <v/>
      </c>
      <c r="N191" s="9" t="str">
        <f aca="false">IF(AND(E191="In",M191&lt;&gt;""),SUMIFS($F$7:$F$506,$C$7:$C$506,C191,$E$7:$E$506,"In",$M$7:$M$506,"&gt;"&amp;M191),"")</f>
        <v/>
      </c>
      <c r="O191" s="9" t="str">
        <f aca="false">IF(N191="","",IFERROR(INDEX('Item Master'!$K$6:$K$105,MATCH(C191,'Item Master'!$A$6:$A$105,0)),0))</f>
        <v/>
      </c>
      <c r="P191" s="9" t="n">
        <f aca="false">IF(N191="",0,MAX(0,MIN(N(F191),O191-N191))*N(G191))</f>
        <v>0</v>
      </c>
      <c r="Q191" s="9" t="str">
        <f aca="false">IF(AND(C191&lt;&gt;"",C191='Stock Ledger'!$C$4),M191,"")</f>
        <v/>
      </c>
    </row>
    <row r="192" customFormat="false" ht="15" hidden="false" customHeight="false" outlineLevel="0" collapsed="false">
      <c r="A192" s="45" t="str">
        <f aca="false">IF(C192="","",ROW()-6)</f>
        <v/>
      </c>
      <c r="B192" s="85"/>
      <c r="C192" s="80"/>
      <c r="D192" s="47" t="str">
        <f aca="false">IF(C192="","",IFERROR(INDEX('Item Master'!$B$6:$B$105,MATCH(C192,'Item Master'!$A$6:$A$105,0)),"?"))</f>
        <v/>
      </c>
      <c r="E192" s="82"/>
      <c r="F192" s="83"/>
      <c r="G192" s="84"/>
      <c r="H192" s="81"/>
      <c r="I192" s="80"/>
      <c r="J192" s="41" t="str">
        <f aca="false">IF(OR(C192="",G192=""),"",N(F192)*N(G192))</f>
        <v/>
      </c>
      <c r="K192" s="48" t="str">
        <f aca="false">IF(M192="","",N(IFERROR(INDEX('Item Master'!$E$6:$E$105,MATCH(C192,'Item Master'!$A$6:$A$105,0)),0))+SUMIFS($F$7:$F$506,$C$7:$C$506,C192,$E$7:$E$506,"In",$M$7:$M$506,"&lt;="&amp;M192)-SUMIFS($F$7:$F$506,$C$7:$C$506,C192,$E$7:$E$506,"Out",$M$7:$M$506,"&lt;="&amp;M192))</f>
        <v/>
      </c>
      <c r="L192" s="44" t="str">
        <f aca="false">IF(AND(B192="",C192="",F192=""),"",IF(C192="","⚠ Pick item",IF(D192="?","⚠ Code not in Item Master",IF(B192="","⚠ Enter date",IF(OR(E192="",N(F192)&lt;=0),"⚠ Type / quantity missing",IF(AND(E192="In",G192=""),"⚠ Enter purchase rate",IF(OR(B192&lt;Setup!$C$6,B192&gt;Setup!$C$7),"Outside period",IF(K192&lt;0,"⚠ Stock goes negative","✔ OK"))))))))</f>
        <v/>
      </c>
      <c r="M192" s="9" t="str">
        <f aca="false">IF(OR(C192="",B192=""),"",B192+ROW()/1000000)</f>
        <v/>
      </c>
      <c r="N192" s="9" t="str">
        <f aca="false">IF(AND(E192="In",M192&lt;&gt;""),SUMIFS($F$7:$F$506,$C$7:$C$506,C192,$E$7:$E$506,"In",$M$7:$M$506,"&gt;"&amp;M192),"")</f>
        <v/>
      </c>
      <c r="O192" s="9" t="str">
        <f aca="false">IF(N192="","",IFERROR(INDEX('Item Master'!$K$6:$K$105,MATCH(C192,'Item Master'!$A$6:$A$105,0)),0))</f>
        <v/>
      </c>
      <c r="P192" s="9" t="n">
        <f aca="false">IF(N192="",0,MAX(0,MIN(N(F192),O192-N192))*N(G192))</f>
        <v>0</v>
      </c>
      <c r="Q192" s="9" t="str">
        <f aca="false">IF(AND(C192&lt;&gt;"",C192='Stock Ledger'!$C$4),M192,"")</f>
        <v/>
      </c>
    </row>
    <row r="193" customFormat="false" ht="15" hidden="false" customHeight="false" outlineLevel="0" collapsed="false">
      <c r="A193" s="45" t="str">
        <f aca="false">IF(C193="","",ROW()-6)</f>
        <v/>
      </c>
      <c r="B193" s="85"/>
      <c r="C193" s="80"/>
      <c r="D193" s="47" t="str">
        <f aca="false">IF(C193="","",IFERROR(INDEX('Item Master'!$B$6:$B$105,MATCH(C193,'Item Master'!$A$6:$A$105,0)),"?"))</f>
        <v/>
      </c>
      <c r="E193" s="82"/>
      <c r="F193" s="83"/>
      <c r="G193" s="84"/>
      <c r="H193" s="81"/>
      <c r="I193" s="80"/>
      <c r="J193" s="41" t="str">
        <f aca="false">IF(OR(C193="",G193=""),"",N(F193)*N(G193))</f>
        <v/>
      </c>
      <c r="K193" s="48" t="str">
        <f aca="false">IF(M193="","",N(IFERROR(INDEX('Item Master'!$E$6:$E$105,MATCH(C193,'Item Master'!$A$6:$A$105,0)),0))+SUMIFS($F$7:$F$506,$C$7:$C$506,C193,$E$7:$E$506,"In",$M$7:$M$506,"&lt;="&amp;M193)-SUMIFS($F$7:$F$506,$C$7:$C$506,C193,$E$7:$E$506,"Out",$M$7:$M$506,"&lt;="&amp;M193))</f>
        <v/>
      </c>
      <c r="L193" s="44" t="str">
        <f aca="false">IF(AND(B193="",C193="",F193=""),"",IF(C193="","⚠ Pick item",IF(D193="?","⚠ Code not in Item Master",IF(B193="","⚠ Enter date",IF(OR(E193="",N(F193)&lt;=0),"⚠ Type / quantity missing",IF(AND(E193="In",G193=""),"⚠ Enter purchase rate",IF(OR(B193&lt;Setup!$C$6,B193&gt;Setup!$C$7),"Outside period",IF(K193&lt;0,"⚠ Stock goes negative","✔ OK"))))))))</f>
        <v/>
      </c>
      <c r="M193" s="9" t="str">
        <f aca="false">IF(OR(C193="",B193=""),"",B193+ROW()/1000000)</f>
        <v/>
      </c>
      <c r="N193" s="9" t="str">
        <f aca="false">IF(AND(E193="In",M193&lt;&gt;""),SUMIFS($F$7:$F$506,$C$7:$C$506,C193,$E$7:$E$506,"In",$M$7:$M$506,"&gt;"&amp;M193),"")</f>
        <v/>
      </c>
      <c r="O193" s="9" t="str">
        <f aca="false">IF(N193="","",IFERROR(INDEX('Item Master'!$K$6:$K$105,MATCH(C193,'Item Master'!$A$6:$A$105,0)),0))</f>
        <v/>
      </c>
      <c r="P193" s="9" t="n">
        <f aca="false">IF(N193="",0,MAX(0,MIN(N(F193),O193-N193))*N(G193))</f>
        <v>0</v>
      </c>
      <c r="Q193" s="9" t="str">
        <f aca="false">IF(AND(C193&lt;&gt;"",C193='Stock Ledger'!$C$4),M193,"")</f>
        <v/>
      </c>
    </row>
    <row r="194" customFormat="false" ht="15" hidden="false" customHeight="false" outlineLevel="0" collapsed="false">
      <c r="A194" s="45" t="str">
        <f aca="false">IF(C194="","",ROW()-6)</f>
        <v/>
      </c>
      <c r="B194" s="85"/>
      <c r="C194" s="80"/>
      <c r="D194" s="47" t="str">
        <f aca="false">IF(C194="","",IFERROR(INDEX('Item Master'!$B$6:$B$105,MATCH(C194,'Item Master'!$A$6:$A$105,0)),"?"))</f>
        <v/>
      </c>
      <c r="E194" s="82"/>
      <c r="F194" s="83"/>
      <c r="G194" s="84"/>
      <c r="H194" s="81"/>
      <c r="I194" s="80"/>
      <c r="J194" s="41" t="str">
        <f aca="false">IF(OR(C194="",G194=""),"",N(F194)*N(G194))</f>
        <v/>
      </c>
      <c r="K194" s="48" t="str">
        <f aca="false">IF(M194="","",N(IFERROR(INDEX('Item Master'!$E$6:$E$105,MATCH(C194,'Item Master'!$A$6:$A$105,0)),0))+SUMIFS($F$7:$F$506,$C$7:$C$506,C194,$E$7:$E$506,"In",$M$7:$M$506,"&lt;="&amp;M194)-SUMIFS($F$7:$F$506,$C$7:$C$506,C194,$E$7:$E$506,"Out",$M$7:$M$506,"&lt;="&amp;M194))</f>
        <v/>
      </c>
      <c r="L194" s="44" t="str">
        <f aca="false">IF(AND(B194="",C194="",F194=""),"",IF(C194="","⚠ Pick item",IF(D194="?","⚠ Code not in Item Master",IF(B194="","⚠ Enter date",IF(OR(E194="",N(F194)&lt;=0),"⚠ Type / quantity missing",IF(AND(E194="In",G194=""),"⚠ Enter purchase rate",IF(OR(B194&lt;Setup!$C$6,B194&gt;Setup!$C$7),"Outside period",IF(K194&lt;0,"⚠ Stock goes negative","✔ OK"))))))))</f>
        <v/>
      </c>
      <c r="M194" s="9" t="str">
        <f aca="false">IF(OR(C194="",B194=""),"",B194+ROW()/1000000)</f>
        <v/>
      </c>
      <c r="N194" s="9" t="str">
        <f aca="false">IF(AND(E194="In",M194&lt;&gt;""),SUMIFS($F$7:$F$506,$C$7:$C$506,C194,$E$7:$E$506,"In",$M$7:$M$506,"&gt;"&amp;M194),"")</f>
        <v/>
      </c>
      <c r="O194" s="9" t="str">
        <f aca="false">IF(N194="","",IFERROR(INDEX('Item Master'!$K$6:$K$105,MATCH(C194,'Item Master'!$A$6:$A$105,0)),0))</f>
        <v/>
      </c>
      <c r="P194" s="9" t="n">
        <f aca="false">IF(N194="",0,MAX(0,MIN(N(F194),O194-N194))*N(G194))</f>
        <v>0</v>
      </c>
      <c r="Q194" s="9" t="str">
        <f aca="false">IF(AND(C194&lt;&gt;"",C194='Stock Ledger'!$C$4),M194,"")</f>
        <v/>
      </c>
    </row>
    <row r="195" customFormat="false" ht="15" hidden="false" customHeight="false" outlineLevel="0" collapsed="false">
      <c r="A195" s="45" t="str">
        <f aca="false">IF(C195="","",ROW()-6)</f>
        <v/>
      </c>
      <c r="B195" s="85"/>
      <c r="C195" s="80"/>
      <c r="D195" s="47" t="str">
        <f aca="false">IF(C195="","",IFERROR(INDEX('Item Master'!$B$6:$B$105,MATCH(C195,'Item Master'!$A$6:$A$105,0)),"?"))</f>
        <v/>
      </c>
      <c r="E195" s="82"/>
      <c r="F195" s="83"/>
      <c r="G195" s="84"/>
      <c r="H195" s="81"/>
      <c r="I195" s="80"/>
      <c r="J195" s="41" t="str">
        <f aca="false">IF(OR(C195="",G195=""),"",N(F195)*N(G195))</f>
        <v/>
      </c>
      <c r="K195" s="48" t="str">
        <f aca="false">IF(M195="","",N(IFERROR(INDEX('Item Master'!$E$6:$E$105,MATCH(C195,'Item Master'!$A$6:$A$105,0)),0))+SUMIFS($F$7:$F$506,$C$7:$C$506,C195,$E$7:$E$506,"In",$M$7:$M$506,"&lt;="&amp;M195)-SUMIFS($F$7:$F$506,$C$7:$C$506,C195,$E$7:$E$506,"Out",$M$7:$M$506,"&lt;="&amp;M195))</f>
        <v/>
      </c>
      <c r="L195" s="44" t="str">
        <f aca="false">IF(AND(B195="",C195="",F195=""),"",IF(C195="","⚠ Pick item",IF(D195="?","⚠ Code not in Item Master",IF(B195="","⚠ Enter date",IF(OR(E195="",N(F195)&lt;=0),"⚠ Type / quantity missing",IF(AND(E195="In",G195=""),"⚠ Enter purchase rate",IF(OR(B195&lt;Setup!$C$6,B195&gt;Setup!$C$7),"Outside period",IF(K195&lt;0,"⚠ Stock goes negative","✔ OK"))))))))</f>
        <v/>
      </c>
      <c r="M195" s="9" t="str">
        <f aca="false">IF(OR(C195="",B195=""),"",B195+ROW()/1000000)</f>
        <v/>
      </c>
      <c r="N195" s="9" t="str">
        <f aca="false">IF(AND(E195="In",M195&lt;&gt;""),SUMIFS($F$7:$F$506,$C$7:$C$506,C195,$E$7:$E$506,"In",$M$7:$M$506,"&gt;"&amp;M195),"")</f>
        <v/>
      </c>
      <c r="O195" s="9" t="str">
        <f aca="false">IF(N195="","",IFERROR(INDEX('Item Master'!$K$6:$K$105,MATCH(C195,'Item Master'!$A$6:$A$105,0)),0))</f>
        <v/>
      </c>
      <c r="P195" s="9" t="n">
        <f aca="false">IF(N195="",0,MAX(0,MIN(N(F195),O195-N195))*N(G195))</f>
        <v>0</v>
      </c>
      <c r="Q195" s="9" t="str">
        <f aca="false">IF(AND(C195&lt;&gt;"",C195='Stock Ledger'!$C$4),M195,"")</f>
        <v/>
      </c>
    </row>
    <row r="196" customFormat="false" ht="15" hidden="false" customHeight="false" outlineLevel="0" collapsed="false">
      <c r="A196" s="45" t="str">
        <f aca="false">IF(C196="","",ROW()-6)</f>
        <v/>
      </c>
      <c r="B196" s="85"/>
      <c r="C196" s="80"/>
      <c r="D196" s="47" t="str">
        <f aca="false">IF(C196="","",IFERROR(INDEX('Item Master'!$B$6:$B$105,MATCH(C196,'Item Master'!$A$6:$A$105,0)),"?"))</f>
        <v/>
      </c>
      <c r="E196" s="82"/>
      <c r="F196" s="83"/>
      <c r="G196" s="84"/>
      <c r="H196" s="81"/>
      <c r="I196" s="80"/>
      <c r="J196" s="41" t="str">
        <f aca="false">IF(OR(C196="",G196=""),"",N(F196)*N(G196))</f>
        <v/>
      </c>
      <c r="K196" s="48" t="str">
        <f aca="false">IF(M196="","",N(IFERROR(INDEX('Item Master'!$E$6:$E$105,MATCH(C196,'Item Master'!$A$6:$A$105,0)),0))+SUMIFS($F$7:$F$506,$C$7:$C$506,C196,$E$7:$E$506,"In",$M$7:$M$506,"&lt;="&amp;M196)-SUMIFS($F$7:$F$506,$C$7:$C$506,C196,$E$7:$E$506,"Out",$M$7:$M$506,"&lt;="&amp;M196))</f>
        <v/>
      </c>
      <c r="L196" s="44" t="str">
        <f aca="false">IF(AND(B196="",C196="",F196=""),"",IF(C196="","⚠ Pick item",IF(D196="?","⚠ Code not in Item Master",IF(B196="","⚠ Enter date",IF(OR(E196="",N(F196)&lt;=0),"⚠ Type / quantity missing",IF(AND(E196="In",G196=""),"⚠ Enter purchase rate",IF(OR(B196&lt;Setup!$C$6,B196&gt;Setup!$C$7),"Outside period",IF(K196&lt;0,"⚠ Stock goes negative","✔ OK"))))))))</f>
        <v/>
      </c>
      <c r="M196" s="9" t="str">
        <f aca="false">IF(OR(C196="",B196=""),"",B196+ROW()/1000000)</f>
        <v/>
      </c>
      <c r="N196" s="9" t="str">
        <f aca="false">IF(AND(E196="In",M196&lt;&gt;""),SUMIFS($F$7:$F$506,$C$7:$C$506,C196,$E$7:$E$506,"In",$M$7:$M$506,"&gt;"&amp;M196),"")</f>
        <v/>
      </c>
      <c r="O196" s="9" t="str">
        <f aca="false">IF(N196="","",IFERROR(INDEX('Item Master'!$K$6:$K$105,MATCH(C196,'Item Master'!$A$6:$A$105,0)),0))</f>
        <v/>
      </c>
      <c r="P196" s="9" t="n">
        <f aca="false">IF(N196="",0,MAX(0,MIN(N(F196),O196-N196))*N(G196))</f>
        <v>0</v>
      </c>
      <c r="Q196" s="9" t="str">
        <f aca="false">IF(AND(C196&lt;&gt;"",C196='Stock Ledger'!$C$4),M196,"")</f>
        <v/>
      </c>
    </row>
    <row r="197" customFormat="false" ht="15" hidden="false" customHeight="false" outlineLevel="0" collapsed="false">
      <c r="A197" s="45" t="str">
        <f aca="false">IF(C197="","",ROW()-6)</f>
        <v/>
      </c>
      <c r="B197" s="85"/>
      <c r="C197" s="80"/>
      <c r="D197" s="47" t="str">
        <f aca="false">IF(C197="","",IFERROR(INDEX('Item Master'!$B$6:$B$105,MATCH(C197,'Item Master'!$A$6:$A$105,0)),"?"))</f>
        <v/>
      </c>
      <c r="E197" s="82"/>
      <c r="F197" s="83"/>
      <c r="G197" s="84"/>
      <c r="H197" s="81"/>
      <c r="I197" s="80"/>
      <c r="J197" s="41" t="str">
        <f aca="false">IF(OR(C197="",G197=""),"",N(F197)*N(G197))</f>
        <v/>
      </c>
      <c r="K197" s="48" t="str">
        <f aca="false">IF(M197="","",N(IFERROR(INDEX('Item Master'!$E$6:$E$105,MATCH(C197,'Item Master'!$A$6:$A$105,0)),0))+SUMIFS($F$7:$F$506,$C$7:$C$506,C197,$E$7:$E$506,"In",$M$7:$M$506,"&lt;="&amp;M197)-SUMIFS($F$7:$F$506,$C$7:$C$506,C197,$E$7:$E$506,"Out",$M$7:$M$506,"&lt;="&amp;M197))</f>
        <v/>
      </c>
      <c r="L197" s="44" t="str">
        <f aca="false">IF(AND(B197="",C197="",F197=""),"",IF(C197="","⚠ Pick item",IF(D197="?","⚠ Code not in Item Master",IF(B197="","⚠ Enter date",IF(OR(E197="",N(F197)&lt;=0),"⚠ Type / quantity missing",IF(AND(E197="In",G197=""),"⚠ Enter purchase rate",IF(OR(B197&lt;Setup!$C$6,B197&gt;Setup!$C$7),"Outside period",IF(K197&lt;0,"⚠ Stock goes negative","✔ OK"))))))))</f>
        <v/>
      </c>
      <c r="M197" s="9" t="str">
        <f aca="false">IF(OR(C197="",B197=""),"",B197+ROW()/1000000)</f>
        <v/>
      </c>
      <c r="N197" s="9" t="str">
        <f aca="false">IF(AND(E197="In",M197&lt;&gt;""),SUMIFS($F$7:$F$506,$C$7:$C$506,C197,$E$7:$E$506,"In",$M$7:$M$506,"&gt;"&amp;M197),"")</f>
        <v/>
      </c>
      <c r="O197" s="9" t="str">
        <f aca="false">IF(N197="","",IFERROR(INDEX('Item Master'!$K$6:$K$105,MATCH(C197,'Item Master'!$A$6:$A$105,0)),0))</f>
        <v/>
      </c>
      <c r="P197" s="9" t="n">
        <f aca="false">IF(N197="",0,MAX(0,MIN(N(F197),O197-N197))*N(G197))</f>
        <v>0</v>
      </c>
      <c r="Q197" s="9" t="str">
        <f aca="false">IF(AND(C197&lt;&gt;"",C197='Stock Ledger'!$C$4),M197,"")</f>
        <v/>
      </c>
    </row>
    <row r="198" customFormat="false" ht="15" hidden="false" customHeight="false" outlineLevel="0" collapsed="false">
      <c r="A198" s="45" t="str">
        <f aca="false">IF(C198="","",ROW()-6)</f>
        <v/>
      </c>
      <c r="B198" s="85"/>
      <c r="C198" s="80"/>
      <c r="D198" s="47" t="str">
        <f aca="false">IF(C198="","",IFERROR(INDEX('Item Master'!$B$6:$B$105,MATCH(C198,'Item Master'!$A$6:$A$105,0)),"?"))</f>
        <v/>
      </c>
      <c r="E198" s="82"/>
      <c r="F198" s="83"/>
      <c r="G198" s="84"/>
      <c r="H198" s="81"/>
      <c r="I198" s="80"/>
      <c r="J198" s="41" t="str">
        <f aca="false">IF(OR(C198="",G198=""),"",N(F198)*N(G198))</f>
        <v/>
      </c>
      <c r="K198" s="48" t="str">
        <f aca="false">IF(M198="","",N(IFERROR(INDEX('Item Master'!$E$6:$E$105,MATCH(C198,'Item Master'!$A$6:$A$105,0)),0))+SUMIFS($F$7:$F$506,$C$7:$C$506,C198,$E$7:$E$506,"In",$M$7:$M$506,"&lt;="&amp;M198)-SUMIFS($F$7:$F$506,$C$7:$C$506,C198,$E$7:$E$506,"Out",$M$7:$M$506,"&lt;="&amp;M198))</f>
        <v/>
      </c>
      <c r="L198" s="44" t="str">
        <f aca="false">IF(AND(B198="",C198="",F198=""),"",IF(C198="","⚠ Pick item",IF(D198="?","⚠ Code not in Item Master",IF(B198="","⚠ Enter date",IF(OR(E198="",N(F198)&lt;=0),"⚠ Type / quantity missing",IF(AND(E198="In",G198=""),"⚠ Enter purchase rate",IF(OR(B198&lt;Setup!$C$6,B198&gt;Setup!$C$7),"Outside period",IF(K198&lt;0,"⚠ Stock goes negative","✔ OK"))))))))</f>
        <v/>
      </c>
      <c r="M198" s="9" t="str">
        <f aca="false">IF(OR(C198="",B198=""),"",B198+ROW()/1000000)</f>
        <v/>
      </c>
      <c r="N198" s="9" t="str">
        <f aca="false">IF(AND(E198="In",M198&lt;&gt;""),SUMIFS($F$7:$F$506,$C$7:$C$506,C198,$E$7:$E$506,"In",$M$7:$M$506,"&gt;"&amp;M198),"")</f>
        <v/>
      </c>
      <c r="O198" s="9" t="str">
        <f aca="false">IF(N198="","",IFERROR(INDEX('Item Master'!$K$6:$K$105,MATCH(C198,'Item Master'!$A$6:$A$105,0)),0))</f>
        <v/>
      </c>
      <c r="P198" s="9" t="n">
        <f aca="false">IF(N198="",0,MAX(0,MIN(N(F198),O198-N198))*N(G198))</f>
        <v>0</v>
      </c>
      <c r="Q198" s="9" t="str">
        <f aca="false">IF(AND(C198&lt;&gt;"",C198='Stock Ledger'!$C$4),M198,"")</f>
        <v/>
      </c>
    </row>
    <row r="199" customFormat="false" ht="15" hidden="false" customHeight="false" outlineLevel="0" collapsed="false">
      <c r="A199" s="45" t="str">
        <f aca="false">IF(C199="","",ROW()-6)</f>
        <v/>
      </c>
      <c r="B199" s="85"/>
      <c r="C199" s="80"/>
      <c r="D199" s="47" t="str">
        <f aca="false">IF(C199="","",IFERROR(INDEX('Item Master'!$B$6:$B$105,MATCH(C199,'Item Master'!$A$6:$A$105,0)),"?"))</f>
        <v/>
      </c>
      <c r="E199" s="82"/>
      <c r="F199" s="83"/>
      <c r="G199" s="84"/>
      <c r="H199" s="81"/>
      <c r="I199" s="80"/>
      <c r="J199" s="41" t="str">
        <f aca="false">IF(OR(C199="",G199=""),"",N(F199)*N(G199))</f>
        <v/>
      </c>
      <c r="K199" s="48" t="str">
        <f aca="false">IF(M199="","",N(IFERROR(INDEX('Item Master'!$E$6:$E$105,MATCH(C199,'Item Master'!$A$6:$A$105,0)),0))+SUMIFS($F$7:$F$506,$C$7:$C$506,C199,$E$7:$E$506,"In",$M$7:$M$506,"&lt;="&amp;M199)-SUMIFS($F$7:$F$506,$C$7:$C$506,C199,$E$7:$E$506,"Out",$M$7:$M$506,"&lt;="&amp;M199))</f>
        <v/>
      </c>
      <c r="L199" s="44" t="str">
        <f aca="false">IF(AND(B199="",C199="",F199=""),"",IF(C199="","⚠ Pick item",IF(D199="?","⚠ Code not in Item Master",IF(B199="","⚠ Enter date",IF(OR(E199="",N(F199)&lt;=0),"⚠ Type / quantity missing",IF(AND(E199="In",G199=""),"⚠ Enter purchase rate",IF(OR(B199&lt;Setup!$C$6,B199&gt;Setup!$C$7),"Outside period",IF(K199&lt;0,"⚠ Stock goes negative","✔ OK"))))))))</f>
        <v/>
      </c>
      <c r="M199" s="9" t="str">
        <f aca="false">IF(OR(C199="",B199=""),"",B199+ROW()/1000000)</f>
        <v/>
      </c>
      <c r="N199" s="9" t="str">
        <f aca="false">IF(AND(E199="In",M199&lt;&gt;""),SUMIFS($F$7:$F$506,$C$7:$C$506,C199,$E$7:$E$506,"In",$M$7:$M$506,"&gt;"&amp;M199),"")</f>
        <v/>
      </c>
      <c r="O199" s="9" t="str">
        <f aca="false">IF(N199="","",IFERROR(INDEX('Item Master'!$K$6:$K$105,MATCH(C199,'Item Master'!$A$6:$A$105,0)),0))</f>
        <v/>
      </c>
      <c r="P199" s="9" t="n">
        <f aca="false">IF(N199="",0,MAX(0,MIN(N(F199),O199-N199))*N(G199))</f>
        <v>0</v>
      </c>
      <c r="Q199" s="9" t="str">
        <f aca="false">IF(AND(C199&lt;&gt;"",C199='Stock Ledger'!$C$4),M199,"")</f>
        <v/>
      </c>
    </row>
    <row r="200" customFormat="false" ht="15" hidden="false" customHeight="false" outlineLevel="0" collapsed="false">
      <c r="A200" s="45" t="str">
        <f aca="false">IF(C200="","",ROW()-6)</f>
        <v/>
      </c>
      <c r="B200" s="85"/>
      <c r="C200" s="80"/>
      <c r="D200" s="47" t="str">
        <f aca="false">IF(C200="","",IFERROR(INDEX('Item Master'!$B$6:$B$105,MATCH(C200,'Item Master'!$A$6:$A$105,0)),"?"))</f>
        <v/>
      </c>
      <c r="E200" s="82"/>
      <c r="F200" s="83"/>
      <c r="G200" s="84"/>
      <c r="H200" s="81"/>
      <c r="I200" s="80"/>
      <c r="J200" s="41" t="str">
        <f aca="false">IF(OR(C200="",G200=""),"",N(F200)*N(G200))</f>
        <v/>
      </c>
      <c r="K200" s="48" t="str">
        <f aca="false">IF(M200="","",N(IFERROR(INDEX('Item Master'!$E$6:$E$105,MATCH(C200,'Item Master'!$A$6:$A$105,0)),0))+SUMIFS($F$7:$F$506,$C$7:$C$506,C200,$E$7:$E$506,"In",$M$7:$M$506,"&lt;="&amp;M200)-SUMIFS($F$7:$F$506,$C$7:$C$506,C200,$E$7:$E$506,"Out",$M$7:$M$506,"&lt;="&amp;M200))</f>
        <v/>
      </c>
      <c r="L200" s="44" t="str">
        <f aca="false">IF(AND(B200="",C200="",F200=""),"",IF(C200="","⚠ Pick item",IF(D200="?","⚠ Code not in Item Master",IF(B200="","⚠ Enter date",IF(OR(E200="",N(F200)&lt;=0),"⚠ Type / quantity missing",IF(AND(E200="In",G200=""),"⚠ Enter purchase rate",IF(OR(B200&lt;Setup!$C$6,B200&gt;Setup!$C$7),"Outside period",IF(K200&lt;0,"⚠ Stock goes negative","✔ OK"))))))))</f>
        <v/>
      </c>
      <c r="M200" s="9" t="str">
        <f aca="false">IF(OR(C200="",B200=""),"",B200+ROW()/1000000)</f>
        <v/>
      </c>
      <c r="N200" s="9" t="str">
        <f aca="false">IF(AND(E200="In",M200&lt;&gt;""),SUMIFS($F$7:$F$506,$C$7:$C$506,C200,$E$7:$E$506,"In",$M$7:$M$506,"&gt;"&amp;M200),"")</f>
        <v/>
      </c>
      <c r="O200" s="9" t="str">
        <f aca="false">IF(N200="","",IFERROR(INDEX('Item Master'!$K$6:$K$105,MATCH(C200,'Item Master'!$A$6:$A$105,0)),0))</f>
        <v/>
      </c>
      <c r="P200" s="9" t="n">
        <f aca="false">IF(N200="",0,MAX(0,MIN(N(F200),O200-N200))*N(G200))</f>
        <v>0</v>
      </c>
      <c r="Q200" s="9" t="str">
        <f aca="false">IF(AND(C200&lt;&gt;"",C200='Stock Ledger'!$C$4),M200,"")</f>
        <v/>
      </c>
    </row>
    <row r="201" customFormat="false" ht="15" hidden="false" customHeight="false" outlineLevel="0" collapsed="false">
      <c r="A201" s="45" t="str">
        <f aca="false">IF(C201="","",ROW()-6)</f>
        <v/>
      </c>
      <c r="B201" s="85"/>
      <c r="C201" s="80"/>
      <c r="D201" s="47" t="str">
        <f aca="false">IF(C201="","",IFERROR(INDEX('Item Master'!$B$6:$B$105,MATCH(C201,'Item Master'!$A$6:$A$105,0)),"?"))</f>
        <v/>
      </c>
      <c r="E201" s="82"/>
      <c r="F201" s="83"/>
      <c r="G201" s="84"/>
      <c r="H201" s="81"/>
      <c r="I201" s="80"/>
      <c r="J201" s="41" t="str">
        <f aca="false">IF(OR(C201="",G201=""),"",N(F201)*N(G201))</f>
        <v/>
      </c>
      <c r="K201" s="48" t="str">
        <f aca="false">IF(M201="","",N(IFERROR(INDEX('Item Master'!$E$6:$E$105,MATCH(C201,'Item Master'!$A$6:$A$105,0)),0))+SUMIFS($F$7:$F$506,$C$7:$C$506,C201,$E$7:$E$506,"In",$M$7:$M$506,"&lt;="&amp;M201)-SUMIFS($F$7:$F$506,$C$7:$C$506,C201,$E$7:$E$506,"Out",$M$7:$M$506,"&lt;="&amp;M201))</f>
        <v/>
      </c>
      <c r="L201" s="44" t="str">
        <f aca="false">IF(AND(B201="",C201="",F201=""),"",IF(C201="","⚠ Pick item",IF(D201="?","⚠ Code not in Item Master",IF(B201="","⚠ Enter date",IF(OR(E201="",N(F201)&lt;=0),"⚠ Type / quantity missing",IF(AND(E201="In",G201=""),"⚠ Enter purchase rate",IF(OR(B201&lt;Setup!$C$6,B201&gt;Setup!$C$7),"Outside period",IF(K201&lt;0,"⚠ Stock goes negative","✔ OK"))))))))</f>
        <v/>
      </c>
      <c r="M201" s="9" t="str">
        <f aca="false">IF(OR(C201="",B201=""),"",B201+ROW()/1000000)</f>
        <v/>
      </c>
      <c r="N201" s="9" t="str">
        <f aca="false">IF(AND(E201="In",M201&lt;&gt;""),SUMIFS($F$7:$F$506,$C$7:$C$506,C201,$E$7:$E$506,"In",$M$7:$M$506,"&gt;"&amp;M201),"")</f>
        <v/>
      </c>
      <c r="O201" s="9" t="str">
        <f aca="false">IF(N201="","",IFERROR(INDEX('Item Master'!$K$6:$K$105,MATCH(C201,'Item Master'!$A$6:$A$105,0)),0))</f>
        <v/>
      </c>
      <c r="P201" s="9" t="n">
        <f aca="false">IF(N201="",0,MAX(0,MIN(N(F201),O201-N201))*N(G201))</f>
        <v>0</v>
      </c>
      <c r="Q201" s="9" t="str">
        <f aca="false">IF(AND(C201&lt;&gt;"",C201='Stock Ledger'!$C$4),M201,"")</f>
        <v/>
      </c>
    </row>
    <row r="202" customFormat="false" ht="15" hidden="false" customHeight="false" outlineLevel="0" collapsed="false">
      <c r="A202" s="45" t="str">
        <f aca="false">IF(C202="","",ROW()-6)</f>
        <v/>
      </c>
      <c r="B202" s="85"/>
      <c r="C202" s="80"/>
      <c r="D202" s="47" t="str">
        <f aca="false">IF(C202="","",IFERROR(INDEX('Item Master'!$B$6:$B$105,MATCH(C202,'Item Master'!$A$6:$A$105,0)),"?"))</f>
        <v/>
      </c>
      <c r="E202" s="82"/>
      <c r="F202" s="83"/>
      <c r="G202" s="84"/>
      <c r="H202" s="81"/>
      <c r="I202" s="80"/>
      <c r="J202" s="41" t="str">
        <f aca="false">IF(OR(C202="",G202=""),"",N(F202)*N(G202))</f>
        <v/>
      </c>
      <c r="K202" s="48" t="str">
        <f aca="false">IF(M202="","",N(IFERROR(INDEX('Item Master'!$E$6:$E$105,MATCH(C202,'Item Master'!$A$6:$A$105,0)),0))+SUMIFS($F$7:$F$506,$C$7:$C$506,C202,$E$7:$E$506,"In",$M$7:$M$506,"&lt;="&amp;M202)-SUMIFS($F$7:$F$506,$C$7:$C$506,C202,$E$7:$E$506,"Out",$M$7:$M$506,"&lt;="&amp;M202))</f>
        <v/>
      </c>
      <c r="L202" s="44" t="str">
        <f aca="false">IF(AND(B202="",C202="",F202=""),"",IF(C202="","⚠ Pick item",IF(D202="?","⚠ Code not in Item Master",IF(B202="","⚠ Enter date",IF(OR(E202="",N(F202)&lt;=0),"⚠ Type / quantity missing",IF(AND(E202="In",G202=""),"⚠ Enter purchase rate",IF(OR(B202&lt;Setup!$C$6,B202&gt;Setup!$C$7),"Outside period",IF(K202&lt;0,"⚠ Stock goes negative","✔ OK"))))))))</f>
        <v/>
      </c>
      <c r="M202" s="9" t="str">
        <f aca="false">IF(OR(C202="",B202=""),"",B202+ROW()/1000000)</f>
        <v/>
      </c>
      <c r="N202" s="9" t="str">
        <f aca="false">IF(AND(E202="In",M202&lt;&gt;""),SUMIFS($F$7:$F$506,$C$7:$C$506,C202,$E$7:$E$506,"In",$M$7:$M$506,"&gt;"&amp;M202),"")</f>
        <v/>
      </c>
      <c r="O202" s="9" t="str">
        <f aca="false">IF(N202="","",IFERROR(INDEX('Item Master'!$K$6:$K$105,MATCH(C202,'Item Master'!$A$6:$A$105,0)),0))</f>
        <v/>
      </c>
      <c r="P202" s="9" t="n">
        <f aca="false">IF(N202="",0,MAX(0,MIN(N(F202),O202-N202))*N(G202))</f>
        <v>0</v>
      </c>
      <c r="Q202" s="9" t="str">
        <f aca="false">IF(AND(C202&lt;&gt;"",C202='Stock Ledger'!$C$4),M202,"")</f>
        <v/>
      </c>
    </row>
    <row r="203" customFormat="false" ht="15" hidden="false" customHeight="false" outlineLevel="0" collapsed="false">
      <c r="A203" s="45" t="str">
        <f aca="false">IF(C203="","",ROW()-6)</f>
        <v/>
      </c>
      <c r="B203" s="85"/>
      <c r="C203" s="80"/>
      <c r="D203" s="47" t="str">
        <f aca="false">IF(C203="","",IFERROR(INDEX('Item Master'!$B$6:$B$105,MATCH(C203,'Item Master'!$A$6:$A$105,0)),"?"))</f>
        <v/>
      </c>
      <c r="E203" s="82"/>
      <c r="F203" s="83"/>
      <c r="G203" s="84"/>
      <c r="H203" s="81"/>
      <c r="I203" s="80"/>
      <c r="J203" s="41" t="str">
        <f aca="false">IF(OR(C203="",G203=""),"",N(F203)*N(G203))</f>
        <v/>
      </c>
      <c r="K203" s="48" t="str">
        <f aca="false">IF(M203="","",N(IFERROR(INDEX('Item Master'!$E$6:$E$105,MATCH(C203,'Item Master'!$A$6:$A$105,0)),0))+SUMIFS($F$7:$F$506,$C$7:$C$506,C203,$E$7:$E$506,"In",$M$7:$M$506,"&lt;="&amp;M203)-SUMIFS($F$7:$F$506,$C$7:$C$506,C203,$E$7:$E$506,"Out",$M$7:$M$506,"&lt;="&amp;M203))</f>
        <v/>
      </c>
      <c r="L203" s="44" t="str">
        <f aca="false">IF(AND(B203="",C203="",F203=""),"",IF(C203="","⚠ Pick item",IF(D203="?","⚠ Code not in Item Master",IF(B203="","⚠ Enter date",IF(OR(E203="",N(F203)&lt;=0),"⚠ Type / quantity missing",IF(AND(E203="In",G203=""),"⚠ Enter purchase rate",IF(OR(B203&lt;Setup!$C$6,B203&gt;Setup!$C$7),"Outside period",IF(K203&lt;0,"⚠ Stock goes negative","✔ OK"))))))))</f>
        <v/>
      </c>
      <c r="M203" s="9" t="str">
        <f aca="false">IF(OR(C203="",B203=""),"",B203+ROW()/1000000)</f>
        <v/>
      </c>
      <c r="N203" s="9" t="str">
        <f aca="false">IF(AND(E203="In",M203&lt;&gt;""),SUMIFS($F$7:$F$506,$C$7:$C$506,C203,$E$7:$E$506,"In",$M$7:$M$506,"&gt;"&amp;M203),"")</f>
        <v/>
      </c>
      <c r="O203" s="9" t="str">
        <f aca="false">IF(N203="","",IFERROR(INDEX('Item Master'!$K$6:$K$105,MATCH(C203,'Item Master'!$A$6:$A$105,0)),0))</f>
        <v/>
      </c>
      <c r="P203" s="9" t="n">
        <f aca="false">IF(N203="",0,MAX(0,MIN(N(F203),O203-N203))*N(G203))</f>
        <v>0</v>
      </c>
      <c r="Q203" s="9" t="str">
        <f aca="false">IF(AND(C203&lt;&gt;"",C203='Stock Ledger'!$C$4),M203,"")</f>
        <v/>
      </c>
    </row>
    <row r="204" customFormat="false" ht="15" hidden="false" customHeight="false" outlineLevel="0" collapsed="false">
      <c r="A204" s="45" t="str">
        <f aca="false">IF(C204="","",ROW()-6)</f>
        <v/>
      </c>
      <c r="B204" s="85"/>
      <c r="C204" s="80"/>
      <c r="D204" s="47" t="str">
        <f aca="false">IF(C204="","",IFERROR(INDEX('Item Master'!$B$6:$B$105,MATCH(C204,'Item Master'!$A$6:$A$105,0)),"?"))</f>
        <v/>
      </c>
      <c r="E204" s="82"/>
      <c r="F204" s="83"/>
      <c r="G204" s="84"/>
      <c r="H204" s="81"/>
      <c r="I204" s="80"/>
      <c r="J204" s="41" t="str">
        <f aca="false">IF(OR(C204="",G204=""),"",N(F204)*N(G204))</f>
        <v/>
      </c>
      <c r="K204" s="48" t="str">
        <f aca="false">IF(M204="","",N(IFERROR(INDEX('Item Master'!$E$6:$E$105,MATCH(C204,'Item Master'!$A$6:$A$105,0)),0))+SUMIFS($F$7:$F$506,$C$7:$C$506,C204,$E$7:$E$506,"In",$M$7:$M$506,"&lt;="&amp;M204)-SUMIFS($F$7:$F$506,$C$7:$C$506,C204,$E$7:$E$506,"Out",$M$7:$M$506,"&lt;="&amp;M204))</f>
        <v/>
      </c>
      <c r="L204" s="44" t="str">
        <f aca="false">IF(AND(B204="",C204="",F204=""),"",IF(C204="","⚠ Pick item",IF(D204="?","⚠ Code not in Item Master",IF(B204="","⚠ Enter date",IF(OR(E204="",N(F204)&lt;=0),"⚠ Type / quantity missing",IF(AND(E204="In",G204=""),"⚠ Enter purchase rate",IF(OR(B204&lt;Setup!$C$6,B204&gt;Setup!$C$7),"Outside period",IF(K204&lt;0,"⚠ Stock goes negative","✔ OK"))))))))</f>
        <v/>
      </c>
      <c r="M204" s="9" t="str">
        <f aca="false">IF(OR(C204="",B204=""),"",B204+ROW()/1000000)</f>
        <v/>
      </c>
      <c r="N204" s="9" t="str">
        <f aca="false">IF(AND(E204="In",M204&lt;&gt;""),SUMIFS($F$7:$F$506,$C$7:$C$506,C204,$E$7:$E$506,"In",$M$7:$M$506,"&gt;"&amp;M204),"")</f>
        <v/>
      </c>
      <c r="O204" s="9" t="str">
        <f aca="false">IF(N204="","",IFERROR(INDEX('Item Master'!$K$6:$K$105,MATCH(C204,'Item Master'!$A$6:$A$105,0)),0))</f>
        <v/>
      </c>
      <c r="P204" s="9" t="n">
        <f aca="false">IF(N204="",0,MAX(0,MIN(N(F204),O204-N204))*N(G204))</f>
        <v>0</v>
      </c>
      <c r="Q204" s="9" t="str">
        <f aca="false">IF(AND(C204&lt;&gt;"",C204='Stock Ledger'!$C$4),M204,"")</f>
        <v/>
      </c>
    </row>
    <row r="205" customFormat="false" ht="15" hidden="false" customHeight="false" outlineLevel="0" collapsed="false">
      <c r="A205" s="45" t="str">
        <f aca="false">IF(C205="","",ROW()-6)</f>
        <v/>
      </c>
      <c r="B205" s="85"/>
      <c r="C205" s="80"/>
      <c r="D205" s="47" t="str">
        <f aca="false">IF(C205="","",IFERROR(INDEX('Item Master'!$B$6:$B$105,MATCH(C205,'Item Master'!$A$6:$A$105,0)),"?"))</f>
        <v/>
      </c>
      <c r="E205" s="82"/>
      <c r="F205" s="83"/>
      <c r="G205" s="84"/>
      <c r="H205" s="81"/>
      <c r="I205" s="80"/>
      <c r="J205" s="41" t="str">
        <f aca="false">IF(OR(C205="",G205=""),"",N(F205)*N(G205))</f>
        <v/>
      </c>
      <c r="K205" s="48" t="str">
        <f aca="false">IF(M205="","",N(IFERROR(INDEX('Item Master'!$E$6:$E$105,MATCH(C205,'Item Master'!$A$6:$A$105,0)),0))+SUMIFS($F$7:$F$506,$C$7:$C$506,C205,$E$7:$E$506,"In",$M$7:$M$506,"&lt;="&amp;M205)-SUMIFS($F$7:$F$506,$C$7:$C$506,C205,$E$7:$E$506,"Out",$M$7:$M$506,"&lt;="&amp;M205))</f>
        <v/>
      </c>
      <c r="L205" s="44" t="str">
        <f aca="false">IF(AND(B205="",C205="",F205=""),"",IF(C205="","⚠ Pick item",IF(D205="?","⚠ Code not in Item Master",IF(B205="","⚠ Enter date",IF(OR(E205="",N(F205)&lt;=0),"⚠ Type / quantity missing",IF(AND(E205="In",G205=""),"⚠ Enter purchase rate",IF(OR(B205&lt;Setup!$C$6,B205&gt;Setup!$C$7),"Outside period",IF(K205&lt;0,"⚠ Stock goes negative","✔ OK"))))))))</f>
        <v/>
      </c>
      <c r="M205" s="9" t="str">
        <f aca="false">IF(OR(C205="",B205=""),"",B205+ROW()/1000000)</f>
        <v/>
      </c>
      <c r="N205" s="9" t="str">
        <f aca="false">IF(AND(E205="In",M205&lt;&gt;""),SUMIFS($F$7:$F$506,$C$7:$C$506,C205,$E$7:$E$506,"In",$M$7:$M$506,"&gt;"&amp;M205),"")</f>
        <v/>
      </c>
      <c r="O205" s="9" t="str">
        <f aca="false">IF(N205="","",IFERROR(INDEX('Item Master'!$K$6:$K$105,MATCH(C205,'Item Master'!$A$6:$A$105,0)),0))</f>
        <v/>
      </c>
      <c r="P205" s="9" t="n">
        <f aca="false">IF(N205="",0,MAX(0,MIN(N(F205),O205-N205))*N(G205))</f>
        <v>0</v>
      </c>
      <c r="Q205" s="9" t="str">
        <f aca="false">IF(AND(C205&lt;&gt;"",C205='Stock Ledger'!$C$4),M205,"")</f>
        <v/>
      </c>
    </row>
    <row r="206" customFormat="false" ht="15" hidden="false" customHeight="false" outlineLevel="0" collapsed="false">
      <c r="A206" s="45" t="str">
        <f aca="false">IF(C206="","",ROW()-6)</f>
        <v/>
      </c>
      <c r="B206" s="85"/>
      <c r="C206" s="80"/>
      <c r="D206" s="47" t="str">
        <f aca="false">IF(C206="","",IFERROR(INDEX('Item Master'!$B$6:$B$105,MATCH(C206,'Item Master'!$A$6:$A$105,0)),"?"))</f>
        <v/>
      </c>
      <c r="E206" s="82"/>
      <c r="F206" s="83"/>
      <c r="G206" s="84"/>
      <c r="H206" s="81"/>
      <c r="I206" s="80"/>
      <c r="J206" s="41" t="str">
        <f aca="false">IF(OR(C206="",G206=""),"",N(F206)*N(G206))</f>
        <v/>
      </c>
      <c r="K206" s="48" t="str">
        <f aca="false">IF(M206="","",N(IFERROR(INDEX('Item Master'!$E$6:$E$105,MATCH(C206,'Item Master'!$A$6:$A$105,0)),0))+SUMIFS($F$7:$F$506,$C$7:$C$506,C206,$E$7:$E$506,"In",$M$7:$M$506,"&lt;="&amp;M206)-SUMIFS($F$7:$F$506,$C$7:$C$506,C206,$E$7:$E$506,"Out",$M$7:$M$506,"&lt;="&amp;M206))</f>
        <v/>
      </c>
      <c r="L206" s="44" t="str">
        <f aca="false">IF(AND(B206="",C206="",F206=""),"",IF(C206="","⚠ Pick item",IF(D206="?","⚠ Code not in Item Master",IF(B206="","⚠ Enter date",IF(OR(E206="",N(F206)&lt;=0),"⚠ Type / quantity missing",IF(AND(E206="In",G206=""),"⚠ Enter purchase rate",IF(OR(B206&lt;Setup!$C$6,B206&gt;Setup!$C$7),"Outside period",IF(K206&lt;0,"⚠ Stock goes negative","✔ OK"))))))))</f>
        <v/>
      </c>
      <c r="M206" s="9" t="str">
        <f aca="false">IF(OR(C206="",B206=""),"",B206+ROW()/1000000)</f>
        <v/>
      </c>
      <c r="N206" s="9" t="str">
        <f aca="false">IF(AND(E206="In",M206&lt;&gt;""),SUMIFS($F$7:$F$506,$C$7:$C$506,C206,$E$7:$E$506,"In",$M$7:$M$506,"&gt;"&amp;M206),"")</f>
        <v/>
      </c>
      <c r="O206" s="9" t="str">
        <f aca="false">IF(N206="","",IFERROR(INDEX('Item Master'!$K$6:$K$105,MATCH(C206,'Item Master'!$A$6:$A$105,0)),0))</f>
        <v/>
      </c>
      <c r="P206" s="9" t="n">
        <f aca="false">IF(N206="",0,MAX(0,MIN(N(F206),O206-N206))*N(G206))</f>
        <v>0</v>
      </c>
      <c r="Q206" s="9" t="str">
        <f aca="false">IF(AND(C206&lt;&gt;"",C206='Stock Ledger'!$C$4),M206,"")</f>
        <v/>
      </c>
    </row>
    <row r="207" customFormat="false" ht="15" hidden="false" customHeight="false" outlineLevel="0" collapsed="false">
      <c r="A207" s="45" t="str">
        <f aca="false">IF(C207="","",ROW()-6)</f>
        <v/>
      </c>
      <c r="B207" s="85"/>
      <c r="C207" s="80"/>
      <c r="D207" s="47" t="str">
        <f aca="false">IF(C207="","",IFERROR(INDEX('Item Master'!$B$6:$B$105,MATCH(C207,'Item Master'!$A$6:$A$105,0)),"?"))</f>
        <v/>
      </c>
      <c r="E207" s="82"/>
      <c r="F207" s="83"/>
      <c r="G207" s="84"/>
      <c r="H207" s="81"/>
      <c r="I207" s="80"/>
      <c r="J207" s="41" t="str">
        <f aca="false">IF(OR(C207="",G207=""),"",N(F207)*N(G207))</f>
        <v/>
      </c>
      <c r="K207" s="48" t="str">
        <f aca="false">IF(M207="","",N(IFERROR(INDEX('Item Master'!$E$6:$E$105,MATCH(C207,'Item Master'!$A$6:$A$105,0)),0))+SUMIFS($F$7:$F$506,$C$7:$C$506,C207,$E$7:$E$506,"In",$M$7:$M$506,"&lt;="&amp;M207)-SUMIFS($F$7:$F$506,$C$7:$C$506,C207,$E$7:$E$506,"Out",$M$7:$M$506,"&lt;="&amp;M207))</f>
        <v/>
      </c>
      <c r="L207" s="44" t="str">
        <f aca="false">IF(AND(B207="",C207="",F207=""),"",IF(C207="","⚠ Pick item",IF(D207="?","⚠ Code not in Item Master",IF(B207="","⚠ Enter date",IF(OR(E207="",N(F207)&lt;=0),"⚠ Type / quantity missing",IF(AND(E207="In",G207=""),"⚠ Enter purchase rate",IF(OR(B207&lt;Setup!$C$6,B207&gt;Setup!$C$7),"Outside period",IF(K207&lt;0,"⚠ Stock goes negative","✔ OK"))))))))</f>
        <v/>
      </c>
      <c r="M207" s="9" t="str">
        <f aca="false">IF(OR(C207="",B207=""),"",B207+ROW()/1000000)</f>
        <v/>
      </c>
      <c r="N207" s="9" t="str">
        <f aca="false">IF(AND(E207="In",M207&lt;&gt;""),SUMIFS($F$7:$F$506,$C$7:$C$506,C207,$E$7:$E$506,"In",$M$7:$M$506,"&gt;"&amp;M207),"")</f>
        <v/>
      </c>
      <c r="O207" s="9" t="str">
        <f aca="false">IF(N207="","",IFERROR(INDEX('Item Master'!$K$6:$K$105,MATCH(C207,'Item Master'!$A$6:$A$105,0)),0))</f>
        <v/>
      </c>
      <c r="P207" s="9" t="n">
        <f aca="false">IF(N207="",0,MAX(0,MIN(N(F207),O207-N207))*N(G207))</f>
        <v>0</v>
      </c>
      <c r="Q207" s="9" t="str">
        <f aca="false">IF(AND(C207&lt;&gt;"",C207='Stock Ledger'!$C$4),M207,"")</f>
        <v/>
      </c>
    </row>
    <row r="208" customFormat="false" ht="15" hidden="false" customHeight="false" outlineLevel="0" collapsed="false">
      <c r="A208" s="45" t="str">
        <f aca="false">IF(C208="","",ROW()-6)</f>
        <v/>
      </c>
      <c r="B208" s="85"/>
      <c r="C208" s="80"/>
      <c r="D208" s="47" t="str">
        <f aca="false">IF(C208="","",IFERROR(INDEX('Item Master'!$B$6:$B$105,MATCH(C208,'Item Master'!$A$6:$A$105,0)),"?"))</f>
        <v/>
      </c>
      <c r="E208" s="82"/>
      <c r="F208" s="83"/>
      <c r="G208" s="84"/>
      <c r="H208" s="81"/>
      <c r="I208" s="80"/>
      <c r="J208" s="41" t="str">
        <f aca="false">IF(OR(C208="",G208=""),"",N(F208)*N(G208))</f>
        <v/>
      </c>
      <c r="K208" s="48" t="str">
        <f aca="false">IF(M208="","",N(IFERROR(INDEX('Item Master'!$E$6:$E$105,MATCH(C208,'Item Master'!$A$6:$A$105,0)),0))+SUMIFS($F$7:$F$506,$C$7:$C$506,C208,$E$7:$E$506,"In",$M$7:$M$506,"&lt;="&amp;M208)-SUMIFS($F$7:$F$506,$C$7:$C$506,C208,$E$7:$E$506,"Out",$M$7:$M$506,"&lt;="&amp;M208))</f>
        <v/>
      </c>
      <c r="L208" s="44" t="str">
        <f aca="false">IF(AND(B208="",C208="",F208=""),"",IF(C208="","⚠ Pick item",IF(D208="?","⚠ Code not in Item Master",IF(B208="","⚠ Enter date",IF(OR(E208="",N(F208)&lt;=0),"⚠ Type / quantity missing",IF(AND(E208="In",G208=""),"⚠ Enter purchase rate",IF(OR(B208&lt;Setup!$C$6,B208&gt;Setup!$C$7),"Outside period",IF(K208&lt;0,"⚠ Stock goes negative","✔ OK"))))))))</f>
        <v/>
      </c>
      <c r="M208" s="9" t="str">
        <f aca="false">IF(OR(C208="",B208=""),"",B208+ROW()/1000000)</f>
        <v/>
      </c>
      <c r="N208" s="9" t="str">
        <f aca="false">IF(AND(E208="In",M208&lt;&gt;""),SUMIFS($F$7:$F$506,$C$7:$C$506,C208,$E$7:$E$506,"In",$M$7:$M$506,"&gt;"&amp;M208),"")</f>
        <v/>
      </c>
      <c r="O208" s="9" t="str">
        <f aca="false">IF(N208="","",IFERROR(INDEX('Item Master'!$K$6:$K$105,MATCH(C208,'Item Master'!$A$6:$A$105,0)),0))</f>
        <v/>
      </c>
      <c r="P208" s="9" t="n">
        <f aca="false">IF(N208="",0,MAX(0,MIN(N(F208),O208-N208))*N(G208))</f>
        <v>0</v>
      </c>
      <c r="Q208" s="9" t="str">
        <f aca="false">IF(AND(C208&lt;&gt;"",C208='Stock Ledger'!$C$4),M208,"")</f>
        <v/>
      </c>
    </row>
    <row r="209" customFormat="false" ht="15" hidden="false" customHeight="false" outlineLevel="0" collapsed="false">
      <c r="A209" s="45" t="str">
        <f aca="false">IF(C209="","",ROW()-6)</f>
        <v/>
      </c>
      <c r="B209" s="85"/>
      <c r="C209" s="80"/>
      <c r="D209" s="47" t="str">
        <f aca="false">IF(C209="","",IFERROR(INDEX('Item Master'!$B$6:$B$105,MATCH(C209,'Item Master'!$A$6:$A$105,0)),"?"))</f>
        <v/>
      </c>
      <c r="E209" s="82"/>
      <c r="F209" s="83"/>
      <c r="G209" s="84"/>
      <c r="H209" s="81"/>
      <c r="I209" s="80"/>
      <c r="J209" s="41" t="str">
        <f aca="false">IF(OR(C209="",G209=""),"",N(F209)*N(G209))</f>
        <v/>
      </c>
      <c r="K209" s="48" t="str">
        <f aca="false">IF(M209="","",N(IFERROR(INDEX('Item Master'!$E$6:$E$105,MATCH(C209,'Item Master'!$A$6:$A$105,0)),0))+SUMIFS($F$7:$F$506,$C$7:$C$506,C209,$E$7:$E$506,"In",$M$7:$M$506,"&lt;="&amp;M209)-SUMIFS($F$7:$F$506,$C$7:$C$506,C209,$E$7:$E$506,"Out",$M$7:$M$506,"&lt;="&amp;M209))</f>
        <v/>
      </c>
      <c r="L209" s="44" t="str">
        <f aca="false">IF(AND(B209="",C209="",F209=""),"",IF(C209="","⚠ Pick item",IF(D209="?","⚠ Code not in Item Master",IF(B209="","⚠ Enter date",IF(OR(E209="",N(F209)&lt;=0),"⚠ Type / quantity missing",IF(AND(E209="In",G209=""),"⚠ Enter purchase rate",IF(OR(B209&lt;Setup!$C$6,B209&gt;Setup!$C$7),"Outside period",IF(K209&lt;0,"⚠ Stock goes negative","✔ OK"))))))))</f>
        <v/>
      </c>
      <c r="M209" s="9" t="str">
        <f aca="false">IF(OR(C209="",B209=""),"",B209+ROW()/1000000)</f>
        <v/>
      </c>
      <c r="N209" s="9" t="str">
        <f aca="false">IF(AND(E209="In",M209&lt;&gt;""),SUMIFS($F$7:$F$506,$C$7:$C$506,C209,$E$7:$E$506,"In",$M$7:$M$506,"&gt;"&amp;M209),"")</f>
        <v/>
      </c>
      <c r="O209" s="9" t="str">
        <f aca="false">IF(N209="","",IFERROR(INDEX('Item Master'!$K$6:$K$105,MATCH(C209,'Item Master'!$A$6:$A$105,0)),0))</f>
        <v/>
      </c>
      <c r="P209" s="9" t="n">
        <f aca="false">IF(N209="",0,MAX(0,MIN(N(F209),O209-N209))*N(G209))</f>
        <v>0</v>
      </c>
      <c r="Q209" s="9" t="str">
        <f aca="false">IF(AND(C209&lt;&gt;"",C209='Stock Ledger'!$C$4),M209,"")</f>
        <v/>
      </c>
    </row>
    <row r="210" customFormat="false" ht="15" hidden="false" customHeight="false" outlineLevel="0" collapsed="false">
      <c r="A210" s="45" t="str">
        <f aca="false">IF(C210="","",ROW()-6)</f>
        <v/>
      </c>
      <c r="B210" s="85"/>
      <c r="C210" s="80"/>
      <c r="D210" s="47" t="str">
        <f aca="false">IF(C210="","",IFERROR(INDEX('Item Master'!$B$6:$B$105,MATCH(C210,'Item Master'!$A$6:$A$105,0)),"?"))</f>
        <v/>
      </c>
      <c r="E210" s="82"/>
      <c r="F210" s="83"/>
      <c r="G210" s="84"/>
      <c r="H210" s="81"/>
      <c r="I210" s="80"/>
      <c r="J210" s="41" t="str">
        <f aca="false">IF(OR(C210="",G210=""),"",N(F210)*N(G210))</f>
        <v/>
      </c>
      <c r="K210" s="48" t="str">
        <f aca="false">IF(M210="","",N(IFERROR(INDEX('Item Master'!$E$6:$E$105,MATCH(C210,'Item Master'!$A$6:$A$105,0)),0))+SUMIFS($F$7:$F$506,$C$7:$C$506,C210,$E$7:$E$506,"In",$M$7:$M$506,"&lt;="&amp;M210)-SUMIFS($F$7:$F$506,$C$7:$C$506,C210,$E$7:$E$506,"Out",$M$7:$M$506,"&lt;="&amp;M210))</f>
        <v/>
      </c>
      <c r="L210" s="44" t="str">
        <f aca="false">IF(AND(B210="",C210="",F210=""),"",IF(C210="","⚠ Pick item",IF(D210="?","⚠ Code not in Item Master",IF(B210="","⚠ Enter date",IF(OR(E210="",N(F210)&lt;=0),"⚠ Type / quantity missing",IF(AND(E210="In",G210=""),"⚠ Enter purchase rate",IF(OR(B210&lt;Setup!$C$6,B210&gt;Setup!$C$7),"Outside period",IF(K210&lt;0,"⚠ Stock goes negative","✔ OK"))))))))</f>
        <v/>
      </c>
      <c r="M210" s="9" t="str">
        <f aca="false">IF(OR(C210="",B210=""),"",B210+ROW()/1000000)</f>
        <v/>
      </c>
      <c r="N210" s="9" t="str">
        <f aca="false">IF(AND(E210="In",M210&lt;&gt;""),SUMIFS($F$7:$F$506,$C$7:$C$506,C210,$E$7:$E$506,"In",$M$7:$M$506,"&gt;"&amp;M210),"")</f>
        <v/>
      </c>
      <c r="O210" s="9" t="str">
        <f aca="false">IF(N210="","",IFERROR(INDEX('Item Master'!$K$6:$K$105,MATCH(C210,'Item Master'!$A$6:$A$105,0)),0))</f>
        <v/>
      </c>
      <c r="P210" s="9" t="n">
        <f aca="false">IF(N210="",0,MAX(0,MIN(N(F210),O210-N210))*N(G210))</f>
        <v>0</v>
      </c>
      <c r="Q210" s="9" t="str">
        <f aca="false">IF(AND(C210&lt;&gt;"",C210='Stock Ledger'!$C$4),M210,"")</f>
        <v/>
      </c>
    </row>
    <row r="211" customFormat="false" ht="15" hidden="false" customHeight="false" outlineLevel="0" collapsed="false">
      <c r="A211" s="45" t="str">
        <f aca="false">IF(C211="","",ROW()-6)</f>
        <v/>
      </c>
      <c r="B211" s="85"/>
      <c r="C211" s="80"/>
      <c r="D211" s="47" t="str">
        <f aca="false">IF(C211="","",IFERROR(INDEX('Item Master'!$B$6:$B$105,MATCH(C211,'Item Master'!$A$6:$A$105,0)),"?"))</f>
        <v/>
      </c>
      <c r="E211" s="82"/>
      <c r="F211" s="83"/>
      <c r="G211" s="84"/>
      <c r="H211" s="81"/>
      <c r="I211" s="80"/>
      <c r="J211" s="41" t="str">
        <f aca="false">IF(OR(C211="",G211=""),"",N(F211)*N(G211))</f>
        <v/>
      </c>
      <c r="K211" s="48" t="str">
        <f aca="false">IF(M211="","",N(IFERROR(INDEX('Item Master'!$E$6:$E$105,MATCH(C211,'Item Master'!$A$6:$A$105,0)),0))+SUMIFS($F$7:$F$506,$C$7:$C$506,C211,$E$7:$E$506,"In",$M$7:$M$506,"&lt;="&amp;M211)-SUMIFS($F$7:$F$506,$C$7:$C$506,C211,$E$7:$E$506,"Out",$M$7:$M$506,"&lt;="&amp;M211))</f>
        <v/>
      </c>
      <c r="L211" s="44" t="str">
        <f aca="false">IF(AND(B211="",C211="",F211=""),"",IF(C211="","⚠ Pick item",IF(D211="?","⚠ Code not in Item Master",IF(B211="","⚠ Enter date",IF(OR(E211="",N(F211)&lt;=0),"⚠ Type / quantity missing",IF(AND(E211="In",G211=""),"⚠ Enter purchase rate",IF(OR(B211&lt;Setup!$C$6,B211&gt;Setup!$C$7),"Outside period",IF(K211&lt;0,"⚠ Stock goes negative","✔ OK"))))))))</f>
        <v/>
      </c>
      <c r="M211" s="9" t="str">
        <f aca="false">IF(OR(C211="",B211=""),"",B211+ROW()/1000000)</f>
        <v/>
      </c>
      <c r="N211" s="9" t="str">
        <f aca="false">IF(AND(E211="In",M211&lt;&gt;""),SUMIFS($F$7:$F$506,$C$7:$C$506,C211,$E$7:$E$506,"In",$M$7:$M$506,"&gt;"&amp;M211),"")</f>
        <v/>
      </c>
      <c r="O211" s="9" t="str">
        <f aca="false">IF(N211="","",IFERROR(INDEX('Item Master'!$K$6:$K$105,MATCH(C211,'Item Master'!$A$6:$A$105,0)),0))</f>
        <v/>
      </c>
      <c r="P211" s="9" t="n">
        <f aca="false">IF(N211="",0,MAX(0,MIN(N(F211),O211-N211))*N(G211))</f>
        <v>0</v>
      </c>
      <c r="Q211" s="9" t="str">
        <f aca="false">IF(AND(C211&lt;&gt;"",C211='Stock Ledger'!$C$4),M211,"")</f>
        <v/>
      </c>
    </row>
    <row r="212" customFormat="false" ht="15" hidden="false" customHeight="false" outlineLevel="0" collapsed="false">
      <c r="A212" s="45" t="str">
        <f aca="false">IF(C212="","",ROW()-6)</f>
        <v/>
      </c>
      <c r="B212" s="85"/>
      <c r="C212" s="80"/>
      <c r="D212" s="47" t="str">
        <f aca="false">IF(C212="","",IFERROR(INDEX('Item Master'!$B$6:$B$105,MATCH(C212,'Item Master'!$A$6:$A$105,0)),"?"))</f>
        <v/>
      </c>
      <c r="E212" s="82"/>
      <c r="F212" s="83"/>
      <c r="G212" s="84"/>
      <c r="H212" s="81"/>
      <c r="I212" s="80"/>
      <c r="J212" s="41" t="str">
        <f aca="false">IF(OR(C212="",G212=""),"",N(F212)*N(G212))</f>
        <v/>
      </c>
      <c r="K212" s="48" t="str">
        <f aca="false">IF(M212="","",N(IFERROR(INDEX('Item Master'!$E$6:$E$105,MATCH(C212,'Item Master'!$A$6:$A$105,0)),0))+SUMIFS($F$7:$F$506,$C$7:$C$506,C212,$E$7:$E$506,"In",$M$7:$M$506,"&lt;="&amp;M212)-SUMIFS($F$7:$F$506,$C$7:$C$506,C212,$E$7:$E$506,"Out",$M$7:$M$506,"&lt;="&amp;M212))</f>
        <v/>
      </c>
      <c r="L212" s="44" t="str">
        <f aca="false">IF(AND(B212="",C212="",F212=""),"",IF(C212="","⚠ Pick item",IF(D212="?","⚠ Code not in Item Master",IF(B212="","⚠ Enter date",IF(OR(E212="",N(F212)&lt;=0),"⚠ Type / quantity missing",IF(AND(E212="In",G212=""),"⚠ Enter purchase rate",IF(OR(B212&lt;Setup!$C$6,B212&gt;Setup!$C$7),"Outside period",IF(K212&lt;0,"⚠ Stock goes negative","✔ OK"))))))))</f>
        <v/>
      </c>
      <c r="M212" s="9" t="str">
        <f aca="false">IF(OR(C212="",B212=""),"",B212+ROW()/1000000)</f>
        <v/>
      </c>
      <c r="N212" s="9" t="str">
        <f aca="false">IF(AND(E212="In",M212&lt;&gt;""),SUMIFS($F$7:$F$506,$C$7:$C$506,C212,$E$7:$E$506,"In",$M$7:$M$506,"&gt;"&amp;M212),"")</f>
        <v/>
      </c>
      <c r="O212" s="9" t="str">
        <f aca="false">IF(N212="","",IFERROR(INDEX('Item Master'!$K$6:$K$105,MATCH(C212,'Item Master'!$A$6:$A$105,0)),0))</f>
        <v/>
      </c>
      <c r="P212" s="9" t="n">
        <f aca="false">IF(N212="",0,MAX(0,MIN(N(F212),O212-N212))*N(G212))</f>
        <v>0</v>
      </c>
      <c r="Q212" s="9" t="str">
        <f aca="false">IF(AND(C212&lt;&gt;"",C212='Stock Ledger'!$C$4),M212,"")</f>
        <v/>
      </c>
    </row>
    <row r="213" customFormat="false" ht="15" hidden="false" customHeight="false" outlineLevel="0" collapsed="false">
      <c r="A213" s="45" t="str">
        <f aca="false">IF(C213="","",ROW()-6)</f>
        <v/>
      </c>
      <c r="B213" s="85"/>
      <c r="C213" s="80"/>
      <c r="D213" s="47" t="str">
        <f aca="false">IF(C213="","",IFERROR(INDEX('Item Master'!$B$6:$B$105,MATCH(C213,'Item Master'!$A$6:$A$105,0)),"?"))</f>
        <v/>
      </c>
      <c r="E213" s="82"/>
      <c r="F213" s="83"/>
      <c r="G213" s="84"/>
      <c r="H213" s="81"/>
      <c r="I213" s="80"/>
      <c r="J213" s="41" t="str">
        <f aca="false">IF(OR(C213="",G213=""),"",N(F213)*N(G213))</f>
        <v/>
      </c>
      <c r="K213" s="48" t="str">
        <f aca="false">IF(M213="","",N(IFERROR(INDEX('Item Master'!$E$6:$E$105,MATCH(C213,'Item Master'!$A$6:$A$105,0)),0))+SUMIFS($F$7:$F$506,$C$7:$C$506,C213,$E$7:$E$506,"In",$M$7:$M$506,"&lt;="&amp;M213)-SUMIFS($F$7:$F$506,$C$7:$C$506,C213,$E$7:$E$506,"Out",$M$7:$M$506,"&lt;="&amp;M213))</f>
        <v/>
      </c>
      <c r="L213" s="44" t="str">
        <f aca="false">IF(AND(B213="",C213="",F213=""),"",IF(C213="","⚠ Pick item",IF(D213="?","⚠ Code not in Item Master",IF(B213="","⚠ Enter date",IF(OR(E213="",N(F213)&lt;=0),"⚠ Type / quantity missing",IF(AND(E213="In",G213=""),"⚠ Enter purchase rate",IF(OR(B213&lt;Setup!$C$6,B213&gt;Setup!$C$7),"Outside period",IF(K213&lt;0,"⚠ Stock goes negative","✔ OK"))))))))</f>
        <v/>
      </c>
      <c r="M213" s="9" t="str">
        <f aca="false">IF(OR(C213="",B213=""),"",B213+ROW()/1000000)</f>
        <v/>
      </c>
      <c r="N213" s="9" t="str">
        <f aca="false">IF(AND(E213="In",M213&lt;&gt;""),SUMIFS($F$7:$F$506,$C$7:$C$506,C213,$E$7:$E$506,"In",$M$7:$M$506,"&gt;"&amp;M213),"")</f>
        <v/>
      </c>
      <c r="O213" s="9" t="str">
        <f aca="false">IF(N213="","",IFERROR(INDEX('Item Master'!$K$6:$K$105,MATCH(C213,'Item Master'!$A$6:$A$105,0)),0))</f>
        <v/>
      </c>
      <c r="P213" s="9" t="n">
        <f aca="false">IF(N213="",0,MAX(0,MIN(N(F213),O213-N213))*N(G213))</f>
        <v>0</v>
      </c>
      <c r="Q213" s="9" t="str">
        <f aca="false">IF(AND(C213&lt;&gt;"",C213='Stock Ledger'!$C$4),M213,"")</f>
        <v/>
      </c>
    </row>
    <row r="214" customFormat="false" ht="15" hidden="false" customHeight="false" outlineLevel="0" collapsed="false">
      <c r="A214" s="45" t="str">
        <f aca="false">IF(C214="","",ROW()-6)</f>
        <v/>
      </c>
      <c r="B214" s="85"/>
      <c r="C214" s="80"/>
      <c r="D214" s="47" t="str">
        <f aca="false">IF(C214="","",IFERROR(INDEX('Item Master'!$B$6:$B$105,MATCH(C214,'Item Master'!$A$6:$A$105,0)),"?"))</f>
        <v/>
      </c>
      <c r="E214" s="82"/>
      <c r="F214" s="83"/>
      <c r="G214" s="84"/>
      <c r="H214" s="81"/>
      <c r="I214" s="80"/>
      <c r="J214" s="41" t="str">
        <f aca="false">IF(OR(C214="",G214=""),"",N(F214)*N(G214))</f>
        <v/>
      </c>
      <c r="K214" s="48" t="str">
        <f aca="false">IF(M214="","",N(IFERROR(INDEX('Item Master'!$E$6:$E$105,MATCH(C214,'Item Master'!$A$6:$A$105,0)),0))+SUMIFS($F$7:$F$506,$C$7:$C$506,C214,$E$7:$E$506,"In",$M$7:$M$506,"&lt;="&amp;M214)-SUMIFS($F$7:$F$506,$C$7:$C$506,C214,$E$7:$E$506,"Out",$M$7:$M$506,"&lt;="&amp;M214))</f>
        <v/>
      </c>
      <c r="L214" s="44" t="str">
        <f aca="false">IF(AND(B214="",C214="",F214=""),"",IF(C214="","⚠ Pick item",IF(D214="?","⚠ Code not in Item Master",IF(B214="","⚠ Enter date",IF(OR(E214="",N(F214)&lt;=0),"⚠ Type / quantity missing",IF(AND(E214="In",G214=""),"⚠ Enter purchase rate",IF(OR(B214&lt;Setup!$C$6,B214&gt;Setup!$C$7),"Outside period",IF(K214&lt;0,"⚠ Stock goes negative","✔ OK"))))))))</f>
        <v/>
      </c>
      <c r="M214" s="9" t="str">
        <f aca="false">IF(OR(C214="",B214=""),"",B214+ROW()/1000000)</f>
        <v/>
      </c>
      <c r="N214" s="9" t="str">
        <f aca="false">IF(AND(E214="In",M214&lt;&gt;""),SUMIFS($F$7:$F$506,$C$7:$C$506,C214,$E$7:$E$506,"In",$M$7:$M$506,"&gt;"&amp;M214),"")</f>
        <v/>
      </c>
      <c r="O214" s="9" t="str">
        <f aca="false">IF(N214="","",IFERROR(INDEX('Item Master'!$K$6:$K$105,MATCH(C214,'Item Master'!$A$6:$A$105,0)),0))</f>
        <v/>
      </c>
      <c r="P214" s="9" t="n">
        <f aca="false">IF(N214="",0,MAX(0,MIN(N(F214),O214-N214))*N(G214))</f>
        <v>0</v>
      </c>
      <c r="Q214" s="9" t="str">
        <f aca="false">IF(AND(C214&lt;&gt;"",C214='Stock Ledger'!$C$4),M214,"")</f>
        <v/>
      </c>
    </row>
    <row r="215" customFormat="false" ht="15" hidden="false" customHeight="false" outlineLevel="0" collapsed="false">
      <c r="A215" s="45" t="str">
        <f aca="false">IF(C215="","",ROW()-6)</f>
        <v/>
      </c>
      <c r="B215" s="85"/>
      <c r="C215" s="80"/>
      <c r="D215" s="47" t="str">
        <f aca="false">IF(C215="","",IFERROR(INDEX('Item Master'!$B$6:$B$105,MATCH(C215,'Item Master'!$A$6:$A$105,0)),"?"))</f>
        <v/>
      </c>
      <c r="E215" s="82"/>
      <c r="F215" s="83"/>
      <c r="G215" s="84"/>
      <c r="H215" s="81"/>
      <c r="I215" s="80"/>
      <c r="J215" s="41" t="str">
        <f aca="false">IF(OR(C215="",G215=""),"",N(F215)*N(G215))</f>
        <v/>
      </c>
      <c r="K215" s="48" t="str">
        <f aca="false">IF(M215="","",N(IFERROR(INDEX('Item Master'!$E$6:$E$105,MATCH(C215,'Item Master'!$A$6:$A$105,0)),0))+SUMIFS($F$7:$F$506,$C$7:$C$506,C215,$E$7:$E$506,"In",$M$7:$M$506,"&lt;="&amp;M215)-SUMIFS($F$7:$F$506,$C$7:$C$506,C215,$E$7:$E$506,"Out",$M$7:$M$506,"&lt;="&amp;M215))</f>
        <v/>
      </c>
      <c r="L215" s="44" t="str">
        <f aca="false">IF(AND(B215="",C215="",F215=""),"",IF(C215="","⚠ Pick item",IF(D215="?","⚠ Code not in Item Master",IF(B215="","⚠ Enter date",IF(OR(E215="",N(F215)&lt;=0),"⚠ Type / quantity missing",IF(AND(E215="In",G215=""),"⚠ Enter purchase rate",IF(OR(B215&lt;Setup!$C$6,B215&gt;Setup!$C$7),"Outside period",IF(K215&lt;0,"⚠ Stock goes negative","✔ OK"))))))))</f>
        <v/>
      </c>
      <c r="M215" s="9" t="str">
        <f aca="false">IF(OR(C215="",B215=""),"",B215+ROW()/1000000)</f>
        <v/>
      </c>
      <c r="N215" s="9" t="str">
        <f aca="false">IF(AND(E215="In",M215&lt;&gt;""),SUMIFS($F$7:$F$506,$C$7:$C$506,C215,$E$7:$E$506,"In",$M$7:$M$506,"&gt;"&amp;M215),"")</f>
        <v/>
      </c>
      <c r="O215" s="9" t="str">
        <f aca="false">IF(N215="","",IFERROR(INDEX('Item Master'!$K$6:$K$105,MATCH(C215,'Item Master'!$A$6:$A$105,0)),0))</f>
        <v/>
      </c>
      <c r="P215" s="9" t="n">
        <f aca="false">IF(N215="",0,MAX(0,MIN(N(F215),O215-N215))*N(G215))</f>
        <v>0</v>
      </c>
      <c r="Q215" s="9" t="str">
        <f aca="false">IF(AND(C215&lt;&gt;"",C215='Stock Ledger'!$C$4),M215,"")</f>
        <v/>
      </c>
    </row>
    <row r="216" customFormat="false" ht="15" hidden="false" customHeight="false" outlineLevel="0" collapsed="false">
      <c r="A216" s="45" t="str">
        <f aca="false">IF(C216="","",ROW()-6)</f>
        <v/>
      </c>
      <c r="B216" s="85"/>
      <c r="C216" s="80"/>
      <c r="D216" s="47" t="str">
        <f aca="false">IF(C216="","",IFERROR(INDEX('Item Master'!$B$6:$B$105,MATCH(C216,'Item Master'!$A$6:$A$105,0)),"?"))</f>
        <v/>
      </c>
      <c r="E216" s="82"/>
      <c r="F216" s="83"/>
      <c r="G216" s="84"/>
      <c r="H216" s="81"/>
      <c r="I216" s="80"/>
      <c r="J216" s="41" t="str">
        <f aca="false">IF(OR(C216="",G216=""),"",N(F216)*N(G216))</f>
        <v/>
      </c>
      <c r="K216" s="48" t="str">
        <f aca="false">IF(M216="","",N(IFERROR(INDEX('Item Master'!$E$6:$E$105,MATCH(C216,'Item Master'!$A$6:$A$105,0)),0))+SUMIFS($F$7:$F$506,$C$7:$C$506,C216,$E$7:$E$506,"In",$M$7:$M$506,"&lt;="&amp;M216)-SUMIFS($F$7:$F$506,$C$7:$C$506,C216,$E$7:$E$506,"Out",$M$7:$M$506,"&lt;="&amp;M216))</f>
        <v/>
      </c>
      <c r="L216" s="44" t="str">
        <f aca="false">IF(AND(B216="",C216="",F216=""),"",IF(C216="","⚠ Pick item",IF(D216="?","⚠ Code not in Item Master",IF(B216="","⚠ Enter date",IF(OR(E216="",N(F216)&lt;=0),"⚠ Type / quantity missing",IF(AND(E216="In",G216=""),"⚠ Enter purchase rate",IF(OR(B216&lt;Setup!$C$6,B216&gt;Setup!$C$7),"Outside period",IF(K216&lt;0,"⚠ Stock goes negative","✔ OK"))))))))</f>
        <v/>
      </c>
      <c r="M216" s="9" t="str">
        <f aca="false">IF(OR(C216="",B216=""),"",B216+ROW()/1000000)</f>
        <v/>
      </c>
      <c r="N216" s="9" t="str">
        <f aca="false">IF(AND(E216="In",M216&lt;&gt;""),SUMIFS($F$7:$F$506,$C$7:$C$506,C216,$E$7:$E$506,"In",$M$7:$M$506,"&gt;"&amp;M216),"")</f>
        <v/>
      </c>
      <c r="O216" s="9" t="str">
        <f aca="false">IF(N216="","",IFERROR(INDEX('Item Master'!$K$6:$K$105,MATCH(C216,'Item Master'!$A$6:$A$105,0)),0))</f>
        <v/>
      </c>
      <c r="P216" s="9" t="n">
        <f aca="false">IF(N216="",0,MAX(0,MIN(N(F216),O216-N216))*N(G216))</f>
        <v>0</v>
      </c>
      <c r="Q216" s="9" t="str">
        <f aca="false">IF(AND(C216&lt;&gt;"",C216='Stock Ledger'!$C$4),M216,"")</f>
        <v/>
      </c>
    </row>
    <row r="217" customFormat="false" ht="15" hidden="false" customHeight="false" outlineLevel="0" collapsed="false">
      <c r="A217" s="45" t="str">
        <f aca="false">IF(C217="","",ROW()-6)</f>
        <v/>
      </c>
      <c r="B217" s="85"/>
      <c r="C217" s="80"/>
      <c r="D217" s="47" t="str">
        <f aca="false">IF(C217="","",IFERROR(INDEX('Item Master'!$B$6:$B$105,MATCH(C217,'Item Master'!$A$6:$A$105,0)),"?"))</f>
        <v/>
      </c>
      <c r="E217" s="82"/>
      <c r="F217" s="83"/>
      <c r="G217" s="84"/>
      <c r="H217" s="81"/>
      <c r="I217" s="80"/>
      <c r="J217" s="41" t="str">
        <f aca="false">IF(OR(C217="",G217=""),"",N(F217)*N(G217))</f>
        <v/>
      </c>
      <c r="K217" s="48" t="str">
        <f aca="false">IF(M217="","",N(IFERROR(INDEX('Item Master'!$E$6:$E$105,MATCH(C217,'Item Master'!$A$6:$A$105,0)),0))+SUMIFS($F$7:$F$506,$C$7:$C$506,C217,$E$7:$E$506,"In",$M$7:$M$506,"&lt;="&amp;M217)-SUMIFS($F$7:$F$506,$C$7:$C$506,C217,$E$7:$E$506,"Out",$M$7:$M$506,"&lt;="&amp;M217))</f>
        <v/>
      </c>
      <c r="L217" s="44" t="str">
        <f aca="false">IF(AND(B217="",C217="",F217=""),"",IF(C217="","⚠ Pick item",IF(D217="?","⚠ Code not in Item Master",IF(B217="","⚠ Enter date",IF(OR(E217="",N(F217)&lt;=0),"⚠ Type / quantity missing",IF(AND(E217="In",G217=""),"⚠ Enter purchase rate",IF(OR(B217&lt;Setup!$C$6,B217&gt;Setup!$C$7),"Outside period",IF(K217&lt;0,"⚠ Stock goes negative","✔ OK"))))))))</f>
        <v/>
      </c>
      <c r="M217" s="9" t="str">
        <f aca="false">IF(OR(C217="",B217=""),"",B217+ROW()/1000000)</f>
        <v/>
      </c>
      <c r="N217" s="9" t="str">
        <f aca="false">IF(AND(E217="In",M217&lt;&gt;""),SUMIFS($F$7:$F$506,$C$7:$C$506,C217,$E$7:$E$506,"In",$M$7:$M$506,"&gt;"&amp;M217),"")</f>
        <v/>
      </c>
      <c r="O217" s="9" t="str">
        <f aca="false">IF(N217="","",IFERROR(INDEX('Item Master'!$K$6:$K$105,MATCH(C217,'Item Master'!$A$6:$A$105,0)),0))</f>
        <v/>
      </c>
      <c r="P217" s="9" t="n">
        <f aca="false">IF(N217="",0,MAX(0,MIN(N(F217),O217-N217))*N(G217))</f>
        <v>0</v>
      </c>
      <c r="Q217" s="9" t="str">
        <f aca="false">IF(AND(C217&lt;&gt;"",C217='Stock Ledger'!$C$4),M217,"")</f>
        <v/>
      </c>
    </row>
    <row r="218" customFormat="false" ht="15" hidden="false" customHeight="false" outlineLevel="0" collapsed="false">
      <c r="A218" s="45" t="str">
        <f aca="false">IF(C218="","",ROW()-6)</f>
        <v/>
      </c>
      <c r="B218" s="85"/>
      <c r="C218" s="80"/>
      <c r="D218" s="47" t="str">
        <f aca="false">IF(C218="","",IFERROR(INDEX('Item Master'!$B$6:$B$105,MATCH(C218,'Item Master'!$A$6:$A$105,0)),"?"))</f>
        <v/>
      </c>
      <c r="E218" s="82"/>
      <c r="F218" s="83"/>
      <c r="G218" s="84"/>
      <c r="H218" s="81"/>
      <c r="I218" s="80"/>
      <c r="J218" s="41" t="str">
        <f aca="false">IF(OR(C218="",G218=""),"",N(F218)*N(G218))</f>
        <v/>
      </c>
      <c r="K218" s="48" t="str">
        <f aca="false">IF(M218="","",N(IFERROR(INDEX('Item Master'!$E$6:$E$105,MATCH(C218,'Item Master'!$A$6:$A$105,0)),0))+SUMIFS($F$7:$F$506,$C$7:$C$506,C218,$E$7:$E$506,"In",$M$7:$M$506,"&lt;="&amp;M218)-SUMIFS($F$7:$F$506,$C$7:$C$506,C218,$E$7:$E$506,"Out",$M$7:$M$506,"&lt;="&amp;M218))</f>
        <v/>
      </c>
      <c r="L218" s="44" t="str">
        <f aca="false">IF(AND(B218="",C218="",F218=""),"",IF(C218="","⚠ Pick item",IF(D218="?","⚠ Code not in Item Master",IF(B218="","⚠ Enter date",IF(OR(E218="",N(F218)&lt;=0),"⚠ Type / quantity missing",IF(AND(E218="In",G218=""),"⚠ Enter purchase rate",IF(OR(B218&lt;Setup!$C$6,B218&gt;Setup!$C$7),"Outside period",IF(K218&lt;0,"⚠ Stock goes negative","✔ OK"))))))))</f>
        <v/>
      </c>
      <c r="M218" s="9" t="str">
        <f aca="false">IF(OR(C218="",B218=""),"",B218+ROW()/1000000)</f>
        <v/>
      </c>
      <c r="N218" s="9" t="str">
        <f aca="false">IF(AND(E218="In",M218&lt;&gt;""),SUMIFS($F$7:$F$506,$C$7:$C$506,C218,$E$7:$E$506,"In",$M$7:$M$506,"&gt;"&amp;M218),"")</f>
        <v/>
      </c>
      <c r="O218" s="9" t="str">
        <f aca="false">IF(N218="","",IFERROR(INDEX('Item Master'!$K$6:$K$105,MATCH(C218,'Item Master'!$A$6:$A$105,0)),0))</f>
        <v/>
      </c>
      <c r="P218" s="9" t="n">
        <f aca="false">IF(N218="",0,MAX(0,MIN(N(F218),O218-N218))*N(G218))</f>
        <v>0</v>
      </c>
      <c r="Q218" s="9" t="str">
        <f aca="false">IF(AND(C218&lt;&gt;"",C218='Stock Ledger'!$C$4),M218,"")</f>
        <v/>
      </c>
    </row>
    <row r="219" customFormat="false" ht="15" hidden="false" customHeight="false" outlineLevel="0" collapsed="false">
      <c r="A219" s="45" t="str">
        <f aca="false">IF(C219="","",ROW()-6)</f>
        <v/>
      </c>
      <c r="B219" s="85"/>
      <c r="C219" s="80"/>
      <c r="D219" s="47" t="str">
        <f aca="false">IF(C219="","",IFERROR(INDEX('Item Master'!$B$6:$B$105,MATCH(C219,'Item Master'!$A$6:$A$105,0)),"?"))</f>
        <v/>
      </c>
      <c r="E219" s="82"/>
      <c r="F219" s="83"/>
      <c r="G219" s="84"/>
      <c r="H219" s="81"/>
      <c r="I219" s="80"/>
      <c r="J219" s="41" t="str">
        <f aca="false">IF(OR(C219="",G219=""),"",N(F219)*N(G219))</f>
        <v/>
      </c>
      <c r="K219" s="48" t="str">
        <f aca="false">IF(M219="","",N(IFERROR(INDEX('Item Master'!$E$6:$E$105,MATCH(C219,'Item Master'!$A$6:$A$105,0)),0))+SUMIFS($F$7:$F$506,$C$7:$C$506,C219,$E$7:$E$506,"In",$M$7:$M$506,"&lt;="&amp;M219)-SUMIFS($F$7:$F$506,$C$7:$C$506,C219,$E$7:$E$506,"Out",$M$7:$M$506,"&lt;="&amp;M219))</f>
        <v/>
      </c>
      <c r="L219" s="44" t="str">
        <f aca="false">IF(AND(B219="",C219="",F219=""),"",IF(C219="","⚠ Pick item",IF(D219="?","⚠ Code not in Item Master",IF(B219="","⚠ Enter date",IF(OR(E219="",N(F219)&lt;=0),"⚠ Type / quantity missing",IF(AND(E219="In",G219=""),"⚠ Enter purchase rate",IF(OR(B219&lt;Setup!$C$6,B219&gt;Setup!$C$7),"Outside period",IF(K219&lt;0,"⚠ Stock goes negative","✔ OK"))))))))</f>
        <v/>
      </c>
      <c r="M219" s="9" t="str">
        <f aca="false">IF(OR(C219="",B219=""),"",B219+ROW()/1000000)</f>
        <v/>
      </c>
      <c r="N219" s="9" t="str">
        <f aca="false">IF(AND(E219="In",M219&lt;&gt;""),SUMIFS($F$7:$F$506,$C$7:$C$506,C219,$E$7:$E$506,"In",$M$7:$M$506,"&gt;"&amp;M219),"")</f>
        <v/>
      </c>
      <c r="O219" s="9" t="str">
        <f aca="false">IF(N219="","",IFERROR(INDEX('Item Master'!$K$6:$K$105,MATCH(C219,'Item Master'!$A$6:$A$105,0)),0))</f>
        <v/>
      </c>
      <c r="P219" s="9" t="n">
        <f aca="false">IF(N219="",0,MAX(0,MIN(N(F219),O219-N219))*N(G219))</f>
        <v>0</v>
      </c>
      <c r="Q219" s="9" t="str">
        <f aca="false">IF(AND(C219&lt;&gt;"",C219='Stock Ledger'!$C$4),M219,"")</f>
        <v/>
      </c>
    </row>
    <row r="220" customFormat="false" ht="15" hidden="false" customHeight="false" outlineLevel="0" collapsed="false">
      <c r="A220" s="45" t="str">
        <f aca="false">IF(C220="","",ROW()-6)</f>
        <v/>
      </c>
      <c r="B220" s="85"/>
      <c r="C220" s="80"/>
      <c r="D220" s="47" t="str">
        <f aca="false">IF(C220="","",IFERROR(INDEX('Item Master'!$B$6:$B$105,MATCH(C220,'Item Master'!$A$6:$A$105,0)),"?"))</f>
        <v/>
      </c>
      <c r="E220" s="82"/>
      <c r="F220" s="83"/>
      <c r="G220" s="84"/>
      <c r="H220" s="81"/>
      <c r="I220" s="80"/>
      <c r="J220" s="41" t="str">
        <f aca="false">IF(OR(C220="",G220=""),"",N(F220)*N(G220))</f>
        <v/>
      </c>
      <c r="K220" s="48" t="str">
        <f aca="false">IF(M220="","",N(IFERROR(INDEX('Item Master'!$E$6:$E$105,MATCH(C220,'Item Master'!$A$6:$A$105,0)),0))+SUMIFS($F$7:$F$506,$C$7:$C$506,C220,$E$7:$E$506,"In",$M$7:$M$506,"&lt;="&amp;M220)-SUMIFS($F$7:$F$506,$C$7:$C$506,C220,$E$7:$E$506,"Out",$M$7:$M$506,"&lt;="&amp;M220))</f>
        <v/>
      </c>
      <c r="L220" s="44" t="str">
        <f aca="false">IF(AND(B220="",C220="",F220=""),"",IF(C220="","⚠ Pick item",IF(D220="?","⚠ Code not in Item Master",IF(B220="","⚠ Enter date",IF(OR(E220="",N(F220)&lt;=0),"⚠ Type / quantity missing",IF(AND(E220="In",G220=""),"⚠ Enter purchase rate",IF(OR(B220&lt;Setup!$C$6,B220&gt;Setup!$C$7),"Outside period",IF(K220&lt;0,"⚠ Stock goes negative","✔ OK"))))))))</f>
        <v/>
      </c>
      <c r="M220" s="9" t="str">
        <f aca="false">IF(OR(C220="",B220=""),"",B220+ROW()/1000000)</f>
        <v/>
      </c>
      <c r="N220" s="9" t="str">
        <f aca="false">IF(AND(E220="In",M220&lt;&gt;""),SUMIFS($F$7:$F$506,$C$7:$C$506,C220,$E$7:$E$506,"In",$M$7:$M$506,"&gt;"&amp;M220),"")</f>
        <v/>
      </c>
      <c r="O220" s="9" t="str">
        <f aca="false">IF(N220="","",IFERROR(INDEX('Item Master'!$K$6:$K$105,MATCH(C220,'Item Master'!$A$6:$A$105,0)),0))</f>
        <v/>
      </c>
      <c r="P220" s="9" t="n">
        <f aca="false">IF(N220="",0,MAX(0,MIN(N(F220),O220-N220))*N(G220))</f>
        <v>0</v>
      </c>
      <c r="Q220" s="9" t="str">
        <f aca="false">IF(AND(C220&lt;&gt;"",C220='Stock Ledger'!$C$4),M220,"")</f>
        <v/>
      </c>
    </row>
    <row r="221" customFormat="false" ht="15" hidden="false" customHeight="false" outlineLevel="0" collapsed="false">
      <c r="A221" s="45" t="str">
        <f aca="false">IF(C221="","",ROW()-6)</f>
        <v/>
      </c>
      <c r="B221" s="85"/>
      <c r="C221" s="80"/>
      <c r="D221" s="47" t="str">
        <f aca="false">IF(C221="","",IFERROR(INDEX('Item Master'!$B$6:$B$105,MATCH(C221,'Item Master'!$A$6:$A$105,0)),"?"))</f>
        <v/>
      </c>
      <c r="E221" s="82"/>
      <c r="F221" s="83"/>
      <c r="G221" s="84"/>
      <c r="H221" s="81"/>
      <c r="I221" s="80"/>
      <c r="J221" s="41" t="str">
        <f aca="false">IF(OR(C221="",G221=""),"",N(F221)*N(G221))</f>
        <v/>
      </c>
      <c r="K221" s="48" t="str">
        <f aca="false">IF(M221="","",N(IFERROR(INDEX('Item Master'!$E$6:$E$105,MATCH(C221,'Item Master'!$A$6:$A$105,0)),0))+SUMIFS($F$7:$F$506,$C$7:$C$506,C221,$E$7:$E$506,"In",$M$7:$M$506,"&lt;="&amp;M221)-SUMIFS($F$7:$F$506,$C$7:$C$506,C221,$E$7:$E$506,"Out",$M$7:$M$506,"&lt;="&amp;M221))</f>
        <v/>
      </c>
      <c r="L221" s="44" t="str">
        <f aca="false">IF(AND(B221="",C221="",F221=""),"",IF(C221="","⚠ Pick item",IF(D221="?","⚠ Code not in Item Master",IF(B221="","⚠ Enter date",IF(OR(E221="",N(F221)&lt;=0),"⚠ Type / quantity missing",IF(AND(E221="In",G221=""),"⚠ Enter purchase rate",IF(OR(B221&lt;Setup!$C$6,B221&gt;Setup!$C$7),"Outside period",IF(K221&lt;0,"⚠ Stock goes negative","✔ OK"))))))))</f>
        <v/>
      </c>
      <c r="M221" s="9" t="str">
        <f aca="false">IF(OR(C221="",B221=""),"",B221+ROW()/1000000)</f>
        <v/>
      </c>
      <c r="N221" s="9" t="str">
        <f aca="false">IF(AND(E221="In",M221&lt;&gt;""),SUMIFS($F$7:$F$506,$C$7:$C$506,C221,$E$7:$E$506,"In",$M$7:$M$506,"&gt;"&amp;M221),"")</f>
        <v/>
      </c>
      <c r="O221" s="9" t="str">
        <f aca="false">IF(N221="","",IFERROR(INDEX('Item Master'!$K$6:$K$105,MATCH(C221,'Item Master'!$A$6:$A$105,0)),0))</f>
        <v/>
      </c>
      <c r="P221" s="9" t="n">
        <f aca="false">IF(N221="",0,MAX(0,MIN(N(F221),O221-N221))*N(G221))</f>
        <v>0</v>
      </c>
      <c r="Q221" s="9" t="str">
        <f aca="false">IF(AND(C221&lt;&gt;"",C221='Stock Ledger'!$C$4),M221,"")</f>
        <v/>
      </c>
    </row>
    <row r="222" customFormat="false" ht="15" hidden="false" customHeight="false" outlineLevel="0" collapsed="false">
      <c r="A222" s="45" t="str">
        <f aca="false">IF(C222="","",ROW()-6)</f>
        <v/>
      </c>
      <c r="B222" s="85"/>
      <c r="C222" s="80"/>
      <c r="D222" s="47" t="str">
        <f aca="false">IF(C222="","",IFERROR(INDEX('Item Master'!$B$6:$B$105,MATCH(C222,'Item Master'!$A$6:$A$105,0)),"?"))</f>
        <v/>
      </c>
      <c r="E222" s="82"/>
      <c r="F222" s="83"/>
      <c r="G222" s="84"/>
      <c r="H222" s="81"/>
      <c r="I222" s="80"/>
      <c r="J222" s="41" t="str">
        <f aca="false">IF(OR(C222="",G222=""),"",N(F222)*N(G222))</f>
        <v/>
      </c>
      <c r="K222" s="48" t="str">
        <f aca="false">IF(M222="","",N(IFERROR(INDEX('Item Master'!$E$6:$E$105,MATCH(C222,'Item Master'!$A$6:$A$105,0)),0))+SUMIFS($F$7:$F$506,$C$7:$C$506,C222,$E$7:$E$506,"In",$M$7:$M$506,"&lt;="&amp;M222)-SUMIFS($F$7:$F$506,$C$7:$C$506,C222,$E$7:$E$506,"Out",$M$7:$M$506,"&lt;="&amp;M222))</f>
        <v/>
      </c>
      <c r="L222" s="44" t="str">
        <f aca="false">IF(AND(B222="",C222="",F222=""),"",IF(C222="","⚠ Pick item",IF(D222="?","⚠ Code not in Item Master",IF(B222="","⚠ Enter date",IF(OR(E222="",N(F222)&lt;=0),"⚠ Type / quantity missing",IF(AND(E222="In",G222=""),"⚠ Enter purchase rate",IF(OR(B222&lt;Setup!$C$6,B222&gt;Setup!$C$7),"Outside period",IF(K222&lt;0,"⚠ Stock goes negative","✔ OK"))))))))</f>
        <v/>
      </c>
      <c r="M222" s="9" t="str">
        <f aca="false">IF(OR(C222="",B222=""),"",B222+ROW()/1000000)</f>
        <v/>
      </c>
      <c r="N222" s="9" t="str">
        <f aca="false">IF(AND(E222="In",M222&lt;&gt;""),SUMIFS($F$7:$F$506,$C$7:$C$506,C222,$E$7:$E$506,"In",$M$7:$M$506,"&gt;"&amp;M222),"")</f>
        <v/>
      </c>
      <c r="O222" s="9" t="str">
        <f aca="false">IF(N222="","",IFERROR(INDEX('Item Master'!$K$6:$K$105,MATCH(C222,'Item Master'!$A$6:$A$105,0)),0))</f>
        <v/>
      </c>
      <c r="P222" s="9" t="n">
        <f aca="false">IF(N222="",0,MAX(0,MIN(N(F222),O222-N222))*N(G222))</f>
        <v>0</v>
      </c>
      <c r="Q222" s="9" t="str">
        <f aca="false">IF(AND(C222&lt;&gt;"",C222='Stock Ledger'!$C$4),M222,"")</f>
        <v/>
      </c>
    </row>
    <row r="223" customFormat="false" ht="15" hidden="false" customHeight="false" outlineLevel="0" collapsed="false">
      <c r="A223" s="45" t="str">
        <f aca="false">IF(C223="","",ROW()-6)</f>
        <v/>
      </c>
      <c r="B223" s="85"/>
      <c r="C223" s="80"/>
      <c r="D223" s="47" t="str">
        <f aca="false">IF(C223="","",IFERROR(INDEX('Item Master'!$B$6:$B$105,MATCH(C223,'Item Master'!$A$6:$A$105,0)),"?"))</f>
        <v/>
      </c>
      <c r="E223" s="82"/>
      <c r="F223" s="83"/>
      <c r="G223" s="84"/>
      <c r="H223" s="81"/>
      <c r="I223" s="80"/>
      <c r="J223" s="41" t="str">
        <f aca="false">IF(OR(C223="",G223=""),"",N(F223)*N(G223))</f>
        <v/>
      </c>
      <c r="K223" s="48" t="str">
        <f aca="false">IF(M223="","",N(IFERROR(INDEX('Item Master'!$E$6:$E$105,MATCH(C223,'Item Master'!$A$6:$A$105,0)),0))+SUMIFS($F$7:$F$506,$C$7:$C$506,C223,$E$7:$E$506,"In",$M$7:$M$506,"&lt;="&amp;M223)-SUMIFS($F$7:$F$506,$C$7:$C$506,C223,$E$7:$E$506,"Out",$M$7:$M$506,"&lt;="&amp;M223))</f>
        <v/>
      </c>
      <c r="L223" s="44" t="str">
        <f aca="false">IF(AND(B223="",C223="",F223=""),"",IF(C223="","⚠ Pick item",IF(D223="?","⚠ Code not in Item Master",IF(B223="","⚠ Enter date",IF(OR(E223="",N(F223)&lt;=0),"⚠ Type / quantity missing",IF(AND(E223="In",G223=""),"⚠ Enter purchase rate",IF(OR(B223&lt;Setup!$C$6,B223&gt;Setup!$C$7),"Outside period",IF(K223&lt;0,"⚠ Stock goes negative","✔ OK"))))))))</f>
        <v/>
      </c>
      <c r="M223" s="9" t="str">
        <f aca="false">IF(OR(C223="",B223=""),"",B223+ROW()/1000000)</f>
        <v/>
      </c>
      <c r="N223" s="9" t="str">
        <f aca="false">IF(AND(E223="In",M223&lt;&gt;""),SUMIFS($F$7:$F$506,$C$7:$C$506,C223,$E$7:$E$506,"In",$M$7:$M$506,"&gt;"&amp;M223),"")</f>
        <v/>
      </c>
      <c r="O223" s="9" t="str">
        <f aca="false">IF(N223="","",IFERROR(INDEX('Item Master'!$K$6:$K$105,MATCH(C223,'Item Master'!$A$6:$A$105,0)),0))</f>
        <v/>
      </c>
      <c r="P223" s="9" t="n">
        <f aca="false">IF(N223="",0,MAX(0,MIN(N(F223),O223-N223))*N(G223))</f>
        <v>0</v>
      </c>
      <c r="Q223" s="9" t="str">
        <f aca="false">IF(AND(C223&lt;&gt;"",C223='Stock Ledger'!$C$4),M223,"")</f>
        <v/>
      </c>
    </row>
    <row r="224" customFormat="false" ht="15" hidden="false" customHeight="false" outlineLevel="0" collapsed="false">
      <c r="A224" s="45" t="str">
        <f aca="false">IF(C224="","",ROW()-6)</f>
        <v/>
      </c>
      <c r="B224" s="85"/>
      <c r="C224" s="80"/>
      <c r="D224" s="47" t="str">
        <f aca="false">IF(C224="","",IFERROR(INDEX('Item Master'!$B$6:$B$105,MATCH(C224,'Item Master'!$A$6:$A$105,0)),"?"))</f>
        <v/>
      </c>
      <c r="E224" s="82"/>
      <c r="F224" s="83"/>
      <c r="G224" s="84"/>
      <c r="H224" s="81"/>
      <c r="I224" s="80"/>
      <c r="J224" s="41" t="str">
        <f aca="false">IF(OR(C224="",G224=""),"",N(F224)*N(G224))</f>
        <v/>
      </c>
      <c r="K224" s="48" t="str">
        <f aca="false">IF(M224="","",N(IFERROR(INDEX('Item Master'!$E$6:$E$105,MATCH(C224,'Item Master'!$A$6:$A$105,0)),0))+SUMIFS($F$7:$F$506,$C$7:$C$506,C224,$E$7:$E$506,"In",$M$7:$M$506,"&lt;="&amp;M224)-SUMIFS($F$7:$F$506,$C$7:$C$506,C224,$E$7:$E$506,"Out",$M$7:$M$506,"&lt;="&amp;M224))</f>
        <v/>
      </c>
      <c r="L224" s="44" t="str">
        <f aca="false">IF(AND(B224="",C224="",F224=""),"",IF(C224="","⚠ Pick item",IF(D224="?","⚠ Code not in Item Master",IF(B224="","⚠ Enter date",IF(OR(E224="",N(F224)&lt;=0),"⚠ Type / quantity missing",IF(AND(E224="In",G224=""),"⚠ Enter purchase rate",IF(OR(B224&lt;Setup!$C$6,B224&gt;Setup!$C$7),"Outside period",IF(K224&lt;0,"⚠ Stock goes negative","✔ OK"))))))))</f>
        <v/>
      </c>
      <c r="M224" s="9" t="str">
        <f aca="false">IF(OR(C224="",B224=""),"",B224+ROW()/1000000)</f>
        <v/>
      </c>
      <c r="N224" s="9" t="str">
        <f aca="false">IF(AND(E224="In",M224&lt;&gt;""),SUMIFS($F$7:$F$506,$C$7:$C$506,C224,$E$7:$E$506,"In",$M$7:$M$506,"&gt;"&amp;M224),"")</f>
        <v/>
      </c>
      <c r="O224" s="9" t="str">
        <f aca="false">IF(N224="","",IFERROR(INDEX('Item Master'!$K$6:$K$105,MATCH(C224,'Item Master'!$A$6:$A$105,0)),0))</f>
        <v/>
      </c>
      <c r="P224" s="9" t="n">
        <f aca="false">IF(N224="",0,MAX(0,MIN(N(F224),O224-N224))*N(G224))</f>
        <v>0</v>
      </c>
      <c r="Q224" s="9" t="str">
        <f aca="false">IF(AND(C224&lt;&gt;"",C224='Stock Ledger'!$C$4),M224,"")</f>
        <v/>
      </c>
    </row>
    <row r="225" customFormat="false" ht="15" hidden="false" customHeight="false" outlineLevel="0" collapsed="false">
      <c r="A225" s="45" t="str">
        <f aca="false">IF(C225="","",ROW()-6)</f>
        <v/>
      </c>
      <c r="B225" s="85"/>
      <c r="C225" s="80"/>
      <c r="D225" s="47" t="str">
        <f aca="false">IF(C225="","",IFERROR(INDEX('Item Master'!$B$6:$B$105,MATCH(C225,'Item Master'!$A$6:$A$105,0)),"?"))</f>
        <v/>
      </c>
      <c r="E225" s="82"/>
      <c r="F225" s="83"/>
      <c r="G225" s="84"/>
      <c r="H225" s="81"/>
      <c r="I225" s="80"/>
      <c r="J225" s="41" t="str">
        <f aca="false">IF(OR(C225="",G225=""),"",N(F225)*N(G225))</f>
        <v/>
      </c>
      <c r="K225" s="48" t="str">
        <f aca="false">IF(M225="","",N(IFERROR(INDEX('Item Master'!$E$6:$E$105,MATCH(C225,'Item Master'!$A$6:$A$105,0)),0))+SUMIFS($F$7:$F$506,$C$7:$C$506,C225,$E$7:$E$506,"In",$M$7:$M$506,"&lt;="&amp;M225)-SUMIFS($F$7:$F$506,$C$7:$C$506,C225,$E$7:$E$506,"Out",$M$7:$M$506,"&lt;="&amp;M225))</f>
        <v/>
      </c>
      <c r="L225" s="44" t="str">
        <f aca="false">IF(AND(B225="",C225="",F225=""),"",IF(C225="","⚠ Pick item",IF(D225="?","⚠ Code not in Item Master",IF(B225="","⚠ Enter date",IF(OR(E225="",N(F225)&lt;=0),"⚠ Type / quantity missing",IF(AND(E225="In",G225=""),"⚠ Enter purchase rate",IF(OR(B225&lt;Setup!$C$6,B225&gt;Setup!$C$7),"Outside period",IF(K225&lt;0,"⚠ Stock goes negative","✔ OK"))))))))</f>
        <v/>
      </c>
      <c r="M225" s="9" t="str">
        <f aca="false">IF(OR(C225="",B225=""),"",B225+ROW()/1000000)</f>
        <v/>
      </c>
      <c r="N225" s="9" t="str">
        <f aca="false">IF(AND(E225="In",M225&lt;&gt;""),SUMIFS($F$7:$F$506,$C$7:$C$506,C225,$E$7:$E$506,"In",$M$7:$M$506,"&gt;"&amp;M225),"")</f>
        <v/>
      </c>
      <c r="O225" s="9" t="str">
        <f aca="false">IF(N225="","",IFERROR(INDEX('Item Master'!$K$6:$K$105,MATCH(C225,'Item Master'!$A$6:$A$105,0)),0))</f>
        <v/>
      </c>
      <c r="P225" s="9" t="n">
        <f aca="false">IF(N225="",0,MAX(0,MIN(N(F225),O225-N225))*N(G225))</f>
        <v>0</v>
      </c>
      <c r="Q225" s="9" t="str">
        <f aca="false">IF(AND(C225&lt;&gt;"",C225='Stock Ledger'!$C$4),M225,"")</f>
        <v/>
      </c>
    </row>
    <row r="226" customFormat="false" ht="15" hidden="false" customHeight="false" outlineLevel="0" collapsed="false">
      <c r="A226" s="45" t="str">
        <f aca="false">IF(C226="","",ROW()-6)</f>
        <v/>
      </c>
      <c r="B226" s="85"/>
      <c r="C226" s="80"/>
      <c r="D226" s="47" t="str">
        <f aca="false">IF(C226="","",IFERROR(INDEX('Item Master'!$B$6:$B$105,MATCH(C226,'Item Master'!$A$6:$A$105,0)),"?"))</f>
        <v/>
      </c>
      <c r="E226" s="82"/>
      <c r="F226" s="83"/>
      <c r="G226" s="84"/>
      <c r="H226" s="81"/>
      <c r="I226" s="80"/>
      <c r="J226" s="41" t="str">
        <f aca="false">IF(OR(C226="",G226=""),"",N(F226)*N(G226))</f>
        <v/>
      </c>
      <c r="K226" s="48" t="str">
        <f aca="false">IF(M226="","",N(IFERROR(INDEX('Item Master'!$E$6:$E$105,MATCH(C226,'Item Master'!$A$6:$A$105,0)),0))+SUMIFS($F$7:$F$506,$C$7:$C$506,C226,$E$7:$E$506,"In",$M$7:$M$506,"&lt;="&amp;M226)-SUMIFS($F$7:$F$506,$C$7:$C$506,C226,$E$7:$E$506,"Out",$M$7:$M$506,"&lt;="&amp;M226))</f>
        <v/>
      </c>
      <c r="L226" s="44" t="str">
        <f aca="false">IF(AND(B226="",C226="",F226=""),"",IF(C226="","⚠ Pick item",IF(D226="?","⚠ Code not in Item Master",IF(B226="","⚠ Enter date",IF(OR(E226="",N(F226)&lt;=0),"⚠ Type / quantity missing",IF(AND(E226="In",G226=""),"⚠ Enter purchase rate",IF(OR(B226&lt;Setup!$C$6,B226&gt;Setup!$C$7),"Outside period",IF(K226&lt;0,"⚠ Stock goes negative","✔ OK"))))))))</f>
        <v/>
      </c>
      <c r="M226" s="9" t="str">
        <f aca="false">IF(OR(C226="",B226=""),"",B226+ROW()/1000000)</f>
        <v/>
      </c>
      <c r="N226" s="9" t="str">
        <f aca="false">IF(AND(E226="In",M226&lt;&gt;""),SUMIFS($F$7:$F$506,$C$7:$C$506,C226,$E$7:$E$506,"In",$M$7:$M$506,"&gt;"&amp;M226),"")</f>
        <v/>
      </c>
      <c r="O226" s="9" t="str">
        <f aca="false">IF(N226="","",IFERROR(INDEX('Item Master'!$K$6:$K$105,MATCH(C226,'Item Master'!$A$6:$A$105,0)),0))</f>
        <v/>
      </c>
      <c r="P226" s="9" t="n">
        <f aca="false">IF(N226="",0,MAX(0,MIN(N(F226),O226-N226))*N(G226))</f>
        <v>0</v>
      </c>
      <c r="Q226" s="9" t="str">
        <f aca="false">IF(AND(C226&lt;&gt;"",C226='Stock Ledger'!$C$4),M226,"")</f>
        <v/>
      </c>
    </row>
    <row r="227" customFormat="false" ht="15" hidden="false" customHeight="false" outlineLevel="0" collapsed="false">
      <c r="A227" s="45" t="str">
        <f aca="false">IF(C227="","",ROW()-6)</f>
        <v/>
      </c>
      <c r="B227" s="85"/>
      <c r="C227" s="80"/>
      <c r="D227" s="47" t="str">
        <f aca="false">IF(C227="","",IFERROR(INDEX('Item Master'!$B$6:$B$105,MATCH(C227,'Item Master'!$A$6:$A$105,0)),"?"))</f>
        <v/>
      </c>
      <c r="E227" s="82"/>
      <c r="F227" s="83"/>
      <c r="G227" s="84"/>
      <c r="H227" s="81"/>
      <c r="I227" s="80"/>
      <c r="J227" s="41" t="str">
        <f aca="false">IF(OR(C227="",G227=""),"",N(F227)*N(G227))</f>
        <v/>
      </c>
      <c r="K227" s="48" t="str">
        <f aca="false">IF(M227="","",N(IFERROR(INDEX('Item Master'!$E$6:$E$105,MATCH(C227,'Item Master'!$A$6:$A$105,0)),0))+SUMIFS($F$7:$F$506,$C$7:$C$506,C227,$E$7:$E$506,"In",$M$7:$M$506,"&lt;="&amp;M227)-SUMIFS($F$7:$F$506,$C$7:$C$506,C227,$E$7:$E$506,"Out",$M$7:$M$506,"&lt;="&amp;M227))</f>
        <v/>
      </c>
      <c r="L227" s="44" t="str">
        <f aca="false">IF(AND(B227="",C227="",F227=""),"",IF(C227="","⚠ Pick item",IF(D227="?","⚠ Code not in Item Master",IF(B227="","⚠ Enter date",IF(OR(E227="",N(F227)&lt;=0),"⚠ Type / quantity missing",IF(AND(E227="In",G227=""),"⚠ Enter purchase rate",IF(OR(B227&lt;Setup!$C$6,B227&gt;Setup!$C$7),"Outside period",IF(K227&lt;0,"⚠ Stock goes negative","✔ OK"))))))))</f>
        <v/>
      </c>
      <c r="M227" s="9" t="str">
        <f aca="false">IF(OR(C227="",B227=""),"",B227+ROW()/1000000)</f>
        <v/>
      </c>
      <c r="N227" s="9" t="str">
        <f aca="false">IF(AND(E227="In",M227&lt;&gt;""),SUMIFS($F$7:$F$506,$C$7:$C$506,C227,$E$7:$E$506,"In",$M$7:$M$506,"&gt;"&amp;M227),"")</f>
        <v/>
      </c>
      <c r="O227" s="9" t="str">
        <f aca="false">IF(N227="","",IFERROR(INDEX('Item Master'!$K$6:$K$105,MATCH(C227,'Item Master'!$A$6:$A$105,0)),0))</f>
        <v/>
      </c>
      <c r="P227" s="9" t="n">
        <f aca="false">IF(N227="",0,MAX(0,MIN(N(F227),O227-N227))*N(G227))</f>
        <v>0</v>
      </c>
      <c r="Q227" s="9" t="str">
        <f aca="false">IF(AND(C227&lt;&gt;"",C227='Stock Ledger'!$C$4),M227,"")</f>
        <v/>
      </c>
    </row>
    <row r="228" customFormat="false" ht="15" hidden="false" customHeight="false" outlineLevel="0" collapsed="false">
      <c r="A228" s="45" t="str">
        <f aca="false">IF(C228="","",ROW()-6)</f>
        <v/>
      </c>
      <c r="B228" s="85"/>
      <c r="C228" s="80"/>
      <c r="D228" s="47" t="str">
        <f aca="false">IF(C228="","",IFERROR(INDEX('Item Master'!$B$6:$B$105,MATCH(C228,'Item Master'!$A$6:$A$105,0)),"?"))</f>
        <v/>
      </c>
      <c r="E228" s="82"/>
      <c r="F228" s="83"/>
      <c r="G228" s="84"/>
      <c r="H228" s="81"/>
      <c r="I228" s="80"/>
      <c r="J228" s="41" t="str">
        <f aca="false">IF(OR(C228="",G228=""),"",N(F228)*N(G228))</f>
        <v/>
      </c>
      <c r="K228" s="48" t="str">
        <f aca="false">IF(M228="","",N(IFERROR(INDEX('Item Master'!$E$6:$E$105,MATCH(C228,'Item Master'!$A$6:$A$105,0)),0))+SUMIFS($F$7:$F$506,$C$7:$C$506,C228,$E$7:$E$506,"In",$M$7:$M$506,"&lt;="&amp;M228)-SUMIFS($F$7:$F$506,$C$7:$C$506,C228,$E$7:$E$506,"Out",$M$7:$M$506,"&lt;="&amp;M228))</f>
        <v/>
      </c>
      <c r="L228" s="44" t="str">
        <f aca="false">IF(AND(B228="",C228="",F228=""),"",IF(C228="","⚠ Pick item",IF(D228="?","⚠ Code not in Item Master",IF(B228="","⚠ Enter date",IF(OR(E228="",N(F228)&lt;=0),"⚠ Type / quantity missing",IF(AND(E228="In",G228=""),"⚠ Enter purchase rate",IF(OR(B228&lt;Setup!$C$6,B228&gt;Setup!$C$7),"Outside period",IF(K228&lt;0,"⚠ Stock goes negative","✔ OK"))))))))</f>
        <v/>
      </c>
      <c r="M228" s="9" t="str">
        <f aca="false">IF(OR(C228="",B228=""),"",B228+ROW()/1000000)</f>
        <v/>
      </c>
      <c r="N228" s="9" t="str">
        <f aca="false">IF(AND(E228="In",M228&lt;&gt;""),SUMIFS($F$7:$F$506,$C$7:$C$506,C228,$E$7:$E$506,"In",$M$7:$M$506,"&gt;"&amp;M228),"")</f>
        <v/>
      </c>
      <c r="O228" s="9" t="str">
        <f aca="false">IF(N228="","",IFERROR(INDEX('Item Master'!$K$6:$K$105,MATCH(C228,'Item Master'!$A$6:$A$105,0)),0))</f>
        <v/>
      </c>
      <c r="P228" s="9" t="n">
        <f aca="false">IF(N228="",0,MAX(0,MIN(N(F228),O228-N228))*N(G228))</f>
        <v>0</v>
      </c>
      <c r="Q228" s="9" t="str">
        <f aca="false">IF(AND(C228&lt;&gt;"",C228='Stock Ledger'!$C$4),M228,"")</f>
        <v/>
      </c>
    </row>
    <row r="229" customFormat="false" ht="15" hidden="false" customHeight="false" outlineLevel="0" collapsed="false">
      <c r="A229" s="45" t="str">
        <f aca="false">IF(C229="","",ROW()-6)</f>
        <v/>
      </c>
      <c r="B229" s="85"/>
      <c r="C229" s="80"/>
      <c r="D229" s="47" t="str">
        <f aca="false">IF(C229="","",IFERROR(INDEX('Item Master'!$B$6:$B$105,MATCH(C229,'Item Master'!$A$6:$A$105,0)),"?"))</f>
        <v/>
      </c>
      <c r="E229" s="82"/>
      <c r="F229" s="83"/>
      <c r="G229" s="84"/>
      <c r="H229" s="81"/>
      <c r="I229" s="80"/>
      <c r="J229" s="41" t="str">
        <f aca="false">IF(OR(C229="",G229=""),"",N(F229)*N(G229))</f>
        <v/>
      </c>
      <c r="K229" s="48" t="str">
        <f aca="false">IF(M229="","",N(IFERROR(INDEX('Item Master'!$E$6:$E$105,MATCH(C229,'Item Master'!$A$6:$A$105,0)),0))+SUMIFS($F$7:$F$506,$C$7:$C$506,C229,$E$7:$E$506,"In",$M$7:$M$506,"&lt;="&amp;M229)-SUMIFS($F$7:$F$506,$C$7:$C$506,C229,$E$7:$E$506,"Out",$M$7:$M$506,"&lt;="&amp;M229))</f>
        <v/>
      </c>
      <c r="L229" s="44" t="str">
        <f aca="false">IF(AND(B229="",C229="",F229=""),"",IF(C229="","⚠ Pick item",IF(D229="?","⚠ Code not in Item Master",IF(B229="","⚠ Enter date",IF(OR(E229="",N(F229)&lt;=0),"⚠ Type / quantity missing",IF(AND(E229="In",G229=""),"⚠ Enter purchase rate",IF(OR(B229&lt;Setup!$C$6,B229&gt;Setup!$C$7),"Outside period",IF(K229&lt;0,"⚠ Stock goes negative","✔ OK"))))))))</f>
        <v/>
      </c>
      <c r="M229" s="9" t="str">
        <f aca="false">IF(OR(C229="",B229=""),"",B229+ROW()/1000000)</f>
        <v/>
      </c>
      <c r="N229" s="9" t="str">
        <f aca="false">IF(AND(E229="In",M229&lt;&gt;""),SUMIFS($F$7:$F$506,$C$7:$C$506,C229,$E$7:$E$506,"In",$M$7:$M$506,"&gt;"&amp;M229),"")</f>
        <v/>
      </c>
      <c r="O229" s="9" t="str">
        <f aca="false">IF(N229="","",IFERROR(INDEX('Item Master'!$K$6:$K$105,MATCH(C229,'Item Master'!$A$6:$A$105,0)),0))</f>
        <v/>
      </c>
      <c r="P229" s="9" t="n">
        <f aca="false">IF(N229="",0,MAX(0,MIN(N(F229),O229-N229))*N(G229))</f>
        <v>0</v>
      </c>
      <c r="Q229" s="9" t="str">
        <f aca="false">IF(AND(C229&lt;&gt;"",C229='Stock Ledger'!$C$4),M229,"")</f>
        <v/>
      </c>
    </row>
    <row r="230" customFormat="false" ht="15" hidden="false" customHeight="false" outlineLevel="0" collapsed="false">
      <c r="A230" s="45" t="str">
        <f aca="false">IF(C230="","",ROW()-6)</f>
        <v/>
      </c>
      <c r="B230" s="85"/>
      <c r="C230" s="80"/>
      <c r="D230" s="47" t="str">
        <f aca="false">IF(C230="","",IFERROR(INDEX('Item Master'!$B$6:$B$105,MATCH(C230,'Item Master'!$A$6:$A$105,0)),"?"))</f>
        <v/>
      </c>
      <c r="E230" s="82"/>
      <c r="F230" s="83"/>
      <c r="G230" s="84"/>
      <c r="H230" s="81"/>
      <c r="I230" s="80"/>
      <c r="J230" s="41" t="str">
        <f aca="false">IF(OR(C230="",G230=""),"",N(F230)*N(G230))</f>
        <v/>
      </c>
      <c r="K230" s="48" t="str">
        <f aca="false">IF(M230="","",N(IFERROR(INDEX('Item Master'!$E$6:$E$105,MATCH(C230,'Item Master'!$A$6:$A$105,0)),0))+SUMIFS($F$7:$F$506,$C$7:$C$506,C230,$E$7:$E$506,"In",$M$7:$M$506,"&lt;="&amp;M230)-SUMIFS($F$7:$F$506,$C$7:$C$506,C230,$E$7:$E$506,"Out",$M$7:$M$506,"&lt;="&amp;M230))</f>
        <v/>
      </c>
      <c r="L230" s="44" t="str">
        <f aca="false">IF(AND(B230="",C230="",F230=""),"",IF(C230="","⚠ Pick item",IF(D230="?","⚠ Code not in Item Master",IF(B230="","⚠ Enter date",IF(OR(E230="",N(F230)&lt;=0),"⚠ Type / quantity missing",IF(AND(E230="In",G230=""),"⚠ Enter purchase rate",IF(OR(B230&lt;Setup!$C$6,B230&gt;Setup!$C$7),"Outside period",IF(K230&lt;0,"⚠ Stock goes negative","✔ OK"))))))))</f>
        <v/>
      </c>
      <c r="M230" s="9" t="str">
        <f aca="false">IF(OR(C230="",B230=""),"",B230+ROW()/1000000)</f>
        <v/>
      </c>
      <c r="N230" s="9" t="str">
        <f aca="false">IF(AND(E230="In",M230&lt;&gt;""),SUMIFS($F$7:$F$506,$C$7:$C$506,C230,$E$7:$E$506,"In",$M$7:$M$506,"&gt;"&amp;M230),"")</f>
        <v/>
      </c>
      <c r="O230" s="9" t="str">
        <f aca="false">IF(N230="","",IFERROR(INDEX('Item Master'!$K$6:$K$105,MATCH(C230,'Item Master'!$A$6:$A$105,0)),0))</f>
        <v/>
      </c>
      <c r="P230" s="9" t="n">
        <f aca="false">IF(N230="",0,MAX(0,MIN(N(F230),O230-N230))*N(G230))</f>
        <v>0</v>
      </c>
      <c r="Q230" s="9" t="str">
        <f aca="false">IF(AND(C230&lt;&gt;"",C230='Stock Ledger'!$C$4),M230,"")</f>
        <v/>
      </c>
    </row>
    <row r="231" customFormat="false" ht="15" hidden="false" customHeight="false" outlineLevel="0" collapsed="false">
      <c r="A231" s="45" t="str">
        <f aca="false">IF(C231="","",ROW()-6)</f>
        <v/>
      </c>
      <c r="B231" s="85"/>
      <c r="C231" s="80"/>
      <c r="D231" s="47" t="str">
        <f aca="false">IF(C231="","",IFERROR(INDEX('Item Master'!$B$6:$B$105,MATCH(C231,'Item Master'!$A$6:$A$105,0)),"?"))</f>
        <v/>
      </c>
      <c r="E231" s="82"/>
      <c r="F231" s="83"/>
      <c r="G231" s="84"/>
      <c r="H231" s="81"/>
      <c r="I231" s="80"/>
      <c r="J231" s="41" t="str">
        <f aca="false">IF(OR(C231="",G231=""),"",N(F231)*N(G231))</f>
        <v/>
      </c>
      <c r="K231" s="48" t="str">
        <f aca="false">IF(M231="","",N(IFERROR(INDEX('Item Master'!$E$6:$E$105,MATCH(C231,'Item Master'!$A$6:$A$105,0)),0))+SUMIFS($F$7:$F$506,$C$7:$C$506,C231,$E$7:$E$506,"In",$M$7:$M$506,"&lt;="&amp;M231)-SUMIFS($F$7:$F$506,$C$7:$C$506,C231,$E$7:$E$506,"Out",$M$7:$M$506,"&lt;="&amp;M231))</f>
        <v/>
      </c>
      <c r="L231" s="44" t="str">
        <f aca="false">IF(AND(B231="",C231="",F231=""),"",IF(C231="","⚠ Pick item",IF(D231="?","⚠ Code not in Item Master",IF(B231="","⚠ Enter date",IF(OR(E231="",N(F231)&lt;=0),"⚠ Type / quantity missing",IF(AND(E231="In",G231=""),"⚠ Enter purchase rate",IF(OR(B231&lt;Setup!$C$6,B231&gt;Setup!$C$7),"Outside period",IF(K231&lt;0,"⚠ Stock goes negative","✔ OK"))))))))</f>
        <v/>
      </c>
      <c r="M231" s="9" t="str">
        <f aca="false">IF(OR(C231="",B231=""),"",B231+ROW()/1000000)</f>
        <v/>
      </c>
      <c r="N231" s="9" t="str">
        <f aca="false">IF(AND(E231="In",M231&lt;&gt;""),SUMIFS($F$7:$F$506,$C$7:$C$506,C231,$E$7:$E$506,"In",$M$7:$M$506,"&gt;"&amp;M231),"")</f>
        <v/>
      </c>
      <c r="O231" s="9" t="str">
        <f aca="false">IF(N231="","",IFERROR(INDEX('Item Master'!$K$6:$K$105,MATCH(C231,'Item Master'!$A$6:$A$105,0)),0))</f>
        <v/>
      </c>
      <c r="P231" s="9" t="n">
        <f aca="false">IF(N231="",0,MAX(0,MIN(N(F231),O231-N231))*N(G231))</f>
        <v>0</v>
      </c>
      <c r="Q231" s="9" t="str">
        <f aca="false">IF(AND(C231&lt;&gt;"",C231='Stock Ledger'!$C$4),M231,"")</f>
        <v/>
      </c>
    </row>
    <row r="232" customFormat="false" ht="15" hidden="false" customHeight="false" outlineLevel="0" collapsed="false">
      <c r="A232" s="45" t="str">
        <f aca="false">IF(C232="","",ROW()-6)</f>
        <v/>
      </c>
      <c r="B232" s="85"/>
      <c r="C232" s="80"/>
      <c r="D232" s="47" t="str">
        <f aca="false">IF(C232="","",IFERROR(INDEX('Item Master'!$B$6:$B$105,MATCH(C232,'Item Master'!$A$6:$A$105,0)),"?"))</f>
        <v/>
      </c>
      <c r="E232" s="82"/>
      <c r="F232" s="83"/>
      <c r="G232" s="84"/>
      <c r="H232" s="81"/>
      <c r="I232" s="80"/>
      <c r="J232" s="41" t="str">
        <f aca="false">IF(OR(C232="",G232=""),"",N(F232)*N(G232))</f>
        <v/>
      </c>
      <c r="K232" s="48" t="str">
        <f aca="false">IF(M232="","",N(IFERROR(INDEX('Item Master'!$E$6:$E$105,MATCH(C232,'Item Master'!$A$6:$A$105,0)),0))+SUMIFS($F$7:$F$506,$C$7:$C$506,C232,$E$7:$E$506,"In",$M$7:$M$506,"&lt;="&amp;M232)-SUMIFS($F$7:$F$506,$C$7:$C$506,C232,$E$7:$E$506,"Out",$M$7:$M$506,"&lt;="&amp;M232))</f>
        <v/>
      </c>
      <c r="L232" s="44" t="str">
        <f aca="false">IF(AND(B232="",C232="",F232=""),"",IF(C232="","⚠ Pick item",IF(D232="?","⚠ Code not in Item Master",IF(B232="","⚠ Enter date",IF(OR(E232="",N(F232)&lt;=0),"⚠ Type / quantity missing",IF(AND(E232="In",G232=""),"⚠ Enter purchase rate",IF(OR(B232&lt;Setup!$C$6,B232&gt;Setup!$C$7),"Outside period",IF(K232&lt;0,"⚠ Stock goes negative","✔ OK"))))))))</f>
        <v/>
      </c>
      <c r="M232" s="9" t="str">
        <f aca="false">IF(OR(C232="",B232=""),"",B232+ROW()/1000000)</f>
        <v/>
      </c>
      <c r="N232" s="9" t="str">
        <f aca="false">IF(AND(E232="In",M232&lt;&gt;""),SUMIFS($F$7:$F$506,$C$7:$C$506,C232,$E$7:$E$506,"In",$M$7:$M$506,"&gt;"&amp;M232),"")</f>
        <v/>
      </c>
      <c r="O232" s="9" t="str">
        <f aca="false">IF(N232="","",IFERROR(INDEX('Item Master'!$K$6:$K$105,MATCH(C232,'Item Master'!$A$6:$A$105,0)),0))</f>
        <v/>
      </c>
      <c r="P232" s="9" t="n">
        <f aca="false">IF(N232="",0,MAX(0,MIN(N(F232),O232-N232))*N(G232))</f>
        <v>0</v>
      </c>
      <c r="Q232" s="9" t="str">
        <f aca="false">IF(AND(C232&lt;&gt;"",C232='Stock Ledger'!$C$4),M232,"")</f>
        <v/>
      </c>
    </row>
    <row r="233" customFormat="false" ht="15" hidden="false" customHeight="false" outlineLevel="0" collapsed="false">
      <c r="A233" s="45" t="str">
        <f aca="false">IF(C233="","",ROW()-6)</f>
        <v/>
      </c>
      <c r="B233" s="85"/>
      <c r="C233" s="80"/>
      <c r="D233" s="47" t="str">
        <f aca="false">IF(C233="","",IFERROR(INDEX('Item Master'!$B$6:$B$105,MATCH(C233,'Item Master'!$A$6:$A$105,0)),"?"))</f>
        <v/>
      </c>
      <c r="E233" s="82"/>
      <c r="F233" s="83"/>
      <c r="G233" s="84"/>
      <c r="H233" s="81"/>
      <c r="I233" s="80"/>
      <c r="J233" s="41" t="str">
        <f aca="false">IF(OR(C233="",G233=""),"",N(F233)*N(G233))</f>
        <v/>
      </c>
      <c r="K233" s="48" t="str">
        <f aca="false">IF(M233="","",N(IFERROR(INDEX('Item Master'!$E$6:$E$105,MATCH(C233,'Item Master'!$A$6:$A$105,0)),0))+SUMIFS($F$7:$F$506,$C$7:$C$506,C233,$E$7:$E$506,"In",$M$7:$M$506,"&lt;="&amp;M233)-SUMIFS($F$7:$F$506,$C$7:$C$506,C233,$E$7:$E$506,"Out",$M$7:$M$506,"&lt;="&amp;M233))</f>
        <v/>
      </c>
      <c r="L233" s="44" t="str">
        <f aca="false">IF(AND(B233="",C233="",F233=""),"",IF(C233="","⚠ Pick item",IF(D233="?","⚠ Code not in Item Master",IF(B233="","⚠ Enter date",IF(OR(E233="",N(F233)&lt;=0),"⚠ Type / quantity missing",IF(AND(E233="In",G233=""),"⚠ Enter purchase rate",IF(OR(B233&lt;Setup!$C$6,B233&gt;Setup!$C$7),"Outside period",IF(K233&lt;0,"⚠ Stock goes negative","✔ OK"))))))))</f>
        <v/>
      </c>
      <c r="M233" s="9" t="str">
        <f aca="false">IF(OR(C233="",B233=""),"",B233+ROW()/1000000)</f>
        <v/>
      </c>
      <c r="N233" s="9" t="str">
        <f aca="false">IF(AND(E233="In",M233&lt;&gt;""),SUMIFS($F$7:$F$506,$C$7:$C$506,C233,$E$7:$E$506,"In",$M$7:$M$506,"&gt;"&amp;M233),"")</f>
        <v/>
      </c>
      <c r="O233" s="9" t="str">
        <f aca="false">IF(N233="","",IFERROR(INDEX('Item Master'!$K$6:$K$105,MATCH(C233,'Item Master'!$A$6:$A$105,0)),0))</f>
        <v/>
      </c>
      <c r="P233" s="9" t="n">
        <f aca="false">IF(N233="",0,MAX(0,MIN(N(F233),O233-N233))*N(G233))</f>
        <v>0</v>
      </c>
      <c r="Q233" s="9" t="str">
        <f aca="false">IF(AND(C233&lt;&gt;"",C233='Stock Ledger'!$C$4),M233,"")</f>
        <v/>
      </c>
    </row>
    <row r="234" customFormat="false" ht="15" hidden="false" customHeight="false" outlineLevel="0" collapsed="false">
      <c r="A234" s="45" t="str">
        <f aca="false">IF(C234="","",ROW()-6)</f>
        <v/>
      </c>
      <c r="B234" s="85"/>
      <c r="C234" s="80"/>
      <c r="D234" s="47" t="str">
        <f aca="false">IF(C234="","",IFERROR(INDEX('Item Master'!$B$6:$B$105,MATCH(C234,'Item Master'!$A$6:$A$105,0)),"?"))</f>
        <v/>
      </c>
      <c r="E234" s="82"/>
      <c r="F234" s="83"/>
      <c r="G234" s="84"/>
      <c r="H234" s="81"/>
      <c r="I234" s="80"/>
      <c r="J234" s="41" t="str">
        <f aca="false">IF(OR(C234="",G234=""),"",N(F234)*N(G234))</f>
        <v/>
      </c>
      <c r="K234" s="48" t="str">
        <f aca="false">IF(M234="","",N(IFERROR(INDEX('Item Master'!$E$6:$E$105,MATCH(C234,'Item Master'!$A$6:$A$105,0)),0))+SUMIFS($F$7:$F$506,$C$7:$C$506,C234,$E$7:$E$506,"In",$M$7:$M$506,"&lt;="&amp;M234)-SUMIFS($F$7:$F$506,$C$7:$C$506,C234,$E$7:$E$506,"Out",$M$7:$M$506,"&lt;="&amp;M234))</f>
        <v/>
      </c>
      <c r="L234" s="44" t="str">
        <f aca="false">IF(AND(B234="",C234="",F234=""),"",IF(C234="","⚠ Pick item",IF(D234="?","⚠ Code not in Item Master",IF(B234="","⚠ Enter date",IF(OR(E234="",N(F234)&lt;=0),"⚠ Type / quantity missing",IF(AND(E234="In",G234=""),"⚠ Enter purchase rate",IF(OR(B234&lt;Setup!$C$6,B234&gt;Setup!$C$7),"Outside period",IF(K234&lt;0,"⚠ Stock goes negative","✔ OK"))))))))</f>
        <v/>
      </c>
      <c r="M234" s="9" t="str">
        <f aca="false">IF(OR(C234="",B234=""),"",B234+ROW()/1000000)</f>
        <v/>
      </c>
      <c r="N234" s="9" t="str">
        <f aca="false">IF(AND(E234="In",M234&lt;&gt;""),SUMIFS($F$7:$F$506,$C$7:$C$506,C234,$E$7:$E$506,"In",$M$7:$M$506,"&gt;"&amp;M234),"")</f>
        <v/>
      </c>
      <c r="O234" s="9" t="str">
        <f aca="false">IF(N234="","",IFERROR(INDEX('Item Master'!$K$6:$K$105,MATCH(C234,'Item Master'!$A$6:$A$105,0)),0))</f>
        <v/>
      </c>
      <c r="P234" s="9" t="n">
        <f aca="false">IF(N234="",0,MAX(0,MIN(N(F234),O234-N234))*N(G234))</f>
        <v>0</v>
      </c>
      <c r="Q234" s="9" t="str">
        <f aca="false">IF(AND(C234&lt;&gt;"",C234='Stock Ledger'!$C$4),M234,"")</f>
        <v/>
      </c>
    </row>
    <row r="235" customFormat="false" ht="15" hidden="false" customHeight="false" outlineLevel="0" collapsed="false">
      <c r="A235" s="45" t="str">
        <f aca="false">IF(C235="","",ROW()-6)</f>
        <v/>
      </c>
      <c r="B235" s="85"/>
      <c r="C235" s="80"/>
      <c r="D235" s="47" t="str">
        <f aca="false">IF(C235="","",IFERROR(INDEX('Item Master'!$B$6:$B$105,MATCH(C235,'Item Master'!$A$6:$A$105,0)),"?"))</f>
        <v/>
      </c>
      <c r="E235" s="82"/>
      <c r="F235" s="83"/>
      <c r="G235" s="84"/>
      <c r="H235" s="81"/>
      <c r="I235" s="80"/>
      <c r="J235" s="41" t="str">
        <f aca="false">IF(OR(C235="",G235=""),"",N(F235)*N(G235))</f>
        <v/>
      </c>
      <c r="K235" s="48" t="str">
        <f aca="false">IF(M235="","",N(IFERROR(INDEX('Item Master'!$E$6:$E$105,MATCH(C235,'Item Master'!$A$6:$A$105,0)),0))+SUMIFS($F$7:$F$506,$C$7:$C$506,C235,$E$7:$E$506,"In",$M$7:$M$506,"&lt;="&amp;M235)-SUMIFS($F$7:$F$506,$C$7:$C$506,C235,$E$7:$E$506,"Out",$M$7:$M$506,"&lt;="&amp;M235))</f>
        <v/>
      </c>
      <c r="L235" s="44" t="str">
        <f aca="false">IF(AND(B235="",C235="",F235=""),"",IF(C235="","⚠ Pick item",IF(D235="?","⚠ Code not in Item Master",IF(B235="","⚠ Enter date",IF(OR(E235="",N(F235)&lt;=0),"⚠ Type / quantity missing",IF(AND(E235="In",G235=""),"⚠ Enter purchase rate",IF(OR(B235&lt;Setup!$C$6,B235&gt;Setup!$C$7),"Outside period",IF(K235&lt;0,"⚠ Stock goes negative","✔ OK"))))))))</f>
        <v/>
      </c>
      <c r="M235" s="9" t="str">
        <f aca="false">IF(OR(C235="",B235=""),"",B235+ROW()/1000000)</f>
        <v/>
      </c>
      <c r="N235" s="9" t="str">
        <f aca="false">IF(AND(E235="In",M235&lt;&gt;""),SUMIFS($F$7:$F$506,$C$7:$C$506,C235,$E$7:$E$506,"In",$M$7:$M$506,"&gt;"&amp;M235),"")</f>
        <v/>
      </c>
      <c r="O235" s="9" t="str">
        <f aca="false">IF(N235="","",IFERROR(INDEX('Item Master'!$K$6:$K$105,MATCH(C235,'Item Master'!$A$6:$A$105,0)),0))</f>
        <v/>
      </c>
      <c r="P235" s="9" t="n">
        <f aca="false">IF(N235="",0,MAX(0,MIN(N(F235),O235-N235))*N(G235))</f>
        <v>0</v>
      </c>
      <c r="Q235" s="9" t="str">
        <f aca="false">IF(AND(C235&lt;&gt;"",C235='Stock Ledger'!$C$4),M235,"")</f>
        <v/>
      </c>
    </row>
    <row r="236" customFormat="false" ht="15" hidden="false" customHeight="false" outlineLevel="0" collapsed="false">
      <c r="A236" s="45" t="str">
        <f aca="false">IF(C236="","",ROW()-6)</f>
        <v/>
      </c>
      <c r="B236" s="85"/>
      <c r="C236" s="80"/>
      <c r="D236" s="47" t="str">
        <f aca="false">IF(C236="","",IFERROR(INDEX('Item Master'!$B$6:$B$105,MATCH(C236,'Item Master'!$A$6:$A$105,0)),"?"))</f>
        <v/>
      </c>
      <c r="E236" s="82"/>
      <c r="F236" s="83"/>
      <c r="G236" s="84"/>
      <c r="H236" s="81"/>
      <c r="I236" s="80"/>
      <c r="J236" s="41" t="str">
        <f aca="false">IF(OR(C236="",G236=""),"",N(F236)*N(G236))</f>
        <v/>
      </c>
      <c r="K236" s="48" t="str">
        <f aca="false">IF(M236="","",N(IFERROR(INDEX('Item Master'!$E$6:$E$105,MATCH(C236,'Item Master'!$A$6:$A$105,0)),0))+SUMIFS($F$7:$F$506,$C$7:$C$506,C236,$E$7:$E$506,"In",$M$7:$M$506,"&lt;="&amp;M236)-SUMIFS($F$7:$F$506,$C$7:$C$506,C236,$E$7:$E$506,"Out",$M$7:$M$506,"&lt;="&amp;M236))</f>
        <v/>
      </c>
      <c r="L236" s="44" t="str">
        <f aca="false">IF(AND(B236="",C236="",F236=""),"",IF(C236="","⚠ Pick item",IF(D236="?","⚠ Code not in Item Master",IF(B236="","⚠ Enter date",IF(OR(E236="",N(F236)&lt;=0),"⚠ Type / quantity missing",IF(AND(E236="In",G236=""),"⚠ Enter purchase rate",IF(OR(B236&lt;Setup!$C$6,B236&gt;Setup!$C$7),"Outside period",IF(K236&lt;0,"⚠ Stock goes negative","✔ OK"))))))))</f>
        <v/>
      </c>
      <c r="M236" s="9" t="str">
        <f aca="false">IF(OR(C236="",B236=""),"",B236+ROW()/1000000)</f>
        <v/>
      </c>
      <c r="N236" s="9" t="str">
        <f aca="false">IF(AND(E236="In",M236&lt;&gt;""),SUMIFS($F$7:$F$506,$C$7:$C$506,C236,$E$7:$E$506,"In",$M$7:$M$506,"&gt;"&amp;M236),"")</f>
        <v/>
      </c>
      <c r="O236" s="9" t="str">
        <f aca="false">IF(N236="","",IFERROR(INDEX('Item Master'!$K$6:$K$105,MATCH(C236,'Item Master'!$A$6:$A$105,0)),0))</f>
        <v/>
      </c>
      <c r="P236" s="9" t="n">
        <f aca="false">IF(N236="",0,MAX(0,MIN(N(F236),O236-N236))*N(G236))</f>
        <v>0</v>
      </c>
      <c r="Q236" s="9" t="str">
        <f aca="false">IF(AND(C236&lt;&gt;"",C236='Stock Ledger'!$C$4),M236,"")</f>
        <v/>
      </c>
    </row>
    <row r="237" customFormat="false" ht="15" hidden="false" customHeight="false" outlineLevel="0" collapsed="false">
      <c r="A237" s="45" t="str">
        <f aca="false">IF(C237="","",ROW()-6)</f>
        <v/>
      </c>
      <c r="B237" s="85"/>
      <c r="C237" s="80"/>
      <c r="D237" s="47" t="str">
        <f aca="false">IF(C237="","",IFERROR(INDEX('Item Master'!$B$6:$B$105,MATCH(C237,'Item Master'!$A$6:$A$105,0)),"?"))</f>
        <v/>
      </c>
      <c r="E237" s="82"/>
      <c r="F237" s="83"/>
      <c r="G237" s="84"/>
      <c r="H237" s="81"/>
      <c r="I237" s="80"/>
      <c r="J237" s="41" t="str">
        <f aca="false">IF(OR(C237="",G237=""),"",N(F237)*N(G237))</f>
        <v/>
      </c>
      <c r="K237" s="48" t="str">
        <f aca="false">IF(M237="","",N(IFERROR(INDEX('Item Master'!$E$6:$E$105,MATCH(C237,'Item Master'!$A$6:$A$105,0)),0))+SUMIFS($F$7:$F$506,$C$7:$C$506,C237,$E$7:$E$506,"In",$M$7:$M$506,"&lt;="&amp;M237)-SUMIFS($F$7:$F$506,$C$7:$C$506,C237,$E$7:$E$506,"Out",$M$7:$M$506,"&lt;="&amp;M237))</f>
        <v/>
      </c>
      <c r="L237" s="44" t="str">
        <f aca="false">IF(AND(B237="",C237="",F237=""),"",IF(C237="","⚠ Pick item",IF(D237="?","⚠ Code not in Item Master",IF(B237="","⚠ Enter date",IF(OR(E237="",N(F237)&lt;=0),"⚠ Type / quantity missing",IF(AND(E237="In",G237=""),"⚠ Enter purchase rate",IF(OR(B237&lt;Setup!$C$6,B237&gt;Setup!$C$7),"Outside period",IF(K237&lt;0,"⚠ Stock goes negative","✔ OK"))))))))</f>
        <v/>
      </c>
      <c r="M237" s="9" t="str">
        <f aca="false">IF(OR(C237="",B237=""),"",B237+ROW()/1000000)</f>
        <v/>
      </c>
      <c r="N237" s="9" t="str">
        <f aca="false">IF(AND(E237="In",M237&lt;&gt;""),SUMIFS($F$7:$F$506,$C$7:$C$506,C237,$E$7:$E$506,"In",$M$7:$M$506,"&gt;"&amp;M237),"")</f>
        <v/>
      </c>
      <c r="O237" s="9" t="str">
        <f aca="false">IF(N237="","",IFERROR(INDEX('Item Master'!$K$6:$K$105,MATCH(C237,'Item Master'!$A$6:$A$105,0)),0))</f>
        <v/>
      </c>
      <c r="P237" s="9" t="n">
        <f aca="false">IF(N237="",0,MAX(0,MIN(N(F237),O237-N237))*N(G237))</f>
        <v>0</v>
      </c>
      <c r="Q237" s="9" t="str">
        <f aca="false">IF(AND(C237&lt;&gt;"",C237='Stock Ledger'!$C$4),M237,"")</f>
        <v/>
      </c>
    </row>
    <row r="238" customFormat="false" ht="15" hidden="false" customHeight="false" outlineLevel="0" collapsed="false">
      <c r="A238" s="45" t="str">
        <f aca="false">IF(C238="","",ROW()-6)</f>
        <v/>
      </c>
      <c r="B238" s="85"/>
      <c r="C238" s="80"/>
      <c r="D238" s="47" t="str">
        <f aca="false">IF(C238="","",IFERROR(INDEX('Item Master'!$B$6:$B$105,MATCH(C238,'Item Master'!$A$6:$A$105,0)),"?"))</f>
        <v/>
      </c>
      <c r="E238" s="82"/>
      <c r="F238" s="83"/>
      <c r="G238" s="84"/>
      <c r="H238" s="81"/>
      <c r="I238" s="80"/>
      <c r="J238" s="41" t="str">
        <f aca="false">IF(OR(C238="",G238=""),"",N(F238)*N(G238))</f>
        <v/>
      </c>
      <c r="K238" s="48" t="str">
        <f aca="false">IF(M238="","",N(IFERROR(INDEX('Item Master'!$E$6:$E$105,MATCH(C238,'Item Master'!$A$6:$A$105,0)),0))+SUMIFS($F$7:$F$506,$C$7:$C$506,C238,$E$7:$E$506,"In",$M$7:$M$506,"&lt;="&amp;M238)-SUMIFS($F$7:$F$506,$C$7:$C$506,C238,$E$7:$E$506,"Out",$M$7:$M$506,"&lt;="&amp;M238))</f>
        <v/>
      </c>
      <c r="L238" s="44" t="str">
        <f aca="false">IF(AND(B238="",C238="",F238=""),"",IF(C238="","⚠ Pick item",IF(D238="?","⚠ Code not in Item Master",IF(B238="","⚠ Enter date",IF(OR(E238="",N(F238)&lt;=0),"⚠ Type / quantity missing",IF(AND(E238="In",G238=""),"⚠ Enter purchase rate",IF(OR(B238&lt;Setup!$C$6,B238&gt;Setup!$C$7),"Outside period",IF(K238&lt;0,"⚠ Stock goes negative","✔ OK"))))))))</f>
        <v/>
      </c>
      <c r="M238" s="9" t="str">
        <f aca="false">IF(OR(C238="",B238=""),"",B238+ROW()/1000000)</f>
        <v/>
      </c>
      <c r="N238" s="9" t="str">
        <f aca="false">IF(AND(E238="In",M238&lt;&gt;""),SUMIFS($F$7:$F$506,$C$7:$C$506,C238,$E$7:$E$506,"In",$M$7:$M$506,"&gt;"&amp;M238),"")</f>
        <v/>
      </c>
      <c r="O238" s="9" t="str">
        <f aca="false">IF(N238="","",IFERROR(INDEX('Item Master'!$K$6:$K$105,MATCH(C238,'Item Master'!$A$6:$A$105,0)),0))</f>
        <v/>
      </c>
      <c r="P238" s="9" t="n">
        <f aca="false">IF(N238="",0,MAX(0,MIN(N(F238),O238-N238))*N(G238))</f>
        <v>0</v>
      </c>
      <c r="Q238" s="9" t="str">
        <f aca="false">IF(AND(C238&lt;&gt;"",C238='Stock Ledger'!$C$4),M238,"")</f>
        <v/>
      </c>
    </row>
    <row r="239" customFormat="false" ht="15" hidden="false" customHeight="false" outlineLevel="0" collapsed="false">
      <c r="A239" s="45" t="str">
        <f aca="false">IF(C239="","",ROW()-6)</f>
        <v/>
      </c>
      <c r="B239" s="85"/>
      <c r="C239" s="80"/>
      <c r="D239" s="47" t="str">
        <f aca="false">IF(C239="","",IFERROR(INDEX('Item Master'!$B$6:$B$105,MATCH(C239,'Item Master'!$A$6:$A$105,0)),"?"))</f>
        <v/>
      </c>
      <c r="E239" s="82"/>
      <c r="F239" s="83"/>
      <c r="G239" s="84"/>
      <c r="H239" s="81"/>
      <c r="I239" s="80"/>
      <c r="J239" s="41" t="str">
        <f aca="false">IF(OR(C239="",G239=""),"",N(F239)*N(G239))</f>
        <v/>
      </c>
      <c r="K239" s="48" t="str">
        <f aca="false">IF(M239="","",N(IFERROR(INDEX('Item Master'!$E$6:$E$105,MATCH(C239,'Item Master'!$A$6:$A$105,0)),0))+SUMIFS($F$7:$F$506,$C$7:$C$506,C239,$E$7:$E$506,"In",$M$7:$M$506,"&lt;="&amp;M239)-SUMIFS($F$7:$F$506,$C$7:$C$506,C239,$E$7:$E$506,"Out",$M$7:$M$506,"&lt;="&amp;M239))</f>
        <v/>
      </c>
      <c r="L239" s="44" t="str">
        <f aca="false">IF(AND(B239="",C239="",F239=""),"",IF(C239="","⚠ Pick item",IF(D239="?","⚠ Code not in Item Master",IF(B239="","⚠ Enter date",IF(OR(E239="",N(F239)&lt;=0),"⚠ Type / quantity missing",IF(AND(E239="In",G239=""),"⚠ Enter purchase rate",IF(OR(B239&lt;Setup!$C$6,B239&gt;Setup!$C$7),"Outside period",IF(K239&lt;0,"⚠ Stock goes negative","✔ OK"))))))))</f>
        <v/>
      </c>
      <c r="M239" s="9" t="str">
        <f aca="false">IF(OR(C239="",B239=""),"",B239+ROW()/1000000)</f>
        <v/>
      </c>
      <c r="N239" s="9" t="str">
        <f aca="false">IF(AND(E239="In",M239&lt;&gt;""),SUMIFS($F$7:$F$506,$C$7:$C$506,C239,$E$7:$E$506,"In",$M$7:$M$506,"&gt;"&amp;M239),"")</f>
        <v/>
      </c>
      <c r="O239" s="9" t="str">
        <f aca="false">IF(N239="","",IFERROR(INDEX('Item Master'!$K$6:$K$105,MATCH(C239,'Item Master'!$A$6:$A$105,0)),0))</f>
        <v/>
      </c>
      <c r="P239" s="9" t="n">
        <f aca="false">IF(N239="",0,MAX(0,MIN(N(F239),O239-N239))*N(G239))</f>
        <v>0</v>
      </c>
      <c r="Q239" s="9" t="str">
        <f aca="false">IF(AND(C239&lt;&gt;"",C239='Stock Ledger'!$C$4),M239,"")</f>
        <v/>
      </c>
    </row>
    <row r="240" customFormat="false" ht="15" hidden="false" customHeight="false" outlineLevel="0" collapsed="false">
      <c r="A240" s="45" t="str">
        <f aca="false">IF(C240="","",ROW()-6)</f>
        <v/>
      </c>
      <c r="B240" s="85"/>
      <c r="C240" s="80"/>
      <c r="D240" s="47" t="str">
        <f aca="false">IF(C240="","",IFERROR(INDEX('Item Master'!$B$6:$B$105,MATCH(C240,'Item Master'!$A$6:$A$105,0)),"?"))</f>
        <v/>
      </c>
      <c r="E240" s="82"/>
      <c r="F240" s="83"/>
      <c r="G240" s="84"/>
      <c r="H240" s="81"/>
      <c r="I240" s="80"/>
      <c r="J240" s="41" t="str">
        <f aca="false">IF(OR(C240="",G240=""),"",N(F240)*N(G240))</f>
        <v/>
      </c>
      <c r="K240" s="48" t="str">
        <f aca="false">IF(M240="","",N(IFERROR(INDEX('Item Master'!$E$6:$E$105,MATCH(C240,'Item Master'!$A$6:$A$105,0)),0))+SUMIFS($F$7:$F$506,$C$7:$C$506,C240,$E$7:$E$506,"In",$M$7:$M$506,"&lt;="&amp;M240)-SUMIFS($F$7:$F$506,$C$7:$C$506,C240,$E$7:$E$506,"Out",$M$7:$M$506,"&lt;="&amp;M240))</f>
        <v/>
      </c>
      <c r="L240" s="44" t="str">
        <f aca="false">IF(AND(B240="",C240="",F240=""),"",IF(C240="","⚠ Pick item",IF(D240="?","⚠ Code not in Item Master",IF(B240="","⚠ Enter date",IF(OR(E240="",N(F240)&lt;=0),"⚠ Type / quantity missing",IF(AND(E240="In",G240=""),"⚠ Enter purchase rate",IF(OR(B240&lt;Setup!$C$6,B240&gt;Setup!$C$7),"Outside period",IF(K240&lt;0,"⚠ Stock goes negative","✔ OK"))))))))</f>
        <v/>
      </c>
      <c r="M240" s="9" t="str">
        <f aca="false">IF(OR(C240="",B240=""),"",B240+ROW()/1000000)</f>
        <v/>
      </c>
      <c r="N240" s="9" t="str">
        <f aca="false">IF(AND(E240="In",M240&lt;&gt;""),SUMIFS($F$7:$F$506,$C$7:$C$506,C240,$E$7:$E$506,"In",$M$7:$M$506,"&gt;"&amp;M240),"")</f>
        <v/>
      </c>
      <c r="O240" s="9" t="str">
        <f aca="false">IF(N240="","",IFERROR(INDEX('Item Master'!$K$6:$K$105,MATCH(C240,'Item Master'!$A$6:$A$105,0)),0))</f>
        <v/>
      </c>
      <c r="P240" s="9" t="n">
        <f aca="false">IF(N240="",0,MAX(0,MIN(N(F240),O240-N240))*N(G240))</f>
        <v>0</v>
      </c>
      <c r="Q240" s="9" t="str">
        <f aca="false">IF(AND(C240&lt;&gt;"",C240='Stock Ledger'!$C$4),M240,"")</f>
        <v/>
      </c>
    </row>
    <row r="241" customFormat="false" ht="15" hidden="false" customHeight="false" outlineLevel="0" collapsed="false">
      <c r="A241" s="45" t="str">
        <f aca="false">IF(C241="","",ROW()-6)</f>
        <v/>
      </c>
      <c r="B241" s="85"/>
      <c r="C241" s="80"/>
      <c r="D241" s="47" t="str">
        <f aca="false">IF(C241="","",IFERROR(INDEX('Item Master'!$B$6:$B$105,MATCH(C241,'Item Master'!$A$6:$A$105,0)),"?"))</f>
        <v/>
      </c>
      <c r="E241" s="82"/>
      <c r="F241" s="83"/>
      <c r="G241" s="84"/>
      <c r="H241" s="81"/>
      <c r="I241" s="80"/>
      <c r="J241" s="41" t="str">
        <f aca="false">IF(OR(C241="",G241=""),"",N(F241)*N(G241))</f>
        <v/>
      </c>
      <c r="K241" s="48" t="str">
        <f aca="false">IF(M241="","",N(IFERROR(INDEX('Item Master'!$E$6:$E$105,MATCH(C241,'Item Master'!$A$6:$A$105,0)),0))+SUMIFS($F$7:$F$506,$C$7:$C$506,C241,$E$7:$E$506,"In",$M$7:$M$506,"&lt;="&amp;M241)-SUMIFS($F$7:$F$506,$C$7:$C$506,C241,$E$7:$E$506,"Out",$M$7:$M$506,"&lt;="&amp;M241))</f>
        <v/>
      </c>
      <c r="L241" s="44" t="str">
        <f aca="false">IF(AND(B241="",C241="",F241=""),"",IF(C241="","⚠ Pick item",IF(D241="?","⚠ Code not in Item Master",IF(B241="","⚠ Enter date",IF(OR(E241="",N(F241)&lt;=0),"⚠ Type / quantity missing",IF(AND(E241="In",G241=""),"⚠ Enter purchase rate",IF(OR(B241&lt;Setup!$C$6,B241&gt;Setup!$C$7),"Outside period",IF(K241&lt;0,"⚠ Stock goes negative","✔ OK"))))))))</f>
        <v/>
      </c>
      <c r="M241" s="9" t="str">
        <f aca="false">IF(OR(C241="",B241=""),"",B241+ROW()/1000000)</f>
        <v/>
      </c>
      <c r="N241" s="9" t="str">
        <f aca="false">IF(AND(E241="In",M241&lt;&gt;""),SUMIFS($F$7:$F$506,$C$7:$C$506,C241,$E$7:$E$506,"In",$M$7:$M$506,"&gt;"&amp;M241),"")</f>
        <v/>
      </c>
      <c r="O241" s="9" t="str">
        <f aca="false">IF(N241="","",IFERROR(INDEX('Item Master'!$K$6:$K$105,MATCH(C241,'Item Master'!$A$6:$A$105,0)),0))</f>
        <v/>
      </c>
      <c r="P241" s="9" t="n">
        <f aca="false">IF(N241="",0,MAX(0,MIN(N(F241),O241-N241))*N(G241))</f>
        <v>0</v>
      </c>
      <c r="Q241" s="9" t="str">
        <f aca="false">IF(AND(C241&lt;&gt;"",C241='Stock Ledger'!$C$4),M241,"")</f>
        <v/>
      </c>
    </row>
    <row r="242" customFormat="false" ht="15" hidden="false" customHeight="false" outlineLevel="0" collapsed="false">
      <c r="A242" s="45" t="str">
        <f aca="false">IF(C242="","",ROW()-6)</f>
        <v/>
      </c>
      <c r="B242" s="85"/>
      <c r="C242" s="80"/>
      <c r="D242" s="47" t="str">
        <f aca="false">IF(C242="","",IFERROR(INDEX('Item Master'!$B$6:$B$105,MATCH(C242,'Item Master'!$A$6:$A$105,0)),"?"))</f>
        <v/>
      </c>
      <c r="E242" s="82"/>
      <c r="F242" s="83"/>
      <c r="G242" s="84"/>
      <c r="H242" s="81"/>
      <c r="I242" s="80"/>
      <c r="J242" s="41" t="str">
        <f aca="false">IF(OR(C242="",G242=""),"",N(F242)*N(G242))</f>
        <v/>
      </c>
      <c r="K242" s="48" t="str">
        <f aca="false">IF(M242="","",N(IFERROR(INDEX('Item Master'!$E$6:$E$105,MATCH(C242,'Item Master'!$A$6:$A$105,0)),0))+SUMIFS($F$7:$F$506,$C$7:$C$506,C242,$E$7:$E$506,"In",$M$7:$M$506,"&lt;="&amp;M242)-SUMIFS($F$7:$F$506,$C$7:$C$506,C242,$E$7:$E$506,"Out",$M$7:$M$506,"&lt;="&amp;M242))</f>
        <v/>
      </c>
      <c r="L242" s="44" t="str">
        <f aca="false">IF(AND(B242="",C242="",F242=""),"",IF(C242="","⚠ Pick item",IF(D242="?","⚠ Code not in Item Master",IF(B242="","⚠ Enter date",IF(OR(E242="",N(F242)&lt;=0),"⚠ Type / quantity missing",IF(AND(E242="In",G242=""),"⚠ Enter purchase rate",IF(OR(B242&lt;Setup!$C$6,B242&gt;Setup!$C$7),"Outside period",IF(K242&lt;0,"⚠ Stock goes negative","✔ OK"))))))))</f>
        <v/>
      </c>
      <c r="M242" s="9" t="str">
        <f aca="false">IF(OR(C242="",B242=""),"",B242+ROW()/1000000)</f>
        <v/>
      </c>
      <c r="N242" s="9" t="str">
        <f aca="false">IF(AND(E242="In",M242&lt;&gt;""),SUMIFS($F$7:$F$506,$C$7:$C$506,C242,$E$7:$E$506,"In",$M$7:$M$506,"&gt;"&amp;M242),"")</f>
        <v/>
      </c>
      <c r="O242" s="9" t="str">
        <f aca="false">IF(N242="","",IFERROR(INDEX('Item Master'!$K$6:$K$105,MATCH(C242,'Item Master'!$A$6:$A$105,0)),0))</f>
        <v/>
      </c>
      <c r="P242" s="9" t="n">
        <f aca="false">IF(N242="",0,MAX(0,MIN(N(F242),O242-N242))*N(G242))</f>
        <v>0</v>
      </c>
      <c r="Q242" s="9" t="str">
        <f aca="false">IF(AND(C242&lt;&gt;"",C242='Stock Ledger'!$C$4),M242,"")</f>
        <v/>
      </c>
    </row>
    <row r="243" customFormat="false" ht="15" hidden="false" customHeight="false" outlineLevel="0" collapsed="false">
      <c r="A243" s="45" t="str">
        <f aca="false">IF(C243="","",ROW()-6)</f>
        <v/>
      </c>
      <c r="B243" s="85"/>
      <c r="C243" s="80"/>
      <c r="D243" s="47" t="str">
        <f aca="false">IF(C243="","",IFERROR(INDEX('Item Master'!$B$6:$B$105,MATCH(C243,'Item Master'!$A$6:$A$105,0)),"?"))</f>
        <v/>
      </c>
      <c r="E243" s="82"/>
      <c r="F243" s="83"/>
      <c r="G243" s="84"/>
      <c r="H243" s="81"/>
      <c r="I243" s="80"/>
      <c r="J243" s="41" t="str">
        <f aca="false">IF(OR(C243="",G243=""),"",N(F243)*N(G243))</f>
        <v/>
      </c>
      <c r="K243" s="48" t="str">
        <f aca="false">IF(M243="","",N(IFERROR(INDEX('Item Master'!$E$6:$E$105,MATCH(C243,'Item Master'!$A$6:$A$105,0)),0))+SUMIFS($F$7:$F$506,$C$7:$C$506,C243,$E$7:$E$506,"In",$M$7:$M$506,"&lt;="&amp;M243)-SUMIFS($F$7:$F$506,$C$7:$C$506,C243,$E$7:$E$506,"Out",$M$7:$M$506,"&lt;="&amp;M243))</f>
        <v/>
      </c>
      <c r="L243" s="44" t="str">
        <f aca="false">IF(AND(B243="",C243="",F243=""),"",IF(C243="","⚠ Pick item",IF(D243="?","⚠ Code not in Item Master",IF(B243="","⚠ Enter date",IF(OR(E243="",N(F243)&lt;=0),"⚠ Type / quantity missing",IF(AND(E243="In",G243=""),"⚠ Enter purchase rate",IF(OR(B243&lt;Setup!$C$6,B243&gt;Setup!$C$7),"Outside period",IF(K243&lt;0,"⚠ Stock goes negative","✔ OK"))))))))</f>
        <v/>
      </c>
      <c r="M243" s="9" t="str">
        <f aca="false">IF(OR(C243="",B243=""),"",B243+ROW()/1000000)</f>
        <v/>
      </c>
      <c r="N243" s="9" t="str">
        <f aca="false">IF(AND(E243="In",M243&lt;&gt;""),SUMIFS($F$7:$F$506,$C$7:$C$506,C243,$E$7:$E$506,"In",$M$7:$M$506,"&gt;"&amp;M243),"")</f>
        <v/>
      </c>
      <c r="O243" s="9" t="str">
        <f aca="false">IF(N243="","",IFERROR(INDEX('Item Master'!$K$6:$K$105,MATCH(C243,'Item Master'!$A$6:$A$105,0)),0))</f>
        <v/>
      </c>
      <c r="P243" s="9" t="n">
        <f aca="false">IF(N243="",0,MAX(0,MIN(N(F243),O243-N243))*N(G243))</f>
        <v>0</v>
      </c>
      <c r="Q243" s="9" t="str">
        <f aca="false">IF(AND(C243&lt;&gt;"",C243='Stock Ledger'!$C$4),M243,"")</f>
        <v/>
      </c>
    </row>
    <row r="244" customFormat="false" ht="15" hidden="false" customHeight="false" outlineLevel="0" collapsed="false">
      <c r="A244" s="45" t="str">
        <f aca="false">IF(C244="","",ROW()-6)</f>
        <v/>
      </c>
      <c r="B244" s="85"/>
      <c r="C244" s="80"/>
      <c r="D244" s="47" t="str">
        <f aca="false">IF(C244="","",IFERROR(INDEX('Item Master'!$B$6:$B$105,MATCH(C244,'Item Master'!$A$6:$A$105,0)),"?"))</f>
        <v/>
      </c>
      <c r="E244" s="82"/>
      <c r="F244" s="83"/>
      <c r="G244" s="84"/>
      <c r="H244" s="81"/>
      <c r="I244" s="80"/>
      <c r="J244" s="41" t="str">
        <f aca="false">IF(OR(C244="",G244=""),"",N(F244)*N(G244))</f>
        <v/>
      </c>
      <c r="K244" s="48" t="str">
        <f aca="false">IF(M244="","",N(IFERROR(INDEX('Item Master'!$E$6:$E$105,MATCH(C244,'Item Master'!$A$6:$A$105,0)),0))+SUMIFS($F$7:$F$506,$C$7:$C$506,C244,$E$7:$E$506,"In",$M$7:$M$506,"&lt;="&amp;M244)-SUMIFS($F$7:$F$506,$C$7:$C$506,C244,$E$7:$E$506,"Out",$M$7:$M$506,"&lt;="&amp;M244))</f>
        <v/>
      </c>
      <c r="L244" s="44" t="str">
        <f aca="false">IF(AND(B244="",C244="",F244=""),"",IF(C244="","⚠ Pick item",IF(D244="?","⚠ Code not in Item Master",IF(B244="","⚠ Enter date",IF(OR(E244="",N(F244)&lt;=0),"⚠ Type / quantity missing",IF(AND(E244="In",G244=""),"⚠ Enter purchase rate",IF(OR(B244&lt;Setup!$C$6,B244&gt;Setup!$C$7),"Outside period",IF(K244&lt;0,"⚠ Stock goes negative","✔ OK"))))))))</f>
        <v/>
      </c>
      <c r="M244" s="9" t="str">
        <f aca="false">IF(OR(C244="",B244=""),"",B244+ROW()/1000000)</f>
        <v/>
      </c>
      <c r="N244" s="9" t="str">
        <f aca="false">IF(AND(E244="In",M244&lt;&gt;""),SUMIFS($F$7:$F$506,$C$7:$C$506,C244,$E$7:$E$506,"In",$M$7:$M$506,"&gt;"&amp;M244),"")</f>
        <v/>
      </c>
      <c r="O244" s="9" t="str">
        <f aca="false">IF(N244="","",IFERROR(INDEX('Item Master'!$K$6:$K$105,MATCH(C244,'Item Master'!$A$6:$A$105,0)),0))</f>
        <v/>
      </c>
      <c r="P244" s="9" t="n">
        <f aca="false">IF(N244="",0,MAX(0,MIN(N(F244),O244-N244))*N(G244))</f>
        <v>0</v>
      </c>
      <c r="Q244" s="9" t="str">
        <f aca="false">IF(AND(C244&lt;&gt;"",C244='Stock Ledger'!$C$4),M244,"")</f>
        <v/>
      </c>
    </row>
    <row r="245" customFormat="false" ht="15" hidden="false" customHeight="false" outlineLevel="0" collapsed="false">
      <c r="A245" s="45" t="str">
        <f aca="false">IF(C245="","",ROW()-6)</f>
        <v/>
      </c>
      <c r="B245" s="85"/>
      <c r="C245" s="80"/>
      <c r="D245" s="47" t="str">
        <f aca="false">IF(C245="","",IFERROR(INDEX('Item Master'!$B$6:$B$105,MATCH(C245,'Item Master'!$A$6:$A$105,0)),"?"))</f>
        <v/>
      </c>
      <c r="E245" s="82"/>
      <c r="F245" s="83"/>
      <c r="G245" s="84"/>
      <c r="H245" s="81"/>
      <c r="I245" s="80"/>
      <c r="J245" s="41" t="str">
        <f aca="false">IF(OR(C245="",G245=""),"",N(F245)*N(G245))</f>
        <v/>
      </c>
      <c r="K245" s="48" t="str">
        <f aca="false">IF(M245="","",N(IFERROR(INDEX('Item Master'!$E$6:$E$105,MATCH(C245,'Item Master'!$A$6:$A$105,0)),0))+SUMIFS($F$7:$F$506,$C$7:$C$506,C245,$E$7:$E$506,"In",$M$7:$M$506,"&lt;="&amp;M245)-SUMIFS($F$7:$F$506,$C$7:$C$506,C245,$E$7:$E$506,"Out",$M$7:$M$506,"&lt;="&amp;M245))</f>
        <v/>
      </c>
      <c r="L245" s="44" t="str">
        <f aca="false">IF(AND(B245="",C245="",F245=""),"",IF(C245="","⚠ Pick item",IF(D245="?","⚠ Code not in Item Master",IF(B245="","⚠ Enter date",IF(OR(E245="",N(F245)&lt;=0),"⚠ Type / quantity missing",IF(AND(E245="In",G245=""),"⚠ Enter purchase rate",IF(OR(B245&lt;Setup!$C$6,B245&gt;Setup!$C$7),"Outside period",IF(K245&lt;0,"⚠ Stock goes negative","✔ OK"))))))))</f>
        <v/>
      </c>
      <c r="M245" s="9" t="str">
        <f aca="false">IF(OR(C245="",B245=""),"",B245+ROW()/1000000)</f>
        <v/>
      </c>
      <c r="N245" s="9" t="str">
        <f aca="false">IF(AND(E245="In",M245&lt;&gt;""),SUMIFS($F$7:$F$506,$C$7:$C$506,C245,$E$7:$E$506,"In",$M$7:$M$506,"&gt;"&amp;M245),"")</f>
        <v/>
      </c>
      <c r="O245" s="9" t="str">
        <f aca="false">IF(N245="","",IFERROR(INDEX('Item Master'!$K$6:$K$105,MATCH(C245,'Item Master'!$A$6:$A$105,0)),0))</f>
        <v/>
      </c>
      <c r="P245" s="9" t="n">
        <f aca="false">IF(N245="",0,MAX(0,MIN(N(F245),O245-N245))*N(G245))</f>
        <v>0</v>
      </c>
      <c r="Q245" s="9" t="str">
        <f aca="false">IF(AND(C245&lt;&gt;"",C245='Stock Ledger'!$C$4),M245,"")</f>
        <v/>
      </c>
    </row>
    <row r="246" customFormat="false" ht="15" hidden="false" customHeight="false" outlineLevel="0" collapsed="false">
      <c r="A246" s="45" t="str">
        <f aca="false">IF(C246="","",ROW()-6)</f>
        <v/>
      </c>
      <c r="B246" s="85"/>
      <c r="C246" s="80"/>
      <c r="D246" s="47" t="str">
        <f aca="false">IF(C246="","",IFERROR(INDEX('Item Master'!$B$6:$B$105,MATCH(C246,'Item Master'!$A$6:$A$105,0)),"?"))</f>
        <v/>
      </c>
      <c r="E246" s="82"/>
      <c r="F246" s="83"/>
      <c r="G246" s="84"/>
      <c r="H246" s="81"/>
      <c r="I246" s="80"/>
      <c r="J246" s="41" t="str">
        <f aca="false">IF(OR(C246="",G246=""),"",N(F246)*N(G246))</f>
        <v/>
      </c>
      <c r="K246" s="48" t="str">
        <f aca="false">IF(M246="","",N(IFERROR(INDEX('Item Master'!$E$6:$E$105,MATCH(C246,'Item Master'!$A$6:$A$105,0)),0))+SUMIFS($F$7:$F$506,$C$7:$C$506,C246,$E$7:$E$506,"In",$M$7:$M$506,"&lt;="&amp;M246)-SUMIFS($F$7:$F$506,$C$7:$C$506,C246,$E$7:$E$506,"Out",$M$7:$M$506,"&lt;="&amp;M246))</f>
        <v/>
      </c>
      <c r="L246" s="44" t="str">
        <f aca="false">IF(AND(B246="",C246="",F246=""),"",IF(C246="","⚠ Pick item",IF(D246="?","⚠ Code not in Item Master",IF(B246="","⚠ Enter date",IF(OR(E246="",N(F246)&lt;=0),"⚠ Type / quantity missing",IF(AND(E246="In",G246=""),"⚠ Enter purchase rate",IF(OR(B246&lt;Setup!$C$6,B246&gt;Setup!$C$7),"Outside period",IF(K246&lt;0,"⚠ Stock goes negative","✔ OK"))))))))</f>
        <v/>
      </c>
      <c r="M246" s="9" t="str">
        <f aca="false">IF(OR(C246="",B246=""),"",B246+ROW()/1000000)</f>
        <v/>
      </c>
      <c r="N246" s="9" t="str">
        <f aca="false">IF(AND(E246="In",M246&lt;&gt;""),SUMIFS($F$7:$F$506,$C$7:$C$506,C246,$E$7:$E$506,"In",$M$7:$M$506,"&gt;"&amp;M246),"")</f>
        <v/>
      </c>
      <c r="O246" s="9" t="str">
        <f aca="false">IF(N246="","",IFERROR(INDEX('Item Master'!$K$6:$K$105,MATCH(C246,'Item Master'!$A$6:$A$105,0)),0))</f>
        <v/>
      </c>
      <c r="P246" s="9" t="n">
        <f aca="false">IF(N246="",0,MAX(0,MIN(N(F246),O246-N246))*N(G246))</f>
        <v>0</v>
      </c>
      <c r="Q246" s="9" t="str">
        <f aca="false">IF(AND(C246&lt;&gt;"",C246='Stock Ledger'!$C$4),M246,"")</f>
        <v/>
      </c>
    </row>
    <row r="247" customFormat="false" ht="15" hidden="false" customHeight="false" outlineLevel="0" collapsed="false">
      <c r="A247" s="45" t="str">
        <f aca="false">IF(C247="","",ROW()-6)</f>
        <v/>
      </c>
      <c r="B247" s="85"/>
      <c r="C247" s="80"/>
      <c r="D247" s="47" t="str">
        <f aca="false">IF(C247="","",IFERROR(INDEX('Item Master'!$B$6:$B$105,MATCH(C247,'Item Master'!$A$6:$A$105,0)),"?"))</f>
        <v/>
      </c>
      <c r="E247" s="82"/>
      <c r="F247" s="83"/>
      <c r="G247" s="84"/>
      <c r="H247" s="81"/>
      <c r="I247" s="80"/>
      <c r="J247" s="41" t="str">
        <f aca="false">IF(OR(C247="",G247=""),"",N(F247)*N(G247))</f>
        <v/>
      </c>
      <c r="K247" s="48" t="str">
        <f aca="false">IF(M247="","",N(IFERROR(INDEX('Item Master'!$E$6:$E$105,MATCH(C247,'Item Master'!$A$6:$A$105,0)),0))+SUMIFS($F$7:$F$506,$C$7:$C$506,C247,$E$7:$E$506,"In",$M$7:$M$506,"&lt;="&amp;M247)-SUMIFS($F$7:$F$506,$C$7:$C$506,C247,$E$7:$E$506,"Out",$M$7:$M$506,"&lt;="&amp;M247))</f>
        <v/>
      </c>
      <c r="L247" s="44" t="str">
        <f aca="false">IF(AND(B247="",C247="",F247=""),"",IF(C247="","⚠ Pick item",IF(D247="?","⚠ Code not in Item Master",IF(B247="","⚠ Enter date",IF(OR(E247="",N(F247)&lt;=0),"⚠ Type / quantity missing",IF(AND(E247="In",G247=""),"⚠ Enter purchase rate",IF(OR(B247&lt;Setup!$C$6,B247&gt;Setup!$C$7),"Outside period",IF(K247&lt;0,"⚠ Stock goes negative","✔ OK"))))))))</f>
        <v/>
      </c>
      <c r="M247" s="9" t="str">
        <f aca="false">IF(OR(C247="",B247=""),"",B247+ROW()/1000000)</f>
        <v/>
      </c>
      <c r="N247" s="9" t="str">
        <f aca="false">IF(AND(E247="In",M247&lt;&gt;""),SUMIFS($F$7:$F$506,$C$7:$C$506,C247,$E$7:$E$506,"In",$M$7:$M$506,"&gt;"&amp;M247),"")</f>
        <v/>
      </c>
      <c r="O247" s="9" t="str">
        <f aca="false">IF(N247="","",IFERROR(INDEX('Item Master'!$K$6:$K$105,MATCH(C247,'Item Master'!$A$6:$A$105,0)),0))</f>
        <v/>
      </c>
      <c r="P247" s="9" t="n">
        <f aca="false">IF(N247="",0,MAX(0,MIN(N(F247),O247-N247))*N(G247))</f>
        <v>0</v>
      </c>
      <c r="Q247" s="9" t="str">
        <f aca="false">IF(AND(C247&lt;&gt;"",C247='Stock Ledger'!$C$4),M247,"")</f>
        <v/>
      </c>
    </row>
    <row r="248" customFormat="false" ht="15" hidden="false" customHeight="false" outlineLevel="0" collapsed="false">
      <c r="A248" s="45" t="str">
        <f aca="false">IF(C248="","",ROW()-6)</f>
        <v/>
      </c>
      <c r="B248" s="85"/>
      <c r="C248" s="80"/>
      <c r="D248" s="47" t="str">
        <f aca="false">IF(C248="","",IFERROR(INDEX('Item Master'!$B$6:$B$105,MATCH(C248,'Item Master'!$A$6:$A$105,0)),"?"))</f>
        <v/>
      </c>
      <c r="E248" s="82"/>
      <c r="F248" s="83"/>
      <c r="G248" s="84"/>
      <c r="H248" s="81"/>
      <c r="I248" s="80"/>
      <c r="J248" s="41" t="str">
        <f aca="false">IF(OR(C248="",G248=""),"",N(F248)*N(G248))</f>
        <v/>
      </c>
      <c r="K248" s="48" t="str">
        <f aca="false">IF(M248="","",N(IFERROR(INDEX('Item Master'!$E$6:$E$105,MATCH(C248,'Item Master'!$A$6:$A$105,0)),0))+SUMIFS($F$7:$F$506,$C$7:$C$506,C248,$E$7:$E$506,"In",$M$7:$M$506,"&lt;="&amp;M248)-SUMIFS($F$7:$F$506,$C$7:$C$506,C248,$E$7:$E$506,"Out",$M$7:$M$506,"&lt;="&amp;M248))</f>
        <v/>
      </c>
      <c r="L248" s="44" t="str">
        <f aca="false">IF(AND(B248="",C248="",F248=""),"",IF(C248="","⚠ Pick item",IF(D248="?","⚠ Code not in Item Master",IF(B248="","⚠ Enter date",IF(OR(E248="",N(F248)&lt;=0),"⚠ Type / quantity missing",IF(AND(E248="In",G248=""),"⚠ Enter purchase rate",IF(OR(B248&lt;Setup!$C$6,B248&gt;Setup!$C$7),"Outside period",IF(K248&lt;0,"⚠ Stock goes negative","✔ OK"))))))))</f>
        <v/>
      </c>
      <c r="M248" s="9" t="str">
        <f aca="false">IF(OR(C248="",B248=""),"",B248+ROW()/1000000)</f>
        <v/>
      </c>
      <c r="N248" s="9" t="str">
        <f aca="false">IF(AND(E248="In",M248&lt;&gt;""),SUMIFS($F$7:$F$506,$C$7:$C$506,C248,$E$7:$E$506,"In",$M$7:$M$506,"&gt;"&amp;M248),"")</f>
        <v/>
      </c>
      <c r="O248" s="9" t="str">
        <f aca="false">IF(N248="","",IFERROR(INDEX('Item Master'!$K$6:$K$105,MATCH(C248,'Item Master'!$A$6:$A$105,0)),0))</f>
        <v/>
      </c>
      <c r="P248" s="9" t="n">
        <f aca="false">IF(N248="",0,MAX(0,MIN(N(F248),O248-N248))*N(G248))</f>
        <v>0</v>
      </c>
      <c r="Q248" s="9" t="str">
        <f aca="false">IF(AND(C248&lt;&gt;"",C248='Stock Ledger'!$C$4),M248,"")</f>
        <v/>
      </c>
    </row>
    <row r="249" customFormat="false" ht="15" hidden="false" customHeight="false" outlineLevel="0" collapsed="false">
      <c r="A249" s="45" t="str">
        <f aca="false">IF(C249="","",ROW()-6)</f>
        <v/>
      </c>
      <c r="B249" s="85"/>
      <c r="C249" s="80"/>
      <c r="D249" s="47" t="str">
        <f aca="false">IF(C249="","",IFERROR(INDEX('Item Master'!$B$6:$B$105,MATCH(C249,'Item Master'!$A$6:$A$105,0)),"?"))</f>
        <v/>
      </c>
      <c r="E249" s="82"/>
      <c r="F249" s="83"/>
      <c r="G249" s="84"/>
      <c r="H249" s="81"/>
      <c r="I249" s="80"/>
      <c r="J249" s="41" t="str">
        <f aca="false">IF(OR(C249="",G249=""),"",N(F249)*N(G249))</f>
        <v/>
      </c>
      <c r="K249" s="48" t="str">
        <f aca="false">IF(M249="","",N(IFERROR(INDEX('Item Master'!$E$6:$E$105,MATCH(C249,'Item Master'!$A$6:$A$105,0)),0))+SUMIFS($F$7:$F$506,$C$7:$C$506,C249,$E$7:$E$506,"In",$M$7:$M$506,"&lt;="&amp;M249)-SUMIFS($F$7:$F$506,$C$7:$C$506,C249,$E$7:$E$506,"Out",$M$7:$M$506,"&lt;="&amp;M249))</f>
        <v/>
      </c>
      <c r="L249" s="44" t="str">
        <f aca="false">IF(AND(B249="",C249="",F249=""),"",IF(C249="","⚠ Pick item",IF(D249="?","⚠ Code not in Item Master",IF(B249="","⚠ Enter date",IF(OR(E249="",N(F249)&lt;=0),"⚠ Type / quantity missing",IF(AND(E249="In",G249=""),"⚠ Enter purchase rate",IF(OR(B249&lt;Setup!$C$6,B249&gt;Setup!$C$7),"Outside period",IF(K249&lt;0,"⚠ Stock goes negative","✔ OK"))))))))</f>
        <v/>
      </c>
      <c r="M249" s="9" t="str">
        <f aca="false">IF(OR(C249="",B249=""),"",B249+ROW()/1000000)</f>
        <v/>
      </c>
      <c r="N249" s="9" t="str">
        <f aca="false">IF(AND(E249="In",M249&lt;&gt;""),SUMIFS($F$7:$F$506,$C$7:$C$506,C249,$E$7:$E$506,"In",$M$7:$M$506,"&gt;"&amp;M249),"")</f>
        <v/>
      </c>
      <c r="O249" s="9" t="str">
        <f aca="false">IF(N249="","",IFERROR(INDEX('Item Master'!$K$6:$K$105,MATCH(C249,'Item Master'!$A$6:$A$105,0)),0))</f>
        <v/>
      </c>
      <c r="P249" s="9" t="n">
        <f aca="false">IF(N249="",0,MAX(0,MIN(N(F249),O249-N249))*N(G249))</f>
        <v>0</v>
      </c>
      <c r="Q249" s="9" t="str">
        <f aca="false">IF(AND(C249&lt;&gt;"",C249='Stock Ledger'!$C$4),M249,"")</f>
        <v/>
      </c>
    </row>
    <row r="250" customFormat="false" ht="15" hidden="false" customHeight="false" outlineLevel="0" collapsed="false">
      <c r="A250" s="45" t="str">
        <f aca="false">IF(C250="","",ROW()-6)</f>
        <v/>
      </c>
      <c r="B250" s="85"/>
      <c r="C250" s="80"/>
      <c r="D250" s="47" t="str">
        <f aca="false">IF(C250="","",IFERROR(INDEX('Item Master'!$B$6:$B$105,MATCH(C250,'Item Master'!$A$6:$A$105,0)),"?"))</f>
        <v/>
      </c>
      <c r="E250" s="82"/>
      <c r="F250" s="83"/>
      <c r="G250" s="84"/>
      <c r="H250" s="81"/>
      <c r="I250" s="80"/>
      <c r="J250" s="41" t="str">
        <f aca="false">IF(OR(C250="",G250=""),"",N(F250)*N(G250))</f>
        <v/>
      </c>
      <c r="K250" s="48" t="str">
        <f aca="false">IF(M250="","",N(IFERROR(INDEX('Item Master'!$E$6:$E$105,MATCH(C250,'Item Master'!$A$6:$A$105,0)),0))+SUMIFS($F$7:$F$506,$C$7:$C$506,C250,$E$7:$E$506,"In",$M$7:$M$506,"&lt;="&amp;M250)-SUMIFS($F$7:$F$506,$C$7:$C$506,C250,$E$7:$E$506,"Out",$M$7:$M$506,"&lt;="&amp;M250))</f>
        <v/>
      </c>
      <c r="L250" s="44" t="str">
        <f aca="false">IF(AND(B250="",C250="",F250=""),"",IF(C250="","⚠ Pick item",IF(D250="?","⚠ Code not in Item Master",IF(B250="","⚠ Enter date",IF(OR(E250="",N(F250)&lt;=0),"⚠ Type / quantity missing",IF(AND(E250="In",G250=""),"⚠ Enter purchase rate",IF(OR(B250&lt;Setup!$C$6,B250&gt;Setup!$C$7),"Outside period",IF(K250&lt;0,"⚠ Stock goes negative","✔ OK"))))))))</f>
        <v/>
      </c>
      <c r="M250" s="9" t="str">
        <f aca="false">IF(OR(C250="",B250=""),"",B250+ROW()/1000000)</f>
        <v/>
      </c>
      <c r="N250" s="9" t="str">
        <f aca="false">IF(AND(E250="In",M250&lt;&gt;""),SUMIFS($F$7:$F$506,$C$7:$C$506,C250,$E$7:$E$506,"In",$M$7:$M$506,"&gt;"&amp;M250),"")</f>
        <v/>
      </c>
      <c r="O250" s="9" t="str">
        <f aca="false">IF(N250="","",IFERROR(INDEX('Item Master'!$K$6:$K$105,MATCH(C250,'Item Master'!$A$6:$A$105,0)),0))</f>
        <v/>
      </c>
      <c r="P250" s="9" t="n">
        <f aca="false">IF(N250="",0,MAX(0,MIN(N(F250),O250-N250))*N(G250))</f>
        <v>0</v>
      </c>
      <c r="Q250" s="9" t="str">
        <f aca="false">IF(AND(C250&lt;&gt;"",C250='Stock Ledger'!$C$4),M250,"")</f>
        <v/>
      </c>
    </row>
    <row r="251" customFormat="false" ht="15" hidden="false" customHeight="false" outlineLevel="0" collapsed="false">
      <c r="A251" s="45" t="str">
        <f aca="false">IF(C251="","",ROW()-6)</f>
        <v/>
      </c>
      <c r="B251" s="85"/>
      <c r="C251" s="80"/>
      <c r="D251" s="47" t="str">
        <f aca="false">IF(C251="","",IFERROR(INDEX('Item Master'!$B$6:$B$105,MATCH(C251,'Item Master'!$A$6:$A$105,0)),"?"))</f>
        <v/>
      </c>
      <c r="E251" s="82"/>
      <c r="F251" s="83"/>
      <c r="G251" s="84"/>
      <c r="H251" s="81"/>
      <c r="I251" s="80"/>
      <c r="J251" s="41" t="str">
        <f aca="false">IF(OR(C251="",G251=""),"",N(F251)*N(G251))</f>
        <v/>
      </c>
      <c r="K251" s="48" t="str">
        <f aca="false">IF(M251="","",N(IFERROR(INDEX('Item Master'!$E$6:$E$105,MATCH(C251,'Item Master'!$A$6:$A$105,0)),0))+SUMIFS($F$7:$F$506,$C$7:$C$506,C251,$E$7:$E$506,"In",$M$7:$M$506,"&lt;="&amp;M251)-SUMIFS($F$7:$F$506,$C$7:$C$506,C251,$E$7:$E$506,"Out",$M$7:$M$506,"&lt;="&amp;M251))</f>
        <v/>
      </c>
      <c r="L251" s="44" t="str">
        <f aca="false">IF(AND(B251="",C251="",F251=""),"",IF(C251="","⚠ Pick item",IF(D251="?","⚠ Code not in Item Master",IF(B251="","⚠ Enter date",IF(OR(E251="",N(F251)&lt;=0),"⚠ Type / quantity missing",IF(AND(E251="In",G251=""),"⚠ Enter purchase rate",IF(OR(B251&lt;Setup!$C$6,B251&gt;Setup!$C$7),"Outside period",IF(K251&lt;0,"⚠ Stock goes negative","✔ OK"))))))))</f>
        <v/>
      </c>
      <c r="M251" s="9" t="str">
        <f aca="false">IF(OR(C251="",B251=""),"",B251+ROW()/1000000)</f>
        <v/>
      </c>
      <c r="N251" s="9" t="str">
        <f aca="false">IF(AND(E251="In",M251&lt;&gt;""),SUMIFS($F$7:$F$506,$C$7:$C$506,C251,$E$7:$E$506,"In",$M$7:$M$506,"&gt;"&amp;M251),"")</f>
        <v/>
      </c>
      <c r="O251" s="9" t="str">
        <f aca="false">IF(N251="","",IFERROR(INDEX('Item Master'!$K$6:$K$105,MATCH(C251,'Item Master'!$A$6:$A$105,0)),0))</f>
        <v/>
      </c>
      <c r="P251" s="9" t="n">
        <f aca="false">IF(N251="",0,MAX(0,MIN(N(F251),O251-N251))*N(G251))</f>
        <v>0</v>
      </c>
      <c r="Q251" s="9" t="str">
        <f aca="false">IF(AND(C251&lt;&gt;"",C251='Stock Ledger'!$C$4),M251,"")</f>
        <v/>
      </c>
    </row>
    <row r="252" customFormat="false" ht="15" hidden="false" customHeight="false" outlineLevel="0" collapsed="false">
      <c r="A252" s="45" t="str">
        <f aca="false">IF(C252="","",ROW()-6)</f>
        <v/>
      </c>
      <c r="B252" s="85"/>
      <c r="C252" s="80"/>
      <c r="D252" s="47" t="str">
        <f aca="false">IF(C252="","",IFERROR(INDEX('Item Master'!$B$6:$B$105,MATCH(C252,'Item Master'!$A$6:$A$105,0)),"?"))</f>
        <v/>
      </c>
      <c r="E252" s="82"/>
      <c r="F252" s="83"/>
      <c r="G252" s="84"/>
      <c r="H252" s="81"/>
      <c r="I252" s="80"/>
      <c r="J252" s="41" t="str">
        <f aca="false">IF(OR(C252="",G252=""),"",N(F252)*N(G252))</f>
        <v/>
      </c>
      <c r="K252" s="48" t="str">
        <f aca="false">IF(M252="","",N(IFERROR(INDEX('Item Master'!$E$6:$E$105,MATCH(C252,'Item Master'!$A$6:$A$105,0)),0))+SUMIFS($F$7:$F$506,$C$7:$C$506,C252,$E$7:$E$506,"In",$M$7:$M$506,"&lt;="&amp;M252)-SUMIFS($F$7:$F$506,$C$7:$C$506,C252,$E$7:$E$506,"Out",$M$7:$M$506,"&lt;="&amp;M252))</f>
        <v/>
      </c>
      <c r="L252" s="44" t="str">
        <f aca="false">IF(AND(B252="",C252="",F252=""),"",IF(C252="","⚠ Pick item",IF(D252="?","⚠ Code not in Item Master",IF(B252="","⚠ Enter date",IF(OR(E252="",N(F252)&lt;=0),"⚠ Type / quantity missing",IF(AND(E252="In",G252=""),"⚠ Enter purchase rate",IF(OR(B252&lt;Setup!$C$6,B252&gt;Setup!$C$7),"Outside period",IF(K252&lt;0,"⚠ Stock goes negative","✔ OK"))))))))</f>
        <v/>
      </c>
      <c r="M252" s="9" t="str">
        <f aca="false">IF(OR(C252="",B252=""),"",B252+ROW()/1000000)</f>
        <v/>
      </c>
      <c r="N252" s="9" t="str">
        <f aca="false">IF(AND(E252="In",M252&lt;&gt;""),SUMIFS($F$7:$F$506,$C$7:$C$506,C252,$E$7:$E$506,"In",$M$7:$M$506,"&gt;"&amp;M252),"")</f>
        <v/>
      </c>
      <c r="O252" s="9" t="str">
        <f aca="false">IF(N252="","",IFERROR(INDEX('Item Master'!$K$6:$K$105,MATCH(C252,'Item Master'!$A$6:$A$105,0)),0))</f>
        <v/>
      </c>
      <c r="P252" s="9" t="n">
        <f aca="false">IF(N252="",0,MAX(0,MIN(N(F252),O252-N252))*N(G252))</f>
        <v>0</v>
      </c>
      <c r="Q252" s="9" t="str">
        <f aca="false">IF(AND(C252&lt;&gt;"",C252='Stock Ledger'!$C$4),M252,"")</f>
        <v/>
      </c>
    </row>
    <row r="253" customFormat="false" ht="15" hidden="false" customHeight="false" outlineLevel="0" collapsed="false">
      <c r="A253" s="45" t="str">
        <f aca="false">IF(C253="","",ROW()-6)</f>
        <v/>
      </c>
      <c r="B253" s="85"/>
      <c r="C253" s="80"/>
      <c r="D253" s="47" t="str">
        <f aca="false">IF(C253="","",IFERROR(INDEX('Item Master'!$B$6:$B$105,MATCH(C253,'Item Master'!$A$6:$A$105,0)),"?"))</f>
        <v/>
      </c>
      <c r="E253" s="82"/>
      <c r="F253" s="83"/>
      <c r="G253" s="84"/>
      <c r="H253" s="81"/>
      <c r="I253" s="80"/>
      <c r="J253" s="41" t="str">
        <f aca="false">IF(OR(C253="",G253=""),"",N(F253)*N(G253))</f>
        <v/>
      </c>
      <c r="K253" s="48" t="str">
        <f aca="false">IF(M253="","",N(IFERROR(INDEX('Item Master'!$E$6:$E$105,MATCH(C253,'Item Master'!$A$6:$A$105,0)),0))+SUMIFS($F$7:$F$506,$C$7:$C$506,C253,$E$7:$E$506,"In",$M$7:$M$506,"&lt;="&amp;M253)-SUMIFS($F$7:$F$506,$C$7:$C$506,C253,$E$7:$E$506,"Out",$M$7:$M$506,"&lt;="&amp;M253))</f>
        <v/>
      </c>
      <c r="L253" s="44" t="str">
        <f aca="false">IF(AND(B253="",C253="",F253=""),"",IF(C253="","⚠ Pick item",IF(D253="?","⚠ Code not in Item Master",IF(B253="","⚠ Enter date",IF(OR(E253="",N(F253)&lt;=0),"⚠ Type / quantity missing",IF(AND(E253="In",G253=""),"⚠ Enter purchase rate",IF(OR(B253&lt;Setup!$C$6,B253&gt;Setup!$C$7),"Outside period",IF(K253&lt;0,"⚠ Stock goes negative","✔ OK"))))))))</f>
        <v/>
      </c>
      <c r="M253" s="9" t="str">
        <f aca="false">IF(OR(C253="",B253=""),"",B253+ROW()/1000000)</f>
        <v/>
      </c>
      <c r="N253" s="9" t="str">
        <f aca="false">IF(AND(E253="In",M253&lt;&gt;""),SUMIFS($F$7:$F$506,$C$7:$C$506,C253,$E$7:$E$506,"In",$M$7:$M$506,"&gt;"&amp;M253),"")</f>
        <v/>
      </c>
      <c r="O253" s="9" t="str">
        <f aca="false">IF(N253="","",IFERROR(INDEX('Item Master'!$K$6:$K$105,MATCH(C253,'Item Master'!$A$6:$A$105,0)),0))</f>
        <v/>
      </c>
      <c r="P253" s="9" t="n">
        <f aca="false">IF(N253="",0,MAX(0,MIN(N(F253),O253-N253))*N(G253))</f>
        <v>0</v>
      </c>
      <c r="Q253" s="9" t="str">
        <f aca="false">IF(AND(C253&lt;&gt;"",C253='Stock Ledger'!$C$4),M253,"")</f>
        <v/>
      </c>
    </row>
    <row r="254" customFormat="false" ht="15" hidden="false" customHeight="false" outlineLevel="0" collapsed="false">
      <c r="A254" s="45" t="str">
        <f aca="false">IF(C254="","",ROW()-6)</f>
        <v/>
      </c>
      <c r="B254" s="85"/>
      <c r="C254" s="80"/>
      <c r="D254" s="47" t="str">
        <f aca="false">IF(C254="","",IFERROR(INDEX('Item Master'!$B$6:$B$105,MATCH(C254,'Item Master'!$A$6:$A$105,0)),"?"))</f>
        <v/>
      </c>
      <c r="E254" s="82"/>
      <c r="F254" s="83"/>
      <c r="G254" s="84"/>
      <c r="H254" s="81"/>
      <c r="I254" s="80"/>
      <c r="J254" s="41" t="str">
        <f aca="false">IF(OR(C254="",G254=""),"",N(F254)*N(G254))</f>
        <v/>
      </c>
      <c r="K254" s="48" t="str">
        <f aca="false">IF(M254="","",N(IFERROR(INDEX('Item Master'!$E$6:$E$105,MATCH(C254,'Item Master'!$A$6:$A$105,0)),0))+SUMIFS($F$7:$F$506,$C$7:$C$506,C254,$E$7:$E$506,"In",$M$7:$M$506,"&lt;="&amp;M254)-SUMIFS($F$7:$F$506,$C$7:$C$506,C254,$E$7:$E$506,"Out",$M$7:$M$506,"&lt;="&amp;M254))</f>
        <v/>
      </c>
      <c r="L254" s="44" t="str">
        <f aca="false">IF(AND(B254="",C254="",F254=""),"",IF(C254="","⚠ Pick item",IF(D254="?","⚠ Code not in Item Master",IF(B254="","⚠ Enter date",IF(OR(E254="",N(F254)&lt;=0),"⚠ Type / quantity missing",IF(AND(E254="In",G254=""),"⚠ Enter purchase rate",IF(OR(B254&lt;Setup!$C$6,B254&gt;Setup!$C$7),"Outside period",IF(K254&lt;0,"⚠ Stock goes negative","✔ OK"))))))))</f>
        <v/>
      </c>
      <c r="M254" s="9" t="str">
        <f aca="false">IF(OR(C254="",B254=""),"",B254+ROW()/1000000)</f>
        <v/>
      </c>
      <c r="N254" s="9" t="str">
        <f aca="false">IF(AND(E254="In",M254&lt;&gt;""),SUMIFS($F$7:$F$506,$C$7:$C$506,C254,$E$7:$E$506,"In",$M$7:$M$506,"&gt;"&amp;M254),"")</f>
        <v/>
      </c>
      <c r="O254" s="9" t="str">
        <f aca="false">IF(N254="","",IFERROR(INDEX('Item Master'!$K$6:$K$105,MATCH(C254,'Item Master'!$A$6:$A$105,0)),0))</f>
        <v/>
      </c>
      <c r="P254" s="9" t="n">
        <f aca="false">IF(N254="",0,MAX(0,MIN(N(F254),O254-N254))*N(G254))</f>
        <v>0</v>
      </c>
      <c r="Q254" s="9" t="str">
        <f aca="false">IF(AND(C254&lt;&gt;"",C254='Stock Ledger'!$C$4),M254,"")</f>
        <v/>
      </c>
    </row>
    <row r="255" customFormat="false" ht="15" hidden="false" customHeight="false" outlineLevel="0" collapsed="false">
      <c r="A255" s="45" t="str">
        <f aca="false">IF(C255="","",ROW()-6)</f>
        <v/>
      </c>
      <c r="B255" s="85"/>
      <c r="C255" s="80"/>
      <c r="D255" s="47" t="str">
        <f aca="false">IF(C255="","",IFERROR(INDEX('Item Master'!$B$6:$B$105,MATCH(C255,'Item Master'!$A$6:$A$105,0)),"?"))</f>
        <v/>
      </c>
      <c r="E255" s="82"/>
      <c r="F255" s="83"/>
      <c r="G255" s="84"/>
      <c r="H255" s="81"/>
      <c r="I255" s="80"/>
      <c r="J255" s="41" t="str">
        <f aca="false">IF(OR(C255="",G255=""),"",N(F255)*N(G255))</f>
        <v/>
      </c>
      <c r="K255" s="48" t="str">
        <f aca="false">IF(M255="","",N(IFERROR(INDEX('Item Master'!$E$6:$E$105,MATCH(C255,'Item Master'!$A$6:$A$105,0)),0))+SUMIFS($F$7:$F$506,$C$7:$C$506,C255,$E$7:$E$506,"In",$M$7:$M$506,"&lt;="&amp;M255)-SUMIFS($F$7:$F$506,$C$7:$C$506,C255,$E$7:$E$506,"Out",$M$7:$M$506,"&lt;="&amp;M255))</f>
        <v/>
      </c>
      <c r="L255" s="44" t="str">
        <f aca="false">IF(AND(B255="",C255="",F255=""),"",IF(C255="","⚠ Pick item",IF(D255="?","⚠ Code not in Item Master",IF(B255="","⚠ Enter date",IF(OR(E255="",N(F255)&lt;=0),"⚠ Type / quantity missing",IF(AND(E255="In",G255=""),"⚠ Enter purchase rate",IF(OR(B255&lt;Setup!$C$6,B255&gt;Setup!$C$7),"Outside period",IF(K255&lt;0,"⚠ Stock goes negative","✔ OK"))))))))</f>
        <v/>
      </c>
      <c r="M255" s="9" t="str">
        <f aca="false">IF(OR(C255="",B255=""),"",B255+ROW()/1000000)</f>
        <v/>
      </c>
      <c r="N255" s="9" t="str">
        <f aca="false">IF(AND(E255="In",M255&lt;&gt;""),SUMIFS($F$7:$F$506,$C$7:$C$506,C255,$E$7:$E$506,"In",$M$7:$M$506,"&gt;"&amp;M255),"")</f>
        <v/>
      </c>
      <c r="O255" s="9" t="str">
        <f aca="false">IF(N255="","",IFERROR(INDEX('Item Master'!$K$6:$K$105,MATCH(C255,'Item Master'!$A$6:$A$105,0)),0))</f>
        <v/>
      </c>
      <c r="P255" s="9" t="n">
        <f aca="false">IF(N255="",0,MAX(0,MIN(N(F255),O255-N255))*N(G255))</f>
        <v>0</v>
      </c>
      <c r="Q255" s="9" t="str">
        <f aca="false">IF(AND(C255&lt;&gt;"",C255='Stock Ledger'!$C$4),M255,"")</f>
        <v/>
      </c>
    </row>
    <row r="256" customFormat="false" ht="15" hidden="false" customHeight="false" outlineLevel="0" collapsed="false">
      <c r="A256" s="45" t="str">
        <f aca="false">IF(C256="","",ROW()-6)</f>
        <v/>
      </c>
      <c r="B256" s="85"/>
      <c r="C256" s="80"/>
      <c r="D256" s="47" t="str">
        <f aca="false">IF(C256="","",IFERROR(INDEX('Item Master'!$B$6:$B$105,MATCH(C256,'Item Master'!$A$6:$A$105,0)),"?"))</f>
        <v/>
      </c>
      <c r="E256" s="82"/>
      <c r="F256" s="83"/>
      <c r="G256" s="84"/>
      <c r="H256" s="81"/>
      <c r="I256" s="80"/>
      <c r="J256" s="41" t="str">
        <f aca="false">IF(OR(C256="",G256=""),"",N(F256)*N(G256))</f>
        <v/>
      </c>
      <c r="K256" s="48" t="str">
        <f aca="false">IF(M256="","",N(IFERROR(INDEX('Item Master'!$E$6:$E$105,MATCH(C256,'Item Master'!$A$6:$A$105,0)),0))+SUMIFS($F$7:$F$506,$C$7:$C$506,C256,$E$7:$E$506,"In",$M$7:$M$506,"&lt;="&amp;M256)-SUMIFS($F$7:$F$506,$C$7:$C$506,C256,$E$7:$E$506,"Out",$M$7:$M$506,"&lt;="&amp;M256))</f>
        <v/>
      </c>
      <c r="L256" s="44" t="str">
        <f aca="false">IF(AND(B256="",C256="",F256=""),"",IF(C256="","⚠ Pick item",IF(D256="?","⚠ Code not in Item Master",IF(B256="","⚠ Enter date",IF(OR(E256="",N(F256)&lt;=0),"⚠ Type / quantity missing",IF(AND(E256="In",G256=""),"⚠ Enter purchase rate",IF(OR(B256&lt;Setup!$C$6,B256&gt;Setup!$C$7),"Outside period",IF(K256&lt;0,"⚠ Stock goes negative","✔ OK"))))))))</f>
        <v/>
      </c>
      <c r="M256" s="9" t="str">
        <f aca="false">IF(OR(C256="",B256=""),"",B256+ROW()/1000000)</f>
        <v/>
      </c>
      <c r="N256" s="9" t="str">
        <f aca="false">IF(AND(E256="In",M256&lt;&gt;""),SUMIFS($F$7:$F$506,$C$7:$C$506,C256,$E$7:$E$506,"In",$M$7:$M$506,"&gt;"&amp;M256),"")</f>
        <v/>
      </c>
      <c r="O256" s="9" t="str">
        <f aca="false">IF(N256="","",IFERROR(INDEX('Item Master'!$K$6:$K$105,MATCH(C256,'Item Master'!$A$6:$A$105,0)),0))</f>
        <v/>
      </c>
      <c r="P256" s="9" t="n">
        <f aca="false">IF(N256="",0,MAX(0,MIN(N(F256),O256-N256))*N(G256))</f>
        <v>0</v>
      </c>
      <c r="Q256" s="9" t="str">
        <f aca="false">IF(AND(C256&lt;&gt;"",C256='Stock Ledger'!$C$4),M256,"")</f>
        <v/>
      </c>
    </row>
    <row r="257" customFormat="false" ht="15" hidden="false" customHeight="false" outlineLevel="0" collapsed="false">
      <c r="A257" s="45" t="str">
        <f aca="false">IF(C257="","",ROW()-6)</f>
        <v/>
      </c>
      <c r="B257" s="85"/>
      <c r="C257" s="80"/>
      <c r="D257" s="47" t="str">
        <f aca="false">IF(C257="","",IFERROR(INDEX('Item Master'!$B$6:$B$105,MATCH(C257,'Item Master'!$A$6:$A$105,0)),"?"))</f>
        <v/>
      </c>
      <c r="E257" s="82"/>
      <c r="F257" s="83"/>
      <c r="G257" s="84"/>
      <c r="H257" s="81"/>
      <c r="I257" s="80"/>
      <c r="J257" s="41" t="str">
        <f aca="false">IF(OR(C257="",G257=""),"",N(F257)*N(G257))</f>
        <v/>
      </c>
      <c r="K257" s="48" t="str">
        <f aca="false">IF(M257="","",N(IFERROR(INDEX('Item Master'!$E$6:$E$105,MATCH(C257,'Item Master'!$A$6:$A$105,0)),0))+SUMIFS($F$7:$F$506,$C$7:$C$506,C257,$E$7:$E$506,"In",$M$7:$M$506,"&lt;="&amp;M257)-SUMIFS($F$7:$F$506,$C$7:$C$506,C257,$E$7:$E$506,"Out",$M$7:$M$506,"&lt;="&amp;M257))</f>
        <v/>
      </c>
      <c r="L257" s="44" t="str">
        <f aca="false">IF(AND(B257="",C257="",F257=""),"",IF(C257="","⚠ Pick item",IF(D257="?","⚠ Code not in Item Master",IF(B257="","⚠ Enter date",IF(OR(E257="",N(F257)&lt;=0),"⚠ Type / quantity missing",IF(AND(E257="In",G257=""),"⚠ Enter purchase rate",IF(OR(B257&lt;Setup!$C$6,B257&gt;Setup!$C$7),"Outside period",IF(K257&lt;0,"⚠ Stock goes negative","✔ OK"))))))))</f>
        <v/>
      </c>
      <c r="M257" s="9" t="str">
        <f aca="false">IF(OR(C257="",B257=""),"",B257+ROW()/1000000)</f>
        <v/>
      </c>
      <c r="N257" s="9" t="str">
        <f aca="false">IF(AND(E257="In",M257&lt;&gt;""),SUMIFS($F$7:$F$506,$C$7:$C$506,C257,$E$7:$E$506,"In",$M$7:$M$506,"&gt;"&amp;M257),"")</f>
        <v/>
      </c>
      <c r="O257" s="9" t="str">
        <f aca="false">IF(N257="","",IFERROR(INDEX('Item Master'!$K$6:$K$105,MATCH(C257,'Item Master'!$A$6:$A$105,0)),0))</f>
        <v/>
      </c>
      <c r="P257" s="9" t="n">
        <f aca="false">IF(N257="",0,MAX(0,MIN(N(F257),O257-N257))*N(G257))</f>
        <v>0</v>
      </c>
      <c r="Q257" s="9" t="str">
        <f aca="false">IF(AND(C257&lt;&gt;"",C257='Stock Ledger'!$C$4),M257,"")</f>
        <v/>
      </c>
    </row>
    <row r="258" customFormat="false" ht="15" hidden="false" customHeight="false" outlineLevel="0" collapsed="false">
      <c r="A258" s="45" t="str">
        <f aca="false">IF(C258="","",ROW()-6)</f>
        <v/>
      </c>
      <c r="B258" s="85"/>
      <c r="C258" s="80"/>
      <c r="D258" s="47" t="str">
        <f aca="false">IF(C258="","",IFERROR(INDEX('Item Master'!$B$6:$B$105,MATCH(C258,'Item Master'!$A$6:$A$105,0)),"?"))</f>
        <v/>
      </c>
      <c r="E258" s="82"/>
      <c r="F258" s="83"/>
      <c r="G258" s="84"/>
      <c r="H258" s="81"/>
      <c r="I258" s="80"/>
      <c r="J258" s="41" t="str">
        <f aca="false">IF(OR(C258="",G258=""),"",N(F258)*N(G258))</f>
        <v/>
      </c>
      <c r="K258" s="48" t="str">
        <f aca="false">IF(M258="","",N(IFERROR(INDEX('Item Master'!$E$6:$E$105,MATCH(C258,'Item Master'!$A$6:$A$105,0)),0))+SUMIFS($F$7:$F$506,$C$7:$C$506,C258,$E$7:$E$506,"In",$M$7:$M$506,"&lt;="&amp;M258)-SUMIFS($F$7:$F$506,$C$7:$C$506,C258,$E$7:$E$506,"Out",$M$7:$M$506,"&lt;="&amp;M258))</f>
        <v/>
      </c>
      <c r="L258" s="44" t="str">
        <f aca="false">IF(AND(B258="",C258="",F258=""),"",IF(C258="","⚠ Pick item",IF(D258="?","⚠ Code not in Item Master",IF(B258="","⚠ Enter date",IF(OR(E258="",N(F258)&lt;=0),"⚠ Type / quantity missing",IF(AND(E258="In",G258=""),"⚠ Enter purchase rate",IF(OR(B258&lt;Setup!$C$6,B258&gt;Setup!$C$7),"Outside period",IF(K258&lt;0,"⚠ Stock goes negative","✔ OK"))))))))</f>
        <v/>
      </c>
      <c r="M258" s="9" t="str">
        <f aca="false">IF(OR(C258="",B258=""),"",B258+ROW()/1000000)</f>
        <v/>
      </c>
      <c r="N258" s="9" t="str">
        <f aca="false">IF(AND(E258="In",M258&lt;&gt;""),SUMIFS($F$7:$F$506,$C$7:$C$506,C258,$E$7:$E$506,"In",$M$7:$M$506,"&gt;"&amp;M258),"")</f>
        <v/>
      </c>
      <c r="O258" s="9" t="str">
        <f aca="false">IF(N258="","",IFERROR(INDEX('Item Master'!$K$6:$K$105,MATCH(C258,'Item Master'!$A$6:$A$105,0)),0))</f>
        <v/>
      </c>
      <c r="P258" s="9" t="n">
        <f aca="false">IF(N258="",0,MAX(0,MIN(N(F258),O258-N258))*N(G258))</f>
        <v>0</v>
      </c>
      <c r="Q258" s="9" t="str">
        <f aca="false">IF(AND(C258&lt;&gt;"",C258='Stock Ledger'!$C$4),M258,"")</f>
        <v/>
      </c>
    </row>
    <row r="259" customFormat="false" ht="15" hidden="false" customHeight="false" outlineLevel="0" collapsed="false">
      <c r="A259" s="45" t="str">
        <f aca="false">IF(C259="","",ROW()-6)</f>
        <v/>
      </c>
      <c r="B259" s="85"/>
      <c r="C259" s="80"/>
      <c r="D259" s="47" t="str">
        <f aca="false">IF(C259="","",IFERROR(INDEX('Item Master'!$B$6:$B$105,MATCH(C259,'Item Master'!$A$6:$A$105,0)),"?"))</f>
        <v/>
      </c>
      <c r="E259" s="82"/>
      <c r="F259" s="83"/>
      <c r="G259" s="84"/>
      <c r="H259" s="81"/>
      <c r="I259" s="80"/>
      <c r="J259" s="41" t="str">
        <f aca="false">IF(OR(C259="",G259=""),"",N(F259)*N(G259))</f>
        <v/>
      </c>
      <c r="K259" s="48" t="str">
        <f aca="false">IF(M259="","",N(IFERROR(INDEX('Item Master'!$E$6:$E$105,MATCH(C259,'Item Master'!$A$6:$A$105,0)),0))+SUMIFS($F$7:$F$506,$C$7:$C$506,C259,$E$7:$E$506,"In",$M$7:$M$506,"&lt;="&amp;M259)-SUMIFS($F$7:$F$506,$C$7:$C$506,C259,$E$7:$E$506,"Out",$M$7:$M$506,"&lt;="&amp;M259))</f>
        <v/>
      </c>
      <c r="L259" s="44" t="str">
        <f aca="false">IF(AND(B259="",C259="",F259=""),"",IF(C259="","⚠ Pick item",IF(D259="?","⚠ Code not in Item Master",IF(B259="","⚠ Enter date",IF(OR(E259="",N(F259)&lt;=0),"⚠ Type / quantity missing",IF(AND(E259="In",G259=""),"⚠ Enter purchase rate",IF(OR(B259&lt;Setup!$C$6,B259&gt;Setup!$C$7),"Outside period",IF(K259&lt;0,"⚠ Stock goes negative","✔ OK"))))))))</f>
        <v/>
      </c>
      <c r="M259" s="9" t="str">
        <f aca="false">IF(OR(C259="",B259=""),"",B259+ROW()/1000000)</f>
        <v/>
      </c>
      <c r="N259" s="9" t="str">
        <f aca="false">IF(AND(E259="In",M259&lt;&gt;""),SUMIFS($F$7:$F$506,$C$7:$C$506,C259,$E$7:$E$506,"In",$M$7:$M$506,"&gt;"&amp;M259),"")</f>
        <v/>
      </c>
      <c r="O259" s="9" t="str">
        <f aca="false">IF(N259="","",IFERROR(INDEX('Item Master'!$K$6:$K$105,MATCH(C259,'Item Master'!$A$6:$A$105,0)),0))</f>
        <v/>
      </c>
      <c r="P259" s="9" t="n">
        <f aca="false">IF(N259="",0,MAX(0,MIN(N(F259),O259-N259))*N(G259))</f>
        <v>0</v>
      </c>
      <c r="Q259" s="9" t="str">
        <f aca="false">IF(AND(C259&lt;&gt;"",C259='Stock Ledger'!$C$4),M259,"")</f>
        <v/>
      </c>
    </row>
    <row r="260" customFormat="false" ht="15" hidden="false" customHeight="false" outlineLevel="0" collapsed="false">
      <c r="A260" s="45" t="str">
        <f aca="false">IF(C260="","",ROW()-6)</f>
        <v/>
      </c>
      <c r="B260" s="85"/>
      <c r="C260" s="80"/>
      <c r="D260" s="47" t="str">
        <f aca="false">IF(C260="","",IFERROR(INDEX('Item Master'!$B$6:$B$105,MATCH(C260,'Item Master'!$A$6:$A$105,0)),"?"))</f>
        <v/>
      </c>
      <c r="E260" s="82"/>
      <c r="F260" s="83"/>
      <c r="G260" s="84"/>
      <c r="H260" s="81"/>
      <c r="I260" s="80"/>
      <c r="J260" s="41" t="str">
        <f aca="false">IF(OR(C260="",G260=""),"",N(F260)*N(G260))</f>
        <v/>
      </c>
      <c r="K260" s="48" t="str">
        <f aca="false">IF(M260="","",N(IFERROR(INDEX('Item Master'!$E$6:$E$105,MATCH(C260,'Item Master'!$A$6:$A$105,0)),0))+SUMIFS($F$7:$F$506,$C$7:$C$506,C260,$E$7:$E$506,"In",$M$7:$M$506,"&lt;="&amp;M260)-SUMIFS($F$7:$F$506,$C$7:$C$506,C260,$E$7:$E$506,"Out",$M$7:$M$506,"&lt;="&amp;M260))</f>
        <v/>
      </c>
      <c r="L260" s="44" t="str">
        <f aca="false">IF(AND(B260="",C260="",F260=""),"",IF(C260="","⚠ Pick item",IF(D260="?","⚠ Code not in Item Master",IF(B260="","⚠ Enter date",IF(OR(E260="",N(F260)&lt;=0),"⚠ Type / quantity missing",IF(AND(E260="In",G260=""),"⚠ Enter purchase rate",IF(OR(B260&lt;Setup!$C$6,B260&gt;Setup!$C$7),"Outside period",IF(K260&lt;0,"⚠ Stock goes negative","✔ OK"))))))))</f>
        <v/>
      </c>
      <c r="M260" s="9" t="str">
        <f aca="false">IF(OR(C260="",B260=""),"",B260+ROW()/1000000)</f>
        <v/>
      </c>
      <c r="N260" s="9" t="str">
        <f aca="false">IF(AND(E260="In",M260&lt;&gt;""),SUMIFS($F$7:$F$506,$C$7:$C$506,C260,$E$7:$E$506,"In",$M$7:$M$506,"&gt;"&amp;M260),"")</f>
        <v/>
      </c>
      <c r="O260" s="9" t="str">
        <f aca="false">IF(N260="","",IFERROR(INDEX('Item Master'!$K$6:$K$105,MATCH(C260,'Item Master'!$A$6:$A$105,0)),0))</f>
        <v/>
      </c>
      <c r="P260" s="9" t="n">
        <f aca="false">IF(N260="",0,MAX(0,MIN(N(F260),O260-N260))*N(G260))</f>
        <v>0</v>
      </c>
      <c r="Q260" s="9" t="str">
        <f aca="false">IF(AND(C260&lt;&gt;"",C260='Stock Ledger'!$C$4),M260,"")</f>
        <v/>
      </c>
    </row>
    <row r="261" customFormat="false" ht="15" hidden="false" customHeight="false" outlineLevel="0" collapsed="false">
      <c r="A261" s="45" t="str">
        <f aca="false">IF(C261="","",ROW()-6)</f>
        <v/>
      </c>
      <c r="B261" s="85"/>
      <c r="C261" s="80"/>
      <c r="D261" s="47" t="str">
        <f aca="false">IF(C261="","",IFERROR(INDEX('Item Master'!$B$6:$B$105,MATCH(C261,'Item Master'!$A$6:$A$105,0)),"?"))</f>
        <v/>
      </c>
      <c r="E261" s="82"/>
      <c r="F261" s="83"/>
      <c r="G261" s="84"/>
      <c r="H261" s="81"/>
      <c r="I261" s="80"/>
      <c r="J261" s="41" t="str">
        <f aca="false">IF(OR(C261="",G261=""),"",N(F261)*N(G261))</f>
        <v/>
      </c>
      <c r="K261" s="48" t="str">
        <f aca="false">IF(M261="","",N(IFERROR(INDEX('Item Master'!$E$6:$E$105,MATCH(C261,'Item Master'!$A$6:$A$105,0)),0))+SUMIFS($F$7:$F$506,$C$7:$C$506,C261,$E$7:$E$506,"In",$M$7:$M$506,"&lt;="&amp;M261)-SUMIFS($F$7:$F$506,$C$7:$C$506,C261,$E$7:$E$506,"Out",$M$7:$M$506,"&lt;="&amp;M261))</f>
        <v/>
      </c>
      <c r="L261" s="44" t="str">
        <f aca="false">IF(AND(B261="",C261="",F261=""),"",IF(C261="","⚠ Pick item",IF(D261="?","⚠ Code not in Item Master",IF(B261="","⚠ Enter date",IF(OR(E261="",N(F261)&lt;=0),"⚠ Type / quantity missing",IF(AND(E261="In",G261=""),"⚠ Enter purchase rate",IF(OR(B261&lt;Setup!$C$6,B261&gt;Setup!$C$7),"Outside period",IF(K261&lt;0,"⚠ Stock goes negative","✔ OK"))))))))</f>
        <v/>
      </c>
      <c r="M261" s="9" t="str">
        <f aca="false">IF(OR(C261="",B261=""),"",B261+ROW()/1000000)</f>
        <v/>
      </c>
      <c r="N261" s="9" t="str">
        <f aca="false">IF(AND(E261="In",M261&lt;&gt;""),SUMIFS($F$7:$F$506,$C$7:$C$506,C261,$E$7:$E$506,"In",$M$7:$M$506,"&gt;"&amp;M261),"")</f>
        <v/>
      </c>
      <c r="O261" s="9" t="str">
        <f aca="false">IF(N261="","",IFERROR(INDEX('Item Master'!$K$6:$K$105,MATCH(C261,'Item Master'!$A$6:$A$105,0)),0))</f>
        <v/>
      </c>
      <c r="P261" s="9" t="n">
        <f aca="false">IF(N261="",0,MAX(0,MIN(N(F261),O261-N261))*N(G261))</f>
        <v>0</v>
      </c>
      <c r="Q261" s="9" t="str">
        <f aca="false">IF(AND(C261&lt;&gt;"",C261='Stock Ledger'!$C$4),M261,"")</f>
        <v/>
      </c>
    </row>
    <row r="262" customFormat="false" ht="15" hidden="false" customHeight="false" outlineLevel="0" collapsed="false">
      <c r="A262" s="45" t="str">
        <f aca="false">IF(C262="","",ROW()-6)</f>
        <v/>
      </c>
      <c r="B262" s="85"/>
      <c r="C262" s="80"/>
      <c r="D262" s="47" t="str">
        <f aca="false">IF(C262="","",IFERROR(INDEX('Item Master'!$B$6:$B$105,MATCH(C262,'Item Master'!$A$6:$A$105,0)),"?"))</f>
        <v/>
      </c>
      <c r="E262" s="82"/>
      <c r="F262" s="83"/>
      <c r="G262" s="84"/>
      <c r="H262" s="81"/>
      <c r="I262" s="80"/>
      <c r="J262" s="41" t="str">
        <f aca="false">IF(OR(C262="",G262=""),"",N(F262)*N(G262))</f>
        <v/>
      </c>
      <c r="K262" s="48" t="str">
        <f aca="false">IF(M262="","",N(IFERROR(INDEX('Item Master'!$E$6:$E$105,MATCH(C262,'Item Master'!$A$6:$A$105,0)),0))+SUMIFS($F$7:$F$506,$C$7:$C$506,C262,$E$7:$E$506,"In",$M$7:$M$506,"&lt;="&amp;M262)-SUMIFS($F$7:$F$506,$C$7:$C$506,C262,$E$7:$E$506,"Out",$M$7:$M$506,"&lt;="&amp;M262))</f>
        <v/>
      </c>
      <c r="L262" s="44" t="str">
        <f aca="false">IF(AND(B262="",C262="",F262=""),"",IF(C262="","⚠ Pick item",IF(D262="?","⚠ Code not in Item Master",IF(B262="","⚠ Enter date",IF(OR(E262="",N(F262)&lt;=0),"⚠ Type / quantity missing",IF(AND(E262="In",G262=""),"⚠ Enter purchase rate",IF(OR(B262&lt;Setup!$C$6,B262&gt;Setup!$C$7),"Outside period",IF(K262&lt;0,"⚠ Stock goes negative","✔ OK"))))))))</f>
        <v/>
      </c>
      <c r="M262" s="9" t="str">
        <f aca="false">IF(OR(C262="",B262=""),"",B262+ROW()/1000000)</f>
        <v/>
      </c>
      <c r="N262" s="9" t="str">
        <f aca="false">IF(AND(E262="In",M262&lt;&gt;""),SUMIFS($F$7:$F$506,$C$7:$C$506,C262,$E$7:$E$506,"In",$M$7:$M$506,"&gt;"&amp;M262),"")</f>
        <v/>
      </c>
      <c r="O262" s="9" t="str">
        <f aca="false">IF(N262="","",IFERROR(INDEX('Item Master'!$K$6:$K$105,MATCH(C262,'Item Master'!$A$6:$A$105,0)),0))</f>
        <v/>
      </c>
      <c r="P262" s="9" t="n">
        <f aca="false">IF(N262="",0,MAX(0,MIN(N(F262),O262-N262))*N(G262))</f>
        <v>0</v>
      </c>
      <c r="Q262" s="9" t="str">
        <f aca="false">IF(AND(C262&lt;&gt;"",C262='Stock Ledger'!$C$4),M262,"")</f>
        <v/>
      </c>
    </row>
    <row r="263" customFormat="false" ht="15" hidden="false" customHeight="false" outlineLevel="0" collapsed="false">
      <c r="A263" s="45" t="str">
        <f aca="false">IF(C263="","",ROW()-6)</f>
        <v/>
      </c>
      <c r="B263" s="85"/>
      <c r="C263" s="80"/>
      <c r="D263" s="47" t="str">
        <f aca="false">IF(C263="","",IFERROR(INDEX('Item Master'!$B$6:$B$105,MATCH(C263,'Item Master'!$A$6:$A$105,0)),"?"))</f>
        <v/>
      </c>
      <c r="E263" s="82"/>
      <c r="F263" s="83"/>
      <c r="G263" s="84"/>
      <c r="H263" s="81"/>
      <c r="I263" s="80"/>
      <c r="J263" s="41" t="str">
        <f aca="false">IF(OR(C263="",G263=""),"",N(F263)*N(G263))</f>
        <v/>
      </c>
      <c r="K263" s="48" t="str">
        <f aca="false">IF(M263="","",N(IFERROR(INDEX('Item Master'!$E$6:$E$105,MATCH(C263,'Item Master'!$A$6:$A$105,0)),0))+SUMIFS($F$7:$F$506,$C$7:$C$506,C263,$E$7:$E$506,"In",$M$7:$M$506,"&lt;="&amp;M263)-SUMIFS($F$7:$F$506,$C$7:$C$506,C263,$E$7:$E$506,"Out",$M$7:$M$506,"&lt;="&amp;M263))</f>
        <v/>
      </c>
      <c r="L263" s="44" t="str">
        <f aca="false">IF(AND(B263="",C263="",F263=""),"",IF(C263="","⚠ Pick item",IF(D263="?","⚠ Code not in Item Master",IF(B263="","⚠ Enter date",IF(OR(E263="",N(F263)&lt;=0),"⚠ Type / quantity missing",IF(AND(E263="In",G263=""),"⚠ Enter purchase rate",IF(OR(B263&lt;Setup!$C$6,B263&gt;Setup!$C$7),"Outside period",IF(K263&lt;0,"⚠ Stock goes negative","✔ OK"))))))))</f>
        <v/>
      </c>
      <c r="M263" s="9" t="str">
        <f aca="false">IF(OR(C263="",B263=""),"",B263+ROW()/1000000)</f>
        <v/>
      </c>
      <c r="N263" s="9" t="str">
        <f aca="false">IF(AND(E263="In",M263&lt;&gt;""),SUMIFS($F$7:$F$506,$C$7:$C$506,C263,$E$7:$E$506,"In",$M$7:$M$506,"&gt;"&amp;M263),"")</f>
        <v/>
      </c>
      <c r="O263" s="9" t="str">
        <f aca="false">IF(N263="","",IFERROR(INDEX('Item Master'!$K$6:$K$105,MATCH(C263,'Item Master'!$A$6:$A$105,0)),0))</f>
        <v/>
      </c>
      <c r="P263" s="9" t="n">
        <f aca="false">IF(N263="",0,MAX(0,MIN(N(F263),O263-N263))*N(G263))</f>
        <v>0</v>
      </c>
      <c r="Q263" s="9" t="str">
        <f aca="false">IF(AND(C263&lt;&gt;"",C263='Stock Ledger'!$C$4),M263,"")</f>
        <v/>
      </c>
    </row>
    <row r="264" customFormat="false" ht="15" hidden="false" customHeight="false" outlineLevel="0" collapsed="false">
      <c r="A264" s="45" t="str">
        <f aca="false">IF(C264="","",ROW()-6)</f>
        <v/>
      </c>
      <c r="B264" s="85"/>
      <c r="C264" s="80"/>
      <c r="D264" s="47" t="str">
        <f aca="false">IF(C264="","",IFERROR(INDEX('Item Master'!$B$6:$B$105,MATCH(C264,'Item Master'!$A$6:$A$105,0)),"?"))</f>
        <v/>
      </c>
      <c r="E264" s="82"/>
      <c r="F264" s="83"/>
      <c r="G264" s="84"/>
      <c r="H264" s="81"/>
      <c r="I264" s="80"/>
      <c r="J264" s="41" t="str">
        <f aca="false">IF(OR(C264="",G264=""),"",N(F264)*N(G264))</f>
        <v/>
      </c>
      <c r="K264" s="48" t="str">
        <f aca="false">IF(M264="","",N(IFERROR(INDEX('Item Master'!$E$6:$E$105,MATCH(C264,'Item Master'!$A$6:$A$105,0)),0))+SUMIFS($F$7:$F$506,$C$7:$C$506,C264,$E$7:$E$506,"In",$M$7:$M$506,"&lt;="&amp;M264)-SUMIFS($F$7:$F$506,$C$7:$C$506,C264,$E$7:$E$506,"Out",$M$7:$M$506,"&lt;="&amp;M264))</f>
        <v/>
      </c>
      <c r="L264" s="44" t="str">
        <f aca="false">IF(AND(B264="",C264="",F264=""),"",IF(C264="","⚠ Pick item",IF(D264="?","⚠ Code not in Item Master",IF(B264="","⚠ Enter date",IF(OR(E264="",N(F264)&lt;=0),"⚠ Type / quantity missing",IF(AND(E264="In",G264=""),"⚠ Enter purchase rate",IF(OR(B264&lt;Setup!$C$6,B264&gt;Setup!$C$7),"Outside period",IF(K264&lt;0,"⚠ Stock goes negative","✔ OK"))))))))</f>
        <v/>
      </c>
      <c r="M264" s="9" t="str">
        <f aca="false">IF(OR(C264="",B264=""),"",B264+ROW()/1000000)</f>
        <v/>
      </c>
      <c r="N264" s="9" t="str">
        <f aca="false">IF(AND(E264="In",M264&lt;&gt;""),SUMIFS($F$7:$F$506,$C$7:$C$506,C264,$E$7:$E$506,"In",$M$7:$M$506,"&gt;"&amp;M264),"")</f>
        <v/>
      </c>
      <c r="O264" s="9" t="str">
        <f aca="false">IF(N264="","",IFERROR(INDEX('Item Master'!$K$6:$K$105,MATCH(C264,'Item Master'!$A$6:$A$105,0)),0))</f>
        <v/>
      </c>
      <c r="P264" s="9" t="n">
        <f aca="false">IF(N264="",0,MAX(0,MIN(N(F264),O264-N264))*N(G264))</f>
        <v>0</v>
      </c>
      <c r="Q264" s="9" t="str">
        <f aca="false">IF(AND(C264&lt;&gt;"",C264='Stock Ledger'!$C$4),M264,"")</f>
        <v/>
      </c>
    </row>
    <row r="265" customFormat="false" ht="15" hidden="false" customHeight="false" outlineLevel="0" collapsed="false">
      <c r="A265" s="45" t="str">
        <f aca="false">IF(C265="","",ROW()-6)</f>
        <v/>
      </c>
      <c r="B265" s="85"/>
      <c r="C265" s="80"/>
      <c r="D265" s="47" t="str">
        <f aca="false">IF(C265="","",IFERROR(INDEX('Item Master'!$B$6:$B$105,MATCH(C265,'Item Master'!$A$6:$A$105,0)),"?"))</f>
        <v/>
      </c>
      <c r="E265" s="82"/>
      <c r="F265" s="83"/>
      <c r="G265" s="84"/>
      <c r="H265" s="81"/>
      <c r="I265" s="80"/>
      <c r="J265" s="41" t="str">
        <f aca="false">IF(OR(C265="",G265=""),"",N(F265)*N(G265))</f>
        <v/>
      </c>
      <c r="K265" s="48" t="str">
        <f aca="false">IF(M265="","",N(IFERROR(INDEX('Item Master'!$E$6:$E$105,MATCH(C265,'Item Master'!$A$6:$A$105,0)),0))+SUMIFS($F$7:$F$506,$C$7:$C$506,C265,$E$7:$E$506,"In",$M$7:$M$506,"&lt;="&amp;M265)-SUMIFS($F$7:$F$506,$C$7:$C$506,C265,$E$7:$E$506,"Out",$M$7:$M$506,"&lt;="&amp;M265))</f>
        <v/>
      </c>
      <c r="L265" s="44" t="str">
        <f aca="false">IF(AND(B265="",C265="",F265=""),"",IF(C265="","⚠ Pick item",IF(D265="?","⚠ Code not in Item Master",IF(B265="","⚠ Enter date",IF(OR(E265="",N(F265)&lt;=0),"⚠ Type / quantity missing",IF(AND(E265="In",G265=""),"⚠ Enter purchase rate",IF(OR(B265&lt;Setup!$C$6,B265&gt;Setup!$C$7),"Outside period",IF(K265&lt;0,"⚠ Stock goes negative","✔ OK"))))))))</f>
        <v/>
      </c>
      <c r="M265" s="9" t="str">
        <f aca="false">IF(OR(C265="",B265=""),"",B265+ROW()/1000000)</f>
        <v/>
      </c>
      <c r="N265" s="9" t="str">
        <f aca="false">IF(AND(E265="In",M265&lt;&gt;""),SUMIFS($F$7:$F$506,$C$7:$C$506,C265,$E$7:$E$506,"In",$M$7:$M$506,"&gt;"&amp;M265),"")</f>
        <v/>
      </c>
      <c r="O265" s="9" t="str">
        <f aca="false">IF(N265="","",IFERROR(INDEX('Item Master'!$K$6:$K$105,MATCH(C265,'Item Master'!$A$6:$A$105,0)),0))</f>
        <v/>
      </c>
      <c r="P265" s="9" t="n">
        <f aca="false">IF(N265="",0,MAX(0,MIN(N(F265),O265-N265))*N(G265))</f>
        <v>0</v>
      </c>
      <c r="Q265" s="9" t="str">
        <f aca="false">IF(AND(C265&lt;&gt;"",C265='Stock Ledger'!$C$4),M265,"")</f>
        <v/>
      </c>
    </row>
    <row r="266" customFormat="false" ht="15" hidden="false" customHeight="false" outlineLevel="0" collapsed="false">
      <c r="A266" s="45" t="str">
        <f aca="false">IF(C266="","",ROW()-6)</f>
        <v/>
      </c>
      <c r="B266" s="85"/>
      <c r="C266" s="80"/>
      <c r="D266" s="47" t="str">
        <f aca="false">IF(C266="","",IFERROR(INDEX('Item Master'!$B$6:$B$105,MATCH(C266,'Item Master'!$A$6:$A$105,0)),"?"))</f>
        <v/>
      </c>
      <c r="E266" s="82"/>
      <c r="F266" s="83"/>
      <c r="G266" s="84"/>
      <c r="H266" s="81"/>
      <c r="I266" s="80"/>
      <c r="J266" s="41" t="str">
        <f aca="false">IF(OR(C266="",G266=""),"",N(F266)*N(G266))</f>
        <v/>
      </c>
      <c r="K266" s="48" t="str">
        <f aca="false">IF(M266="","",N(IFERROR(INDEX('Item Master'!$E$6:$E$105,MATCH(C266,'Item Master'!$A$6:$A$105,0)),0))+SUMIFS($F$7:$F$506,$C$7:$C$506,C266,$E$7:$E$506,"In",$M$7:$M$506,"&lt;="&amp;M266)-SUMIFS($F$7:$F$506,$C$7:$C$506,C266,$E$7:$E$506,"Out",$M$7:$M$506,"&lt;="&amp;M266))</f>
        <v/>
      </c>
      <c r="L266" s="44" t="str">
        <f aca="false">IF(AND(B266="",C266="",F266=""),"",IF(C266="","⚠ Pick item",IF(D266="?","⚠ Code not in Item Master",IF(B266="","⚠ Enter date",IF(OR(E266="",N(F266)&lt;=0),"⚠ Type / quantity missing",IF(AND(E266="In",G266=""),"⚠ Enter purchase rate",IF(OR(B266&lt;Setup!$C$6,B266&gt;Setup!$C$7),"Outside period",IF(K266&lt;0,"⚠ Stock goes negative","✔ OK"))))))))</f>
        <v/>
      </c>
      <c r="M266" s="9" t="str">
        <f aca="false">IF(OR(C266="",B266=""),"",B266+ROW()/1000000)</f>
        <v/>
      </c>
      <c r="N266" s="9" t="str">
        <f aca="false">IF(AND(E266="In",M266&lt;&gt;""),SUMIFS($F$7:$F$506,$C$7:$C$506,C266,$E$7:$E$506,"In",$M$7:$M$506,"&gt;"&amp;M266),"")</f>
        <v/>
      </c>
      <c r="O266" s="9" t="str">
        <f aca="false">IF(N266="","",IFERROR(INDEX('Item Master'!$K$6:$K$105,MATCH(C266,'Item Master'!$A$6:$A$105,0)),0))</f>
        <v/>
      </c>
      <c r="P266" s="9" t="n">
        <f aca="false">IF(N266="",0,MAX(0,MIN(N(F266),O266-N266))*N(G266))</f>
        <v>0</v>
      </c>
      <c r="Q266" s="9" t="str">
        <f aca="false">IF(AND(C266&lt;&gt;"",C266='Stock Ledger'!$C$4),M266,"")</f>
        <v/>
      </c>
    </row>
    <row r="267" customFormat="false" ht="15" hidden="false" customHeight="false" outlineLevel="0" collapsed="false">
      <c r="A267" s="45" t="str">
        <f aca="false">IF(C267="","",ROW()-6)</f>
        <v/>
      </c>
      <c r="B267" s="85"/>
      <c r="C267" s="80"/>
      <c r="D267" s="47" t="str">
        <f aca="false">IF(C267="","",IFERROR(INDEX('Item Master'!$B$6:$B$105,MATCH(C267,'Item Master'!$A$6:$A$105,0)),"?"))</f>
        <v/>
      </c>
      <c r="E267" s="82"/>
      <c r="F267" s="83"/>
      <c r="G267" s="84"/>
      <c r="H267" s="81"/>
      <c r="I267" s="80"/>
      <c r="J267" s="41" t="str">
        <f aca="false">IF(OR(C267="",G267=""),"",N(F267)*N(G267))</f>
        <v/>
      </c>
      <c r="K267" s="48" t="str">
        <f aca="false">IF(M267="","",N(IFERROR(INDEX('Item Master'!$E$6:$E$105,MATCH(C267,'Item Master'!$A$6:$A$105,0)),0))+SUMIFS($F$7:$F$506,$C$7:$C$506,C267,$E$7:$E$506,"In",$M$7:$M$506,"&lt;="&amp;M267)-SUMIFS($F$7:$F$506,$C$7:$C$506,C267,$E$7:$E$506,"Out",$M$7:$M$506,"&lt;="&amp;M267))</f>
        <v/>
      </c>
      <c r="L267" s="44" t="str">
        <f aca="false">IF(AND(B267="",C267="",F267=""),"",IF(C267="","⚠ Pick item",IF(D267="?","⚠ Code not in Item Master",IF(B267="","⚠ Enter date",IF(OR(E267="",N(F267)&lt;=0),"⚠ Type / quantity missing",IF(AND(E267="In",G267=""),"⚠ Enter purchase rate",IF(OR(B267&lt;Setup!$C$6,B267&gt;Setup!$C$7),"Outside period",IF(K267&lt;0,"⚠ Stock goes negative","✔ OK"))))))))</f>
        <v/>
      </c>
      <c r="M267" s="9" t="str">
        <f aca="false">IF(OR(C267="",B267=""),"",B267+ROW()/1000000)</f>
        <v/>
      </c>
      <c r="N267" s="9" t="str">
        <f aca="false">IF(AND(E267="In",M267&lt;&gt;""),SUMIFS($F$7:$F$506,$C$7:$C$506,C267,$E$7:$E$506,"In",$M$7:$M$506,"&gt;"&amp;M267),"")</f>
        <v/>
      </c>
      <c r="O267" s="9" t="str">
        <f aca="false">IF(N267="","",IFERROR(INDEX('Item Master'!$K$6:$K$105,MATCH(C267,'Item Master'!$A$6:$A$105,0)),0))</f>
        <v/>
      </c>
      <c r="P267" s="9" t="n">
        <f aca="false">IF(N267="",0,MAX(0,MIN(N(F267),O267-N267))*N(G267))</f>
        <v>0</v>
      </c>
      <c r="Q267" s="9" t="str">
        <f aca="false">IF(AND(C267&lt;&gt;"",C267='Stock Ledger'!$C$4),M267,"")</f>
        <v/>
      </c>
    </row>
    <row r="268" customFormat="false" ht="15" hidden="false" customHeight="false" outlineLevel="0" collapsed="false">
      <c r="A268" s="45" t="str">
        <f aca="false">IF(C268="","",ROW()-6)</f>
        <v/>
      </c>
      <c r="B268" s="85"/>
      <c r="C268" s="80"/>
      <c r="D268" s="47" t="str">
        <f aca="false">IF(C268="","",IFERROR(INDEX('Item Master'!$B$6:$B$105,MATCH(C268,'Item Master'!$A$6:$A$105,0)),"?"))</f>
        <v/>
      </c>
      <c r="E268" s="82"/>
      <c r="F268" s="83"/>
      <c r="G268" s="84"/>
      <c r="H268" s="81"/>
      <c r="I268" s="80"/>
      <c r="J268" s="41" t="str">
        <f aca="false">IF(OR(C268="",G268=""),"",N(F268)*N(G268))</f>
        <v/>
      </c>
      <c r="K268" s="48" t="str">
        <f aca="false">IF(M268="","",N(IFERROR(INDEX('Item Master'!$E$6:$E$105,MATCH(C268,'Item Master'!$A$6:$A$105,0)),0))+SUMIFS($F$7:$F$506,$C$7:$C$506,C268,$E$7:$E$506,"In",$M$7:$M$506,"&lt;="&amp;M268)-SUMIFS($F$7:$F$506,$C$7:$C$506,C268,$E$7:$E$506,"Out",$M$7:$M$506,"&lt;="&amp;M268))</f>
        <v/>
      </c>
      <c r="L268" s="44" t="str">
        <f aca="false">IF(AND(B268="",C268="",F268=""),"",IF(C268="","⚠ Pick item",IF(D268="?","⚠ Code not in Item Master",IF(B268="","⚠ Enter date",IF(OR(E268="",N(F268)&lt;=0),"⚠ Type / quantity missing",IF(AND(E268="In",G268=""),"⚠ Enter purchase rate",IF(OR(B268&lt;Setup!$C$6,B268&gt;Setup!$C$7),"Outside period",IF(K268&lt;0,"⚠ Stock goes negative","✔ OK"))))))))</f>
        <v/>
      </c>
      <c r="M268" s="9" t="str">
        <f aca="false">IF(OR(C268="",B268=""),"",B268+ROW()/1000000)</f>
        <v/>
      </c>
      <c r="N268" s="9" t="str">
        <f aca="false">IF(AND(E268="In",M268&lt;&gt;""),SUMIFS($F$7:$F$506,$C$7:$C$506,C268,$E$7:$E$506,"In",$M$7:$M$506,"&gt;"&amp;M268),"")</f>
        <v/>
      </c>
      <c r="O268" s="9" t="str">
        <f aca="false">IF(N268="","",IFERROR(INDEX('Item Master'!$K$6:$K$105,MATCH(C268,'Item Master'!$A$6:$A$105,0)),0))</f>
        <v/>
      </c>
      <c r="P268" s="9" t="n">
        <f aca="false">IF(N268="",0,MAX(0,MIN(N(F268),O268-N268))*N(G268))</f>
        <v>0</v>
      </c>
      <c r="Q268" s="9" t="str">
        <f aca="false">IF(AND(C268&lt;&gt;"",C268='Stock Ledger'!$C$4),M268,"")</f>
        <v/>
      </c>
    </row>
    <row r="269" customFormat="false" ht="15" hidden="false" customHeight="false" outlineLevel="0" collapsed="false">
      <c r="A269" s="45" t="str">
        <f aca="false">IF(C269="","",ROW()-6)</f>
        <v/>
      </c>
      <c r="B269" s="85"/>
      <c r="C269" s="80"/>
      <c r="D269" s="47" t="str">
        <f aca="false">IF(C269="","",IFERROR(INDEX('Item Master'!$B$6:$B$105,MATCH(C269,'Item Master'!$A$6:$A$105,0)),"?"))</f>
        <v/>
      </c>
      <c r="E269" s="82"/>
      <c r="F269" s="83"/>
      <c r="G269" s="84"/>
      <c r="H269" s="81"/>
      <c r="I269" s="80"/>
      <c r="J269" s="41" t="str">
        <f aca="false">IF(OR(C269="",G269=""),"",N(F269)*N(G269))</f>
        <v/>
      </c>
      <c r="K269" s="48" t="str">
        <f aca="false">IF(M269="","",N(IFERROR(INDEX('Item Master'!$E$6:$E$105,MATCH(C269,'Item Master'!$A$6:$A$105,0)),0))+SUMIFS($F$7:$F$506,$C$7:$C$506,C269,$E$7:$E$506,"In",$M$7:$M$506,"&lt;="&amp;M269)-SUMIFS($F$7:$F$506,$C$7:$C$506,C269,$E$7:$E$506,"Out",$M$7:$M$506,"&lt;="&amp;M269))</f>
        <v/>
      </c>
      <c r="L269" s="44" t="str">
        <f aca="false">IF(AND(B269="",C269="",F269=""),"",IF(C269="","⚠ Pick item",IF(D269="?","⚠ Code not in Item Master",IF(B269="","⚠ Enter date",IF(OR(E269="",N(F269)&lt;=0),"⚠ Type / quantity missing",IF(AND(E269="In",G269=""),"⚠ Enter purchase rate",IF(OR(B269&lt;Setup!$C$6,B269&gt;Setup!$C$7),"Outside period",IF(K269&lt;0,"⚠ Stock goes negative","✔ OK"))))))))</f>
        <v/>
      </c>
      <c r="M269" s="9" t="str">
        <f aca="false">IF(OR(C269="",B269=""),"",B269+ROW()/1000000)</f>
        <v/>
      </c>
      <c r="N269" s="9" t="str">
        <f aca="false">IF(AND(E269="In",M269&lt;&gt;""),SUMIFS($F$7:$F$506,$C$7:$C$506,C269,$E$7:$E$506,"In",$M$7:$M$506,"&gt;"&amp;M269),"")</f>
        <v/>
      </c>
      <c r="O269" s="9" t="str">
        <f aca="false">IF(N269="","",IFERROR(INDEX('Item Master'!$K$6:$K$105,MATCH(C269,'Item Master'!$A$6:$A$105,0)),0))</f>
        <v/>
      </c>
      <c r="P269" s="9" t="n">
        <f aca="false">IF(N269="",0,MAX(0,MIN(N(F269),O269-N269))*N(G269))</f>
        <v>0</v>
      </c>
      <c r="Q269" s="9" t="str">
        <f aca="false">IF(AND(C269&lt;&gt;"",C269='Stock Ledger'!$C$4),M269,"")</f>
        <v/>
      </c>
    </row>
    <row r="270" customFormat="false" ht="15" hidden="false" customHeight="false" outlineLevel="0" collapsed="false">
      <c r="A270" s="45" t="str">
        <f aca="false">IF(C270="","",ROW()-6)</f>
        <v/>
      </c>
      <c r="B270" s="85"/>
      <c r="C270" s="80"/>
      <c r="D270" s="47" t="str">
        <f aca="false">IF(C270="","",IFERROR(INDEX('Item Master'!$B$6:$B$105,MATCH(C270,'Item Master'!$A$6:$A$105,0)),"?"))</f>
        <v/>
      </c>
      <c r="E270" s="82"/>
      <c r="F270" s="83"/>
      <c r="G270" s="84"/>
      <c r="H270" s="81"/>
      <c r="I270" s="80"/>
      <c r="J270" s="41" t="str">
        <f aca="false">IF(OR(C270="",G270=""),"",N(F270)*N(G270))</f>
        <v/>
      </c>
      <c r="K270" s="48" t="str">
        <f aca="false">IF(M270="","",N(IFERROR(INDEX('Item Master'!$E$6:$E$105,MATCH(C270,'Item Master'!$A$6:$A$105,0)),0))+SUMIFS($F$7:$F$506,$C$7:$C$506,C270,$E$7:$E$506,"In",$M$7:$M$506,"&lt;="&amp;M270)-SUMIFS($F$7:$F$506,$C$7:$C$506,C270,$E$7:$E$506,"Out",$M$7:$M$506,"&lt;="&amp;M270))</f>
        <v/>
      </c>
      <c r="L270" s="44" t="str">
        <f aca="false">IF(AND(B270="",C270="",F270=""),"",IF(C270="","⚠ Pick item",IF(D270="?","⚠ Code not in Item Master",IF(B270="","⚠ Enter date",IF(OR(E270="",N(F270)&lt;=0),"⚠ Type / quantity missing",IF(AND(E270="In",G270=""),"⚠ Enter purchase rate",IF(OR(B270&lt;Setup!$C$6,B270&gt;Setup!$C$7),"Outside period",IF(K270&lt;0,"⚠ Stock goes negative","✔ OK"))))))))</f>
        <v/>
      </c>
      <c r="M270" s="9" t="str">
        <f aca="false">IF(OR(C270="",B270=""),"",B270+ROW()/1000000)</f>
        <v/>
      </c>
      <c r="N270" s="9" t="str">
        <f aca="false">IF(AND(E270="In",M270&lt;&gt;""),SUMIFS($F$7:$F$506,$C$7:$C$506,C270,$E$7:$E$506,"In",$M$7:$M$506,"&gt;"&amp;M270),"")</f>
        <v/>
      </c>
      <c r="O270" s="9" t="str">
        <f aca="false">IF(N270="","",IFERROR(INDEX('Item Master'!$K$6:$K$105,MATCH(C270,'Item Master'!$A$6:$A$105,0)),0))</f>
        <v/>
      </c>
      <c r="P270" s="9" t="n">
        <f aca="false">IF(N270="",0,MAX(0,MIN(N(F270),O270-N270))*N(G270))</f>
        <v>0</v>
      </c>
      <c r="Q270" s="9" t="str">
        <f aca="false">IF(AND(C270&lt;&gt;"",C270='Stock Ledger'!$C$4),M270,"")</f>
        <v/>
      </c>
    </row>
    <row r="271" customFormat="false" ht="15" hidden="false" customHeight="false" outlineLevel="0" collapsed="false">
      <c r="A271" s="45" t="str">
        <f aca="false">IF(C271="","",ROW()-6)</f>
        <v/>
      </c>
      <c r="B271" s="85"/>
      <c r="C271" s="80"/>
      <c r="D271" s="47" t="str">
        <f aca="false">IF(C271="","",IFERROR(INDEX('Item Master'!$B$6:$B$105,MATCH(C271,'Item Master'!$A$6:$A$105,0)),"?"))</f>
        <v/>
      </c>
      <c r="E271" s="82"/>
      <c r="F271" s="83"/>
      <c r="G271" s="84"/>
      <c r="H271" s="81"/>
      <c r="I271" s="80"/>
      <c r="J271" s="41" t="str">
        <f aca="false">IF(OR(C271="",G271=""),"",N(F271)*N(G271))</f>
        <v/>
      </c>
      <c r="K271" s="48" t="str">
        <f aca="false">IF(M271="","",N(IFERROR(INDEX('Item Master'!$E$6:$E$105,MATCH(C271,'Item Master'!$A$6:$A$105,0)),0))+SUMIFS($F$7:$F$506,$C$7:$C$506,C271,$E$7:$E$506,"In",$M$7:$M$506,"&lt;="&amp;M271)-SUMIFS($F$7:$F$506,$C$7:$C$506,C271,$E$7:$E$506,"Out",$M$7:$M$506,"&lt;="&amp;M271))</f>
        <v/>
      </c>
      <c r="L271" s="44" t="str">
        <f aca="false">IF(AND(B271="",C271="",F271=""),"",IF(C271="","⚠ Pick item",IF(D271="?","⚠ Code not in Item Master",IF(B271="","⚠ Enter date",IF(OR(E271="",N(F271)&lt;=0),"⚠ Type / quantity missing",IF(AND(E271="In",G271=""),"⚠ Enter purchase rate",IF(OR(B271&lt;Setup!$C$6,B271&gt;Setup!$C$7),"Outside period",IF(K271&lt;0,"⚠ Stock goes negative","✔ OK"))))))))</f>
        <v/>
      </c>
      <c r="M271" s="9" t="str">
        <f aca="false">IF(OR(C271="",B271=""),"",B271+ROW()/1000000)</f>
        <v/>
      </c>
      <c r="N271" s="9" t="str">
        <f aca="false">IF(AND(E271="In",M271&lt;&gt;""),SUMIFS($F$7:$F$506,$C$7:$C$506,C271,$E$7:$E$506,"In",$M$7:$M$506,"&gt;"&amp;M271),"")</f>
        <v/>
      </c>
      <c r="O271" s="9" t="str">
        <f aca="false">IF(N271="","",IFERROR(INDEX('Item Master'!$K$6:$K$105,MATCH(C271,'Item Master'!$A$6:$A$105,0)),0))</f>
        <v/>
      </c>
      <c r="P271" s="9" t="n">
        <f aca="false">IF(N271="",0,MAX(0,MIN(N(F271),O271-N271))*N(G271))</f>
        <v>0</v>
      </c>
      <c r="Q271" s="9" t="str">
        <f aca="false">IF(AND(C271&lt;&gt;"",C271='Stock Ledger'!$C$4),M271,"")</f>
        <v/>
      </c>
    </row>
    <row r="272" customFormat="false" ht="15" hidden="false" customHeight="false" outlineLevel="0" collapsed="false">
      <c r="A272" s="45" t="str">
        <f aca="false">IF(C272="","",ROW()-6)</f>
        <v/>
      </c>
      <c r="B272" s="85"/>
      <c r="C272" s="80"/>
      <c r="D272" s="47" t="str">
        <f aca="false">IF(C272="","",IFERROR(INDEX('Item Master'!$B$6:$B$105,MATCH(C272,'Item Master'!$A$6:$A$105,0)),"?"))</f>
        <v/>
      </c>
      <c r="E272" s="82"/>
      <c r="F272" s="83"/>
      <c r="G272" s="84"/>
      <c r="H272" s="81"/>
      <c r="I272" s="80"/>
      <c r="J272" s="41" t="str">
        <f aca="false">IF(OR(C272="",G272=""),"",N(F272)*N(G272))</f>
        <v/>
      </c>
      <c r="K272" s="48" t="str">
        <f aca="false">IF(M272="","",N(IFERROR(INDEX('Item Master'!$E$6:$E$105,MATCH(C272,'Item Master'!$A$6:$A$105,0)),0))+SUMIFS($F$7:$F$506,$C$7:$C$506,C272,$E$7:$E$506,"In",$M$7:$M$506,"&lt;="&amp;M272)-SUMIFS($F$7:$F$506,$C$7:$C$506,C272,$E$7:$E$506,"Out",$M$7:$M$506,"&lt;="&amp;M272))</f>
        <v/>
      </c>
      <c r="L272" s="44" t="str">
        <f aca="false">IF(AND(B272="",C272="",F272=""),"",IF(C272="","⚠ Pick item",IF(D272="?","⚠ Code not in Item Master",IF(B272="","⚠ Enter date",IF(OR(E272="",N(F272)&lt;=0),"⚠ Type / quantity missing",IF(AND(E272="In",G272=""),"⚠ Enter purchase rate",IF(OR(B272&lt;Setup!$C$6,B272&gt;Setup!$C$7),"Outside period",IF(K272&lt;0,"⚠ Stock goes negative","✔ OK"))))))))</f>
        <v/>
      </c>
      <c r="M272" s="9" t="str">
        <f aca="false">IF(OR(C272="",B272=""),"",B272+ROW()/1000000)</f>
        <v/>
      </c>
      <c r="N272" s="9" t="str">
        <f aca="false">IF(AND(E272="In",M272&lt;&gt;""),SUMIFS($F$7:$F$506,$C$7:$C$506,C272,$E$7:$E$506,"In",$M$7:$M$506,"&gt;"&amp;M272),"")</f>
        <v/>
      </c>
      <c r="O272" s="9" t="str">
        <f aca="false">IF(N272="","",IFERROR(INDEX('Item Master'!$K$6:$K$105,MATCH(C272,'Item Master'!$A$6:$A$105,0)),0))</f>
        <v/>
      </c>
      <c r="P272" s="9" t="n">
        <f aca="false">IF(N272="",0,MAX(0,MIN(N(F272),O272-N272))*N(G272))</f>
        <v>0</v>
      </c>
      <c r="Q272" s="9" t="str">
        <f aca="false">IF(AND(C272&lt;&gt;"",C272='Stock Ledger'!$C$4),M272,"")</f>
        <v/>
      </c>
    </row>
    <row r="273" customFormat="false" ht="15" hidden="false" customHeight="false" outlineLevel="0" collapsed="false">
      <c r="A273" s="45" t="str">
        <f aca="false">IF(C273="","",ROW()-6)</f>
        <v/>
      </c>
      <c r="B273" s="85"/>
      <c r="C273" s="80"/>
      <c r="D273" s="47" t="str">
        <f aca="false">IF(C273="","",IFERROR(INDEX('Item Master'!$B$6:$B$105,MATCH(C273,'Item Master'!$A$6:$A$105,0)),"?"))</f>
        <v/>
      </c>
      <c r="E273" s="82"/>
      <c r="F273" s="83"/>
      <c r="G273" s="84"/>
      <c r="H273" s="81"/>
      <c r="I273" s="80"/>
      <c r="J273" s="41" t="str">
        <f aca="false">IF(OR(C273="",G273=""),"",N(F273)*N(G273))</f>
        <v/>
      </c>
      <c r="K273" s="48" t="str">
        <f aca="false">IF(M273="","",N(IFERROR(INDEX('Item Master'!$E$6:$E$105,MATCH(C273,'Item Master'!$A$6:$A$105,0)),0))+SUMIFS($F$7:$F$506,$C$7:$C$506,C273,$E$7:$E$506,"In",$M$7:$M$506,"&lt;="&amp;M273)-SUMIFS($F$7:$F$506,$C$7:$C$506,C273,$E$7:$E$506,"Out",$M$7:$M$506,"&lt;="&amp;M273))</f>
        <v/>
      </c>
      <c r="L273" s="44" t="str">
        <f aca="false">IF(AND(B273="",C273="",F273=""),"",IF(C273="","⚠ Pick item",IF(D273="?","⚠ Code not in Item Master",IF(B273="","⚠ Enter date",IF(OR(E273="",N(F273)&lt;=0),"⚠ Type / quantity missing",IF(AND(E273="In",G273=""),"⚠ Enter purchase rate",IF(OR(B273&lt;Setup!$C$6,B273&gt;Setup!$C$7),"Outside period",IF(K273&lt;0,"⚠ Stock goes negative","✔ OK"))))))))</f>
        <v/>
      </c>
      <c r="M273" s="9" t="str">
        <f aca="false">IF(OR(C273="",B273=""),"",B273+ROW()/1000000)</f>
        <v/>
      </c>
      <c r="N273" s="9" t="str">
        <f aca="false">IF(AND(E273="In",M273&lt;&gt;""),SUMIFS($F$7:$F$506,$C$7:$C$506,C273,$E$7:$E$506,"In",$M$7:$M$506,"&gt;"&amp;M273),"")</f>
        <v/>
      </c>
      <c r="O273" s="9" t="str">
        <f aca="false">IF(N273="","",IFERROR(INDEX('Item Master'!$K$6:$K$105,MATCH(C273,'Item Master'!$A$6:$A$105,0)),0))</f>
        <v/>
      </c>
      <c r="P273" s="9" t="n">
        <f aca="false">IF(N273="",0,MAX(0,MIN(N(F273),O273-N273))*N(G273))</f>
        <v>0</v>
      </c>
      <c r="Q273" s="9" t="str">
        <f aca="false">IF(AND(C273&lt;&gt;"",C273='Stock Ledger'!$C$4),M273,"")</f>
        <v/>
      </c>
    </row>
    <row r="274" customFormat="false" ht="15" hidden="false" customHeight="false" outlineLevel="0" collapsed="false">
      <c r="A274" s="45" t="str">
        <f aca="false">IF(C274="","",ROW()-6)</f>
        <v/>
      </c>
      <c r="B274" s="85"/>
      <c r="C274" s="80"/>
      <c r="D274" s="47" t="str">
        <f aca="false">IF(C274="","",IFERROR(INDEX('Item Master'!$B$6:$B$105,MATCH(C274,'Item Master'!$A$6:$A$105,0)),"?"))</f>
        <v/>
      </c>
      <c r="E274" s="82"/>
      <c r="F274" s="83"/>
      <c r="G274" s="84"/>
      <c r="H274" s="81"/>
      <c r="I274" s="80"/>
      <c r="J274" s="41" t="str">
        <f aca="false">IF(OR(C274="",G274=""),"",N(F274)*N(G274))</f>
        <v/>
      </c>
      <c r="K274" s="48" t="str">
        <f aca="false">IF(M274="","",N(IFERROR(INDEX('Item Master'!$E$6:$E$105,MATCH(C274,'Item Master'!$A$6:$A$105,0)),0))+SUMIFS($F$7:$F$506,$C$7:$C$506,C274,$E$7:$E$506,"In",$M$7:$M$506,"&lt;="&amp;M274)-SUMIFS($F$7:$F$506,$C$7:$C$506,C274,$E$7:$E$506,"Out",$M$7:$M$506,"&lt;="&amp;M274))</f>
        <v/>
      </c>
      <c r="L274" s="44" t="str">
        <f aca="false">IF(AND(B274="",C274="",F274=""),"",IF(C274="","⚠ Pick item",IF(D274="?","⚠ Code not in Item Master",IF(B274="","⚠ Enter date",IF(OR(E274="",N(F274)&lt;=0),"⚠ Type / quantity missing",IF(AND(E274="In",G274=""),"⚠ Enter purchase rate",IF(OR(B274&lt;Setup!$C$6,B274&gt;Setup!$C$7),"Outside period",IF(K274&lt;0,"⚠ Stock goes negative","✔ OK"))))))))</f>
        <v/>
      </c>
      <c r="M274" s="9" t="str">
        <f aca="false">IF(OR(C274="",B274=""),"",B274+ROW()/1000000)</f>
        <v/>
      </c>
      <c r="N274" s="9" t="str">
        <f aca="false">IF(AND(E274="In",M274&lt;&gt;""),SUMIFS($F$7:$F$506,$C$7:$C$506,C274,$E$7:$E$506,"In",$M$7:$M$506,"&gt;"&amp;M274),"")</f>
        <v/>
      </c>
      <c r="O274" s="9" t="str">
        <f aca="false">IF(N274="","",IFERROR(INDEX('Item Master'!$K$6:$K$105,MATCH(C274,'Item Master'!$A$6:$A$105,0)),0))</f>
        <v/>
      </c>
      <c r="P274" s="9" t="n">
        <f aca="false">IF(N274="",0,MAX(0,MIN(N(F274),O274-N274))*N(G274))</f>
        <v>0</v>
      </c>
      <c r="Q274" s="9" t="str">
        <f aca="false">IF(AND(C274&lt;&gt;"",C274='Stock Ledger'!$C$4),M274,"")</f>
        <v/>
      </c>
    </row>
    <row r="275" customFormat="false" ht="15" hidden="false" customHeight="false" outlineLevel="0" collapsed="false">
      <c r="A275" s="45" t="str">
        <f aca="false">IF(C275="","",ROW()-6)</f>
        <v/>
      </c>
      <c r="B275" s="85"/>
      <c r="C275" s="80"/>
      <c r="D275" s="47" t="str">
        <f aca="false">IF(C275="","",IFERROR(INDEX('Item Master'!$B$6:$B$105,MATCH(C275,'Item Master'!$A$6:$A$105,0)),"?"))</f>
        <v/>
      </c>
      <c r="E275" s="82"/>
      <c r="F275" s="83"/>
      <c r="G275" s="84"/>
      <c r="H275" s="81"/>
      <c r="I275" s="80"/>
      <c r="J275" s="41" t="str">
        <f aca="false">IF(OR(C275="",G275=""),"",N(F275)*N(G275))</f>
        <v/>
      </c>
      <c r="K275" s="48" t="str">
        <f aca="false">IF(M275="","",N(IFERROR(INDEX('Item Master'!$E$6:$E$105,MATCH(C275,'Item Master'!$A$6:$A$105,0)),0))+SUMIFS($F$7:$F$506,$C$7:$C$506,C275,$E$7:$E$506,"In",$M$7:$M$506,"&lt;="&amp;M275)-SUMIFS($F$7:$F$506,$C$7:$C$506,C275,$E$7:$E$506,"Out",$M$7:$M$506,"&lt;="&amp;M275))</f>
        <v/>
      </c>
      <c r="L275" s="44" t="str">
        <f aca="false">IF(AND(B275="",C275="",F275=""),"",IF(C275="","⚠ Pick item",IF(D275="?","⚠ Code not in Item Master",IF(B275="","⚠ Enter date",IF(OR(E275="",N(F275)&lt;=0),"⚠ Type / quantity missing",IF(AND(E275="In",G275=""),"⚠ Enter purchase rate",IF(OR(B275&lt;Setup!$C$6,B275&gt;Setup!$C$7),"Outside period",IF(K275&lt;0,"⚠ Stock goes negative","✔ OK"))))))))</f>
        <v/>
      </c>
      <c r="M275" s="9" t="str">
        <f aca="false">IF(OR(C275="",B275=""),"",B275+ROW()/1000000)</f>
        <v/>
      </c>
      <c r="N275" s="9" t="str">
        <f aca="false">IF(AND(E275="In",M275&lt;&gt;""),SUMIFS($F$7:$F$506,$C$7:$C$506,C275,$E$7:$E$506,"In",$M$7:$M$506,"&gt;"&amp;M275),"")</f>
        <v/>
      </c>
      <c r="O275" s="9" t="str">
        <f aca="false">IF(N275="","",IFERROR(INDEX('Item Master'!$K$6:$K$105,MATCH(C275,'Item Master'!$A$6:$A$105,0)),0))</f>
        <v/>
      </c>
      <c r="P275" s="9" t="n">
        <f aca="false">IF(N275="",0,MAX(0,MIN(N(F275),O275-N275))*N(G275))</f>
        <v>0</v>
      </c>
      <c r="Q275" s="9" t="str">
        <f aca="false">IF(AND(C275&lt;&gt;"",C275='Stock Ledger'!$C$4),M275,"")</f>
        <v/>
      </c>
    </row>
    <row r="276" customFormat="false" ht="15" hidden="false" customHeight="false" outlineLevel="0" collapsed="false">
      <c r="A276" s="45" t="str">
        <f aca="false">IF(C276="","",ROW()-6)</f>
        <v/>
      </c>
      <c r="B276" s="85"/>
      <c r="C276" s="80"/>
      <c r="D276" s="47" t="str">
        <f aca="false">IF(C276="","",IFERROR(INDEX('Item Master'!$B$6:$B$105,MATCH(C276,'Item Master'!$A$6:$A$105,0)),"?"))</f>
        <v/>
      </c>
      <c r="E276" s="82"/>
      <c r="F276" s="83"/>
      <c r="G276" s="84"/>
      <c r="H276" s="81"/>
      <c r="I276" s="80"/>
      <c r="J276" s="41" t="str">
        <f aca="false">IF(OR(C276="",G276=""),"",N(F276)*N(G276))</f>
        <v/>
      </c>
      <c r="K276" s="48" t="str">
        <f aca="false">IF(M276="","",N(IFERROR(INDEX('Item Master'!$E$6:$E$105,MATCH(C276,'Item Master'!$A$6:$A$105,0)),0))+SUMIFS($F$7:$F$506,$C$7:$C$506,C276,$E$7:$E$506,"In",$M$7:$M$506,"&lt;="&amp;M276)-SUMIFS($F$7:$F$506,$C$7:$C$506,C276,$E$7:$E$506,"Out",$M$7:$M$506,"&lt;="&amp;M276))</f>
        <v/>
      </c>
      <c r="L276" s="44" t="str">
        <f aca="false">IF(AND(B276="",C276="",F276=""),"",IF(C276="","⚠ Pick item",IF(D276="?","⚠ Code not in Item Master",IF(B276="","⚠ Enter date",IF(OR(E276="",N(F276)&lt;=0),"⚠ Type / quantity missing",IF(AND(E276="In",G276=""),"⚠ Enter purchase rate",IF(OR(B276&lt;Setup!$C$6,B276&gt;Setup!$C$7),"Outside period",IF(K276&lt;0,"⚠ Stock goes negative","✔ OK"))))))))</f>
        <v/>
      </c>
      <c r="M276" s="9" t="str">
        <f aca="false">IF(OR(C276="",B276=""),"",B276+ROW()/1000000)</f>
        <v/>
      </c>
      <c r="N276" s="9" t="str">
        <f aca="false">IF(AND(E276="In",M276&lt;&gt;""),SUMIFS($F$7:$F$506,$C$7:$C$506,C276,$E$7:$E$506,"In",$M$7:$M$506,"&gt;"&amp;M276),"")</f>
        <v/>
      </c>
      <c r="O276" s="9" t="str">
        <f aca="false">IF(N276="","",IFERROR(INDEX('Item Master'!$K$6:$K$105,MATCH(C276,'Item Master'!$A$6:$A$105,0)),0))</f>
        <v/>
      </c>
      <c r="P276" s="9" t="n">
        <f aca="false">IF(N276="",0,MAX(0,MIN(N(F276),O276-N276))*N(G276))</f>
        <v>0</v>
      </c>
      <c r="Q276" s="9" t="str">
        <f aca="false">IF(AND(C276&lt;&gt;"",C276='Stock Ledger'!$C$4),M276,"")</f>
        <v/>
      </c>
    </row>
    <row r="277" customFormat="false" ht="15" hidden="false" customHeight="false" outlineLevel="0" collapsed="false">
      <c r="A277" s="45" t="str">
        <f aca="false">IF(C277="","",ROW()-6)</f>
        <v/>
      </c>
      <c r="B277" s="85"/>
      <c r="C277" s="80"/>
      <c r="D277" s="47" t="str">
        <f aca="false">IF(C277="","",IFERROR(INDEX('Item Master'!$B$6:$B$105,MATCH(C277,'Item Master'!$A$6:$A$105,0)),"?"))</f>
        <v/>
      </c>
      <c r="E277" s="82"/>
      <c r="F277" s="83"/>
      <c r="G277" s="84"/>
      <c r="H277" s="81"/>
      <c r="I277" s="80"/>
      <c r="J277" s="41" t="str">
        <f aca="false">IF(OR(C277="",G277=""),"",N(F277)*N(G277))</f>
        <v/>
      </c>
      <c r="K277" s="48" t="str">
        <f aca="false">IF(M277="","",N(IFERROR(INDEX('Item Master'!$E$6:$E$105,MATCH(C277,'Item Master'!$A$6:$A$105,0)),0))+SUMIFS($F$7:$F$506,$C$7:$C$506,C277,$E$7:$E$506,"In",$M$7:$M$506,"&lt;="&amp;M277)-SUMIFS($F$7:$F$506,$C$7:$C$506,C277,$E$7:$E$506,"Out",$M$7:$M$506,"&lt;="&amp;M277))</f>
        <v/>
      </c>
      <c r="L277" s="44" t="str">
        <f aca="false">IF(AND(B277="",C277="",F277=""),"",IF(C277="","⚠ Pick item",IF(D277="?","⚠ Code not in Item Master",IF(B277="","⚠ Enter date",IF(OR(E277="",N(F277)&lt;=0),"⚠ Type / quantity missing",IF(AND(E277="In",G277=""),"⚠ Enter purchase rate",IF(OR(B277&lt;Setup!$C$6,B277&gt;Setup!$C$7),"Outside period",IF(K277&lt;0,"⚠ Stock goes negative","✔ OK"))))))))</f>
        <v/>
      </c>
      <c r="M277" s="9" t="str">
        <f aca="false">IF(OR(C277="",B277=""),"",B277+ROW()/1000000)</f>
        <v/>
      </c>
      <c r="N277" s="9" t="str">
        <f aca="false">IF(AND(E277="In",M277&lt;&gt;""),SUMIFS($F$7:$F$506,$C$7:$C$506,C277,$E$7:$E$506,"In",$M$7:$M$506,"&gt;"&amp;M277),"")</f>
        <v/>
      </c>
      <c r="O277" s="9" t="str">
        <f aca="false">IF(N277="","",IFERROR(INDEX('Item Master'!$K$6:$K$105,MATCH(C277,'Item Master'!$A$6:$A$105,0)),0))</f>
        <v/>
      </c>
      <c r="P277" s="9" t="n">
        <f aca="false">IF(N277="",0,MAX(0,MIN(N(F277),O277-N277))*N(G277))</f>
        <v>0</v>
      </c>
      <c r="Q277" s="9" t="str">
        <f aca="false">IF(AND(C277&lt;&gt;"",C277='Stock Ledger'!$C$4),M277,"")</f>
        <v/>
      </c>
    </row>
    <row r="278" customFormat="false" ht="15" hidden="false" customHeight="false" outlineLevel="0" collapsed="false">
      <c r="A278" s="45" t="str">
        <f aca="false">IF(C278="","",ROW()-6)</f>
        <v/>
      </c>
      <c r="B278" s="85"/>
      <c r="C278" s="80"/>
      <c r="D278" s="47" t="str">
        <f aca="false">IF(C278="","",IFERROR(INDEX('Item Master'!$B$6:$B$105,MATCH(C278,'Item Master'!$A$6:$A$105,0)),"?"))</f>
        <v/>
      </c>
      <c r="E278" s="82"/>
      <c r="F278" s="83"/>
      <c r="G278" s="84"/>
      <c r="H278" s="81"/>
      <c r="I278" s="80"/>
      <c r="J278" s="41" t="str">
        <f aca="false">IF(OR(C278="",G278=""),"",N(F278)*N(G278))</f>
        <v/>
      </c>
      <c r="K278" s="48" t="str">
        <f aca="false">IF(M278="","",N(IFERROR(INDEX('Item Master'!$E$6:$E$105,MATCH(C278,'Item Master'!$A$6:$A$105,0)),0))+SUMIFS($F$7:$F$506,$C$7:$C$506,C278,$E$7:$E$506,"In",$M$7:$M$506,"&lt;="&amp;M278)-SUMIFS($F$7:$F$506,$C$7:$C$506,C278,$E$7:$E$506,"Out",$M$7:$M$506,"&lt;="&amp;M278))</f>
        <v/>
      </c>
      <c r="L278" s="44" t="str">
        <f aca="false">IF(AND(B278="",C278="",F278=""),"",IF(C278="","⚠ Pick item",IF(D278="?","⚠ Code not in Item Master",IF(B278="","⚠ Enter date",IF(OR(E278="",N(F278)&lt;=0),"⚠ Type / quantity missing",IF(AND(E278="In",G278=""),"⚠ Enter purchase rate",IF(OR(B278&lt;Setup!$C$6,B278&gt;Setup!$C$7),"Outside period",IF(K278&lt;0,"⚠ Stock goes negative","✔ OK"))))))))</f>
        <v/>
      </c>
      <c r="M278" s="9" t="str">
        <f aca="false">IF(OR(C278="",B278=""),"",B278+ROW()/1000000)</f>
        <v/>
      </c>
      <c r="N278" s="9" t="str">
        <f aca="false">IF(AND(E278="In",M278&lt;&gt;""),SUMIFS($F$7:$F$506,$C$7:$C$506,C278,$E$7:$E$506,"In",$M$7:$M$506,"&gt;"&amp;M278),"")</f>
        <v/>
      </c>
      <c r="O278" s="9" t="str">
        <f aca="false">IF(N278="","",IFERROR(INDEX('Item Master'!$K$6:$K$105,MATCH(C278,'Item Master'!$A$6:$A$105,0)),0))</f>
        <v/>
      </c>
      <c r="P278" s="9" t="n">
        <f aca="false">IF(N278="",0,MAX(0,MIN(N(F278),O278-N278))*N(G278))</f>
        <v>0</v>
      </c>
      <c r="Q278" s="9" t="str">
        <f aca="false">IF(AND(C278&lt;&gt;"",C278='Stock Ledger'!$C$4),M278,"")</f>
        <v/>
      </c>
    </row>
    <row r="279" customFormat="false" ht="15" hidden="false" customHeight="false" outlineLevel="0" collapsed="false">
      <c r="A279" s="45" t="str">
        <f aca="false">IF(C279="","",ROW()-6)</f>
        <v/>
      </c>
      <c r="B279" s="85"/>
      <c r="C279" s="80"/>
      <c r="D279" s="47" t="str">
        <f aca="false">IF(C279="","",IFERROR(INDEX('Item Master'!$B$6:$B$105,MATCH(C279,'Item Master'!$A$6:$A$105,0)),"?"))</f>
        <v/>
      </c>
      <c r="E279" s="82"/>
      <c r="F279" s="83"/>
      <c r="G279" s="84"/>
      <c r="H279" s="81"/>
      <c r="I279" s="80"/>
      <c r="J279" s="41" t="str">
        <f aca="false">IF(OR(C279="",G279=""),"",N(F279)*N(G279))</f>
        <v/>
      </c>
      <c r="K279" s="48" t="str">
        <f aca="false">IF(M279="","",N(IFERROR(INDEX('Item Master'!$E$6:$E$105,MATCH(C279,'Item Master'!$A$6:$A$105,0)),0))+SUMIFS($F$7:$F$506,$C$7:$C$506,C279,$E$7:$E$506,"In",$M$7:$M$506,"&lt;="&amp;M279)-SUMIFS($F$7:$F$506,$C$7:$C$506,C279,$E$7:$E$506,"Out",$M$7:$M$506,"&lt;="&amp;M279))</f>
        <v/>
      </c>
      <c r="L279" s="44" t="str">
        <f aca="false">IF(AND(B279="",C279="",F279=""),"",IF(C279="","⚠ Pick item",IF(D279="?","⚠ Code not in Item Master",IF(B279="","⚠ Enter date",IF(OR(E279="",N(F279)&lt;=0),"⚠ Type / quantity missing",IF(AND(E279="In",G279=""),"⚠ Enter purchase rate",IF(OR(B279&lt;Setup!$C$6,B279&gt;Setup!$C$7),"Outside period",IF(K279&lt;0,"⚠ Stock goes negative","✔ OK"))))))))</f>
        <v/>
      </c>
      <c r="M279" s="9" t="str">
        <f aca="false">IF(OR(C279="",B279=""),"",B279+ROW()/1000000)</f>
        <v/>
      </c>
      <c r="N279" s="9" t="str">
        <f aca="false">IF(AND(E279="In",M279&lt;&gt;""),SUMIFS($F$7:$F$506,$C$7:$C$506,C279,$E$7:$E$506,"In",$M$7:$M$506,"&gt;"&amp;M279),"")</f>
        <v/>
      </c>
      <c r="O279" s="9" t="str">
        <f aca="false">IF(N279="","",IFERROR(INDEX('Item Master'!$K$6:$K$105,MATCH(C279,'Item Master'!$A$6:$A$105,0)),0))</f>
        <v/>
      </c>
      <c r="P279" s="9" t="n">
        <f aca="false">IF(N279="",0,MAX(0,MIN(N(F279),O279-N279))*N(G279))</f>
        <v>0</v>
      </c>
      <c r="Q279" s="9" t="str">
        <f aca="false">IF(AND(C279&lt;&gt;"",C279='Stock Ledger'!$C$4),M279,"")</f>
        <v/>
      </c>
    </row>
    <row r="280" customFormat="false" ht="15" hidden="false" customHeight="false" outlineLevel="0" collapsed="false">
      <c r="A280" s="45" t="str">
        <f aca="false">IF(C280="","",ROW()-6)</f>
        <v/>
      </c>
      <c r="B280" s="85"/>
      <c r="C280" s="80"/>
      <c r="D280" s="47" t="str">
        <f aca="false">IF(C280="","",IFERROR(INDEX('Item Master'!$B$6:$B$105,MATCH(C280,'Item Master'!$A$6:$A$105,0)),"?"))</f>
        <v/>
      </c>
      <c r="E280" s="82"/>
      <c r="F280" s="83"/>
      <c r="G280" s="84"/>
      <c r="H280" s="81"/>
      <c r="I280" s="80"/>
      <c r="J280" s="41" t="str">
        <f aca="false">IF(OR(C280="",G280=""),"",N(F280)*N(G280))</f>
        <v/>
      </c>
      <c r="K280" s="48" t="str">
        <f aca="false">IF(M280="","",N(IFERROR(INDEX('Item Master'!$E$6:$E$105,MATCH(C280,'Item Master'!$A$6:$A$105,0)),0))+SUMIFS($F$7:$F$506,$C$7:$C$506,C280,$E$7:$E$506,"In",$M$7:$M$506,"&lt;="&amp;M280)-SUMIFS($F$7:$F$506,$C$7:$C$506,C280,$E$7:$E$506,"Out",$M$7:$M$506,"&lt;="&amp;M280))</f>
        <v/>
      </c>
      <c r="L280" s="44" t="str">
        <f aca="false">IF(AND(B280="",C280="",F280=""),"",IF(C280="","⚠ Pick item",IF(D280="?","⚠ Code not in Item Master",IF(B280="","⚠ Enter date",IF(OR(E280="",N(F280)&lt;=0),"⚠ Type / quantity missing",IF(AND(E280="In",G280=""),"⚠ Enter purchase rate",IF(OR(B280&lt;Setup!$C$6,B280&gt;Setup!$C$7),"Outside period",IF(K280&lt;0,"⚠ Stock goes negative","✔ OK"))))))))</f>
        <v/>
      </c>
      <c r="M280" s="9" t="str">
        <f aca="false">IF(OR(C280="",B280=""),"",B280+ROW()/1000000)</f>
        <v/>
      </c>
      <c r="N280" s="9" t="str">
        <f aca="false">IF(AND(E280="In",M280&lt;&gt;""),SUMIFS($F$7:$F$506,$C$7:$C$506,C280,$E$7:$E$506,"In",$M$7:$M$506,"&gt;"&amp;M280),"")</f>
        <v/>
      </c>
      <c r="O280" s="9" t="str">
        <f aca="false">IF(N280="","",IFERROR(INDEX('Item Master'!$K$6:$K$105,MATCH(C280,'Item Master'!$A$6:$A$105,0)),0))</f>
        <v/>
      </c>
      <c r="P280" s="9" t="n">
        <f aca="false">IF(N280="",0,MAX(0,MIN(N(F280),O280-N280))*N(G280))</f>
        <v>0</v>
      </c>
      <c r="Q280" s="9" t="str">
        <f aca="false">IF(AND(C280&lt;&gt;"",C280='Stock Ledger'!$C$4),M280,"")</f>
        <v/>
      </c>
    </row>
    <row r="281" customFormat="false" ht="15" hidden="false" customHeight="false" outlineLevel="0" collapsed="false">
      <c r="A281" s="45" t="str">
        <f aca="false">IF(C281="","",ROW()-6)</f>
        <v/>
      </c>
      <c r="B281" s="85"/>
      <c r="C281" s="80"/>
      <c r="D281" s="47" t="str">
        <f aca="false">IF(C281="","",IFERROR(INDEX('Item Master'!$B$6:$B$105,MATCH(C281,'Item Master'!$A$6:$A$105,0)),"?"))</f>
        <v/>
      </c>
      <c r="E281" s="82"/>
      <c r="F281" s="83"/>
      <c r="G281" s="84"/>
      <c r="H281" s="81"/>
      <c r="I281" s="80"/>
      <c r="J281" s="41" t="str">
        <f aca="false">IF(OR(C281="",G281=""),"",N(F281)*N(G281))</f>
        <v/>
      </c>
      <c r="K281" s="48" t="str">
        <f aca="false">IF(M281="","",N(IFERROR(INDEX('Item Master'!$E$6:$E$105,MATCH(C281,'Item Master'!$A$6:$A$105,0)),0))+SUMIFS($F$7:$F$506,$C$7:$C$506,C281,$E$7:$E$506,"In",$M$7:$M$506,"&lt;="&amp;M281)-SUMIFS($F$7:$F$506,$C$7:$C$506,C281,$E$7:$E$506,"Out",$M$7:$M$506,"&lt;="&amp;M281))</f>
        <v/>
      </c>
      <c r="L281" s="44" t="str">
        <f aca="false">IF(AND(B281="",C281="",F281=""),"",IF(C281="","⚠ Pick item",IF(D281="?","⚠ Code not in Item Master",IF(B281="","⚠ Enter date",IF(OR(E281="",N(F281)&lt;=0),"⚠ Type / quantity missing",IF(AND(E281="In",G281=""),"⚠ Enter purchase rate",IF(OR(B281&lt;Setup!$C$6,B281&gt;Setup!$C$7),"Outside period",IF(K281&lt;0,"⚠ Stock goes negative","✔ OK"))))))))</f>
        <v/>
      </c>
      <c r="M281" s="9" t="str">
        <f aca="false">IF(OR(C281="",B281=""),"",B281+ROW()/1000000)</f>
        <v/>
      </c>
      <c r="N281" s="9" t="str">
        <f aca="false">IF(AND(E281="In",M281&lt;&gt;""),SUMIFS($F$7:$F$506,$C$7:$C$506,C281,$E$7:$E$506,"In",$M$7:$M$506,"&gt;"&amp;M281),"")</f>
        <v/>
      </c>
      <c r="O281" s="9" t="str">
        <f aca="false">IF(N281="","",IFERROR(INDEX('Item Master'!$K$6:$K$105,MATCH(C281,'Item Master'!$A$6:$A$105,0)),0))</f>
        <v/>
      </c>
      <c r="P281" s="9" t="n">
        <f aca="false">IF(N281="",0,MAX(0,MIN(N(F281),O281-N281))*N(G281))</f>
        <v>0</v>
      </c>
      <c r="Q281" s="9" t="str">
        <f aca="false">IF(AND(C281&lt;&gt;"",C281='Stock Ledger'!$C$4),M281,"")</f>
        <v/>
      </c>
    </row>
    <row r="282" customFormat="false" ht="15" hidden="false" customHeight="false" outlineLevel="0" collapsed="false">
      <c r="A282" s="45" t="str">
        <f aca="false">IF(C282="","",ROW()-6)</f>
        <v/>
      </c>
      <c r="B282" s="85"/>
      <c r="C282" s="80"/>
      <c r="D282" s="47" t="str">
        <f aca="false">IF(C282="","",IFERROR(INDEX('Item Master'!$B$6:$B$105,MATCH(C282,'Item Master'!$A$6:$A$105,0)),"?"))</f>
        <v/>
      </c>
      <c r="E282" s="82"/>
      <c r="F282" s="83"/>
      <c r="G282" s="84"/>
      <c r="H282" s="81"/>
      <c r="I282" s="80"/>
      <c r="J282" s="41" t="str">
        <f aca="false">IF(OR(C282="",G282=""),"",N(F282)*N(G282))</f>
        <v/>
      </c>
      <c r="K282" s="48" t="str">
        <f aca="false">IF(M282="","",N(IFERROR(INDEX('Item Master'!$E$6:$E$105,MATCH(C282,'Item Master'!$A$6:$A$105,0)),0))+SUMIFS($F$7:$F$506,$C$7:$C$506,C282,$E$7:$E$506,"In",$M$7:$M$506,"&lt;="&amp;M282)-SUMIFS($F$7:$F$506,$C$7:$C$506,C282,$E$7:$E$506,"Out",$M$7:$M$506,"&lt;="&amp;M282))</f>
        <v/>
      </c>
      <c r="L282" s="44" t="str">
        <f aca="false">IF(AND(B282="",C282="",F282=""),"",IF(C282="","⚠ Pick item",IF(D282="?","⚠ Code not in Item Master",IF(B282="","⚠ Enter date",IF(OR(E282="",N(F282)&lt;=0),"⚠ Type / quantity missing",IF(AND(E282="In",G282=""),"⚠ Enter purchase rate",IF(OR(B282&lt;Setup!$C$6,B282&gt;Setup!$C$7),"Outside period",IF(K282&lt;0,"⚠ Stock goes negative","✔ OK"))))))))</f>
        <v/>
      </c>
      <c r="M282" s="9" t="str">
        <f aca="false">IF(OR(C282="",B282=""),"",B282+ROW()/1000000)</f>
        <v/>
      </c>
      <c r="N282" s="9" t="str">
        <f aca="false">IF(AND(E282="In",M282&lt;&gt;""),SUMIFS($F$7:$F$506,$C$7:$C$506,C282,$E$7:$E$506,"In",$M$7:$M$506,"&gt;"&amp;M282),"")</f>
        <v/>
      </c>
      <c r="O282" s="9" t="str">
        <f aca="false">IF(N282="","",IFERROR(INDEX('Item Master'!$K$6:$K$105,MATCH(C282,'Item Master'!$A$6:$A$105,0)),0))</f>
        <v/>
      </c>
      <c r="P282" s="9" t="n">
        <f aca="false">IF(N282="",0,MAX(0,MIN(N(F282),O282-N282))*N(G282))</f>
        <v>0</v>
      </c>
      <c r="Q282" s="9" t="str">
        <f aca="false">IF(AND(C282&lt;&gt;"",C282='Stock Ledger'!$C$4),M282,"")</f>
        <v/>
      </c>
    </row>
    <row r="283" customFormat="false" ht="15" hidden="false" customHeight="false" outlineLevel="0" collapsed="false">
      <c r="A283" s="45" t="str">
        <f aca="false">IF(C283="","",ROW()-6)</f>
        <v/>
      </c>
      <c r="B283" s="85"/>
      <c r="C283" s="80"/>
      <c r="D283" s="47" t="str">
        <f aca="false">IF(C283="","",IFERROR(INDEX('Item Master'!$B$6:$B$105,MATCH(C283,'Item Master'!$A$6:$A$105,0)),"?"))</f>
        <v/>
      </c>
      <c r="E283" s="82"/>
      <c r="F283" s="83"/>
      <c r="G283" s="84"/>
      <c r="H283" s="81"/>
      <c r="I283" s="80"/>
      <c r="J283" s="41" t="str">
        <f aca="false">IF(OR(C283="",G283=""),"",N(F283)*N(G283))</f>
        <v/>
      </c>
      <c r="K283" s="48" t="str">
        <f aca="false">IF(M283="","",N(IFERROR(INDEX('Item Master'!$E$6:$E$105,MATCH(C283,'Item Master'!$A$6:$A$105,0)),0))+SUMIFS($F$7:$F$506,$C$7:$C$506,C283,$E$7:$E$506,"In",$M$7:$M$506,"&lt;="&amp;M283)-SUMIFS($F$7:$F$506,$C$7:$C$506,C283,$E$7:$E$506,"Out",$M$7:$M$506,"&lt;="&amp;M283))</f>
        <v/>
      </c>
      <c r="L283" s="44" t="str">
        <f aca="false">IF(AND(B283="",C283="",F283=""),"",IF(C283="","⚠ Pick item",IF(D283="?","⚠ Code not in Item Master",IF(B283="","⚠ Enter date",IF(OR(E283="",N(F283)&lt;=0),"⚠ Type / quantity missing",IF(AND(E283="In",G283=""),"⚠ Enter purchase rate",IF(OR(B283&lt;Setup!$C$6,B283&gt;Setup!$C$7),"Outside period",IF(K283&lt;0,"⚠ Stock goes negative","✔ OK"))))))))</f>
        <v/>
      </c>
      <c r="M283" s="9" t="str">
        <f aca="false">IF(OR(C283="",B283=""),"",B283+ROW()/1000000)</f>
        <v/>
      </c>
      <c r="N283" s="9" t="str">
        <f aca="false">IF(AND(E283="In",M283&lt;&gt;""),SUMIFS($F$7:$F$506,$C$7:$C$506,C283,$E$7:$E$506,"In",$M$7:$M$506,"&gt;"&amp;M283),"")</f>
        <v/>
      </c>
      <c r="O283" s="9" t="str">
        <f aca="false">IF(N283="","",IFERROR(INDEX('Item Master'!$K$6:$K$105,MATCH(C283,'Item Master'!$A$6:$A$105,0)),0))</f>
        <v/>
      </c>
      <c r="P283" s="9" t="n">
        <f aca="false">IF(N283="",0,MAX(0,MIN(N(F283),O283-N283))*N(G283))</f>
        <v>0</v>
      </c>
      <c r="Q283" s="9" t="str">
        <f aca="false">IF(AND(C283&lt;&gt;"",C283='Stock Ledger'!$C$4),M283,"")</f>
        <v/>
      </c>
    </row>
    <row r="284" customFormat="false" ht="15" hidden="false" customHeight="false" outlineLevel="0" collapsed="false">
      <c r="A284" s="45" t="str">
        <f aca="false">IF(C284="","",ROW()-6)</f>
        <v/>
      </c>
      <c r="B284" s="85"/>
      <c r="C284" s="80"/>
      <c r="D284" s="47" t="str">
        <f aca="false">IF(C284="","",IFERROR(INDEX('Item Master'!$B$6:$B$105,MATCH(C284,'Item Master'!$A$6:$A$105,0)),"?"))</f>
        <v/>
      </c>
      <c r="E284" s="82"/>
      <c r="F284" s="83"/>
      <c r="G284" s="84"/>
      <c r="H284" s="81"/>
      <c r="I284" s="80"/>
      <c r="J284" s="41" t="str">
        <f aca="false">IF(OR(C284="",G284=""),"",N(F284)*N(G284))</f>
        <v/>
      </c>
      <c r="K284" s="48" t="str">
        <f aca="false">IF(M284="","",N(IFERROR(INDEX('Item Master'!$E$6:$E$105,MATCH(C284,'Item Master'!$A$6:$A$105,0)),0))+SUMIFS($F$7:$F$506,$C$7:$C$506,C284,$E$7:$E$506,"In",$M$7:$M$506,"&lt;="&amp;M284)-SUMIFS($F$7:$F$506,$C$7:$C$506,C284,$E$7:$E$506,"Out",$M$7:$M$506,"&lt;="&amp;M284))</f>
        <v/>
      </c>
      <c r="L284" s="44" t="str">
        <f aca="false">IF(AND(B284="",C284="",F284=""),"",IF(C284="","⚠ Pick item",IF(D284="?","⚠ Code not in Item Master",IF(B284="","⚠ Enter date",IF(OR(E284="",N(F284)&lt;=0),"⚠ Type / quantity missing",IF(AND(E284="In",G284=""),"⚠ Enter purchase rate",IF(OR(B284&lt;Setup!$C$6,B284&gt;Setup!$C$7),"Outside period",IF(K284&lt;0,"⚠ Stock goes negative","✔ OK"))))))))</f>
        <v/>
      </c>
      <c r="M284" s="9" t="str">
        <f aca="false">IF(OR(C284="",B284=""),"",B284+ROW()/1000000)</f>
        <v/>
      </c>
      <c r="N284" s="9" t="str">
        <f aca="false">IF(AND(E284="In",M284&lt;&gt;""),SUMIFS($F$7:$F$506,$C$7:$C$506,C284,$E$7:$E$506,"In",$M$7:$M$506,"&gt;"&amp;M284),"")</f>
        <v/>
      </c>
      <c r="O284" s="9" t="str">
        <f aca="false">IF(N284="","",IFERROR(INDEX('Item Master'!$K$6:$K$105,MATCH(C284,'Item Master'!$A$6:$A$105,0)),0))</f>
        <v/>
      </c>
      <c r="P284" s="9" t="n">
        <f aca="false">IF(N284="",0,MAX(0,MIN(N(F284),O284-N284))*N(G284))</f>
        <v>0</v>
      </c>
      <c r="Q284" s="9" t="str">
        <f aca="false">IF(AND(C284&lt;&gt;"",C284='Stock Ledger'!$C$4),M284,"")</f>
        <v/>
      </c>
    </row>
    <row r="285" customFormat="false" ht="15" hidden="false" customHeight="false" outlineLevel="0" collapsed="false">
      <c r="A285" s="45" t="str">
        <f aca="false">IF(C285="","",ROW()-6)</f>
        <v/>
      </c>
      <c r="B285" s="85"/>
      <c r="C285" s="80"/>
      <c r="D285" s="47" t="str">
        <f aca="false">IF(C285="","",IFERROR(INDEX('Item Master'!$B$6:$B$105,MATCH(C285,'Item Master'!$A$6:$A$105,0)),"?"))</f>
        <v/>
      </c>
      <c r="E285" s="82"/>
      <c r="F285" s="83"/>
      <c r="G285" s="84"/>
      <c r="H285" s="81"/>
      <c r="I285" s="80"/>
      <c r="J285" s="41" t="str">
        <f aca="false">IF(OR(C285="",G285=""),"",N(F285)*N(G285))</f>
        <v/>
      </c>
      <c r="K285" s="48" t="str">
        <f aca="false">IF(M285="","",N(IFERROR(INDEX('Item Master'!$E$6:$E$105,MATCH(C285,'Item Master'!$A$6:$A$105,0)),0))+SUMIFS($F$7:$F$506,$C$7:$C$506,C285,$E$7:$E$506,"In",$M$7:$M$506,"&lt;="&amp;M285)-SUMIFS($F$7:$F$506,$C$7:$C$506,C285,$E$7:$E$506,"Out",$M$7:$M$506,"&lt;="&amp;M285))</f>
        <v/>
      </c>
      <c r="L285" s="44" t="str">
        <f aca="false">IF(AND(B285="",C285="",F285=""),"",IF(C285="","⚠ Pick item",IF(D285="?","⚠ Code not in Item Master",IF(B285="","⚠ Enter date",IF(OR(E285="",N(F285)&lt;=0),"⚠ Type / quantity missing",IF(AND(E285="In",G285=""),"⚠ Enter purchase rate",IF(OR(B285&lt;Setup!$C$6,B285&gt;Setup!$C$7),"Outside period",IF(K285&lt;0,"⚠ Stock goes negative","✔ OK"))))))))</f>
        <v/>
      </c>
      <c r="M285" s="9" t="str">
        <f aca="false">IF(OR(C285="",B285=""),"",B285+ROW()/1000000)</f>
        <v/>
      </c>
      <c r="N285" s="9" t="str">
        <f aca="false">IF(AND(E285="In",M285&lt;&gt;""),SUMIFS($F$7:$F$506,$C$7:$C$506,C285,$E$7:$E$506,"In",$M$7:$M$506,"&gt;"&amp;M285),"")</f>
        <v/>
      </c>
      <c r="O285" s="9" t="str">
        <f aca="false">IF(N285="","",IFERROR(INDEX('Item Master'!$K$6:$K$105,MATCH(C285,'Item Master'!$A$6:$A$105,0)),0))</f>
        <v/>
      </c>
      <c r="P285" s="9" t="n">
        <f aca="false">IF(N285="",0,MAX(0,MIN(N(F285),O285-N285))*N(G285))</f>
        <v>0</v>
      </c>
      <c r="Q285" s="9" t="str">
        <f aca="false">IF(AND(C285&lt;&gt;"",C285='Stock Ledger'!$C$4),M285,"")</f>
        <v/>
      </c>
    </row>
    <row r="286" customFormat="false" ht="15" hidden="false" customHeight="false" outlineLevel="0" collapsed="false">
      <c r="A286" s="45" t="str">
        <f aca="false">IF(C286="","",ROW()-6)</f>
        <v/>
      </c>
      <c r="B286" s="85"/>
      <c r="C286" s="80"/>
      <c r="D286" s="47" t="str">
        <f aca="false">IF(C286="","",IFERROR(INDEX('Item Master'!$B$6:$B$105,MATCH(C286,'Item Master'!$A$6:$A$105,0)),"?"))</f>
        <v/>
      </c>
      <c r="E286" s="82"/>
      <c r="F286" s="83"/>
      <c r="G286" s="84"/>
      <c r="H286" s="81"/>
      <c r="I286" s="80"/>
      <c r="J286" s="41" t="str">
        <f aca="false">IF(OR(C286="",G286=""),"",N(F286)*N(G286))</f>
        <v/>
      </c>
      <c r="K286" s="48" t="str">
        <f aca="false">IF(M286="","",N(IFERROR(INDEX('Item Master'!$E$6:$E$105,MATCH(C286,'Item Master'!$A$6:$A$105,0)),0))+SUMIFS($F$7:$F$506,$C$7:$C$506,C286,$E$7:$E$506,"In",$M$7:$M$506,"&lt;="&amp;M286)-SUMIFS($F$7:$F$506,$C$7:$C$506,C286,$E$7:$E$506,"Out",$M$7:$M$506,"&lt;="&amp;M286))</f>
        <v/>
      </c>
      <c r="L286" s="44" t="str">
        <f aca="false">IF(AND(B286="",C286="",F286=""),"",IF(C286="","⚠ Pick item",IF(D286="?","⚠ Code not in Item Master",IF(B286="","⚠ Enter date",IF(OR(E286="",N(F286)&lt;=0),"⚠ Type / quantity missing",IF(AND(E286="In",G286=""),"⚠ Enter purchase rate",IF(OR(B286&lt;Setup!$C$6,B286&gt;Setup!$C$7),"Outside period",IF(K286&lt;0,"⚠ Stock goes negative","✔ OK"))))))))</f>
        <v/>
      </c>
      <c r="M286" s="9" t="str">
        <f aca="false">IF(OR(C286="",B286=""),"",B286+ROW()/1000000)</f>
        <v/>
      </c>
      <c r="N286" s="9" t="str">
        <f aca="false">IF(AND(E286="In",M286&lt;&gt;""),SUMIFS($F$7:$F$506,$C$7:$C$506,C286,$E$7:$E$506,"In",$M$7:$M$506,"&gt;"&amp;M286),"")</f>
        <v/>
      </c>
      <c r="O286" s="9" t="str">
        <f aca="false">IF(N286="","",IFERROR(INDEX('Item Master'!$K$6:$K$105,MATCH(C286,'Item Master'!$A$6:$A$105,0)),0))</f>
        <v/>
      </c>
      <c r="P286" s="9" t="n">
        <f aca="false">IF(N286="",0,MAX(0,MIN(N(F286),O286-N286))*N(G286))</f>
        <v>0</v>
      </c>
      <c r="Q286" s="9" t="str">
        <f aca="false">IF(AND(C286&lt;&gt;"",C286='Stock Ledger'!$C$4),M286,"")</f>
        <v/>
      </c>
    </row>
    <row r="287" customFormat="false" ht="15" hidden="false" customHeight="false" outlineLevel="0" collapsed="false">
      <c r="A287" s="45" t="str">
        <f aca="false">IF(C287="","",ROW()-6)</f>
        <v/>
      </c>
      <c r="B287" s="85"/>
      <c r="C287" s="80"/>
      <c r="D287" s="47" t="str">
        <f aca="false">IF(C287="","",IFERROR(INDEX('Item Master'!$B$6:$B$105,MATCH(C287,'Item Master'!$A$6:$A$105,0)),"?"))</f>
        <v/>
      </c>
      <c r="E287" s="82"/>
      <c r="F287" s="83"/>
      <c r="G287" s="84"/>
      <c r="H287" s="81"/>
      <c r="I287" s="80"/>
      <c r="J287" s="41" t="str">
        <f aca="false">IF(OR(C287="",G287=""),"",N(F287)*N(G287))</f>
        <v/>
      </c>
      <c r="K287" s="48" t="str">
        <f aca="false">IF(M287="","",N(IFERROR(INDEX('Item Master'!$E$6:$E$105,MATCH(C287,'Item Master'!$A$6:$A$105,0)),0))+SUMIFS($F$7:$F$506,$C$7:$C$506,C287,$E$7:$E$506,"In",$M$7:$M$506,"&lt;="&amp;M287)-SUMIFS($F$7:$F$506,$C$7:$C$506,C287,$E$7:$E$506,"Out",$M$7:$M$506,"&lt;="&amp;M287))</f>
        <v/>
      </c>
      <c r="L287" s="44" t="str">
        <f aca="false">IF(AND(B287="",C287="",F287=""),"",IF(C287="","⚠ Pick item",IF(D287="?","⚠ Code not in Item Master",IF(B287="","⚠ Enter date",IF(OR(E287="",N(F287)&lt;=0),"⚠ Type / quantity missing",IF(AND(E287="In",G287=""),"⚠ Enter purchase rate",IF(OR(B287&lt;Setup!$C$6,B287&gt;Setup!$C$7),"Outside period",IF(K287&lt;0,"⚠ Stock goes negative","✔ OK"))))))))</f>
        <v/>
      </c>
      <c r="M287" s="9" t="str">
        <f aca="false">IF(OR(C287="",B287=""),"",B287+ROW()/1000000)</f>
        <v/>
      </c>
      <c r="N287" s="9" t="str">
        <f aca="false">IF(AND(E287="In",M287&lt;&gt;""),SUMIFS($F$7:$F$506,$C$7:$C$506,C287,$E$7:$E$506,"In",$M$7:$M$506,"&gt;"&amp;M287),"")</f>
        <v/>
      </c>
      <c r="O287" s="9" t="str">
        <f aca="false">IF(N287="","",IFERROR(INDEX('Item Master'!$K$6:$K$105,MATCH(C287,'Item Master'!$A$6:$A$105,0)),0))</f>
        <v/>
      </c>
      <c r="P287" s="9" t="n">
        <f aca="false">IF(N287="",0,MAX(0,MIN(N(F287),O287-N287))*N(G287))</f>
        <v>0</v>
      </c>
      <c r="Q287" s="9" t="str">
        <f aca="false">IF(AND(C287&lt;&gt;"",C287='Stock Ledger'!$C$4),M287,"")</f>
        <v/>
      </c>
    </row>
    <row r="288" customFormat="false" ht="15" hidden="false" customHeight="false" outlineLevel="0" collapsed="false">
      <c r="A288" s="45" t="str">
        <f aca="false">IF(C288="","",ROW()-6)</f>
        <v/>
      </c>
      <c r="B288" s="85"/>
      <c r="C288" s="80"/>
      <c r="D288" s="47" t="str">
        <f aca="false">IF(C288="","",IFERROR(INDEX('Item Master'!$B$6:$B$105,MATCH(C288,'Item Master'!$A$6:$A$105,0)),"?"))</f>
        <v/>
      </c>
      <c r="E288" s="82"/>
      <c r="F288" s="83"/>
      <c r="G288" s="84"/>
      <c r="H288" s="81"/>
      <c r="I288" s="80"/>
      <c r="J288" s="41" t="str">
        <f aca="false">IF(OR(C288="",G288=""),"",N(F288)*N(G288))</f>
        <v/>
      </c>
      <c r="K288" s="48" t="str">
        <f aca="false">IF(M288="","",N(IFERROR(INDEX('Item Master'!$E$6:$E$105,MATCH(C288,'Item Master'!$A$6:$A$105,0)),0))+SUMIFS($F$7:$F$506,$C$7:$C$506,C288,$E$7:$E$506,"In",$M$7:$M$506,"&lt;="&amp;M288)-SUMIFS($F$7:$F$506,$C$7:$C$506,C288,$E$7:$E$506,"Out",$M$7:$M$506,"&lt;="&amp;M288))</f>
        <v/>
      </c>
      <c r="L288" s="44" t="str">
        <f aca="false">IF(AND(B288="",C288="",F288=""),"",IF(C288="","⚠ Pick item",IF(D288="?","⚠ Code not in Item Master",IF(B288="","⚠ Enter date",IF(OR(E288="",N(F288)&lt;=0),"⚠ Type / quantity missing",IF(AND(E288="In",G288=""),"⚠ Enter purchase rate",IF(OR(B288&lt;Setup!$C$6,B288&gt;Setup!$C$7),"Outside period",IF(K288&lt;0,"⚠ Stock goes negative","✔ OK"))))))))</f>
        <v/>
      </c>
      <c r="M288" s="9" t="str">
        <f aca="false">IF(OR(C288="",B288=""),"",B288+ROW()/1000000)</f>
        <v/>
      </c>
      <c r="N288" s="9" t="str">
        <f aca="false">IF(AND(E288="In",M288&lt;&gt;""),SUMIFS($F$7:$F$506,$C$7:$C$506,C288,$E$7:$E$506,"In",$M$7:$M$506,"&gt;"&amp;M288),"")</f>
        <v/>
      </c>
      <c r="O288" s="9" t="str">
        <f aca="false">IF(N288="","",IFERROR(INDEX('Item Master'!$K$6:$K$105,MATCH(C288,'Item Master'!$A$6:$A$105,0)),0))</f>
        <v/>
      </c>
      <c r="P288" s="9" t="n">
        <f aca="false">IF(N288="",0,MAX(0,MIN(N(F288),O288-N288))*N(G288))</f>
        <v>0</v>
      </c>
      <c r="Q288" s="9" t="str">
        <f aca="false">IF(AND(C288&lt;&gt;"",C288='Stock Ledger'!$C$4),M288,"")</f>
        <v/>
      </c>
    </row>
    <row r="289" customFormat="false" ht="15" hidden="false" customHeight="false" outlineLevel="0" collapsed="false">
      <c r="A289" s="45" t="str">
        <f aca="false">IF(C289="","",ROW()-6)</f>
        <v/>
      </c>
      <c r="B289" s="85"/>
      <c r="C289" s="80"/>
      <c r="D289" s="47" t="str">
        <f aca="false">IF(C289="","",IFERROR(INDEX('Item Master'!$B$6:$B$105,MATCH(C289,'Item Master'!$A$6:$A$105,0)),"?"))</f>
        <v/>
      </c>
      <c r="E289" s="82"/>
      <c r="F289" s="83"/>
      <c r="G289" s="84"/>
      <c r="H289" s="81"/>
      <c r="I289" s="80"/>
      <c r="J289" s="41" t="str">
        <f aca="false">IF(OR(C289="",G289=""),"",N(F289)*N(G289))</f>
        <v/>
      </c>
      <c r="K289" s="48" t="str">
        <f aca="false">IF(M289="","",N(IFERROR(INDEX('Item Master'!$E$6:$E$105,MATCH(C289,'Item Master'!$A$6:$A$105,0)),0))+SUMIFS($F$7:$F$506,$C$7:$C$506,C289,$E$7:$E$506,"In",$M$7:$M$506,"&lt;="&amp;M289)-SUMIFS($F$7:$F$506,$C$7:$C$506,C289,$E$7:$E$506,"Out",$M$7:$M$506,"&lt;="&amp;M289))</f>
        <v/>
      </c>
      <c r="L289" s="44" t="str">
        <f aca="false">IF(AND(B289="",C289="",F289=""),"",IF(C289="","⚠ Pick item",IF(D289="?","⚠ Code not in Item Master",IF(B289="","⚠ Enter date",IF(OR(E289="",N(F289)&lt;=0),"⚠ Type / quantity missing",IF(AND(E289="In",G289=""),"⚠ Enter purchase rate",IF(OR(B289&lt;Setup!$C$6,B289&gt;Setup!$C$7),"Outside period",IF(K289&lt;0,"⚠ Stock goes negative","✔ OK"))))))))</f>
        <v/>
      </c>
      <c r="M289" s="9" t="str">
        <f aca="false">IF(OR(C289="",B289=""),"",B289+ROW()/1000000)</f>
        <v/>
      </c>
      <c r="N289" s="9" t="str">
        <f aca="false">IF(AND(E289="In",M289&lt;&gt;""),SUMIFS($F$7:$F$506,$C$7:$C$506,C289,$E$7:$E$506,"In",$M$7:$M$506,"&gt;"&amp;M289),"")</f>
        <v/>
      </c>
      <c r="O289" s="9" t="str">
        <f aca="false">IF(N289="","",IFERROR(INDEX('Item Master'!$K$6:$K$105,MATCH(C289,'Item Master'!$A$6:$A$105,0)),0))</f>
        <v/>
      </c>
      <c r="P289" s="9" t="n">
        <f aca="false">IF(N289="",0,MAX(0,MIN(N(F289),O289-N289))*N(G289))</f>
        <v>0</v>
      </c>
      <c r="Q289" s="9" t="str">
        <f aca="false">IF(AND(C289&lt;&gt;"",C289='Stock Ledger'!$C$4),M289,"")</f>
        <v/>
      </c>
    </row>
    <row r="290" customFormat="false" ht="15" hidden="false" customHeight="false" outlineLevel="0" collapsed="false">
      <c r="A290" s="45" t="str">
        <f aca="false">IF(C290="","",ROW()-6)</f>
        <v/>
      </c>
      <c r="B290" s="85"/>
      <c r="C290" s="80"/>
      <c r="D290" s="47" t="str">
        <f aca="false">IF(C290="","",IFERROR(INDEX('Item Master'!$B$6:$B$105,MATCH(C290,'Item Master'!$A$6:$A$105,0)),"?"))</f>
        <v/>
      </c>
      <c r="E290" s="82"/>
      <c r="F290" s="83"/>
      <c r="G290" s="84"/>
      <c r="H290" s="81"/>
      <c r="I290" s="80"/>
      <c r="J290" s="41" t="str">
        <f aca="false">IF(OR(C290="",G290=""),"",N(F290)*N(G290))</f>
        <v/>
      </c>
      <c r="K290" s="48" t="str">
        <f aca="false">IF(M290="","",N(IFERROR(INDEX('Item Master'!$E$6:$E$105,MATCH(C290,'Item Master'!$A$6:$A$105,0)),0))+SUMIFS($F$7:$F$506,$C$7:$C$506,C290,$E$7:$E$506,"In",$M$7:$M$506,"&lt;="&amp;M290)-SUMIFS($F$7:$F$506,$C$7:$C$506,C290,$E$7:$E$506,"Out",$M$7:$M$506,"&lt;="&amp;M290))</f>
        <v/>
      </c>
      <c r="L290" s="44" t="str">
        <f aca="false">IF(AND(B290="",C290="",F290=""),"",IF(C290="","⚠ Pick item",IF(D290="?","⚠ Code not in Item Master",IF(B290="","⚠ Enter date",IF(OR(E290="",N(F290)&lt;=0),"⚠ Type / quantity missing",IF(AND(E290="In",G290=""),"⚠ Enter purchase rate",IF(OR(B290&lt;Setup!$C$6,B290&gt;Setup!$C$7),"Outside period",IF(K290&lt;0,"⚠ Stock goes negative","✔ OK"))))))))</f>
        <v/>
      </c>
      <c r="M290" s="9" t="str">
        <f aca="false">IF(OR(C290="",B290=""),"",B290+ROW()/1000000)</f>
        <v/>
      </c>
      <c r="N290" s="9" t="str">
        <f aca="false">IF(AND(E290="In",M290&lt;&gt;""),SUMIFS($F$7:$F$506,$C$7:$C$506,C290,$E$7:$E$506,"In",$M$7:$M$506,"&gt;"&amp;M290),"")</f>
        <v/>
      </c>
      <c r="O290" s="9" t="str">
        <f aca="false">IF(N290="","",IFERROR(INDEX('Item Master'!$K$6:$K$105,MATCH(C290,'Item Master'!$A$6:$A$105,0)),0))</f>
        <v/>
      </c>
      <c r="P290" s="9" t="n">
        <f aca="false">IF(N290="",0,MAX(0,MIN(N(F290),O290-N290))*N(G290))</f>
        <v>0</v>
      </c>
      <c r="Q290" s="9" t="str">
        <f aca="false">IF(AND(C290&lt;&gt;"",C290='Stock Ledger'!$C$4),M290,"")</f>
        <v/>
      </c>
    </row>
    <row r="291" customFormat="false" ht="15" hidden="false" customHeight="false" outlineLevel="0" collapsed="false">
      <c r="A291" s="45" t="str">
        <f aca="false">IF(C291="","",ROW()-6)</f>
        <v/>
      </c>
      <c r="B291" s="85"/>
      <c r="C291" s="80"/>
      <c r="D291" s="47" t="str">
        <f aca="false">IF(C291="","",IFERROR(INDEX('Item Master'!$B$6:$B$105,MATCH(C291,'Item Master'!$A$6:$A$105,0)),"?"))</f>
        <v/>
      </c>
      <c r="E291" s="82"/>
      <c r="F291" s="83"/>
      <c r="G291" s="84"/>
      <c r="H291" s="81"/>
      <c r="I291" s="80"/>
      <c r="J291" s="41" t="str">
        <f aca="false">IF(OR(C291="",G291=""),"",N(F291)*N(G291))</f>
        <v/>
      </c>
      <c r="K291" s="48" t="str">
        <f aca="false">IF(M291="","",N(IFERROR(INDEX('Item Master'!$E$6:$E$105,MATCH(C291,'Item Master'!$A$6:$A$105,0)),0))+SUMIFS($F$7:$F$506,$C$7:$C$506,C291,$E$7:$E$506,"In",$M$7:$M$506,"&lt;="&amp;M291)-SUMIFS($F$7:$F$506,$C$7:$C$506,C291,$E$7:$E$506,"Out",$M$7:$M$506,"&lt;="&amp;M291))</f>
        <v/>
      </c>
      <c r="L291" s="44" t="str">
        <f aca="false">IF(AND(B291="",C291="",F291=""),"",IF(C291="","⚠ Pick item",IF(D291="?","⚠ Code not in Item Master",IF(B291="","⚠ Enter date",IF(OR(E291="",N(F291)&lt;=0),"⚠ Type / quantity missing",IF(AND(E291="In",G291=""),"⚠ Enter purchase rate",IF(OR(B291&lt;Setup!$C$6,B291&gt;Setup!$C$7),"Outside period",IF(K291&lt;0,"⚠ Stock goes negative","✔ OK"))))))))</f>
        <v/>
      </c>
      <c r="M291" s="9" t="str">
        <f aca="false">IF(OR(C291="",B291=""),"",B291+ROW()/1000000)</f>
        <v/>
      </c>
      <c r="N291" s="9" t="str">
        <f aca="false">IF(AND(E291="In",M291&lt;&gt;""),SUMIFS($F$7:$F$506,$C$7:$C$506,C291,$E$7:$E$506,"In",$M$7:$M$506,"&gt;"&amp;M291),"")</f>
        <v/>
      </c>
      <c r="O291" s="9" t="str">
        <f aca="false">IF(N291="","",IFERROR(INDEX('Item Master'!$K$6:$K$105,MATCH(C291,'Item Master'!$A$6:$A$105,0)),0))</f>
        <v/>
      </c>
      <c r="P291" s="9" t="n">
        <f aca="false">IF(N291="",0,MAX(0,MIN(N(F291),O291-N291))*N(G291))</f>
        <v>0</v>
      </c>
      <c r="Q291" s="9" t="str">
        <f aca="false">IF(AND(C291&lt;&gt;"",C291='Stock Ledger'!$C$4),M291,"")</f>
        <v/>
      </c>
    </row>
    <row r="292" customFormat="false" ht="15" hidden="false" customHeight="false" outlineLevel="0" collapsed="false">
      <c r="A292" s="45" t="str">
        <f aca="false">IF(C292="","",ROW()-6)</f>
        <v/>
      </c>
      <c r="B292" s="85"/>
      <c r="C292" s="80"/>
      <c r="D292" s="47" t="str">
        <f aca="false">IF(C292="","",IFERROR(INDEX('Item Master'!$B$6:$B$105,MATCH(C292,'Item Master'!$A$6:$A$105,0)),"?"))</f>
        <v/>
      </c>
      <c r="E292" s="82"/>
      <c r="F292" s="83"/>
      <c r="G292" s="84"/>
      <c r="H292" s="81"/>
      <c r="I292" s="80"/>
      <c r="J292" s="41" t="str">
        <f aca="false">IF(OR(C292="",G292=""),"",N(F292)*N(G292))</f>
        <v/>
      </c>
      <c r="K292" s="48" t="str">
        <f aca="false">IF(M292="","",N(IFERROR(INDEX('Item Master'!$E$6:$E$105,MATCH(C292,'Item Master'!$A$6:$A$105,0)),0))+SUMIFS($F$7:$F$506,$C$7:$C$506,C292,$E$7:$E$506,"In",$M$7:$M$506,"&lt;="&amp;M292)-SUMIFS($F$7:$F$506,$C$7:$C$506,C292,$E$7:$E$506,"Out",$M$7:$M$506,"&lt;="&amp;M292))</f>
        <v/>
      </c>
      <c r="L292" s="44" t="str">
        <f aca="false">IF(AND(B292="",C292="",F292=""),"",IF(C292="","⚠ Pick item",IF(D292="?","⚠ Code not in Item Master",IF(B292="","⚠ Enter date",IF(OR(E292="",N(F292)&lt;=0),"⚠ Type / quantity missing",IF(AND(E292="In",G292=""),"⚠ Enter purchase rate",IF(OR(B292&lt;Setup!$C$6,B292&gt;Setup!$C$7),"Outside period",IF(K292&lt;0,"⚠ Stock goes negative","✔ OK"))))))))</f>
        <v/>
      </c>
      <c r="M292" s="9" t="str">
        <f aca="false">IF(OR(C292="",B292=""),"",B292+ROW()/1000000)</f>
        <v/>
      </c>
      <c r="N292" s="9" t="str">
        <f aca="false">IF(AND(E292="In",M292&lt;&gt;""),SUMIFS($F$7:$F$506,$C$7:$C$506,C292,$E$7:$E$506,"In",$M$7:$M$506,"&gt;"&amp;M292),"")</f>
        <v/>
      </c>
      <c r="O292" s="9" t="str">
        <f aca="false">IF(N292="","",IFERROR(INDEX('Item Master'!$K$6:$K$105,MATCH(C292,'Item Master'!$A$6:$A$105,0)),0))</f>
        <v/>
      </c>
      <c r="P292" s="9" t="n">
        <f aca="false">IF(N292="",0,MAX(0,MIN(N(F292),O292-N292))*N(G292))</f>
        <v>0</v>
      </c>
      <c r="Q292" s="9" t="str">
        <f aca="false">IF(AND(C292&lt;&gt;"",C292='Stock Ledger'!$C$4),M292,"")</f>
        <v/>
      </c>
    </row>
    <row r="293" customFormat="false" ht="15" hidden="false" customHeight="false" outlineLevel="0" collapsed="false">
      <c r="A293" s="45" t="str">
        <f aca="false">IF(C293="","",ROW()-6)</f>
        <v/>
      </c>
      <c r="B293" s="85"/>
      <c r="C293" s="80"/>
      <c r="D293" s="47" t="str">
        <f aca="false">IF(C293="","",IFERROR(INDEX('Item Master'!$B$6:$B$105,MATCH(C293,'Item Master'!$A$6:$A$105,0)),"?"))</f>
        <v/>
      </c>
      <c r="E293" s="82"/>
      <c r="F293" s="83"/>
      <c r="G293" s="84"/>
      <c r="H293" s="81"/>
      <c r="I293" s="80"/>
      <c r="J293" s="41" t="str">
        <f aca="false">IF(OR(C293="",G293=""),"",N(F293)*N(G293))</f>
        <v/>
      </c>
      <c r="K293" s="48" t="str">
        <f aca="false">IF(M293="","",N(IFERROR(INDEX('Item Master'!$E$6:$E$105,MATCH(C293,'Item Master'!$A$6:$A$105,0)),0))+SUMIFS($F$7:$F$506,$C$7:$C$506,C293,$E$7:$E$506,"In",$M$7:$M$506,"&lt;="&amp;M293)-SUMIFS($F$7:$F$506,$C$7:$C$506,C293,$E$7:$E$506,"Out",$M$7:$M$506,"&lt;="&amp;M293))</f>
        <v/>
      </c>
      <c r="L293" s="44" t="str">
        <f aca="false">IF(AND(B293="",C293="",F293=""),"",IF(C293="","⚠ Pick item",IF(D293="?","⚠ Code not in Item Master",IF(B293="","⚠ Enter date",IF(OR(E293="",N(F293)&lt;=0),"⚠ Type / quantity missing",IF(AND(E293="In",G293=""),"⚠ Enter purchase rate",IF(OR(B293&lt;Setup!$C$6,B293&gt;Setup!$C$7),"Outside period",IF(K293&lt;0,"⚠ Stock goes negative","✔ OK"))))))))</f>
        <v/>
      </c>
      <c r="M293" s="9" t="str">
        <f aca="false">IF(OR(C293="",B293=""),"",B293+ROW()/1000000)</f>
        <v/>
      </c>
      <c r="N293" s="9" t="str">
        <f aca="false">IF(AND(E293="In",M293&lt;&gt;""),SUMIFS($F$7:$F$506,$C$7:$C$506,C293,$E$7:$E$506,"In",$M$7:$M$506,"&gt;"&amp;M293),"")</f>
        <v/>
      </c>
      <c r="O293" s="9" t="str">
        <f aca="false">IF(N293="","",IFERROR(INDEX('Item Master'!$K$6:$K$105,MATCH(C293,'Item Master'!$A$6:$A$105,0)),0))</f>
        <v/>
      </c>
      <c r="P293" s="9" t="n">
        <f aca="false">IF(N293="",0,MAX(0,MIN(N(F293),O293-N293))*N(G293))</f>
        <v>0</v>
      </c>
      <c r="Q293" s="9" t="str">
        <f aca="false">IF(AND(C293&lt;&gt;"",C293='Stock Ledger'!$C$4),M293,"")</f>
        <v/>
      </c>
    </row>
    <row r="294" customFormat="false" ht="15" hidden="false" customHeight="false" outlineLevel="0" collapsed="false">
      <c r="A294" s="45" t="str">
        <f aca="false">IF(C294="","",ROW()-6)</f>
        <v/>
      </c>
      <c r="B294" s="85"/>
      <c r="C294" s="80"/>
      <c r="D294" s="47" t="str">
        <f aca="false">IF(C294="","",IFERROR(INDEX('Item Master'!$B$6:$B$105,MATCH(C294,'Item Master'!$A$6:$A$105,0)),"?"))</f>
        <v/>
      </c>
      <c r="E294" s="82"/>
      <c r="F294" s="83"/>
      <c r="G294" s="84"/>
      <c r="H294" s="81"/>
      <c r="I294" s="80"/>
      <c r="J294" s="41" t="str">
        <f aca="false">IF(OR(C294="",G294=""),"",N(F294)*N(G294))</f>
        <v/>
      </c>
      <c r="K294" s="48" t="str">
        <f aca="false">IF(M294="","",N(IFERROR(INDEX('Item Master'!$E$6:$E$105,MATCH(C294,'Item Master'!$A$6:$A$105,0)),0))+SUMIFS($F$7:$F$506,$C$7:$C$506,C294,$E$7:$E$506,"In",$M$7:$M$506,"&lt;="&amp;M294)-SUMIFS($F$7:$F$506,$C$7:$C$506,C294,$E$7:$E$506,"Out",$M$7:$M$506,"&lt;="&amp;M294))</f>
        <v/>
      </c>
      <c r="L294" s="44" t="str">
        <f aca="false">IF(AND(B294="",C294="",F294=""),"",IF(C294="","⚠ Pick item",IF(D294="?","⚠ Code not in Item Master",IF(B294="","⚠ Enter date",IF(OR(E294="",N(F294)&lt;=0),"⚠ Type / quantity missing",IF(AND(E294="In",G294=""),"⚠ Enter purchase rate",IF(OR(B294&lt;Setup!$C$6,B294&gt;Setup!$C$7),"Outside period",IF(K294&lt;0,"⚠ Stock goes negative","✔ OK"))))))))</f>
        <v/>
      </c>
      <c r="M294" s="9" t="str">
        <f aca="false">IF(OR(C294="",B294=""),"",B294+ROW()/1000000)</f>
        <v/>
      </c>
      <c r="N294" s="9" t="str">
        <f aca="false">IF(AND(E294="In",M294&lt;&gt;""),SUMIFS($F$7:$F$506,$C$7:$C$506,C294,$E$7:$E$506,"In",$M$7:$M$506,"&gt;"&amp;M294),"")</f>
        <v/>
      </c>
      <c r="O294" s="9" t="str">
        <f aca="false">IF(N294="","",IFERROR(INDEX('Item Master'!$K$6:$K$105,MATCH(C294,'Item Master'!$A$6:$A$105,0)),0))</f>
        <v/>
      </c>
      <c r="P294" s="9" t="n">
        <f aca="false">IF(N294="",0,MAX(0,MIN(N(F294),O294-N294))*N(G294))</f>
        <v>0</v>
      </c>
      <c r="Q294" s="9" t="str">
        <f aca="false">IF(AND(C294&lt;&gt;"",C294='Stock Ledger'!$C$4),M294,"")</f>
        <v/>
      </c>
    </row>
    <row r="295" customFormat="false" ht="15" hidden="false" customHeight="false" outlineLevel="0" collapsed="false">
      <c r="A295" s="45" t="str">
        <f aca="false">IF(C295="","",ROW()-6)</f>
        <v/>
      </c>
      <c r="B295" s="85"/>
      <c r="C295" s="80"/>
      <c r="D295" s="47" t="str">
        <f aca="false">IF(C295="","",IFERROR(INDEX('Item Master'!$B$6:$B$105,MATCH(C295,'Item Master'!$A$6:$A$105,0)),"?"))</f>
        <v/>
      </c>
      <c r="E295" s="82"/>
      <c r="F295" s="83"/>
      <c r="G295" s="84"/>
      <c r="H295" s="81"/>
      <c r="I295" s="80"/>
      <c r="J295" s="41" t="str">
        <f aca="false">IF(OR(C295="",G295=""),"",N(F295)*N(G295))</f>
        <v/>
      </c>
      <c r="K295" s="48" t="str">
        <f aca="false">IF(M295="","",N(IFERROR(INDEX('Item Master'!$E$6:$E$105,MATCH(C295,'Item Master'!$A$6:$A$105,0)),0))+SUMIFS($F$7:$F$506,$C$7:$C$506,C295,$E$7:$E$506,"In",$M$7:$M$506,"&lt;="&amp;M295)-SUMIFS($F$7:$F$506,$C$7:$C$506,C295,$E$7:$E$506,"Out",$M$7:$M$506,"&lt;="&amp;M295))</f>
        <v/>
      </c>
      <c r="L295" s="44" t="str">
        <f aca="false">IF(AND(B295="",C295="",F295=""),"",IF(C295="","⚠ Pick item",IF(D295="?","⚠ Code not in Item Master",IF(B295="","⚠ Enter date",IF(OR(E295="",N(F295)&lt;=0),"⚠ Type / quantity missing",IF(AND(E295="In",G295=""),"⚠ Enter purchase rate",IF(OR(B295&lt;Setup!$C$6,B295&gt;Setup!$C$7),"Outside period",IF(K295&lt;0,"⚠ Stock goes negative","✔ OK"))))))))</f>
        <v/>
      </c>
      <c r="M295" s="9" t="str">
        <f aca="false">IF(OR(C295="",B295=""),"",B295+ROW()/1000000)</f>
        <v/>
      </c>
      <c r="N295" s="9" t="str">
        <f aca="false">IF(AND(E295="In",M295&lt;&gt;""),SUMIFS($F$7:$F$506,$C$7:$C$506,C295,$E$7:$E$506,"In",$M$7:$M$506,"&gt;"&amp;M295),"")</f>
        <v/>
      </c>
      <c r="O295" s="9" t="str">
        <f aca="false">IF(N295="","",IFERROR(INDEX('Item Master'!$K$6:$K$105,MATCH(C295,'Item Master'!$A$6:$A$105,0)),0))</f>
        <v/>
      </c>
      <c r="P295" s="9" t="n">
        <f aca="false">IF(N295="",0,MAX(0,MIN(N(F295),O295-N295))*N(G295))</f>
        <v>0</v>
      </c>
      <c r="Q295" s="9" t="str">
        <f aca="false">IF(AND(C295&lt;&gt;"",C295='Stock Ledger'!$C$4),M295,"")</f>
        <v/>
      </c>
    </row>
    <row r="296" customFormat="false" ht="15" hidden="false" customHeight="false" outlineLevel="0" collapsed="false">
      <c r="A296" s="45" t="str">
        <f aca="false">IF(C296="","",ROW()-6)</f>
        <v/>
      </c>
      <c r="B296" s="85"/>
      <c r="C296" s="80"/>
      <c r="D296" s="47" t="str">
        <f aca="false">IF(C296="","",IFERROR(INDEX('Item Master'!$B$6:$B$105,MATCH(C296,'Item Master'!$A$6:$A$105,0)),"?"))</f>
        <v/>
      </c>
      <c r="E296" s="82"/>
      <c r="F296" s="83"/>
      <c r="G296" s="84"/>
      <c r="H296" s="81"/>
      <c r="I296" s="80"/>
      <c r="J296" s="41" t="str">
        <f aca="false">IF(OR(C296="",G296=""),"",N(F296)*N(G296))</f>
        <v/>
      </c>
      <c r="K296" s="48" t="str">
        <f aca="false">IF(M296="","",N(IFERROR(INDEX('Item Master'!$E$6:$E$105,MATCH(C296,'Item Master'!$A$6:$A$105,0)),0))+SUMIFS($F$7:$F$506,$C$7:$C$506,C296,$E$7:$E$506,"In",$M$7:$M$506,"&lt;="&amp;M296)-SUMIFS($F$7:$F$506,$C$7:$C$506,C296,$E$7:$E$506,"Out",$M$7:$M$506,"&lt;="&amp;M296))</f>
        <v/>
      </c>
      <c r="L296" s="44" t="str">
        <f aca="false">IF(AND(B296="",C296="",F296=""),"",IF(C296="","⚠ Pick item",IF(D296="?","⚠ Code not in Item Master",IF(B296="","⚠ Enter date",IF(OR(E296="",N(F296)&lt;=0),"⚠ Type / quantity missing",IF(AND(E296="In",G296=""),"⚠ Enter purchase rate",IF(OR(B296&lt;Setup!$C$6,B296&gt;Setup!$C$7),"Outside period",IF(K296&lt;0,"⚠ Stock goes negative","✔ OK"))))))))</f>
        <v/>
      </c>
      <c r="M296" s="9" t="str">
        <f aca="false">IF(OR(C296="",B296=""),"",B296+ROW()/1000000)</f>
        <v/>
      </c>
      <c r="N296" s="9" t="str">
        <f aca="false">IF(AND(E296="In",M296&lt;&gt;""),SUMIFS($F$7:$F$506,$C$7:$C$506,C296,$E$7:$E$506,"In",$M$7:$M$506,"&gt;"&amp;M296),"")</f>
        <v/>
      </c>
      <c r="O296" s="9" t="str">
        <f aca="false">IF(N296="","",IFERROR(INDEX('Item Master'!$K$6:$K$105,MATCH(C296,'Item Master'!$A$6:$A$105,0)),0))</f>
        <v/>
      </c>
      <c r="P296" s="9" t="n">
        <f aca="false">IF(N296="",0,MAX(0,MIN(N(F296),O296-N296))*N(G296))</f>
        <v>0</v>
      </c>
      <c r="Q296" s="9" t="str">
        <f aca="false">IF(AND(C296&lt;&gt;"",C296='Stock Ledger'!$C$4),M296,"")</f>
        <v/>
      </c>
    </row>
    <row r="297" customFormat="false" ht="15" hidden="false" customHeight="false" outlineLevel="0" collapsed="false">
      <c r="A297" s="45" t="str">
        <f aca="false">IF(C297="","",ROW()-6)</f>
        <v/>
      </c>
      <c r="B297" s="85"/>
      <c r="C297" s="80"/>
      <c r="D297" s="47" t="str">
        <f aca="false">IF(C297="","",IFERROR(INDEX('Item Master'!$B$6:$B$105,MATCH(C297,'Item Master'!$A$6:$A$105,0)),"?"))</f>
        <v/>
      </c>
      <c r="E297" s="82"/>
      <c r="F297" s="83"/>
      <c r="G297" s="84"/>
      <c r="H297" s="81"/>
      <c r="I297" s="80"/>
      <c r="J297" s="41" t="str">
        <f aca="false">IF(OR(C297="",G297=""),"",N(F297)*N(G297))</f>
        <v/>
      </c>
      <c r="K297" s="48" t="str">
        <f aca="false">IF(M297="","",N(IFERROR(INDEX('Item Master'!$E$6:$E$105,MATCH(C297,'Item Master'!$A$6:$A$105,0)),0))+SUMIFS($F$7:$F$506,$C$7:$C$506,C297,$E$7:$E$506,"In",$M$7:$M$506,"&lt;="&amp;M297)-SUMIFS($F$7:$F$506,$C$7:$C$506,C297,$E$7:$E$506,"Out",$M$7:$M$506,"&lt;="&amp;M297))</f>
        <v/>
      </c>
      <c r="L297" s="44" t="str">
        <f aca="false">IF(AND(B297="",C297="",F297=""),"",IF(C297="","⚠ Pick item",IF(D297="?","⚠ Code not in Item Master",IF(B297="","⚠ Enter date",IF(OR(E297="",N(F297)&lt;=0),"⚠ Type / quantity missing",IF(AND(E297="In",G297=""),"⚠ Enter purchase rate",IF(OR(B297&lt;Setup!$C$6,B297&gt;Setup!$C$7),"Outside period",IF(K297&lt;0,"⚠ Stock goes negative","✔ OK"))))))))</f>
        <v/>
      </c>
      <c r="M297" s="9" t="str">
        <f aca="false">IF(OR(C297="",B297=""),"",B297+ROW()/1000000)</f>
        <v/>
      </c>
      <c r="N297" s="9" t="str">
        <f aca="false">IF(AND(E297="In",M297&lt;&gt;""),SUMIFS($F$7:$F$506,$C$7:$C$506,C297,$E$7:$E$506,"In",$M$7:$M$506,"&gt;"&amp;M297),"")</f>
        <v/>
      </c>
      <c r="O297" s="9" t="str">
        <f aca="false">IF(N297="","",IFERROR(INDEX('Item Master'!$K$6:$K$105,MATCH(C297,'Item Master'!$A$6:$A$105,0)),0))</f>
        <v/>
      </c>
      <c r="P297" s="9" t="n">
        <f aca="false">IF(N297="",0,MAX(0,MIN(N(F297),O297-N297))*N(G297))</f>
        <v>0</v>
      </c>
      <c r="Q297" s="9" t="str">
        <f aca="false">IF(AND(C297&lt;&gt;"",C297='Stock Ledger'!$C$4),M297,"")</f>
        <v/>
      </c>
    </row>
    <row r="298" customFormat="false" ht="15" hidden="false" customHeight="false" outlineLevel="0" collapsed="false">
      <c r="A298" s="45" t="str">
        <f aca="false">IF(C298="","",ROW()-6)</f>
        <v/>
      </c>
      <c r="B298" s="85"/>
      <c r="C298" s="80"/>
      <c r="D298" s="47" t="str">
        <f aca="false">IF(C298="","",IFERROR(INDEX('Item Master'!$B$6:$B$105,MATCH(C298,'Item Master'!$A$6:$A$105,0)),"?"))</f>
        <v/>
      </c>
      <c r="E298" s="82"/>
      <c r="F298" s="83"/>
      <c r="G298" s="84"/>
      <c r="H298" s="81"/>
      <c r="I298" s="80"/>
      <c r="J298" s="41" t="str">
        <f aca="false">IF(OR(C298="",G298=""),"",N(F298)*N(G298))</f>
        <v/>
      </c>
      <c r="K298" s="48" t="str">
        <f aca="false">IF(M298="","",N(IFERROR(INDEX('Item Master'!$E$6:$E$105,MATCH(C298,'Item Master'!$A$6:$A$105,0)),0))+SUMIFS($F$7:$F$506,$C$7:$C$506,C298,$E$7:$E$506,"In",$M$7:$M$506,"&lt;="&amp;M298)-SUMIFS($F$7:$F$506,$C$7:$C$506,C298,$E$7:$E$506,"Out",$M$7:$M$506,"&lt;="&amp;M298))</f>
        <v/>
      </c>
      <c r="L298" s="44" t="str">
        <f aca="false">IF(AND(B298="",C298="",F298=""),"",IF(C298="","⚠ Pick item",IF(D298="?","⚠ Code not in Item Master",IF(B298="","⚠ Enter date",IF(OR(E298="",N(F298)&lt;=0),"⚠ Type / quantity missing",IF(AND(E298="In",G298=""),"⚠ Enter purchase rate",IF(OR(B298&lt;Setup!$C$6,B298&gt;Setup!$C$7),"Outside period",IF(K298&lt;0,"⚠ Stock goes negative","✔ OK"))))))))</f>
        <v/>
      </c>
      <c r="M298" s="9" t="str">
        <f aca="false">IF(OR(C298="",B298=""),"",B298+ROW()/1000000)</f>
        <v/>
      </c>
      <c r="N298" s="9" t="str">
        <f aca="false">IF(AND(E298="In",M298&lt;&gt;""),SUMIFS($F$7:$F$506,$C$7:$C$506,C298,$E$7:$E$506,"In",$M$7:$M$506,"&gt;"&amp;M298),"")</f>
        <v/>
      </c>
      <c r="O298" s="9" t="str">
        <f aca="false">IF(N298="","",IFERROR(INDEX('Item Master'!$K$6:$K$105,MATCH(C298,'Item Master'!$A$6:$A$105,0)),0))</f>
        <v/>
      </c>
      <c r="P298" s="9" t="n">
        <f aca="false">IF(N298="",0,MAX(0,MIN(N(F298),O298-N298))*N(G298))</f>
        <v>0</v>
      </c>
      <c r="Q298" s="9" t="str">
        <f aca="false">IF(AND(C298&lt;&gt;"",C298='Stock Ledger'!$C$4),M298,"")</f>
        <v/>
      </c>
    </row>
    <row r="299" customFormat="false" ht="15" hidden="false" customHeight="false" outlineLevel="0" collapsed="false">
      <c r="A299" s="45" t="str">
        <f aca="false">IF(C299="","",ROW()-6)</f>
        <v/>
      </c>
      <c r="B299" s="85"/>
      <c r="C299" s="80"/>
      <c r="D299" s="47" t="str">
        <f aca="false">IF(C299="","",IFERROR(INDEX('Item Master'!$B$6:$B$105,MATCH(C299,'Item Master'!$A$6:$A$105,0)),"?"))</f>
        <v/>
      </c>
      <c r="E299" s="82"/>
      <c r="F299" s="83"/>
      <c r="G299" s="84"/>
      <c r="H299" s="81"/>
      <c r="I299" s="80"/>
      <c r="J299" s="41" t="str">
        <f aca="false">IF(OR(C299="",G299=""),"",N(F299)*N(G299))</f>
        <v/>
      </c>
      <c r="K299" s="48" t="str">
        <f aca="false">IF(M299="","",N(IFERROR(INDEX('Item Master'!$E$6:$E$105,MATCH(C299,'Item Master'!$A$6:$A$105,0)),0))+SUMIFS($F$7:$F$506,$C$7:$C$506,C299,$E$7:$E$506,"In",$M$7:$M$506,"&lt;="&amp;M299)-SUMIFS($F$7:$F$506,$C$7:$C$506,C299,$E$7:$E$506,"Out",$M$7:$M$506,"&lt;="&amp;M299))</f>
        <v/>
      </c>
      <c r="L299" s="44" t="str">
        <f aca="false">IF(AND(B299="",C299="",F299=""),"",IF(C299="","⚠ Pick item",IF(D299="?","⚠ Code not in Item Master",IF(B299="","⚠ Enter date",IF(OR(E299="",N(F299)&lt;=0),"⚠ Type / quantity missing",IF(AND(E299="In",G299=""),"⚠ Enter purchase rate",IF(OR(B299&lt;Setup!$C$6,B299&gt;Setup!$C$7),"Outside period",IF(K299&lt;0,"⚠ Stock goes negative","✔ OK"))))))))</f>
        <v/>
      </c>
      <c r="M299" s="9" t="str">
        <f aca="false">IF(OR(C299="",B299=""),"",B299+ROW()/1000000)</f>
        <v/>
      </c>
      <c r="N299" s="9" t="str">
        <f aca="false">IF(AND(E299="In",M299&lt;&gt;""),SUMIFS($F$7:$F$506,$C$7:$C$506,C299,$E$7:$E$506,"In",$M$7:$M$506,"&gt;"&amp;M299),"")</f>
        <v/>
      </c>
      <c r="O299" s="9" t="str">
        <f aca="false">IF(N299="","",IFERROR(INDEX('Item Master'!$K$6:$K$105,MATCH(C299,'Item Master'!$A$6:$A$105,0)),0))</f>
        <v/>
      </c>
      <c r="P299" s="9" t="n">
        <f aca="false">IF(N299="",0,MAX(0,MIN(N(F299),O299-N299))*N(G299))</f>
        <v>0</v>
      </c>
      <c r="Q299" s="9" t="str">
        <f aca="false">IF(AND(C299&lt;&gt;"",C299='Stock Ledger'!$C$4),M299,"")</f>
        <v/>
      </c>
    </row>
    <row r="300" customFormat="false" ht="15" hidden="false" customHeight="false" outlineLevel="0" collapsed="false">
      <c r="A300" s="45" t="str">
        <f aca="false">IF(C300="","",ROW()-6)</f>
        <v/>
      </c>
      <c r="B300" s="85"/>
      <c r="C300" s="80"/>
      <c r="D300" s="47" t="str">
        <f aca="false">IF(C300="","",IFERROR(INDEX('Item Master'!$B$6:$B$105,MATCH(C300,'Item Master'!$A$6:$A$105,0)),"?"))</f>
        <v/>
      </c>
      <c r="E300" s="82"/>
      <c r="F300" s="83"/>
      <c r="G300" s="84"/>
      <c r="H300" s="81"/>
      <c r="I300" s="80"/>
      <c r="J300" s="41" t="str">
        <f aca="false">IF(OR(C300="",G300=""),"",N(F300)*N(G300))</f>
        <v/>
      </c>
      <c r="K300" s="48" t="str">
        <f aca="false">IF(M300="","",N(IFERROR(INDEX('Item Master'!$E$6:$E$105,MATCH(C300,'Item Master'!$A$6:$A$105,0)),0))+SUMIFS($F$7:$F$506,$C$7:$C$506,C300,$E$7:$E$506,"In",$M$7:$M$506,"&lt;="&amp;M300)-SUMIFS($F$7:$F$506,$C$7:$C$506,C300,$E$7:$E$506,"Out",$M$7:$M$506,"&lt;="&amp;M300))</f>
        <v/>
      </c>
      <c r="L300" s="44" t="str">
        <f aca="false">IF(AND(B300="",C300="",F300=""),"",IF(C300="","⚠ Pick item",IF(D300="?","⚠ Code not in Item Master",IF(B300="","⚠ Enter date",IF(OR(E300="",N(F300)&lt;=0),"⚠ Type / quantity missing",IF(AND(E300="In",G300=""),"⚠ Enter purchase rate",IF(OR(B300&lt;Setup!$C$6,B300&gt;Setup!$C$7),"Outside period",IF(K300&lt;0,"⚠ Stock goes negative","✔ OK"))))))))</f>
        <v/>
      </c>
      <c r="M300" s="9" t="str">
        <f aca="false">IF(OR(C300="",B300=""),"",B300+ROW()/1000000)</f>
        <v/>
      </c>
      <c r="N300" s="9" t="str">
        <f aca="false">IF(AND(E300="In",M300&lt;&gt;""),SUMIFS($F$7:$F$506,$C$7:$C$506,C300,$E$7:$E$506,"In",$M$7:$M$506,"&gt;"&amp;M300),"")</f>
        <v/>
      </c>
      <c r="O300" s="9" t="str">
        <f aca="false">IF(N300="","",IFERROR(INDEX('Item Master'!$K$6:$K$105,MATCH(C300,'Item Master'!$A$6:$A$105,0)),0))</f>
        <v/>
      </c>
      <c r="P300" s="9" t="n">
        <f aca="false">IF(N300="",0,MAX(0,MIN(N(F300),O300-N300))*N(G300))</f>
        <v>0</v>
      </c>
      <c r="Q300" s="9" t="str">
        <f aca="false">IF(AND(C300&lt;&gt;"",C300='Stock Ledger'!$C$4),M300,"")</f>
        <v/>
      </c>
    </row>
    <row r="301" customFormat="false" ht="15" hidden="false" customHeight="false" outlineLevel="0" collapsed="false">
      <c r="A301" s="45" t="str">
        <f aca="false">IF(C301="","",ROW()-6)</f>
        <v/>
      </c>
      <c r="B301" s="85"/>
      <c r="C301" s="80"/>
      <c r="D301" s="47" t="str">
        <f aca="false">IF(C301="","",IFERROR(INDEX('Item Master'!$B$6:$B$105,MATCH(C301,'Item Master'!$A$6:$A$105,0)),"?"))</f>
        <v/>
      </c>
      <c r="E301" s="82"/>
      <c r="F301" s="83"/>
      <c r="G301" s="84"/>
      <c r="H301" s="81"/>
      <c r="I301" s="80"/>
      <c r="J301" s="41" t="str">
        <f aca="false">IF(OR(C301="",G301=""),"",N(F301)*N(G301))</f>
        <v/>
      </c>
      <c r="K301" s="48" t="str">
        <f aca="false">IF(M301="","",N(IFERROR(INDEX('Item Master'!$E$6:$E$105,MATCH(C301,'Item Master'!$A$6:$A$105,0)),0))+SUMIFS($F$7:$F$506,$C$7:$C$506,C301,$E$7:$E$506,"In",$M$7:$M$506,"&lt;="&amp;M301)-SUMIFS($F$7:$F$506,$C$7:$C$506,C301,$E$7:$E$506,"Out",$M$7:$M$506,"&lt;="&amp;M301))</f>
        <v/>
      </c>
      <c r="L301" s="44" t="str">
        <f aca="false">IF(AND(B301="",C301="",F301=""),"",IF(C301="","⚠ Pick item",IF(D301="?","⚠ Code not in Item Master",IF(B301="","⚠ Enter date",IF(OR(E301="",N(F301)&lt;=0),"⚠ Type / quantity missing",IF(AND(E301="In",G301=""),"⚠ Enter purchase rate",IF(OR(B301&lt;Setup!$C$6,B301&gt;Setup!$C$7),"Outside period",IF(K301&lt;0,"⚠ Stock goes negative","✔ OK"))))))))</f>
        <v/>
      </c>
      <c r="M301" s="9" t="str">
        <f aca="false">IF(OR(C301="",B301=""),"",B301+ROW()/1000000)</f>
        <v/>
      </c>
      <c r="N301" s="9" t="str">
        <f aca="false">IF(AND(E301="In",M301&lt;&gt;""),SUMIFS($F$7:$F$506,$C$7:$C$506,C301,$E$7:$E$506,"In",$M$7:$M$506,"&gt;"&amp;M301),"")</f>
        <v/>
      </c>
      <c r="O301" s="9" t="str">
        <f aca="false">IF(N301="","",IFERROR(INDEX('Item Master'!$K$6:$K$105,MATCH(C301,'Item Master'!$A$6:$A$105,0)),0))</f>
        <v/>
      </c>
      <c r="P301" s="9" t="n">
        <f aca="false">IF(N301="",0,MAX(0,MIN(N(F301),O301-N301))*N(G301))</f>
        <v>0</v>
      </c>
      <c r="Q301" s="9" t="str">
        <f aca="false">IF(AND(C301&lt;&gt;"",C301='Stock Ledger'!$C$4),M301,"")</f>
        <v/>
      </c>
    </row>
    <row r="302" customFormat="false" ht="15" hidden="false" customHeight="false" outlineLevel="0" collapsed="false">
      <c r="A302" s="45" t="str">
        <f aca="false">IF(C302="","",ROW()-6)</f>
        <v/>
      </c>
      <c r="B302" s="85"/>
      <c r="C302" s="80"/>
      <c r="D302" s="47" t="str">
        <f aca="false">IF(C302="","",IFERROR(INDEX('Item Master'!$B$6:$B$105,MATCH(C302,'Item Master'!$A$6:$A$105,0)),"?"))</f>
        <v/>
      </c>
      <c r="E302" s="82"/>
      <c r="F302" s="83"/>
      <c r="G302" s="84"/>
      <c r="H302" s="81"/>
      <c r="I302" s="80"/>
      <c r="J302" s="41" t="str">
        <f aca="false">IF(OR(C302="",G302=""),"",N(F302)*N(G302))</f>
        <v/>
      </c>
      <c r="K302" s="48" t="str">
        <f aca="false">IF(M302="","",N(IFERROR(INDEX('Item Master'!$E$6:$E$105,MATCH(C302,'Item Master'!$A$6:$A$105,0)),0))+SUMIFS($F$7:$F$506,$C$7:$C$506,C302,$E$7:$E$506,"In",$M$7:$M$506,"&lt;="&amp;M302)-SUMIFS($F$7:$F$506,$C$7:$C$506,C302,$E$7:$E$506,"Out",$M$7:$M$506,"&lt;="&amp;M302))</f>
        <v/>
      </c>
      <c r="L302" s="44" t="str">
        <f aca="false">IF(AND(B302="",C302="",F302=""),"",IF(C302="","⚠ Pick item",IF(D302="?","⚠ Code not in Item Master",IF(B302="","⚠ Enter date",IF(OR(E302="",N(F302)&lt;=0),"⚠ Type / quantity missing",IF(AND(E302="In",G302=""),"⚠ Enter purchase rate",IF(OR(B302&lt;Setup!$C$6,B302&gt;Setup!$C$7),"Outside period",IF(K302&lt;0,"⚠ Stock goes negative","✔ OK"))))))))</f>
        <v/>
      </c>
      <c r="M302" s="9" t="str">
        <f aca="false">IF(OR(C302="",B302=""),"",B302+ROW()/1000000)</f>
        <v/>
      </c>
      <c r="N302" s="9" t="str">
        <f aca="false">IF(AND(E302="In",M302&lt;&gt;""),SUMIFS($F$7:$F$506,$C$7:$C$506,C302,$E$7:$E$506,"In",$M$7:$M$506,"&gt;"&amp;M302),"")</f>
        <v/>
      </c>
      <c r="O302" s="9" t="str">
        <f aca="false">IF(N302="","",IFERROR(INDEX('Item Master'!$K$6:$K$105,MATCH(C302,'Item Master'!$A$6:$A$105,0)),0))</f>
        <v/>
      </c>
      <c r="P302" s="9" t="n">
        <f aca="false">IF(N302="",0,MAX(0,MIN(N(F302),O302-N302))*N(G302))</f>
        <v>0</v>
      </c>
      <c r="Q302" s="9" t="str">
        <f aca="false">IF(AND(C302&lt;&gt;"",C302='Stock Ledger'!$C$4),M302,"")</f>
        <v/>
      </c>
    </row>
    <row r="303" customFormat="false" ht="15" hidden="false" customHeight="false" outlineLevel="0" collapsed="false">
      <c r="A303" s="45" t="str">
        <f aca="false">IF(C303="","",ROW()-6)</f>
        <v/>
      </c>
      <c r="B303" s="85"/>
      <c r="C303" s="80"/>
      <c r="D303" s="47" t="str">
        <f aca="false">IF(C303="","",IFERROR(INDEX('Item Master'!$B$6:$B$105,MATCH(C303,'Item Master'!$A$6:$A$105,0)),"?"))</f>
        <v/>
      </c>
      <c r="E303" s="82"/>
      <c r="F303" s="83"/>
      <c r="G303" s="84"/>
      <c r="H303" s="81"/>
      <c r="I303" s="80"/>
      <c r="J303" s="41" t="str">
        <f aca="false">IF(OR(C303="",G303=""),"",N(F303)*N(G303))</f>
        <v/>
      </c>
      <c r="K303" s="48" t="str">
        <f aca="false">IF(M303="","",N(IFERROR(INDEX('Item Master'!$E$6:$E$105,MATCH(C303,'Item Master'!$A$6:$A$105,0)),0))+SUMIFS($F$7:$F$506,$C$7:$C$506,C303,$E$7:$E$506,"In",$M$7:$M$506,"&lt;="&amp;M303)-SUMIFS($F$7:$F$506,$C$7:$C$506,C303,$E$7:$E$506,"Out",$M$7:$M$506,"&lt;="&amp;M303))</f>
        <v/>
      </c>
      <c r="L303" s="44" t="str">
        <f aca="false">IF(AND(B303="",C303="",F303=""),"",IF(C303="","⚠ Pick item",IF(D303="?","⚠ Code not in Item Master",IF(B303="","⚠ Enter date",IF(OR(E303="",N(F303)&lt;=0),"⚠ Type / quantity missing",IF(AND(E303="In",G303=""),"⚠ Enter purchase rate",IF(OR(B303&lt;Setup!$C$6,B303&gt;Setup!$C$7),"Outside period",IF(K303&lt;0,"⚠ Stock goes negative","✔ OK"))))))))</f>
        <v/>
      </c>
      <c r="M303" s="9" t="str">
        <f aca="false">IF(OR(C303="",B303=""),"",B303+ROW()/1000000)</f>
        <v/>
      </c>
      <c r="N303" s="9" t="str">
        <f aca="false">IF(AND(E303="In",M303&lt;&gt;""),SUMIFS($F$7:$F$506,$C$7:$C$506,C303,$E$7:$E$506,"In",$M$7:$M$506,"&gt;"&amp;M303),"")</f>
        <v/>
      </c>
      <c r="O303" s="9" t="str">
        <f aca="false">IF(N303="","",IFERROR(INDEX('Item Master'!$K$6:$K$105,MATCH(C303,'Item Master'!$A$6:$A$105,0)),0))</f>
        <v/>
      </c>
      <c r="P303" s="9" t="n">
        <f aca="false">IF(N303="",0,MAX(0,MIN(N(F303),O303-N303))*N(G303))</f>
        <v>0</v>
      </c>
      <c r="Q303" s="9" t="str">
        <f aca="false">IF(AND(C303&lt;&gt;"",C303='Stock Ledger'!$C$4),M303,"")</f>
        <v/>
      </c>
    </row>
    <row r="304" customFormat="false" ht="15" hidden="false" customHeight="false" outlineLevel="0" collapsed="false">
      <c r="A304" s="45" t="str">
        <f aca="false">IF(C304="","",ROW()-6)</f>
        <v/>
      </c>
      <c r="B304" s="85"/>
      <c r="C304" s="80"/>
      <c r="D304" s="47" t="str">
        <f aca="false">IF(C304="","",IFERROR(INDEX('Item Master'!$B$6:$B$105,MATCH(C304,'Item Master'!$A$6:$A$105,0)),"?"))</f>
        <v/>
      </c>
      <c r="E304" s="82"/>
      <c r="F304" s="83"/>
      <c r="G304" s="84"/>
      <c r="H304" s="81"/>
      <c r="I304" s="80"/>
      <c r="J304" s="41" t="str">
        <f aca="false">IF(OR(C304="",G304=""),"",N(F304)*N(G304))</f>
        <v/>
      </c>
      <c r="K304" s="48" t="str">
        <f aca="false">IF(M304="","",N(IFERROR(INDEX('Item Master'!$E$6:$E$105,MATCH(C304,'Item Master'!$A$6:$A$105,0)),0))+SUMIFS($F$7:$F$506,$C$7:$C$506,C304,$E$7:$E$506,"In",$M$7:$M$506,"&lt;="&amp;M304)-SUMIFS($F$7:$F$506,$C$7:$C$506,C304,$E$7:$E$506,"Out",$M$7:$M$506,"&lt;="&amp;M304))</f>
        <v/>
      </c>
      <c r="L304" s="44" t="str">
        <f aca="false">IF(AND(B304="",C304="",F304=""),"",IF(C304="","⚠ Pick item",IF(D304="?","⚠ Code not in Item Master",IF(B304="","⚠ Enter date",IF(OR(E304="",N(F304)&lt;=0),"⚠ Type / quantity missing",IF(AND(E304="In",G304=""),"⚠ Enter purchase rate",IF(OR(B304&lt;Setup!$C$6,B304&gt;Setup!$C$7),"Outside period",IF(K304&lt;0,"⚠ Stock goes negative","✔ OK"))))))))</f>
        <v/>
      </c>
      <c r="M304" s="9" t="str">
        <f aca="false">IF(OR(C304="",B304=""),"",B304+ROW()/1000000)</f>
        <v/>
      </c>
      <c r="N304" s="9" t="str">
        <f aca="false">IF(AND(E304="In",M304&lt;&gt;""),SUMIFS($F$7:$F$506,$C$7:$C$506,C304,$E$7:$E$506,"In",$M$7:$M$506,"&gt;"&amp;M304),"")</f>
        <v/>
      </c>
      <c r="O304" s="9" t="str">
        <f aca="false">IF(N304="","",IFERROR(INDEX('Item Master'!$K$6:$K$105,MATCH(C304,'Item Master'!$A$6:$A$105,0)),0))</f>
        <v/>
      </c>
      <c r="P304" s="9" t="n">
        <f aca="false">IF(N304="",0,MAX(0,MIN(N(F304),O304-N304))*N(G304))</f>
        <v>0</v>
      </c>
      <c r="Q304" s="9" t="str">
        <f aca="false">IF(AND(C304&lt;&gt;"",C304='Stock Ledger'!$C$4),M304,"")</f>
        <v/>
      </c>
    </row>
    <row r="305" customFormat="false" ht="15" hidden="false" customHeight="false" outlineLevel="0" collapsed="false">
      <c r="A305" s="45" t="str">
        <f aca="false">IF(C305="","",ROW()-6)</f>
        <v/>
      </c>
      <c r="B305" s="85"/>
      <c r="C305" s="80"/>
      <c r="D305" s="47" t="str">
        <f aca="false">IF(C305="","",IFERROR(INDEX('Item Master'!$B$6:$B$105,MATCH(C305,'Item Master'!$A$6:$A$105,0)),"?"))</f>
        <v/>
      </c>
      <c r="E305" s="82"/>
      <c r="F305" s="83"/>
      <c r="G305" s="84"/>
      <c r="H305" s="81"/>
      <c r="I305" s="80"/>
      <c r="J305" s="41" t="str">
        <f aca="false">IF(OR(C305="",G305=""),"",N(F305)*N(G305))</f>
        <v/>
      </c>
      <c r="K305" s="48" t="str">
        <f aca="false">IF(M305="","",N(IFERROR(INDEX('Item Master'!$E$6:$E$105,MATCH(C305,'Item Master'!$A$6:$A$105,0)),0))+SUMIFS($F$7:$F$506,$C$7:$C$506,C305,$E$7:$E$506,"In",$M$7:$M$506,"&lt;="&amp;M305)-SUMIFS($F$7:$F$506,$C$7:$C$506,C305,$E$7:$E$506,"Out",$M$7:$M$506,"&lt;="&amp;M305))</f>
        <v/>
      </c>
      <c r="L305" s="44" t="str">
        <f aca="false">IF(AND(B305="",C305="",F305=""),"",IF(C305="","⚠ Pick item",IF(D305="?","⚠ Code not in Item Master",IF(B305="","⚠ Enter date",IF(OR(E305="",N(F305)&lt;=0),"⚠ Type / quantity missing",IF(AND(E305="In",G305=""),"⚠ Enter purchase rate",IF(OR(B305&lt;Setup!$C$6,B305&gt;Setup!$C$7),"Outside period",IF(K305&lt;0,"⚠ Stock goes negative","✔ OK"))))))))</f>
        <v/>
      </c>
      <c r="M305" s="9" t="str">
        <f aca="false">IF(OR(C305="",B305=""),"",B305+ROW()/1000000)</f>
        <v/>
      </c>
      <c r="N305" s="9" t="str">
        <f aca="false">IF(AND(E305="In",M305&lt;&gt;""),SUMIFS($F$7:$F$506,$C$7:$C$506,C305,$E$7:$E$506,"In",$M$7:$M$506,"&gt;"&amp;M305),"")</f>
        <v/>
      </c>
      <c r="O305" s="9" t="str">
        <f aca="false">IF(N305="","",IFERROR(INDEX('Item Master'!$K$6:$K$105,MATCH(C305,'Item Master'!$A$6:$A$105,0)),0))</f>
        <v/>
      </c>
      <c r="P305" s="9" t="n">
        <f aca="false">IF(N305="",0,MAX(0,MIN(N(F305),O305-N305))*N(G305))</f>
        <v>0</v>
      </c>
      <c r="Q305" s="9" t="str">
        <f aca="false">IF(AND(C305&lt;&gt;"",C305='Stock Ledger'!$C$4),M305,"")</f>
        <v/>
      </c>
    </row>
    <row r="306" customFormat="false" ht="15" hidden="false" customHeight="false" outlineLevel="0" collapsed="false">
      <c r="A306" s="45" t="str">
        <f aca="false">IF(C306="","",ROW()-6)</f>
        <v/>
      </c>
      <c r="B306" s="85"/>
      <c r="C306" s="80"/>
      <c r="D306" s="47" t="str">
        <f aca="false">IF(C306="","",IFERROR(INDEX('Item Master'!$B$6:$B$105,MATCH(C306,'Item Master'!$A$6:$A$105,0)),"?"))</f>
        <v/>
      </c>
      <c r="E306" s="82"/>
      <c r="F306" s="83"/>
      <c r="G306" s="84"/>
      <c r="H306" s="81"/>
      <c r="I306" s="80"/>
      <c r="J306" s="41" t="str">
        <f aca="false">IF(OR(C306="",G306=""),"",N(F306)*N(G306))</f>
        <v/>
      </c>
      <c r="K306" s="48" t="str">
        <f aca="false">IF(M306="","",N(IFERROR(INDEX('Item Master'!$E$6:$E$105,MATCH(C306,'Item Master'!$A$6:$A$105,0)),0))+SUMIFS($F$7:$F$506,$C$7:$C$506,C306,$E$7:$E$506,"In",$M$7:$M$506,"&lt;="&amp;M306)-SUMIFS($F$7:$F$506,$C$7:$C$506,C306,$E$7:$E$506,"Out",$M$7:$M$506,"&lt;="&amp;M306))</f>
        <v/>
      </c>
      <c r="L306" s="44" t="str">
        <f aca="false">IF(AND(B306="",C306="",F306=""),"",IF(C306="","⚠ Pick item",IF(D306="?","⚠ Code not in Item Master",IF(B306="","⚠ Enter date",IF(OR(E306="",N(F306)&lt;=0),"⚠ Type / quantity missing",IF(AND(E306="In",G306=""),"⚠ Enter purchase rate",IF(OR(B306&lt;Setup!$C$6,B306&gt;Setup!$C$7),"Outside period",IF(K306&lt;0,"⚠ Stock goes negative","✔ OK"))))))))</f>
        <v/>
      </c>
      <c r="M306" s="9" t="str">
        <f aca="false">IF(OR(C306="",B306=""),"",B306+ROW()/1000000)</f>
        <v/>
      </c>
      <c r="N306" s="9" t="str">
        <f aca="false">IF(AND(E306="In",M306&lt;&gt;""),SUMIFS($F$7:$F$506,$C$7:$C$506,C306,$E$7:$E$506,"In",$M$7:$M$506,"&gt;"&amp;M306),"")</f>
        <v/>
      </c>
      <c r="O306" s="9" t="str">
        <f aca="false">IF(N306="","",IFERROR(INDEX('Item Master'!$K$6:$K$105,MATCH(C306,'Item Master'!$A$6:$A$105,0)),0))</f>
        <v/>
      </c>
      <c r="P306" s="9" t="n">
        <f aca="false">IF(N306="",0,MAX(0,MIN(N(F306),O306-N306))*N(G306))</f>
        <v>0</v>
      </c>
      <c r="Q306" s="9" t="str">
        <f aca="false">IF(AND(C306&lt;&gt;"",C306='Stock Ledger'!$C$4),M306,"")</f>
        <v/>
      </c>
    </row>
    <row r="307" customFormat="false" ht="15" hidden="false" customHeight="false" outlineLevel="0" collapsed="false">
      <c r="A307" s="45" t="str">
        <f aca="false">IF(C307="","",ROW()-6)</f>
        <v/>
      </c>
      <c r="B307" s="85"/>
      <c r="C307" s="80"/>
      <c r="D307" s="47" t="str">
        <f aca="false">IF(C307="","",IFERROR(INDEX('Item Master'!$B$6:$B$105,MATCH(C307,'Item Master'!$A$6:$A$105,0)),"?"))</f>
        <v/>
      </c>
      <c r="E307" s="82"/>
      <c r="F307" s="83"/>
      <c r="G307" s="84"/>
      <c r="H307" s="81"/>
      <c r="I307" s="80"/>
      <c r="J307" s="41" t="str">
        <f aca="false">IF(OR(C307="",G307=""),"",N(F307)*N(G307))</f>
        <v/>
      </c>
      <c r="K307" s="48" t="str">
        <f aca="false">IF(M307="","",N(IFERROR(INDEX('Item Master'!$E$6:$E$105,MATCH(C307,'Item Master'!$A$6:$A$105,0)),0))+SUMIFS($F$7:$F$506,$C$7:$C$506,C307,$E$7:$E$506,"In",$M$7:$M$506,"&lt;="&amp;M307)-SUMIFS($F$7:$F$506,$C$7:$C$506,C307,$E$7:$E$506,"Out",$M$7:$M$506,"&lt;="&amp;M307))</f>
        <v/>
      </c>
      <c r="L307" s="44" t="str">
        <f aca="false">IF(AND(B307="",C307="",F307=""),"",IF(C307="","⚠ Pick item",IF(D307="?","⚠ Code not in Item Master",IF(B307="","⚠ Enter date",IF(OR(E307="",N(F307)&lt;=0),"⚠ Type / quantity missing",IF(AND(E307="In",G307=""),"⚠ Enter purchase rate",IF(OR(B307&lt;Setup!$C$6,B307&gt;Setup!$C$7),"Outside period",IF(K307&lt;0,"⚠ Stock goes negative","✔ OK"))))))))</f>
        <v/>
      </c>
      <c r="M307" s="9" t="str">
        <f aca="false">IF(OR(C307="",B307=""),"",B307+ROW()/1000000)</f>
        <v/>
      </c>
      <c r="N307" s="9" t="str">
        <f aca="false">IF(AND(E307="In",M307&lt;&gt;""),SUMIFS($F$7:$F$506,$C$7:$C$506,C307,$E$7:$E$506,"In",$M$7:$M$506,"&gt;"&amp;M307),"")</f>
        <v/>
      </c>
      <c r="O307" s="9" t="str">
        <f aca="false">IF(N307="","",IFERROR(INDEX('Item Master'!$K$6:$K$105,MATCH(C307,'Item Master'!$A$6:$A$105,0)),0))</f>
        <v/>
      </c>
      <c r="P307" s="9" t="n">
        <f aca="false">IF(N307="",0,MAX(0,MIN(N(F307),O307-N307))*N(G307))</f>
        <v>0</v>
      </c>
      <c r="Q307" s="9" t="str">
        <f aca="false">IF(AND(C307&lt;&gt;"",C307='Stock Ledger'!$C$4),M307,"")</f>
        <v/>
      </c>
    </row>
    <row r="308" customFormat="false" ht="15" hidden="false" customHeight="false" outlineLevel="0" collapsed="false">
      <c r="A308" s="45" t="str">
        <f aca="false">IF(C308="","",ROW()-6)</f>
        <v/>
      </c>
      <c r="B308" s="85"/>
      <c r="C308" s="80"/>
      <c r="D308" s="47" t="str">
        <f aca="false">IF(C308="","",IFERROR(INDEX('Item Master'!$B$6:$B$105,MATCH(C308,'Item Master'!$A$6:$A$105,0)),"?"))</f>
        <v/>
      </c>
      <c r="E308" s="82"/>
      <c r="F308" s="83"/>
      <c r="G308" s="84"/>
      <c r="H308" s="81"/>
      <c r="I308" s="80"/>
      <c r="J308" s="41" t="str">
        <f aca="false">IF(OR(C308="",G308=""),"",N(F308)*N(G308))</f>
        <v/>
      </c>
      <c r="K308" s="48" t="str">
        <f aca="false">IF(M308="","",N(IFERROR(INDEX('Item Master'!$E$6:$E$105,MATCH(C308,'Item Master'!$A$6:$A$105,0)),0))+SUMIFS($F$7:$F$506,$C$7:$C$506,C308,$E$7:$E$506,"In",$M$7:$M$506,"&lt;="&amp;M308)-SUMIFS($F$7:$F$506,$C$7:$C$506,C308,$E$7:$E$506,"Out",$M$7:$M$506,"&lt;="&amp;M308))</f>
        <v/>
      </c>
      <c r="L308" s="44" t="str">
        <f aca="false">IF(AND(B308="",C308="",F308=""),"",IF(C308="","⚠ Pick item",IF(D308="?","⚠ Code not in Item Master",IF(B308="","⚠ Enter date",IF(OR(E308="",N(F308)&lt;=0),"⚠ Type / quantity missing",IF(AND(E308="In",G308=""),"⚠ Enter purchase rate",IF(OR(B308&lt;Setup!$C$6,B308&gt;Setup!$C$7),"Outside period",IF(K308&lt;0,"⚠ Stock goes negative","✔ OK"))))))))</f>
        <v/>
      </c>
      <c r="M308" s="9" t="str">
        <f aca="false">IF(OR(C308="",B308=""),"",B308+ROW()/1000000)</f>
        <v/>
      </c>
      <c r="N308" s="9" t="str">
        <f aca="false">IF(AND(E308="In",M308&lt;&gt;""),SUMIFS($F$7:$F$506,$C$7:$C$506,C308,$E$7:$E$506,"In",$M$7:$M$506,"&gt;"&amp;M308),"")</f>
        <v/>
      </c>
      <c r="O308" s="9" t="str">
        <f aca="false">IF(N308="","",IFERROR(INDEX('Item Master'!$K$6:$K$105,MATCH(C308,'Item Master'!$A$6:$A$105,0)),0))</f>
        <v/>
      </c>
      <c r="P308" s="9" t="n">
        <f aca="false">IF(N308="",0,MAX(0,MIN(N(F308),O308-N308))*N(G308))</f>
        <v>0</v>
      </c>
      <c r="Q308" s="9" t="str">
        <f aca="false">IF(AND(C308&lt;&gt;"",C308='Stock Ledger'!$C$4),M308,"")</f>
        <v/>
      </c>
    </row>
    <row r="309" customFormat="false" ht="15" hidden="false" customHeight="false" outlineLevel="0" collapsed="false">
      <c r="A309" s="45" t="str">
        <f aca="false">IF(C309="","",ROW()-6)</f>
        <v/>
      </c>
      <c r="B309" s="85"/>
      <c r="C309" s="80"/>
      <c r="D309" s="47" t="str">
        <f aca="false">IF(C309="","",IFERROR(INDEX('Item Master'!$B$6:$B$105,MATCH(C309,'Item Master'!$A$6:$A$105,0)),"?"))</f>
        <v/>
      </c>
      <c r="E309" s="82"/>
      <c r="F309" s="83"/>
      <c r="G309" s="84"/>
      <c r="H309" s="81"/>
      <c r="I309" s="80"/>
      <c r="J309" s="41" t="str">
        <f aca="false">IF(OR(C309="",G309=""),"",N(F309)*N(G309))</f>
        <v/>
      </c>
      <c r="K309" s="48" t="str">
        <f aca="false">IF(M309="","",N(IFERROR(INDEX('Item Master'!$E$6:$E$105,MATCH(C309,'Item Master'!$A$6:$A$105,0)),0))+SUMIFS($F$7:$F$506,$C$7:$C$506,C309,$E$7:$E$506,"In",$M$7:$M$506,"&lt;="&amp;M309)-SUMIFS($F$7:$F$506,$C$7:$C$506,C309,$E$7:$E$506,"Out",$M$7:$M$506,"&lt;="&amp;M309))</f>
        <v/>
      </c>
      <c r="L309" s="44" t="str">
        <f aca="false">IF(AND(B309="",C309="",F309=""),"",IF(C309="","⚠ Pick item",IF(D309="?","⚠ Code not in Item Master",IF(B309="","⚠ Enter date",IF(OR(E309="",N(F309)&lt;=0),"⚠ Type / quantity missing",IF(AND(E309="In",G309=""),"⚠ Enter purchase rate",IF(OR(B309&lt;Setup!$C$6,B309&gt;Setup!$C$7),"Outside period",IF(K309&lt;0,"⚠ Stock goes negative","✔ OK"))))))))</f>
        <v/>
      </c>
      <c r="M309" s="9" t="str">
        <f aca="false">IF(OR(C309="",B309=""),"",B309+ROW()/1000000)</f>
        <v/>
      </c>
      <c r="N309" s="9" t="str">
        <f aca="false">IF(AND(E309="In",M309&lt;&gt;""),SUMIFS($F$7:$F$506,$C$7:$C$506,C309,$E$7:$E$506,"In",$M$7:$M$506,"&gt;"&amp;M309),"")</f>
        <v/>
      </c>
      <c r="O309" s="9" t="str">
        <f aca="false">IF(N309="","",IFERROR(INDEX('Item Master'!$K$6:$K$105,MATCH(C309,'Item Master'!$A$6:$A$105,0)),0))</f>
        <v/>
      </c>
      <c r="P309" s="9" t="n">
        <f aca="false">IF(N309="",0,MAX(0,MIN(N(F309),O309-N309))*N(G309))</f>
        <v>0</v>
      </c>
      <c r="Q309" s="9" t="str">
        <f aca="false">IF(AND(C309&lt;&gt;"",C309='Stock Ledger'!$C$4),M309,"")</f>
        <v/>
      </c>
    </row>
    <row r="310" customFormat="false" ht="15" hidden="false" customHeight="false" outlineLevel="0" collapsed="false">
      <c r="A310" s="45" t="str">
        <f aca="false">IF(C310="","",ROW()-6)</f>
        <v/>
      </c>
      <c r="B310" s="85"/>
      <c r="C310" s="80"/>
      <c r="D310" s="47" t="str">
        <f aca="false">IF(C310="","",IFERROR(INDEX('Item Master'!$B$6:$B$105,MATCH(C310,'Item Master'!$A$6:$A$105,0)),"?"))</f>
        <v/>
      </c>
      <c r="E310" s="82"/>
      <c r="F310" s="83"/>
      <c r="G310" s="84"/>
      <c r="H310" s="81"/>
      <c r="I310" s="80"/>
      <c r="J310" s="41" t="str">
        <f aca="false">IF(OR(C310="",G310=""),"",N(F310)*N(G310))</f>
        <v/>
      </c>
      <c r="K310" s="48" t="str">
        <f aca="false">IF(M310="","",N(IFERROR(INDEX('Item Master'!$E$6:$E$105,MATCH(C310,'Item Master'!$A$6:$A$105,0)),0))+SUMIFS($F$7:$F$506,$C$7:$C$506,C310,$E$7:$E$506,"In",$M$7:$M$506,"&lt;="&amp;M310)-SUMIFS($F$7:$F$506,$C$7:$C$506,C310,$E$7:$E$506,"Out",$M$7:$M$506,"&lt;="&amp;M310))</f>
        <v/>
      </c>
      <c r="L310" s="44" t="str">
        <f aca="false">IF(AND(B310="",C310="",F310=""),"",IF(C310="","⚠ Pick item",IF(D310="?","⚠ Code not in Item Master",IF(B310="","⚠ Enter date",IF(OR(E310="",N(F310)&lt;=0),"⚠ Type / quantity missing",IF(AND(E310="In",G310=""),"⚠ Enter purchase rate",IF(OR(B310&lt;Setup!$C$6,B310&gt;Setup!$C$7),"Outside period",IF(K310&lt;0,"⚠ Stock goes negative","✔ OK"))))))))</f>
        <v/>
      </c>
      <c r="M310" s="9" t="str">
        <f aca="false">IF(OR(C310="",B310=""),"",B310+ROW()/1000000)</f>
        <v/>
      </c>
      <c r="N310" s="9" t="str">
        <f aca="false">IF(AND(E310="In",M310&lt;&gt;""),SUMIFS($F$7:$F$506,$C$7:$C$506,C310,$E$7:$E$506,"In",$M$7:$M$506,"&gt;"&amp;M310),"")</f>
        <v/>
      </c>
      <c r="O310" s="9" t="str">
        <f aca="false">IF(N310="","",IFERROR(INDEX('Item Master'!$K$6:$K$105,MATCH(C310,'Item Master'!$A$6:$A$105,0)),0))</f>
        <v/>
      </c>
      <c r="P310" s="9" t="n">
        <f aca="false">IF(N310="",0,MAX(0,MIN(N(F310),O310-N310))*N(G310))</f>
        <v>0</v>
      </c>
      <c r="Q310" s="9" t="str">
        <f aca="false">IF(AND(C310&lt;&gt;"",C310='Stock Ledger'!$C$4),M310,"")</f>
        <v/>
      </c>
    </row>
    <row r="311" customFormat="false" ht="15" hidden="false" customHeight="false" outlineLevel="0" collapsed="false">
      <c r="A311" s="45" t="str">
        <f aca="false">IF(C311="","",ROW()-6)</f>
        <v/>
      </c>
      <c r="B311" s="85"/>
      <c r="C311" s="80"/>
      <c r="D311" s="47" t="str">
        <f aca="false">IF(C311="","",IFERROR(INDEX('Item Master'!$B$6:$B$105,MATCH(C311,'Item Master'!$A$6:$A$105,0)),"?"))</f>
        <v/>
      </c>
      <c r="E311" s="82"/>
      <c r="F311" s="83"/>
      <c r="G311" s="84"/>
      <c r="H311" s="81"/>
      <c r="I311" s="80"/>
      <c r="J311" s="41" t="str">
        <f aca="false">IF(OR(C311="",G311=""),"",N(F311)*N(G311))</f>
        <v/>
      </c>
      <c r="K311" s="48" t="str">
        <f aca="false">IF(M311="","",N(IFERROR(INDEX('Item Master'!$E$6:$E$105,MATCH(C311,'Item Master'!$A$6:$A$105,0)),0))+SUMIFS($F$7:$F$506,$C$7:$C$506,C311,$E$7:$E$506,"In",$M$7:$M$506,"&lt;="&amp;M311)-SUMIFS($F$7:$F$506,$C$7:$C$506,C311,$E$7:$E$506,"Out",$M$7:$M$506,"&lt;="&amp;M311))</f>
        <v/>
      </c>
      <c r="L311" s="44" t="str">
        <f aca="false">IF(AND(B311="",C311="",F311=""),"",IF(C311="","⚠ Pick item",IF(D311="?","⚠ Code not in Item Master",IF(B311="","⚠ Enter date",IF(OR(E311="",N(F311)&lt;=0),"⚠ Type / quantity missing",IF(AND(E311="In",G311=""),"⚠ Enter purchase rate",IF(OR(B311&lt;Setup!$C$6,B311&gt;Setup!$C$7),"Outside period",IF(K311&lt;0,"⚠ Stock goes negative","✔ OK"))))))))</f>
        <v/>
      </c>
      <c r="M311" s="9" t="str">
        <f aca="false">IF(OR(C311="",B311=""),"",B311+ROW()/1000000)</f>
        <v/>
      </c>
      <c r="N311" s="9" t="str">
        <f aca="false">IF(AND(E311="In",M311&lt;&gt;""),SUMIFS($F$7:$F$506,$C$7:$C$506,C311,$E$7:$E$506,"In",$M$7:$M$506,"&gt;"&amp;M311),"")</f>
        <v/>
      </c>
      <c r="O311" s="9" t="str">
        <f aca="false">IF(N311="","",IFERROR(INDEX('Item Master'!$K$6:$K$105,MATCH(C311,'Item Master'!$A$6:$A$105,0)),0))</f>
        <v/>
      </c>
      <c r="P311" s="9" t="n">
        <f aca="false">IF(N311="",0,MAX(0,MIN(N(F311),O311-N311))*N(G311))</f>
        <v>0</v>
      </c>
      <c r="Q311" s="9" t="str">
        <f aca="false">IF(AND(C311&lt;&gt;"",C311='Stock Ledger'!$C$4),M311,"")</f>
        <v/>
      </c>
    </row>
    <row r="312" customFormat="false" ht="15" hidden="false" customHeight="false" outlineLevel="0" collapsed="false">
      <c r="A312" s="45" t="str">
        <f aca="false">IF(C312="","",ROW()-6)</f>
        <v/>
      </c>
      <c r="B312" s="85"/>
      <c r="C312" s="80"/>
      <c r="D312" s="47" t="str">
        <f aca="false">IF(C312="","",IFERROR(INDEX('Item Master'!$B$6:$B$105,MATCH(C312,'Item Master'!$A$6:$A$105,0)),"?"))</f>
        <v/>
      </c>
      <c r="E312" s="82"/>
      <c r="F312" s="83"/>
      <c r="G312" s="84"/>
      <c r="H312" s="81"/>
      <c r="I312" s="80"/>
      <c r="J312" s="41" t="str">
        <f aca="false">IF(OR(C312="",G312=""),"",N(F312)*N(G312))</f>
        <v/>
      </c>
      <c r="K312" s="48" t="str">
        <f aca="false">IF(M312="","",N(IFERROR(INDEX('Item Master'!$E$6:$E$105,MATCH(C312,'Item Master'!$A$6:$A$105,0)),0))+SUMIFS($F$7:$F$506,$C$7:$C$506,C312,$E$7:$E$506,"In",$M$7:$M$506,"&lt;="&amp;M312)-SUMIFS($F$7:$F$506,$C$7:$C$506,C312,$E$7:$E$506,"Out",$M$7:$M$506,"&lt;="&amp;M312))</f>
        <v/>
      </c>
      <c r="L312" s="44" t="str">
        <f aca="false">IF(AND(B312="",C312="",F312=""),"",IF(C312="","⚠ Pick item",IF(D312="?","⚠ Code not in Item Master",IF(B312="","⚠ Enter date",IF(OR(E312="",N(F312)&lt;=0),"⚠ Type / quantity missing",IF(AND(E312="In",G312=""),"⚠ Enter purchase rate",IF(OR(B312&lt;Setup!$C$6,B312&gt;Setup!$C$7),"Outside period",IF(K312&lt;0,"⚠ Stock goes negative","✔ OK"))))))))</f>
        <v/>
      </c>
      <c r="M312" s="9" t="str">
        <f aca="false">IF(OR(C312="",B312=""),"",B312+ROW()/1000000)</f>
        <v/>
      </c>
      <c r="N312" s="9" t="str">
        <f aca="false">IF(AND(E312="In",M312&lt;&gt;""),SUMIFS($F$7:$F$506,$C$7:$C$506,C312,$E$7:$E$506,"In",$M$7:$M$506,"&gt;"&amp;M312),"")</f>
        <v/>
      </c>
      <c r="O312" s="9" t="str">
        <f aca="false">IF(N312="","",IFERROR(INDEX('Item Master'!$K$6:$K$105,MATCH(C312,'Item Master'!$A$6:$A$105,0)),0))</f>
        <v/>
      </c>
      <c r="P312" s="9" t="n">
        <f aca="false">IF(N312="",0,MAX(0,MIN(N(F312),O312-N312))*N(G312))</f>
        <v>0</v>
      </c>
      <c r="Q312" s="9" t="str">
        <f aca="false">IF(AND(C312&lt;&gt;"",C312='Stock Ledger'!$C$4),M312,"")</f>
        <v/>
      </c>
    </row>
    <row r="313" customFormat="false" ht="15" hidden="false" customHeight="false" outlineLevel="0" collapsed="false">
      <c r="A313" s="45" t="str">
        <f aca="false">IF(C313="","",ROW()-6)</f>
        <v/>
      </c>
      <c r="B313" s="85"/>
      <c r="C313" s="80"/>
      <c r="D313" s="47" t="str">
        <f aca="false">IF(C313="","",IFERROR(INDEX('Item Master'!$B$6:$B$105,MATCH(C313,'Item Master'!$A$6:$A$105,0)),"?"))</f>
        <v/>
      </c>
      <c r="E313" s="82"/>
      <c r="F313" s="83"/>
      <c r="G313" s="84"/>
      <c r="H313" s="81"/>
      <c r="I313" s="80"/>
      <c r="J313" s="41" t="str">
        <f aca="false">IF(OR(C313="",G313=""),"",N(F313)*N(G313))</f>
        <v/>
      </c>
      <c r="K313" s="48" t="str">
        <f aca="false">IF(M313="","",N(IFERROR(INDEX('Item Master'!$E$6:$E$105,MATCH(C313,'Item Master'!$A$6:$A$105,0)),0))+SUMIFS($F$7:$F$506,$C$7:$C$506,C313,$E$7:$E$506,"In",$M$7:$M$506,"&lt;="&amp;M313)-SUMIFS($F$7:$F$506,$C$7:$C$506,C313,$E$7:$E$506,"Out",$M$7:$M$506,"&lt;="&amp;M313))</f>
        <v/>
      </c>
      <c r="L313" s="44" t="str">
        <f aca="false">IF(AND(B313="",C313="",F313=""),"",IF(C313="","⚠ Pick item",IF(D313="?","⚠ Code not in Item Master",IF(B313="","⚠ Enter date",IF(OR(E313="",N(F313)&lt;=0),"⚠ Type / quantity missing",IF(AND(E313="In",G313=""),"⚠ Enter purchase rate",IF(OR(B313&lt;Setup!$C$6,B313&gt;Setup!$C$7),"Outside period",IF(K313&lt;0,"⚠ Stock goes negative","✔ OK"))))))))</f>
        <v/>
      </c>
      <c r="M313" s="9" t="str">
        <f aca="false">IF(OR(C313="",B313=""),"",B313+ROW()/1000000)</f>
        <v/>
      </c>
      <c r="N313" s="9" t="str">
        <f aca="false">IF(AND(E313="In",M313&lt;&gt;""),SUMIFS($F$7:$F$506,$C$7:$C$506,C313,$E$7:$E$506,"In",$M$7:$M$506,"&gt;"&amp;M313),"")</f>
        <v/>
      </c>
      <c r="O313" s="9" t="str">
        <f aca="false">IF(N313="","",IFERROR(INDEX('Item Master'!$K$6:$K$105,MATCH(C313,'Item Master'!$A$6:$A$105,0)),0))</f>
        <v/>
      </c>
      <c r="P313" s="9" t="n">
        <f aca="false">IF(N313="",0,MAX(0,MIN(N(F313),O313-N313))*N(G313))</f>
        <v>0</v>
      </c>
      <c r="Q313" s="9" t="str">
        <f aca="false">IF(AND(C313&lt;&gt;"",C313='Stock Ledger'!$C$4),M313,"")</f>
        <v/>
      </c>
    </row>
    <row r="314" customFormat="false" ht="15" hidden="false" customHeight="false" outlineLevel="0" collapsed="false">
      <c r="A314" s="45" t="str">
        <f aca="false">IF(C314="","",ROW()-6)</f>
        <v/>
      </c>
      <c r="B314" s="85"/>
      <c r="C314" s="80"/>
      <c r="D314" s="47" t="str">
        <f aca="false">IF(C314="","",IFERROR(INDEX('Item Master'!$B$6:$B$105,MATCH(C314,'Item Master'!$A$6:$A$105,0)),"?"))</f>
        <v/>
      </c>
      <c r="E314" s="82"/>
      <c r="F314" s="83"/>
      <c r="G314" s="84"/>
      <c r="H314" s="81"/>
      <c r="I314" s="80"/>
      <c r="J314" s="41" t="str">
        <f aca="false">IF(OR(C314="",G314=""),"",N(F314)*N(G314))</f>
        <v/>
      </c>
      <c r="K314" s="48" t="str">
        <f aca="false">IF(M314="","",N(IFERROR(INDEX('Item Master'!$E$6:$E$105,MATCH(C314,'Item Master'!$A$6:$A$105,0)),0))+SUMIFS($F$7:$F$506,$C$7:$C$506,C314,$E$7:$E$506,"In",$M$7:$M$506,"&lt;="&amp;M314)-SUMIFS($F$7:$F$506,$C$7:$C$506,C314,$E$7:$E$506,"Out",$M$7:$M$506,"&lt;="&amp;M314))</f>
        <v/>
      </c>
      <c r="L314" s="44" t="str">
        <f aca="false">IF(AND(B314="",C314="",F314=""),"",IF(C314="","⚠ Pick item",IF(D314="?","⚠ Code not in Item Master",IF(B314="","⚠ Enter date",IF(OR(E314="",N(F314)&lt;=0),"⚠ Type / quantity missing",IF(AND(E314="In",G314=""),"⚠ Enter purchase rate",IF(OR(B314&lt;Setup!$C$6,B314&gt;Setup!$C$7),"Outside period",IF(K314&lt;0,"⚠ Stock goes negative","✔ OK"))))))))</f>
        <v/>
      </c>
      <c r="M314" s="9" t="str">
        <f aca="false">IF(OR(C314="",B314=""),"",B314+ROW()/1000000)</f>
        <v/>
      </c>
      <c r="N314" s="9" t="str">
        <f aca="false">IF(AND(E314="In",M314&lt;&gt;""),SUMIFS($F$7:$F$506,$C$7:$C$506,C314,$E$7:$E$506,"In",$M$7:$M$506,"&gt;"&amp;M314),"")</f>
        <v/>
      </c>
      <c r="O314" s="9" t="str">
        <f aca="false">IF(N314="","",IFERROR(INDEX('Item Master'!$K$6:$K$105,MATCH(C314,'Item Master'!$A$6:$A$105,0)),0))</f>
        <v/>
      </c>
      <c r="P314" s="9" t="n">
        <f aca="false">IF(N314="",0,MAX(0,MIN(N(F314),O314-N314))*N(G314))</f>
        <v>0</v>
      </c>
      <c r="Q314" s="9" t="str">
        <f aca="false">IF(AND(C314&lt;&gt;"",C314='Stock Ledger'!$C$4),M314,"")</f>
        <v/>
      </c>
    </row>
    <row r="315" customFormat="false" ht="15" hidden="false" customHeight="false" outlineLevel="0" collapsed="false">
      <c r="A315" s="45" t="str">
        <f aca="false">IF(C315="","",ROW()-6)</f>
        <v/>
      </c>
      <c r="B315" s="85"/>
      <c r="C315" s="80"/>
      <c r="D315" s="47" t="str">
        <f aca="false">IF(C315="","",IFERROR(INDEX('Item Master'!$B$6:$B$105,MATCH(C315,'Item Master'!$A$6:$A$105,0)),"?"))</f>
        <v/>
      </c>
      <c r="E315" s="82"/>
      <c r="F315" s="83"/>
      <c r="G315" s="84"/>
      <c r="H315" s="81"/>
      <c r="I315" s="80"/>
      <c r="J315" s="41" t="str">
        <f aca="false">IF(OR(C315="",G315=""),"",N(F315)*N(G315))</f>
        <v/>
      </c>
      <c r="K315" s="48" t="str">
        <f aca="false">IF(M315="","",N(IFERROR(INDEX('Item Master'!$E$6:$E$105,MATCH(C315,'Item Master'!$A$6:$A$105,0)),0))+SUMIFS($F$7:$F$506,$C$7:$C$506,C315,$E$7:$E$506,"In",$M$7:$M$506,"&lt;="&amp;M315)-SUMIFS($F$7:$F$506,$C$7:$C$506,C315,$E$7:$E$506,"Out",$M$7:$M$506,"&lt;="&amp;M315))</f>
        <v/>
      </c>
      <c r="L315" s="44" t="str">
        <f aca="false">IF(AND(B315="",C315="",F315=""),"",IF(C315="","⚠ Pick item",IF(D315="?","⚠ Code not in Item Master",IF(B315="","⚠ Enter date",IF(OR(E315="",N(F315)&lt;=0),"⚠ Type / quantity missing",IF(AND(E315="In",G315=""),"⚠ Enter purchase rate",IF(OR(B315&lt;Setup!$C$6,B315&gt;Setup!$C$7),"Outside period",IF(K315&lt;0,"⚠ Stock goes negative","✔ OK"))))))))</f>
        <v/>
      </c>
      <c r="M315" s="9" t="str">
        <f aca="false">IF(OR(C315="",B315=""),"",B315+ROW()/1000000)</f>
        <v/>
      </c>
      <c r="N315" s="9" t="str">
        <f aca="false">IF(AND(E315="In",M315&lt;&gt;""),SUMIFS($F$7:$F$506,$C$7:$C$506,C315,$E$7:$E$506,"In",$M$7:$M$506,"&gt;"&amp;M315),"")</f>
        <v/>
      </c>
      <c r="O315" s="9" t="str">
        <f aca="false">IF(N315="","",IFERROR(INDEX('Item Master'!$K$6:$K$105,MATCH(C315,'Item Master'!$A$6:$A$105,0)),0))</f>
        <v/>
      </c>
      <c r="P315" s="9" t="n">
        <f aca="false">IF(N315="",0,MAX(0,MIN(N(F315),O315-N315))*N(G315))</f>
        <v>0</v>
      </c>
      <c r="Q315" s="9" t="str">
        <f aca="false">IF(AND(C315&lt;&gt;"",C315='Stock Ledger'!$C$4),M315,"")</f>
        <v/>
      </c>
    </row>
    <row r="316" customFormat="false" ht="15" hidden="false" customHeight="false" outlineLevel="0" collapsed="false">
      <c r="A316" s="45" t="str">
        <f aca="false">IF(C316="","",ROW()-6)</f>
        <v/>
      </c>
      <c r="B316" s="85"/>
      <c r="C316" s="80"/>
      <c r="D316" s="47" t="str">
        <f aca="false">IF(C316="","",IFERROR(INDEX('Item Master'!$B$6:$B$105,MATCH(C316,'Item Master'!$A$6:$A$105,0)),"?"))</f>
        <v/>
      </c>
      <c r="E316" s="82"/>
      <c r="F316" s="83"/>
      <c r="G316" s="84"/>
      <c r="H316" s="81"/>
      <c r="I316" s="80"/>
      <c r="J316" s="41" t="str">
        <f aca="false">IF(OR(C316="",G316=""),"",N(F316)*N(G316))</f>
        <v/>
      </c>
      <c r="K316" s="48" t="str">
        <f aca="false">IF(M316="","",N(IFERROR(INDEX('Item Master'!$E$6:$E$105,MATCH(C316,'Item Master'!$A$6:$A$105,0)),0))+SUMIFS($F$7:$F$506,$C$7:$C$506,C316,$E$7:$E$506,"In",$M$7:$M$506,"&lt;="&amp;M316)-SUMIFS($F$7:$F$506,$C$7:$C$506,C316,$E$7:$E$506,"Out",$M$7:$M$506,"&lt;="&amp;M316))</f>
        <v/>
      </c>
      <c r="L316" s="44" t="str">
        <f aca="false">IF(AND(B316="",C316="",F316=""),"",IF(C316="","⚠ Pick item",IF(D316="?","⚠ Code not in Item Master",IF(B316="","⚠ Enter date",IF(OR(E316="",N(F316)&lt;=0),"⚠ Type / quantity missing",IF(AND(E316="In",G316=""),"⚠ Enter purchase rate",IF(OR(B316&lt;Setup!$C$6,B316&gt;Setup!$C$7),"Outside period",IF(K316&lt;0,"⚠ Stock goes negative","✔ OK"))))))))</f>
        <v/>
      </c>
      <c r="M316" s="9" t="str">
        <f aca="false">IF(OR(C316="",B316=""),"",B316+ROW()/1000000)</f>
        <v/>
      </c>
      <c r="N316" s="9" t="str">
        <f aca="false">IF(AND(E316="In",M316&lt;&gt;""),SUMIFS($F$7:$F$506,$C$7:$C$506,C316,$E$7:$E$506,"In",$M$7:$M$506,"&gt;"&amp;M316),"")</f>
        <v/>
      </c>
      <c r="O316" s="9" t="str">
        <f aca="false">IF(N316="","",IFERROR(INDEX('Item Master'!$K$6:$K$105,MATCH(C316,'Item Master'!$A$6:$A$105,0)),0))</f>
        <v/>
      </c>
      <c r="P316" s="9" t="n">
        <f aca="false">IF(N316="",0,MAX(0,MIN(N(F316),O316-N316))*N(G316))</f>
        <v>0</v>
      </c>
      <c r="Q316" s="9" t="str">
        <f aca="false">IF(AND(C316&lt;&gt;"",C316='Stock Ledger'!$C$4),M316,"")</f>
        <v/>
      </c>
    </row>
    <row r="317" customFormat="false" ht="15" hidden="false" customHeight="false" outlineLevel="0" collapsed="false">
      <c r="A317" s="45" t="str">
        <f aca="false">IF(C317="","",ROW()-6)</f>
        <v/>
      </c>
      <c r="B317" s="85"/>
      <c r="C317" s="80"/>
      <c r="D317" s="47" t="str">
        <f aca="false">IF(C317="","",IFERROR(INDEX('Item Master'!$B$6:$B$105,MATCH(C317,'Item Master'!$A$6:$A$105,0)),"?"))</f>
        <v/>
      </c>
      <c r="E317" s="82"/>
      <c r="F317" s="83"/>
      <c r="G317" s="84"/>
      <c r="H317" s="81"/>
      <c r="I317" s="80"/>
      <c r="J317" s="41" t="str">
        <f aca="false">IF(OR(C317="",G317=""),"",N(F317)*N(G317))</f>
        <v/>
      </c>
      <c r="K317" s="48" t="str">
        <f aca="false">IF(M317="","",N(IFERROR(INDEX('Item Master'!$E$6:$E$105,MATCH(C317,'Item Master'!$A$6:$A$105,0)),0))+SUMIFS($F$7:$F$506,$C$7:$C$506,C317,$E$7:$E$506,"In",$M$7:$M$506,"&lt;="&amp;M317)-SUMIFS($F$7:$F$506,$C$7:$C$506,C317,$E$7:$E$506,"Out",$M$7:$M$506,"&lt;="&amp;M317))</f>
        <v/>
      </c>
      <c r="L317" s="44" t="str">
        <f aca="false">IF(AND(B317="",C317="",F317=""),"",IF(C317="","⚠ Pick item",IF(D317="?","⚠ Code not in Item Master",IF(B317="","⚠ Enter date",IF(OR(E317="",N(F317)&lt;=0),"⚠ Type / quantity missing",IF(AND(E317="In",G317=""),"⚠ Enter purchase rate",IF(OR(B317&lt;Setup!$C$6,B317&gt;Setup!$C$7),"Outside period",IF(K317&lt;0,"⚠ Stock goes negative","✔ OK"))))))))</f>
        <v/>
      </c>
      <c r="M317" s="9" t="str">
        <f aca="false">IF(OR(C317="",B317=""),"",B317+ROW()/1000000)</f>
        <v/>
      </c>
      <c r="N317" s="9" t="str">
        <f aca="false">IF(AND(E317="In",M317&lt;&gt;""),SUMIFS($F$7:$F$506,$C$7:$C$506,C317,$E$7:$E$506,"In",$M$7:$M$506,"&gt;"&amp;M317),"")</f>
        <v/>
      </c>
      <c r="O317" s="9" t="str">
        <f aca="false">IF(N317="","",IFERROR(INDEX('Item Master'!$K$6:$K$105,MATCH(C317,'Item Master'!$A$6:$A$105,0)),0))</f>
        <v/>
      </c>
      <c r="P317" s="9" t="n">
        <f aca="false">IF(N317="",0,MAX(0,MIN(N(F317),O317-N317))*N(G317))</f>
        <v>0</v>
      </c>
      <c r="Q317" s="9" t="str">
        <f aca="false">IF(AND(C317&lt;&gt;"",C317='Stock Ledger'!$C$4),M317,"")</f>
        <v/>
      </c>
    </row>
    <row r="318" customFormat="false" ht="15" hidden="false" customHeight="false" outlineLevel="0" collapsed="false">
      <c r="A318" s="45" t="str">
        <f aca="false">IF(C318="","",ROW()-6)</f>
        <v/>
      </c>
      <c r="B318" s="85"/>
      <c r="C318" s="80"/>
      <c r="D318" s="47" t="str">
        <f aca="false">IF(C318="","",IFERROR(INDEX('Item Master'!$B$6:$B$105,MATCH(C318,'Item Master'!$A$6:$A$105,0)),"?"))</f>
        <v/>
      </c>
      <c r="E318" s="82"/>
      <c r="F318" s="83"/>
      <c r="G318" s="84"/>
      <c r="H318" s="81"/>
      <c r="I318" s="80"/>
      <c r="J318" s="41" t="str">
        <f aca="false">IF(OR(C318="",G318=""),"",N(F318)*N(G318))</f>
        <v/>
      </c>
      <c r="K318" s="48" t="str">
        <f aca="false">IF(M318="","",N(IFERROR(INDEX('Item Master'!$E$6:$E$105,MATCH(C318,'Item Master'!$A$6:$A$105,0)),0))+SUMIFS($F$7:$F$506,$C$7:$C$506,C318,$E$7:$E$506,"In",$M$7:$M$506,"&lt;="&amp;M318)-SUMIFS($F$7:$F$506,$C$7:$C$506,C318,$E$7:$E$506,"Out",$M$7:$M$506,"&lt;="&amp;M318))</f>
        <v/>
      </c>
      <c r="L318" s="44" t="str">
        <f aca="false">IF(AND(B318="",C318="",F318=""),"",IF(C318="","⚠ Pick item",IF(D318="?","⚠ Code not in Item Master",IF(B318="","⚠ Enter date",IF(OR(E318="",N(F318)&lt;=0),"⚠ Type / quantity missing",IF(AND(E318="In",G318=""),"⚠ Enter purchase rate",IF(OR(B318&lt;Setup!$C$6,B318&gt;Setup!$C$7),"Outside period",IF(K318&lt;0,"⚠ Stock goes negative","✔ OK"))))))))</f>
        <v/>
      </c>
      <c r="M318" s="9" t="str">
        <f aca="false">IF(OR(C318="",B318=""),"",B318+ROW()/1000000)</f>
        <v/>
      </c>
      <c r="N318" s="9" t="str">
        <f aca="false">IF(AND(E318="In",M318&lt;&gt;""),SUMIFS($F$7:$F$506,$C$7:$C$506,C318,$E$7:$E$506,"In",$M$7:$M$506,"&gt;"&amp;M318),"")</f>
        <v/>
      </c>
      <c r="O318" s="9" t="str">
        <f aca="false">IF(N318="","",IFERROR(INDEX('Item Master'!$K$6:$K$105,MATCH(C318,'Item Master'!$A$6:$A$105,0)),0))</f>
        <v/>
      </c>
      <c r="P318" s="9" t="n">
        <f aca="false">IF(N318="",0,MAX(0,MIN(N(F318),O318-N318))*N(G318))</f>
        <v>0</v>
      </c>
      <c r="Q318" s="9" t="str">
        <f aca="false">IF(AND(C318&lt;&gt;"",C318='Stock Ledger'!$C$4),M318,"")</f>
        <v/>
      </c>
    </row>
    <row r="319" customFormat="false" ht="15" hidden="false" customHeight="false" outlineLevel="0" collapsed="false">
      <c r="A319" s="45" t="str">
        <f aca="false">IF(C319="","",ROW()-6)</f>
        <v/>
      </c>
      <c r="B319" s="85"/>
      <c r="C319" s="80"/>
      <c r="D319" s="47" t="str">
        <f aca="false">IF(C319="","",IFERROR(INDEX('Item Master'!$B$6:$B$105,MATCH(C319,'Item Master'!$A$6:$A$105,0)),"?"))</f>
        <v/>
      </c>
      <c r="E319" s="82"/>
      <c r="F319" s="83"/>
      <c r="G319" s="84"/>
      <c r="H319" s="81"/>
      <c r="I319" s="80"/>
      <c r="J319" s="41" t="str">
        <f aca="false">IF(OR(C319="",G319=""),"",N(F319)*N(G319))</f>
        <v/>
      </c>
      <c r="K319" s="48" t="str">
        <f aca="false">IF(M319="","",N(IFERROR(INDEX('Item Master'!$E$6:$E$105,MATCH(C319,'Item Master'!$A$6:$A$105,0)),0))+SUMIFS($F$7:$F$506,$C$7:$C$506,C319,$E$7:$E$506,"In",$M$7:$M$506,"&lt;="&amp;M319)-SUMIFS($F$7:$F$506,$C$7:$C$506,C319,$E$7:$E$506,"Out",$M$7:$M$506,"&lt;="&amp;M319))</f>
        <v/>
      </c>
      <c r="L319" s="44" t="str">
        <f aca="false">IF(AND(B319="",C319="",F319=""),"",IF(C319="","⚠ Pick item",IF(D319="?","⚠ Code not in Item Master",IF(B319="","⚠ Enter date",IF(OR(E319="",N(F319)&lt;=0),"⚠ Type / quantity missing",IF(AND(E319="In",G319=""),"⚠ Enter purchase rate",IF(OR(B319&lt;Setup!$C$6,B319&gt;Setup!$C$7),"Outside period",IF(K319&lt;0,"⚠ Stock goes negative","✔ OK"))))))))</f>
        <v/>
      </c>
      <c r="M319" s="9" t="str">
        <f aca="false">IF(OR(C319="",B319=""),"",B319+ROW()/1000000)</f>
        <v/>
      </c>
      <c r="N319" s="9" t="str">
        <f aca="false">IF(AND(E319="In",M319&lt;&gt;""),SUMIFS($F$7:$F$506,$C$7:$C$506,C319,$E$7:$E$506,"In",$M$7:$M$506,"&gt;"&amp;M319),"")</f>
        <v/>
      </c>
      <c r="O319" s="9" t="str">
        <f aca="false">IF(N319="","",IFERROR(INDEX('Item Master'!$K$6:$K$105,MATCH(C319,'Item Master'!$A$6:$A$105,0)),0))</f>
        <v/>
      </c>
      <c r="P319" s="9" t="n">
        <f aca="false">IF(N319="",0,MAX(0,MIN(N(F319),O319-N319))*N(G319))</f>
        <v>0</v>
      </c>
      <c r="Q319" s="9" t="str">
        <f aca="false">IF(AND(C319&lt;&gt;"",C319='Stock Ledger'!$C$4),M319,"")</f>
        <v/>
      </c>
    </row>
    <row r="320" customFormat="false" ht="15" hidden="false" customHeight="false" outlineLevel="0" collapsed="false">
      <c r="A320" s="45" t="str">
        <f aca="false">IF(C320="","",ROW()-6)</f>
        <v/>
      </c>
      <c r="B320" s="85"/>
      <c r="C320" s="80"/>
      <c r="D320" s="47" t="str">
        <f aca="false">IF(C320="","",IFERROR(INDEX('Item Master'!$B$6:$B$105,MATCH(C320,'Item Master'!$A$6:$A$105,0)),"?"))</f>
        <v/>
      </c>
      <c r="E320" s="82"/>
      <c r="F320" s="83"/>
      <c r="G320" s="84"/>
      <c r="H320" s="81"/>
      <c r="I320" s="80"/>
      <c r="J320" s="41" t="str">
        <f aca="false">IF(OR(C320="",G320=""),"",N(F320)*N(G320))</f>
        <v/>
      </c>
      <c r="K320" s="48" t="str">
        <f aca="false">IF(M320="","",N(IFERROR(INDEX('Item Master'!$E$6:$E$105,MATCH(C320,'Item Master'!$A$6:$A$105,0)),0))+SUMIFS($F$7:$F$506,$C$7:$C$506,C320,$E$7:$E$506,"In",$M$7:$M$506,"&lt;="&amp;M320)-SUMIFS($F$7:$F$506,$C$7:$C$506,C320,$E$7:$E$506,"Out",$M$7:$M$506,"&lt;="&amp;M320))</f>
        <v/>
      </c>
      <c r="L320" s="44" t="str">
        <f aca="false">IF(AND(B320="",C320="",F320=""),"",IF(C320="","⚠ Pick item",IF(D320="?","⚠ Code not in Item Master",IF(B320="","⚠ Enter date",IF(OR(E320="",N(F320)&lt;=0),"⚠ Type / quantity missing",IF(AND(E320="In",G320=""),"⚠ Enter purchase rate",IF(OR(B320&lt;Setup!$C$6,B320&gt;Setup!$C$7),"Outside period",IF(K320&lt;0,"⚠ Stock goes negative","✔ OK"))))))))</f>
        <v/>
      </c>
      <c r="M320" s="9" t="str">
        <f aca="false">IF(OR(C320="",B320=""),"",B320+ROW()/1000000)</f>
        <v/>
      </c>
      <c r="N320" s="9" t="str">
        <f aca="false">IF(AND(E320="In",M320&lt;&gt;""),SUMIFS($F$7:$F$506,$C$7:$C$506,C320,$E$7:$E$506,"In",$M$7:$M$506,"&gt;"&amp;M320),"")</f>
        <v/>
      </c>
      <c r="O320" s="9" t="str">
        <f aca="false">IF(N320="","",IFERROR(INDEX('Item Master'!$K$6:$K$105,MATCH(C320,'Item Master'!$A$6:$A$105,0)),0))</f>
        <v/>
      </c>
      <c r="P320" s="9" t="n">
        <f aca="false">IF(N320="",0,MAX(0,MIN(N(F320),O320-N320))*N(G320))</f>
        <v>0</v>
      </c>
      <c r="Q320" s="9" t="str">
        <f aca="false">IF(AND(C320&lt;&gt;"",C320='Stock Ledger'!$C$4),M320,"")</f>
        <v/>
      </c>
    </row>
    <row r="321" customFormat="false" ht="15" hidden="false" customHeight="false" outlineLevel="0" collapsed="false">
      <c r="A321" s="45" t="str">
        <f aca="false">IF(C321="","",ROW()-6)</f>
        <v/>
      </c>
      <c r="B321" s="85"/>
      <c r="C321" s="80"/>
      <c r="D321" s="47" t="str">
        <f aca="false">IF(C321="","",IFERROR(INDEX('Item Master'!$B$6:$B$105,MATCH(C321,'Item Master'!$A$6:$A$105,0)),"?"))</f>
        <v/>
      </c>
      <c r="E321" s="82"/>
      <c r="F321" s="83"/>
      <c r="G321" s="84"/>
      <c r="H321" s="81"/>
      <c r="I321" s="80"/>
      <c r="J321" s="41" t="str">
        <f aca="false">IF(OR(C321="",G321=""),"",N(F321)*N(G321))</f>
        <v/>
      </c>
      <c r="K321" s="48" t="str">
        <f aca="false">IF(M321="","",N(IFERROR(INDEX('Item Master'!$E$6:$E$105,MATCH(C321,'Item Master'!$A$6:$A$105,0)),0))+SUMIFS($F$7:$F$506,$C$7:$C$506,C321,$E$7:$E$506,"In",$M$7:$M$506,"&lt;="&amp;M321)-SUMIFS($F$7:$F$506,$C$7:$C$506,C321,$E$7:$E$506,"Out",$M$7:$M$506,"&lt;="&amp;M321))</f>
        <v/>
      </c>
      <c r="L321" s="44" t="str">
        <f aca="false">IF(AND(B321="",C321="",F321=""),"",IF(C321="","⚠ Pick item",IF(D321="?","⚠ Code not in Item Master",IF(B321="","⚠ Enter date",IF(OR(E321="",N(F321)&lt;=0),"⚠ Type / quantity missing",IF(AND(E321="In",G321=""),"⚠ Enter purchase rate",IF(OR(B321&lt;Setup!$C$6,B321&gt;Setup!$C$7),"Outside period",IF(K321&lt;0,"⚠ Stock goes negative","✔ OK"))))))))</f>
        <v/>
      </c>
      <c r="M321" s="9" t="str">
        <f aca="false">IF(OR(C321="",B321=""),"",B321+ROW()/1000000)</f>
        <v/>
      </c>
      <c r="N321" s="9" t="str">
        <f aca="false">IF(AND(E321="In",M321&lt;&gt;""),SUMIFS($F$7:$F$506,$C$7:$C$506,C321,$E$7:$E$506,"In",$M$7:$M$506,"&gt;"&amp;M321),"")</f>
        <v/>
      </c>
      <c r="O321" s="9" t="str">
        <f aca="false">IF(N321="","",IFERROR(INDEX('Item Master'!$K$6:$K$105,MATCH(C321,'Item Master'!$A$6:$A$105,0)),0))</f>
        <v/>
      </c>
      <c r="P321" s="9" t="n">
        <f aca="false">IF(N321="",0,MAX(0,MIN(N(F321),O321-N321))*N(G321))</f>
        <v>0</v>
      </c>
      <c r="Q321" s="9" t="str">
        <f aca="false">IF(AND(C321&lt;&gt;"",C321='Stock Ledger'!$C$4),M321,"")</f>
        <v/>
      </c>
    </row>
    <row r="322" customFormat="false" ht="15" hidden="false" customHeight="false" outlineLevel="0" collapsed="false">
      <c r="A322" s="45" t="str">
        <f aca="false">IF(C322="","",ROW()-6)</f>
        <v/>
      </c>
      <c r="B322" s="85"/>
      <c r="C322" s="80"/>
      <c r="D322" s="47" t="str">
        <f aca="false">IF(C322="","",IFERROR(INDEX('Item Master'!$B$6:$B$105,MATCH(C322,'Item Master'!$A$6:$A$105,0)),"?"))</f>
        <v/>
      </c>
      <c r="E322" s="82"/>
      <c r="F322" s="83"/>
      <c r="G322" s="84"/>
      <c r="H322" s="81"/>
      <c r="I322" s="80"/>
      <c r="J322" s="41" t="str">
        <f aca="false">IF(OR(C322="",G322=""),"",N(F322)*N(G322))</f>
        <v/>
      </c>
      <c r="K322" s="48" t="str">
        <f aca="false">IF(M322="","",N(IFERROR(INDEX('Item Master'!$E$6:$E$105,MATCH(C322,'Item Master'!$A$6:$A$105,0)),0))+SUMIFS($F$7:$F$506,$C$7:$C$506,C322,$E$7:$E$506,"In",$M$7:$M$506,"&lt;="&amp;M322)-SUMIFS($F$7:$F$506,$C$7:$C$506,C322,$E$7:$E$506,"Out",$M$7:$M$506,"&lt;="&amp;M322))</f>
        <v/>
      </c>
      <c r="L322" s="44" t="str">
        <f aca="false">IF(AND(B322="",C322="",F322=""),"",IF(C322="","⚠ Pick item",IF(D322="?","⚠ Code not in Item Master",IF(B322="","⚠ Enter date",IF(OR(E322="",N(F322)&lt;=0),"⚠ Type / quantity missing",IF(AND(E322="In",G322=""),"⚠ Enter purchase rate",IF(OR(B322&lt;Setup!$C$6,B322&gt;Setup!$C$7),"Outside period",IF(K322&lt;0,"⚠ Stock goes negative","✔ OK"))))))))</f>
        <v/>
      </c>
      <c r="M322" s="9" t="str">
        <f aca="false">IF(OR(C322="",B322=""),"",B322+ROW()/1000000)</f>
        <v/>
      </c>
      <c r="N322" s="9" t="str">
        <f aca="false">IF(AND(E322="In",M322&lt;&gt;""),SUMIFS($F$7:$F$506,$C$7:$C$506,C322,$E$7:$E$506,"In",$M$7:$M$506,"&gt;"&amp;M322),"")</f>
        <v/>
      </c>
      <c r="O322" s="9" t="str">
        <f aca="false">IF(N322="","",IFERROR(INDEX('Item Master'!$K$6:$K$105,MATCH(C322,'Item Master'!$A$6:$A$105,0)),0))</f>
        <v/>
      </c>
      <c r="P322" s="9" t="n">
        <f aca="false">IF(N322="",0,MAX(0,MIN(N(F322),O322-N322))*N(G322))</f>
        <v>0</v>
      </c>
      <c r="Q322" s="9" t="str">
        <f aca="false">IF(AND(C322&lt;&gt;"",C322='Stock Ledger'!$C$4),M322,"")</f>
        <v/>
      </c>
    </row>
    <row r="323" customFormat="false" ht="15" hidden="false" customHeight="false" outlineLevel="0" collapsed="false">
      <c r="A323" s="45" t="str">
        <f aca="false">IF(C323="","",ROW()-6)</f>
        <v/>
      </c>
      <c r="B323" s="85"/>
      <c r="C323" s="80"/>
      <c r="D323" s="47" t="str">
        <f aca="false">IF(C323="","",IFERROR(INDEX('Item Master'!$B$6:$B$105,MATCH(C323,'Item Master'!$A$6:$A$105,0)),"?"))</f>
        <v/>
      </c>
      <c r="E323" s="82"/>
      <c r="F323" s="83"/>
      <c r="G323" s="84"/>
      <c r="H323" s="81"/>
      <c r="I323" s="80"/>
      <c r="J323" s="41" t="str">
        <f aca="false">IF(OR(C323="",G323=""),"",N(F323)*N(G323))</f>
        <v/>
      </c>
      <c r="K323" s="48" t="str">
        <f aca="false">IF(M323="","",N(IFERROR(INDEX('Item Master'!$E$6:$E$105,MATCH(C323,'Item Master'!$A$6:$A$105,0)),0))+SUMIFS($F$7:$F$506,$C$7:$C$506,C323,$E$7:$E$506,"In",$M$7:$M$506,"&lt;="&amp;M323)-SUMIFS($F$7:$F$506,$C$7:$C$506,C323,$E$7:$E$506,"Out",$M$7:$M$506,"&lt;="&amp;M323))</f>
        <v/>
      </c>
      <c r="L323" s="44" t="str">
        <f aca="false">IF(AND(B323="",C323="",F323=""),"",IF(C323="","⚠ Pick item",IF(D323="?","⚠ Code not in Item Master",IF(B323="","⚠ Enter date",IF(OR(E323="",N(F323)&lt;=0),"⚠ Type / quantity missing",IF(AND(E323="In",G323=""),"⚠ Enter purchase rate",IF(OR(B323&lt;Setup!$C$6,B323&gt;Setup!$C$7),"Outside period",IF(K323&lt;0,"⚠ Stock goes negative","✔ OK"))))))))</f>
        <v/>
      </c>
      <c r="M323" s="9" t="str">
        <f aca="false">IF(OR(C323="",B323=""),"",B323+ROW()/1000000)</f>
        <v/>
      </c>
      <c r="N323" s="9" t="str">
        <f aca="false">IF(AND(E323="In",M323&lt;&gt;""),SUMIFS($F$7:$F$506,$C$7:$C$506,C323,$E$7:$E$506,"In",$M$7:$M$506,"&gt;"&amp;M323),"")</f>
        <v/>
      </c>
      <c r="O323" s="9" t="str">
        <f aca="false">IF(N323="","",IFERROR(INDEX('Item Master'!$K$6:$K$105,MATCH(C323,'Item Master'!$A$6:$A$105,0)),0))</f>
        <v/>
      </c>
      <c r="P323" s="9" t="n">
        <f aca="false">IF(N323="",0,MAX(0,MIN(N(F323),O323-N323))*N(G323))</f>
        <v>0</v>
      </c>
      <c r="Q323" s="9" t="str">
        <f aca="false">IF(AND(C323&lt;&gt;"",C323='Stock Ledger'!$C$4),M323,"")</f>
        <v/>
      </c>
    </row>
    <row r="324" customFormat="false" ht="15" hidden="false" customHeight="false" outlineLevel="0" collapsed="false">
      <c r="A324" s="45" t="str">
        <f aca="false">IF(C324="","",ROW()-6)</f>
        <v/>
      </c>
      <c r="B324" s="85"/>
      <c r="C324" s="80"/>
      <c r="D324" s="47" t="str">
        <f aca="false">IF(C324="","",IFERROR(INDEX('Item Master'!$B$6:$B$105,MATCH(C324,'Item Master'!$A$6:$A$105,0)),"?"))</f>
        <v/>
      </c>
      <c r="E324" s="82"/>
      <c r="F324" s="83"/>
      <c r="G324" s="84"/>
      <c r="H324" s="81"/>
      <c r="I324" s="80"/>
      <c r="J324" s="41" t="str">
        <f aca="false">IF(OR(C324="",G324=""),"",N(F324)*N(G324))</f>
        <v/>
      </c>
      <c r="K324" s="48" t="str">
        <f aca="false">IF(M324="","",N(IFERROR(INDEX('Item Master'!$E$6:$E$105,MATCH(C324,'Item Master'!$A$6:$A$105,0)),0))+SUMIFS($F$7:$F$506,$C$7:$C$506,C324,$E$7:$E$506,"In",$M$7:$M$506,"&lt;="&amp;M324)-SUMIFS($F$7:$F$506,$C$7:$C$506,C324,$E$7:$E$506,"Out",$M$7:$M$506,"&lt;="&amp;M324))</f>
        <v/>
      </c>
      <c r="L324" s="44" t="str">
        <f aca="false">IF(AND(B324="",C324="",F324=""),"",IF(C324="","⚠ Pick item",IF(D324="?","⚠ Code not in Item Master",IF(B324="","⚠ Enter date",IF(OR(E324="",N(F324)&lt;=0),"⚠ Type / quantity missing",IF(AND(E324="In",G324=""),"⚠ Enter purchase rate",IF(OR(B324&lt;Setup!$C$6,B324&gt;Setup!$C$7),"Outside period",IF(K324&lt;0,"⚠ Stock goes negative","✔ OK"))))))))</f>
        <v/>
      </c>
      <c r="M324" s="9" t="str">
        <f aca="false">IF(OR(C324="",B324=""),"",B324+ROW()/1000000)</f>
        <v/>
      </c>
      <c r="N324" s="9" t="str">
        <f aca="false">IF(AND(E324="In",M324&lt;&gt;""),SUMIFS($F$7:$F$506,$C$7:$C$506,C324,$E$7:$E$506,"In",$M$7:$M$506,"&gt;"&amp;M324),"")</f>
        <v/>
      </c>
      <c r="O324" s="9" t="str">
        <f aca="false">IF(N324="","",IFERROR(INDEX('Item Master'!$K$6:$K$105,MATCH(C324,'Item Master'!$A$6:$A$105,0)),0))</f>
        <v/>
      </c>
      <c r="P324" s="9" t="n">
        <f aca="false">IF(N324="",0,MAX(0,MIN(N(F324),O324-N324))*N(G324))</f>
        <v>0</v>
      </c>
      <c r="Q324" s="9" t="str">
        <f aca="false">IF(AND(C324&lt;&gt;"",C324='Stock Ledger'!$C$4),M324,"")</f>
        <v/>
      </c>
    </row>
    <row r="325" customFormat="false" ht="15" hidden="false" customHeight="false" outlineLevel="0" collapsed="false">
      <c r="A325" s="45" t="str">
        <f aca="false">IF(C325="","",ROW()-6)</f>
        <v/>
      </c>
      <c r="B325" s="85"/>
      <c r="C325" s="80"/>
      <c r="D325" s="47" t="str">
        <f aca="false">IF(C325="","",IFERROR(INDEX('Item Master'!$B$6:$B$105,MATCH(C325,'Item Master'!$A$6:$A$105,0)),"?"))</f>
        <v/>
      </c>
      <c r="E325" s="82"/>
      <c r="F325" s="83"/>
      <c r="G325" s="84"/>
      <c r="H325" s="81"/>
      <c r="I325" s="80"/>
      <c r="J325" s="41" t="str">
        <f aca="false">IF(OR(C325="",G325=""),"",N(F325)*N(G325))</f>
        <v/>
      </c>
      <c r="K325" s="48" t="str">
        <f aca="false">IF(M325="","",N(IFERROR(INDEX('Item Master'!$E$6:$E$105,MATCH(C325,'Item Master'!$A$6:$A$105,0)),0))+SUMIFS($F$7:$F$506,$C$7:$C$506,C325,$E$7:$E$506,"In",$M$7:$M$506,"&lt;="&amp;M325)-SUMIFS($F$7:$F$506,$C$7:$C$506,C325,$E$7:$E$506,"Out",$M$7:$M$506,"&lt;="&amp;M325))</f>
        <v/>
      </c>
      <c r="L325" s="44" t="str">
        <f aca="false">IF(AND(B325="",C325="",F325=""),"",IF(C325="","⚠ Pick item",IF(D325="?","⚠ Code not in Item Master",IF(B325="","⚠ Enter date",IF(OR(E325="",N(F325)&lt;=0),"⚠ Type / quantity missing",IF(AND(E325="In",G325=""),"⚠ Enter purchase rate",IF(OR(B325&lt;Setup!$C$6,B325&gt;Setup!$C$7),"Outside period",IF(K325&lt;0,"⚠ Stock goes negative","✔ OK"))))))))</f>
        <v/>
      </c>
      <c r="M325" s="9" t="str">
        <f aca="false">IF(OR(C325="",B325=""),"",B325+ROW()/1000000)</f>
        <v/>
      </c>
      <c r="N325" s="9" t="str">
        <f aca="false">IF(AND(E325="In",M325&lt;&gt;""),SUMIFS($F$7:$F$506,$C$7:$C$506,C325,$E$7:$E$506,"In",$M$7:$M$506,"&gt;"&amp;M325),"")</f>
        <v/>
      </c>
      <c r="O325" s="9" t="str">
        <f aca="false">IF(N325="","",IFERROR(INDEX('Item Master'!$K$6:$K$105,MATCH(C325,'Item Master'!$A$6:$A$105,0)),0))</f>
        <v/>
      </c>
      <c r="P325" s="9" t="n">
        <f aca="false">IF(N325="",0,MAX(0,MIN(N(F325),O325-N325))*N(G325))</f>
        <v>0</v>
      </c>
      <c r="Q325" s="9" t="str">
        <f aca="false">IF(AND(C325&lt;&gt;"",C325='Stock Ledger'!$C$4),M325,"")</f>
        <v/>
      </c>
    </row>
    <row r="326" customFormat="false" ht="15" hidden="false" customHeight="false" outlineLevel="0" collapsed="false">
      <c r="A326" s="45" t="str">
        <f aca="false">IF(C326="","",ROW()-6)</f>
        <v/>
      </c>
      <c r="B326" s="85"/>
      <c r="C326" s="80"/>
      <c r="D326" s="47" t="str">
        <f aca="false">IF(C326="","",IFERROR(INDEX('Item Master'!$B$6:$B$105,MATCH(C326,'Item Master'!$A$6:$A$105,0)),"?"))</f>
        <v/>
      </c>
      <c r="E326" s="82"/>
      <c r="F326" s="83"/>
      <c r="G326" s="84"/>
      <c r="H326" s="81"/>
      <c r="I326" s="80"/>
      <c r="J326" s="41" t="str">
        <f aca="false">IF(OR(C326="",G326=""),"",N(F326)*N(G326))</f>
        <v/>
      </c>
      <c r="K326" s="48" t="str">
        <f aca="false">IF(M326="","",N(IFERROR(INDEX('Item Master'!$E$6:$E$105,MATCH(C326,'Item Master'!$A$6:$A$105,0)),0))+SUMIFS($F$7:$F$506,$C$7:$C$506,C326,$E$7:$E$506,"In",$M$7:$M$506,"&lt;="&amp;M326)-SUMIFS($F$7:$F$506,$C$7:$C$506,C326,$E$7:$E$506,"Out",$M$7:$M$506,"&lt;="&amp;M326))</f>
        <v/>
      </c>
      <c r="L326" s="44" t="str">
        <f aca="false">IF(AND(B326="",C326="",F326=""),"",IF(C326="","⚠ Pick item",IF(D326="?","⚠ Code not in Item Master",IF(B326="","⚠ Enter date",IF(OR(E326="",N(F326)&lt;=0),"⚠ Type / quantity missing",IF(AND(E326="In",G326=""),"⚠ Enter purchase rate",IF(OR(B326&lt;Setup!$C$6,B326&gt;Setup!$C$7),"Outside period",IF(K326&lt;0,"⚠ Stock goes negative","✔ OK"))))))))</f>
        <v/>
      </c>
      <c r="M326" s="9" t="str">
        <f aca="false">IF(OR(C326="",B326=""),"",B326+ROW()/1000000)</f>
        <v/>
      </c>
      <c r="N326" s="9" t="str">
        <f aca="false">IF(AND(E326="In",M326&lt;&gt;""),SUMIFS($F$7:$F$506,$C$7:$C$506,C326,$E$7:$E$506,"In",$M$7:$M$506,"&gt;"&amp;M326),"")</f>
        <v/>
      </c>
      <c r="O326" s="9" t="str">
        <f aca="false">IF(N326="","",IFERROR(INDEX('Item Master'!$K$6:$K$105,MATCH(C326,'Item Master'!$A$6:$A$105,0)),0))</f>
        <v/>
      </c>
      <c r="P326" s="9" t="n">
        <f aca="false">IF(N326="",0,MAX(0,MIN(N(F326),O326-N326))*N(G326))</f>
        <v>0</v>
      </c>
      <c r="Q326" s="9" t="str">
        <f aca="false">IF(AND(C326&lt;&gt;"",C326='Stock Ledger'!$C$4),M326,"")</f>
        <v/>
      </c>
    </row>
    <row r="327" customFormat="false" ht="15" hidden="false" customHeight="false" outlineLevel="0" collapsed="false">
      <c r="A327" s="45" t="str">
        <f aca="false">IF(C327="","",ROW()-6)</f>
        <v/>
      </c>
      <c r="B327" s="85"/>
      <c r="C327" s="80"/>
      <c r="D327" s="47" t="str">
        <f aca="false">IF(C327="","",IFERROR(INDEX('Item Master'!$B$6:$B$105,MATCH(C327,'Item Master'!$A$6:$A$105,0)),"?"))</f>
        <v/>
      </c>
      <c r="E327" s="82"/>
      <c r="F327" s="83"/>
      <c r="G327" s="84"/>
      <c r="H327" s="81"/>
      <c r="I327" s="80"/>
      <c r="J327" s="41" t="str">
        <f aca="false">IF(OR(C327="",G327=""),"",N(F327)*N(G327))</f>
        <v/>
      </c>
      <c r="K327" s="48" t="str">
        <f aca="false">IF(M327="","",N(IFERROR(INDEX('Item Master'!$E$6:$E$105,MATCH(C327,'Item Master'!$A$6:$A$105,0)),0))+SUMIFS($F$7:$F$506,$C$7:$C$506,C327,$E$7:$E$506,"In",$M$7:$M$506,"&lt;="&amp;M327)-SUMIFS($F$7:$F$506,$C$7:$C$506,C327,$E$7:$E$506,"Out",$M$7:$M$506,"&lt;="&amp;M327))</f>
        <v/>
      </c>
      <c r="L327" s="44" t="str">
        <f aca="false">IF(AND(B327="",C327="",F327=""),"",IF(C327="","⚠ Pick item",IF(D327="?","⚠ Code not in Item Master",IF(B327="","⚠ Enter date",IF(OR(E327="",N(F327)&lt;=0),"⚠ Type / quantity missing",IF(AND(E327="In",G327=""),"⚠ Enter purchase rate",IF(OR(B327&lt;Setup!$C$6,B327&gt;Setup!$C$7),"Outside period",IF(K327&lt;0,"⚠ Stock goes negative","✔ OK"))))))))</f>
        <v/>
      </c>
      <c r="M327" s="9" t="str">
        <f aca="false">IF(OR(C327="",B327=""),"",B327+ROW()/1000000)</f>
        <v/>
      </c>
      <c r="N327" s="9" t="str">
        <f aca="false">IF(AND(E327="In",M327&lt;&gt;""),SUMIFS($F$7:$F$506,$C$7:$C$506,C327,$E$7:$E$506,"In",$M$7:$M$506,"&gt;"&amp;M327),"")</f>
        <v/>
      </c>
      <c r="O327" s="9" t="str">
        <f aca="false">IF(N327="","",IFERROR(INDEX('Item Master'!$K$6:$K$105,MATCH(C327,'Item Master'!$A$6:$A$105,0)),0))</f>
        <v/>
      </c>
      <c r="P327" s="9" t="n">
        <f aca="false">IF(N327="",0,MAX(0,MIN(N(F327),O327-N327))*N(G327))</f>
        <v>0</v>
      </c>
      <c r="Q327" s="9" t="str">
        <f aca="false">IF(AND(C327&lt;&gt;"",C327='Stock Ledger'!$C$4),M327,"")</f>
        <v/>
      </c>
    </row>
    <row r="328" customFormat="false" ht="15" hidden="false" customHeight="false" outlineLevel="0" collapsed="false">
      <c r="A328" s="45" t="str">
        <f aca="false">IF(C328="","",ROW()-6)</f>
        <v/>
      </c>
      <c r="B328" s="85"/>
      <c r="C328" s="80"/>
      <c r="D328" s="47" t="str">
        <f aca="false">IF(C328="","",IFERROR(INDEX('Item Master'!$B$6:$B$105,MATCH(C328,'Item Master'!$A$6:$A$105,0)),"?"))</f>
        <v/>
      </c>
      <c r="E328" s="82"/>
      <c r="F328" s="83"/>
      <c r="G328" s="84"/>
      <c r="H328" s="81"/>
      <c r="I328" s="80"/>
      <c r="J328" s="41" t="str">
        <f aca="false">IF(OR(C328="",G328=""),"",N(F328)*N(G328))</f>
        <v/>
      </c>
      <c r="K328" s="48" t="str">
        <f aca="false">IF(M328="","",N(IFERROR(INDEX('Item Master'!$E$6:$E$105,MATCH(C328,'Item Master'!$A$6:$A$105,0)),0))+SUMIFS($F$7:$F$506,$C$7:$C$506,C328,$E$7:$E$506,"In",$M$7:$M$506,"&lt;="&amp;M328)-SUMIFS($F$7:$F$506,$C$7:$C$506,C328,$E$7:$E$506,"Out",$M$7:$M$506,"&lt;="&amp;M328))</f>
        <v/>
      </c>
      <c r="L328" s="44" t="str">
        <f aca="false">IF(AND(B328="",C328="",F328=""),"",IF(C328="","⚠ Pick item",IF(D328="?","⚠ Code not in Item Master",IF(B328="","⚠ Enter date",IF(OR(E328="",N(F328)&lt;=0),"⚠ Type / quantity missing",IF(AND(E328="In",G328=""),"⚠ Enter purchase rate",IF(OR(B328&lt;Setup!$C$6,B328&gt;Setup!$C$7),"Outside period",IF(K328&lt;0,"⚠ Stock goes negative","✔ OK"))))))))</f>
        <v/>
      </c>
      <c r="M328" s="9" t="str">
        <f aca="false">IF(OR(C328="",B328=""),"",B328+ROW()/1000000)</f>
        <v/>
      </c>
      <c r="N328" s="9" t="str">
        <f aca="false">IF(AND(E328="In",M328&lt;&gt;""),SUMIFS($F$7:$F$506,$C$7:$C$506,C328,$E$7:$E$506,"In",$M$7:$M$506,"&gt;"&amp;M328),"")</f>
        <v/>
      </c>
      <c r="O328" s="9" t="str">
        <f aca="false">IF(N328="","",IFERROR(INDEX('Item Master'!$K$6:$K$105,MATCH(C328,'Item Master'!$A$6:$A$105,0)),0))</f>
        <v/>
      </c>
      <c r="P328" s="9" t="n">
        <f aca="false">IF(N328="",0,MAX(0,MIN(N(F328),O328-N328))*N(G328))</f>
        <v>0</v>
      </c>
      <c r="Q328" s="9" t="str">
        <f aca="false">IF(AND(C328&lt;&gt;"",C328='Stock Ledger'!$C$4),M328,"")</f>
        <v/>
      </c>
    </row>
    <row r="329" customFormat="false" ht="15" hidden="false" customHeight="false" outlineLevel="0" collapsed="false">
      <c r="A329" s="45" t="str">
        <f aca="false">IF(C329="","",ROW()-6)</f>
        <v/>
      </c>
      <c r="B329" s="85"/>
      <c r="C329" s="80"/>
      <c r="D329" s="47" t="str">
        <f aca="false">IF(C329="","",IFERROR(INDEX('Item Master'!$B$6:$B$105,MATCH(C329,'Item Master'!$A$6:$A$105,0)),"?"))</f>
        <v/>
      </c>
      <c r="E329" s="82"/>
      <c r="F329" s="83"/>
      <c r="G329" s="84"/>
      <c r="H329" s="81"/>
      <c r="I329" s="80"/>
      <c r="J329" s="41" t="str">
        <f aca="false">IF(OR(C329="",G329=""),"",N(F329)*N(G329))</f>
        <v/>
      </c>
      <c r="K329" s="48" t="str">
        <f aca="false">IF(M329="","",N(IFERROR(INDEX('Item Master'!$E$6:$E$105,MATCH(C329,'Item Master'!$A$6:$A$105,0)),0))+SUMIFS($F$7:$F$506,$C$7:$C$506,C329,$E$7:$E$506,"In",$M$7:$M$506,"&lt;="&amp;M329)-SUMIFS($F$7:$F$506,$C$7:$C$506,C329,$E$7:$E$506,"Out",$M$7:$M$506,"&lt;="&amp;M329))</f>
        <v/>
      </c>
      <c r="L329" s="44" t="str">
        <f aca="false">IF(AND(B329="",C329="",F329=""),"",IF(C329="","⚠ Pick item",IF(D329="?","⚠ Code not in Item Master",IF(B329="","⚠ Enter date",IF(OR(E329="",N(F329)&lt;=0),"⚠ Type / quantity missing",IF(AND(E329="In",G329=""),"⚠ Enter purchase rate",IF(OR(B329&lt;Setup!$C$6,B329&gt;Setup!$C$7),"Outside period",IF(K329&lt;0,"⚠ Stock goes negative","✔ OK"))))))))</f>
        <v/>
      </c>
      <c r="M329" s="9" t="str">
        <f aca="false">IF(OR(C329="",B329=""),"",B329+ROW()/1000000)</f>
        <v/>
      </c>
      <c r="N329" s="9" t="str">
        <f aca="false">IF(AND(E329="In",M329&lt;&gt;""),SUMIFS($F$7:$F$506,$C$7:$C$506,C329,$E$7:$E$506,"In",$M$7:$M$506,"&gt;"&amp;M329),"")</f>
        <v/>
      </c>
      <c r="O329" s="9" t="str">
        <f aca="false">IF(N329="","",IFERROR(INDEX('Item Master'!$K$6:$K$105,MATCH(C329,'Item Master'!$A$6:$A$105,0)),0))</f>
        <v/>
      </c>
      <c r="P329" s="9" t="n">
        <f aca="false">IF(N329="",0,MAX(0,MIN(N(F329),O329-N329))*N(G329))</f>
        <v>0</v>
      </c>
      <c r="Q329" s="9" t="str">
        <f aca="false">IF(AND(C329&lt;&gt;"",C329='Stock Ledger'!$C$4),M329,"")</f>
        <v/>
      </c>
    </row>
    <row r="330" customFormat="false" ht="15" hidden="false" customHeight="false" outlineLevel="0" collapsed="false">
      <c r="A330" s="45" t="str">
        <f aca="false">IF(C330="","",ROW()-6)</f>
        <v/>
      </c>
      <c r="B330" s="85"/>
      <c r="C330" s="80"/>
      <c r="D330" s="47" t="str">
        <f aca="false">IF(C330="","",IFERROR(INDEX('Item Master'!$B$6:$B$105,MATCH(C330,'Item Master'!$A$6:$A$105,0)),"?"))</f>
        <v/>
      </c>
      <c r="E330" s="82"/>
      <c r="F330" s="83"/>
      <c r="G330" s="84"/>
      <c r="H330" s="81"/>
      <c r="I330" s="80"/>
      <c r="J330" s="41" t="str">
        <f aca="false">IF(OR(C330="",G330=""),"",N(F330)*N(G330))</f>
        <v/>
      </c>
      <c r="K330" s="48" t="str">
        <f aca="false">IF(M330="","",N(IFERROR(INDEX('Item Master'!$E$6:$E$105,MATCH(C330,'Item Master'!$A$6:$A$105,0)),0))+SUMIFS($F$7:$F$506,$C$7:$C$506,C330,$E$7:$E$506,"In",$M$7:$M$506,"&lt;="&amp;M330)-SUMIFS($F$7:$F$506,$C$7:$C$506,C330,$E$7:$E$506,"Out",$M$7:$M$506,"&lt;="&amp;M330))</f>
        <v/>
      </c>
      <c r="L330" s="44" t="str">
        <f aca="false">IF(AND(B330="",C330="",F330=""),"",IF(C330="","⚠ Pick item",IF(D330="?","⚠ Code not in Item Master",IF(B330="","⚠ Enter date",IF(OR(E330="",N(F330)&lt;=0),"⚠ Type / quantity missing",IF(AND(E330="In",G330=""),"⚠ Enter purchase rate",IF(OR(B330&lt;Setup!$C$6,B330&gt;Setup!$C$7),"Outside period",IF(K330&lt;0,"⚠ Stock goes negative","✔ OK"))))))))</f>
        <v/>
      </c>
      <c r="M330" s="9" t="str">
        <f aca="false">IF(OR(C330="",B330=""),"",B330+ROW()/1000000)</f>
        <v/>
      </c>
      <c r="N330" s="9" t="str">
        <f aca="false">IF(AND(E330="In",M330&lt;&gt;""),SUMIFS($F$7:$F$506,$C$7:$C$506,C330,$E$7:$E$506,"In",$M$7:$M$506,"&gt;"&amp;M330),"")</f>
        <v/>
      </c>
      <c r="O330" s="9" t="str">
        <f aca="false">IF(N330="","",IFERROR(INDEX('Item Master'!$K$6:$K$105,MATCH(C330,'Item Master'!$A$6:$A$105,0)),0))</f>
        <v/>
      </c>
      <c r="P330" s="9" t="n">
        <f aca="false">IF(N330="",0,MAX(0,MIN(N(F330),O330-N330))*N(G330))</f>
        <v>0</v>
      </c>
      <c r="Q330" s="9" t="str">
        <f aca="false">IF(AND(C330&lt;&gt;"",C330='Stock Ledger'!$C$4),M330,"")</f>
        <v/>
      </c>
    </row>
    <row r="331" customFormat="false" ht="15" hidden="false" customHeight="false" outlineLevel="0" collapsed="false">
      <c r="A331" s="45" t="str">
        <f aca="false">IF(C331="","",ROW()-6)</f>
        <v/>
      </c>
      <c r="B331" s="85"/>
      <c r="C331" s="80"/>
      <c r="D331" s="47" t="str">
        <f aca="false">IF(C331="","",IFERROR(INDEX('Item Master'!$B$6:$B$105,MATCH(C331,'Item Master'!$A$6:$A$105,0)),"?"))</f>
        <v/>
      </c>
      <c r="E331" s="82"/>
      <c r="F331" s="83"/>
      <c r="G331" s="84"/>
      <c r="H331" s="81"/>
      <c r="I331" s="80"/>
      <c r="J331" s="41" t="str">
        <f aca="false">IF(OR(C331="",G331=""),"",N(F331)*N(G331))</f>
        <v/>
      </c>
      <c r="K331" s="48" t="str">
        <f aca="false">IF(M331="","",N(IFERROR(INDEX('Item Master'!$E$6:$E$105,MATCH(C331,'Item Master'!$A$6:$A$105,0)),0))+SUMIFS($F$7:$F$506,$C$7:$C$506,C331,$E$7:$E$506,"In",$M$7:$M$506,"&lt;="&amp;M331)-SUMIFS($F$7:$F$506,$C$7:$C$506,C331,$E$7:$E$506,"Out",$M$7:$M$506,"&lt;="&amp;M331))</f>
        <v/>
      </c>
      <c r="L331" s="44" t="str">
        <f aca="false">IF(AND(B331="",C331="",F331=""),"",IF(C331="","⚠ Pick item",IF(D331="?","⚠ Code not in Item Master",IF(B331="","⚠ Enter date",IF(OR(E331="",N(F331)&lt;=0),"⚠ Type / quantity missing",IF(AND(E331="In",G331=""),"⚠ Enter purchase rate",IF(OR(B331&lt;Setup!$C$6,B331&gt;Setup!$C$7),"Outside period",IF(K331&lt;0,"⚠ Stock goes negative","✔ OK"))))))))</f>
        <v/>
      </c>
      <c r="M331" s="9" t="str">
        <f aca="false">IF(OR(C331="",B331=""),"",B331+ROW()/1000000)</f>
        <v/>
      </c>
      <c r="N331" s="9" t="str">
        <f aca="false">IF(AND(E331="In",M331&lt;&gt;""),SUMIFS($F$7:$F$506,$C$7:$C$506,C331,$E$7:$E$506,"In",$M$7:$M$506,"&gt;"&amp;M331),"")</f>
        <v/>
      </c>
      <c r="O331" s="9" t="str">
        <f aca="false">IF(N331="","",IFERROR(INDEX('Item Master'!$K$6:$K$105,MATCH(C331,'Item Master'!$A$6:$A$105,0)),0))</f>
        <v/>
      </c>
      <c r="P331" s="9" t="n">
        <f aca="false">IF(N331="",0,MAX(0,MIN(N(F331),O331-N331))*N(G331))</f>
        <v>0</v>
      </c>
      <c r="Q331" s="9" t="str">
        <f aca="false">IF(AND(C331&lt;&gt;"",C331='Stock Ledger'!$C$4),M331,"")</f>
        <v/>
      </c>
    </row>
    <row r="332" customFormat="false" ht="15" hidden="false" customHeight="false" outlineLevel="0" collapsed="false">
      <c r="A332" s="45" t="str">
        <f aca="false">IF(C332="","",ROW()-6)</f>
        <v/>
      </c>
      <c r="B332" s="85"/>
      <c r="C332" s="80"/>
      <c r="D332" s="47" t="str">
        <f aca="false">IF(C332="","",IFERROR(INDEX('Item Master'!$B$6:$B$105,MATCH(C332,'Item Master'!$A$6:$A$105,0)),"?"))</f>
        <v/>
      </c>
      <c r="E332" s="82"/>
      <c r="F332" s="83"/>
      <c r="G332" s="84"/>
      <c r="H332" s="81"/>
      <c r="I332" s="80"/>
      <c r="J332" s="41" t="str">
        <f aca="false">IF(OR(C332="",G332=""),"",N(F332)*N(G332))</f>
        <v/>
      </c>
      <c r="K332" s="48" t="str">
        <f aca="false">IF(M332="","",N(IFERROR(INDEX('Item Master'!$E$6:$E$105,MATCH(C332,'Item Master'!$A$6:$A$105,0)),0))+SUMIFS($F$7:$F$506,$C$7:$C$506,C332,$E$7:$E$506,"In",$M$7:$M$506,"&lt;="&amp;M332)-SUMIFS($F$7:$F$506,$C$7:$C$506,C332,$E$7:$E$506,"Out",$M$7:$M$506,"&lt;="&amp;M332))</f>
        <v/>
      </c>
      <c r="L332" s="44" t="str">
        <f aca="false">IF(AND(B332="",C332="",F332=""),"",IF(C332="","⚠ Pick item",IF(D332="?","⚠ Code not in Item Master",IF(B332="","⚠ Enter date",IF(OR(E332="",N(F332)&lt;=0),"⚠ Type / quantity missing",IF(AND(E332="In",G332=""),"⚠ Enter purchase rate",IF(OR(B332&lt;Setup!$C$6,B332&gt;Setup!$C$7),"Outside period",IF(K332&lt;0,"⚠ Stock goes negative","✔ OK"))))))))</f>
        <v/>
      </c>
      <c r="M332" s="9" t="str">
        <f aca="false">IF(OR(C332="",B332=""),"",B332+ROW()/1000000)</f>
        <v/>
      </c>
      <c r="N332" s="9" t="str">
        <f aca="false">IF(AND(E332="In",M332&lt;&gt;""),SUMIFS($F$7:$F$506,$C$7:$C$506,C332,$E$7:$E$506,"In",$M$7:$M$506,"&gt;"&amp;M332),"")</f>
        <v/>
      </c>
      <c r="O332" s="9" t="str">
        <f aca="false">IF(N332="","",IFERROR(INDEX('Item Master'!$K$6:$K$105,MATCH(C332,'Item Master'!$A$6:$A$105,0)),0))</f>
        <v/>
      </c>
      <c r="P332" s="9" t="n">
        <f aca="false">IF(N332="",0,MAX(0,MIN(N(F332),O332-N332))*N(G332))</f>
        <v>0</v>
      </c>
      <c r="Q332" s="9" t="str">
        <f aca="false">IF(AND(C332&lt;&gt;"",C332='Stock Ledger'!$C$4),M332,"")</f>
        <v/>
      </c>
    </row>
    <row r="333" customFormat="false" ht="15" hidden="false" customHeight="false" outlineLevel="0" collapsed="false">
      <c r="A333" s="45" t="str">
        <f aca="false">IF(C333="","",ROW()-6)</f>
        <v/>
      </c>
      <c r="B333" s="85"/>
      <c r="C333" s="80"/>
      <c r="D333" s="47" t="str">
        <f aca="false">IF(C333="","",IFERROR(INDEX('Item Master'!$B$6:$B$105,MATCH(C333,'Item Master'!$A$6:$A$105,0)),"?"))</f>
        <v/>
      </c>
      <c r="E333" s="82"/>
      <c r="F333" s="83"/>
      <c r="G333" s="84"/>
      <c r="H333" s="81"/>
      <c r="I333" s="80"/>
      <c r="J333" s="41" t="str">
        <f aca="false">IF(OR(C333="",G333=""),"",N(F333)*N(G333))</f>
        <v/>
      </c>
      <c r="K333" s="48" t="str">
        <f aca="false">IF(M333="","",N(IFERROR(INDEX('Item Master'!$E$6:$E$105,MATCH(C333,'Item Master'!$A$6:$A$105,0)),0))+SUMIFS($F$7:$F$506,$C$7:$C$506,C333,$E$7:$E$506,"In",$M$7:$M$506,"&lt;="&amp;M333)-SUMIFS($F$7:$F$506,$C$7:$C$506,C333,$E$7:$E$506,"Out",$M$7:$M$506,"&lt;="&amp;M333))</f>
        <v/>
      </c>
      <c r="L333" s="44" t="str">
        <f aca="false">IF(AND(B333="",C333="",F333=""),"",IF(C333="","⚠ Pick item",IF(D333="?","⚠ Code not in Item Master",IF(B333="","⚠ Enter date",IF(OR(E333="",N(F333)&lt;=0),"⚠ Type / quantity missing",IF(AND(E333="In",G333=""),"⚠ Enter purchase rate",IF(OR(B333&lt;Setup!$C$6,B333&gt;Setup!$C$7),"Outside period",IF(K333&lt;0,"⚠ Stock goes negative","✔ OK"))))))))</f>
        <v/>
      </c>
      <c r="M333" s="9" t="str">
        <f aca="false">IF(OR(C333="",B333=""),"",B333+ROW()/1000000)</f>
        <v/>
      </c>
      <c r="N333" s="9" t="str">
        <f aca="false">IF(AND(E333="In",M333&lt;&gt;""),SUMIFS($F$7:$F$506,$C$7:$C$506,C333,$E$7:$E$506,"In",$M$7:$M$506,"&gt;"&amp;M333),"")</f>
        <v/>
      </c>
      <c r="O333" s="9" t="str">
        <f aca="false">IF(N333="","",IFERROR(INDEX('Item Master'!$K$6:$K$105,MATCH(C333,'Item Master'!$A$6:$A$105,0)),0))</f>
        <v/>
      </c>
      <c r="P333" s="9" t="n">
        <f aca="false">IF(N333="",0,MAX(0,MIN(N(F333),O333-N333))*N(G333))</f>
        <v>0</v>
      </c>
      <c r="Q333" s="9" t="str">
        <f aca="false">IF(AND(C333&lt;&gt;"",C333='Stock Ledger'!$C$4),M333,"")</f>
        <v/>
      </c>
    </row>
    <row r="334" customFormat="false" ht="15" hidden="false" customHeight="false" outlineLevel="0" collapsed="false">
      <c r="A334" s="45" t="str">
        <f aca="false">IF(C334="","",ROW()-6)</f>
        <v/>
      </c>
      <c r="B334" s="85"/>
      <c r="C334" s="80"/>
      <c r="D334" s="47" t="str">
        <f aca="false">IF(C334="","",IFERROR(INDEX('Item Master'!$B$6:$B$105,MATCH(C334,'Item Master'!$A$6:$A$105,0)),"?"))</f>
        <v/>
      </c>
      <c r="E334" s="82"/>
      <c r="F334" s="83"/>
      <c r="G334" s="84"/>
      <c r="H334" s="81"/>
      <c r="I334" s="80"/>
      <c r="J334" s="41" t="str">
        <f aca="false">IF(OR(C334="",G334=""),"",N(F334)*N(G334))</f>
        <v/>
      </c>
      <c r="K334" s="48" t="str">
        <f aca="false">IF(M334="","",N(IFERROR(INDEX('Item Master'!$E$6:$E$105,MATCH(C334,'Item Master'!$A$6:$A$105,0)),0))+SUMIFS($F$7:$F$506,$C$7:$C$506,C334,$E$7:$E$506,"In",$M$7:$M$506,"&lt;="&amp;M334)-SUMIFS($F$7:$F$506,$C$7:$C$506,C334,$E$7:$E$506,"Out",$M$7:$M$506,"&lt;="&amp;M334))</f>
        <v/>
      </c>
      <c r="L334" s="44" t="str">
        <f aca="false">IF(AND(B334="",C334="",F334=""),"",IF(C334="","⚠ Pick item",IF(D334="?","⚠ Code not in Item Master",IF(B334="","⚠ Enter date",IF(OR(E334="",N(F334)&lt;=0),"⚠ Type / quantity missing",IF(AND(E334="In",G334=""),"⚠ Enter purchase rate",IF(OR(B334&lt;Setup!$C$6,B334&gt;Setup!$C$7),"Outside period",IF(K334&lt;0,"⚠ Stock goes negative","✔ OK"))))))))</f>
        <v/>
      </c>
      <c r="M334" s="9" t="str">
        <f aca="false">IF(OR(C334="",B334=""),"",B334+ROW()/1000000)</f>
        <v/>
      </c>
      <c r="N334" s="9" t="str">
        <f aca="false">IF(AND(E334="In",M334&lt;&gt;""),SUMIFS($F$7:$F$506,$C$7:$C$506,C334,$E$7:$E$506,"In",$M$7:$M$506,"&gt;"&amp;M334),"")</f>
        <v/>
      </c>
      <c r="O334" s="9" t="str">
        <f aca="false">IF(N334="","",IFERROR(INDEX('Item Master'!$K$6:$K$105,MATCH(C334,'Item Master'!$A$6:$A$105,0)),0))</f>
        <v/>
      </c>
      <c r="P334" s="9" t="n">
        <f aca="false">IF(N334="",0,MAX(0,MIN(N(F334),O334-N334))*N(G334))</f>
        <v>0</v>
      </c>
      <c r="Q334" s="9" t="str">
        <f aca="false">IF(AND(C334&lt;&gt;"",C334='Stock Ledger'!$C$4),M334,"")</f>
        <v/>
      </c>
    </row>
    <row r="335" customFormat="false" ht="15" hidden="false" customHeight="false" outlineLevel="0" collapsed="false">
      <c r="A335" s="45" t="str">
        <f aca="false">IF(C335="","",ROW()-6)</f>
        <v/>
      </c>
      <c r="B335" s="85"/>
      <c r="C335" s="80"/>
      <c r="D335" s="47" t="str">
        <f aca="false">IF(C335="","",IFERROR(INDEX('Item Master'!$B$6:$B$105,MATCH(C335,'Item Master'!$A$6:$A$105,0)),"?"))</f>
        <v/>
      </c>
      <c r="E335" s="82"/>
      <c r="F335" s="83"/>
      <c r="G335" s="84"/>
      <c r="H335" s="81"/>
      <c r="I335" s="80"/>
      <c r="J335" s="41" t="str">
        <f aca="false">IF(OR(C335="",G335=""),"",N(F335)*N(G335))</f>
        <v/>
      </c>
      <c r="K335" s="48" t="str">
        <f aca="false">IF(M335="","",N(IFERROR(INDEX('Item Master'!$E$6:$E$105,MATCH(C335,'Item Master'!$A$6:$A$105,0)),0))+SUMIFS($F$7:$F$506,$C$7:$C$506,C335,$E$7:$E$506,"In",$M$7:$M$506,"&lt;="&amp;M335)-SUMIFS($F$7:$F$506,$C$7:$C$506,C335,$E$7:$E$506,"Out",$M$7:$M$506,"&lt;="&amp;M335))</f>
        <v/>
      </c>
      <c r="L335" s="44" t="str">
        <f aca="false">IF(AND(B335="",C335="",F335=""),"",IF(C335="","⚠ Pick item",IF(D335="?","⚠ Code not in Item Master",IF(B335="","⚠ Enter date",IF(OR(E335="",N(F335)&lt;=0),"⚠ Type / quantity missing",IF(AND(E335="In",G335=""),"⚠ Enter purchase rate",IF(OR(B335&lt;Setup!$C$6,B335&gt;Setup!$C$7),"Outside period",IF(K335&lt;0,"⚠ Stock goes negative","✔ OK"))))))))</f>
        <v/>
      </c>
      <c r="M335" s="9" t="str">
        <f aca="false">IF(OR(C335="",B335=""),"",B335+ROW()/1000000)</f>
        <v/>
      </c>
      <c r="N335" s="9" t="str">
        <f aca="false">IF(AND(E335="In",M335&lt;&gt;""),SUMIFS($F$7:$F$506,$C$7:$C$506,C335,$E$7:$E$506,"In",$M$7:$M$506,"&gt;"&amp;M335),"")</f>
        <v/>
      </c>
      <c r="O335" s="9" t="str">
        <f aca="false">IF(N335="","",IFERROR(INDEX('Item Master'!$K$6:$K$105,MATCH(C335,'Item Master'!$A$6:$A$105,0)),0))</f>
        <v/>
      </c>
      <c r="P335" s="9" t="n">
        <f aca="false">IF(N335="",0,MAX(0,MIN(N(F335),O335-N335))*N(G335))</f>
        <v>0</v>
      </c>
      <c r="Q335" s="9" t="str">
        <f aca="false">IF(AND(C335&lt;&gt;"",C335='Stock Ledger'!$C$4),M335,"")</f>
        <v/>
      </c>
    </row>
    <row r="336" customFormat="false" ht="15" hidden="false" customHeight="false" outlineLevel="0" collapsed="false">
      <c r="A336" s="45" t="str">
        <f aca="false">IF(C336="","",ROW()-6)</f>
        <v/>
      </c>
      <c r="B336" s="85"/>
      <c r="C336" s="80"/>
      <c r="D336" s="47" t="str">
        <f aca="false">IF(C336="","",IFERROR(INDEX('Item Master'!$B$6:$B$105,MATCH(C336,'Item Master'!$A$6:$A$105,0)),"?"))</f>
        <v/>
      </c>
      <c r="E336" s="82"/>
      <c r="F336" s="83"/>
      <c r="G336" s="84"/>
      <c r="H336" s="81"/>
      <c r="I336" s="80"/>
      <c r="J336" s="41" t="str">
        <f aca="false">IF(OR(C336="",G336=""),"",N(F336)*N(G336))</f>
        <v/>
      </c>
      <c r="K336" s="48" t="str">
        <f aca="false">IF(M336="","",N(IFERROR(INDEX('Item Master'!$E$6:$E$105,MATCH(C336,'Item Master'!$A$6:$A$105,0)),0))+SUMIFS($F$7:$F$506,$C$7:$C$506,C336,$E$7:$E$506,"In",$M$7:$M$506,"&lt;="&amp;M336)-SUMIFS($F$7:$F$506,$C$7:$C$506,C336,$E$7:$E$506,"Out",$M$7:$M$506,"&lt;="&amp;M336))</f>
        <v/>
      </c>
      <c r="L336" s="44" t="str">
        <f aca="false">IF(AND(B336="",C336="",F336=""),"",IF(C336="","⚠ Pick item",IF(D336="?","⚠ Code not in Item Master",IF(B336="","⚠ Enter date",IF(OR(E336="",N(F336)&lt;=0),"⚠ Type / quantity missing",IF(AND(E336="In",G336=""),"⚠ Enter purchase rate",IF(OR(B336&lt;Setup!$C$6,B336&gt;Setup!$C$7),"Outside period",IF(K336&lt;0,"⚠ Stock goes negative","✔ OK"))))))))</f>
        <v/>
      </c>
      <c r="M336" s="9" t="str">
        <f aca="false">IF(OR(C336="",B336=""),"",B336+ROW()/1000000)</f>
        <v/>
      </c>
      <c r="N336" s="9" t="str">
        <f aca="false">IF(AND(E336="In",M336&lt;&gt;""),SUMIFS($F$7:$F$506,$C$7:$C$506,C336,$E$7:$E$506,"In",$M$7:$M$506,"&gt;"&amp;M336),"")</f>
        <v/>
      </c>
      <c r="O336" s="9" t="str">
        <f aca="false">IF(N336="","",IFERROR(INDEX('Item Master'!$K$6:$K$105,MATCH(C336,'Item Master'!$A$6:$A$105,0)),0))</f>
        <v/>
      </c>
      <c r="P336" s="9" t="n">
        <f aca="false">IF(N336="",0,MAX(0,MIN(N(F336),O336-N336))*N(G336))</f>
        <v>0</v>
      </c>
      <c r="Q336" s="9" t="str">
        <f aca="false">IF(AND(C336&lt;&gt;"",C336='Stock Ledger'!$C$4),M336,"")</f>
        <v/>
      </c>
    </row>
    <row r="337" customFormat="false" ht="15" hidden="false" customHeight="false" outlineLevel="0" collapsed="false">
      <c r="A337" s="45" t="str">
        <f aca="false">IF(C337="","",ROW()-6)</f>
        <v/>
      </c>
      <c r="B337" s="85"/>
      <c r="C337" s="80"/>
      <c r="D337" s="47" t="str">
        <f aca="false">IF(C337="","",IFERROR(INDEX('Item Master'!$B$6:$B$105,MATCH(C337,'Item Master'!$A$6:$A$105,0)),"?"))</f>
        <v/>
      </c>
      <c r="E337" s="82"/>
      <c r="F337" s="83"/>
      <c r="G337" s="84"/>
      <c r="H337" s="81"/>
      <c r="I337" s="80"/>
      <c r="J337" s="41" t="str">
        <f aca="false">IF(OR(C337="",G337=""),"",N(F337)*N(G337))</f>
        <v/>
      </c>
      <c r="K337" s="48" t="str">
        <f aca="false">IF(M337="","",N(IFERROR(INDEX('Item Master'!$E$6:$E$105,MATCH(C337,'Item Master'!$A$6:$A$105,0)),0))+SUMIFS($F$7:$F$506,$C$7:$C$506,C337,$E$7:$E$506,"In",$M$7:$M$506,"&lt;="&amp;M337)-SUMIFS($F$7:$F$506,$C$7:$C$506,C337,$E$7:$E$506,"Out",$M$7:$M$506,"&lt;="&amp;M337))</f>
        <v/>
      </c>
      <c r="L337" s="44" t="str">
        <f aca="false">IF(AND(B337="",C337="",F337=""),"",IF(C337="","⚠ Pick item",IF(D337="?","⚠ Code not in Item Master",IF(B337="","⚠ Enter date",IF(OR(E337="",N(F337)&lt;=0),"⚠ Type / quantity missing",IF(AND(E337="In",G337=""),"⚠ Enter purchase rate",IF(OR(B337&lt;Setup!$C$6,B337&gt;Setup!$C$7),"Outside period",IF(K337&lt;0,"⚠ Stock goes negative","✔ OK"))))))))</f>
        <v/>
      </c>
      <c r="M337" s="9" t="str">
        <f aca="false">IF(OR(C337="",B337=""),"",B337+ROW()/1000000)</f>
        <v/>
      </c>
      <c r="N337" s="9" t="str">
        <f aca="false">IF(AND(E337="In",M337&lt;&gt;""),SUMIFS($F$7:$F$506,$C$7:$C$506,C337,$E$7:$E$506,"In",$M$7:$M$506,"&gt;"&amp;M337),"")</f>
        <v/>
      </c>
      <c r="O337" s="9" t="str">
        <f aca="false">IF(N337="","",IFERROR(INDEX('Item Master'!$K$6:$K$105,MATCH(C337,'Item Master'!$A$6:$A$105,0)),0))</f>
        <v/>
      </c>
      <c r="P337" s="9" t="n">
        <f aca="false">IF(N337="",0,MAX(0,MIN(N(F337),O337-N337))*N(G337))</f>
        <v>0</v>
      </c>
      <c r="Q337" s="9" t="str">
        <f aca="false">IF(AND(C337&lt;&gt;"",C337='Stock Ledger'!$C$4),M337,"")</f>
        <v/>
      </c>
    </row>
    <row r="338" customFormat="false" ht="15" hidden="false" customHeight="false" outlineLevel="0" collapsed="false">
      <c r="A338" s="45" t="str">
        <f aca="false">IF(C338="","",ROW()-6)</f>
        <v/>
      </c>
      <c r="B338" s="85"/>
      <c r="C338" s="80"/>
      <c r="D338" s="47" t="str">
        <f aca="false">IF(C338="","",IFERROR(INDEX('Item Master'!$B$6:$B$105,MATCH(C338,'Item Master'!$A$6:$A$105,0)),"?"))</f>
        <v/>
      </c>
      <c r="E338" s="82"/>
      <c r="F338" s="83"/>
      <c r="G338" s="84"/>
      <c r="H338" s="81"/>
      <c r="I338" s="80"/>
      <c r="J338" s="41" t="str">
        <f aca="false">IF(OR(C338="",G338=""),"",N(F338)*N(G338))</f>
        <v/>
      </c>
      <c r="K338" s="48" t="str">
        <f aca="false">IF(M338="","",N(IFERROR(INDEX('Item Master'!$E$6:$E$105,MATCH(C338,'Item Master'!$A$6:$A$105,0)),0))+SUMIFS($F$7:$F$506,$C$7:$C$506,C338,$E$7:$E$506,"In",$M$7:$M$506,"&lt;="&amp;M338)-SUMIFS($F$7:$F$506,$C$7:$C$506,C338,$E$7:$E$506,"Out",$M$7:$M$506,"&lt;="&amp;M338))</f>
        <v/>
      </c>
      <c r="L338" s="44" t="str">
        <f aca="false">IF(AND(B338="",C338="",F338=""),"",IF(C338="","⚠ Pick item",IF(D338="?","⚠ Code not in Item Master",IF(B338="","⚠ Enter date",IF(OR(E338="",N(F338)&lt;=0),"⚠ Type / quantity missing",IF(AND(E338="In",G338=""),"⚠ Enter purchase rate",IF(OR(B338&lt;Setup!$C$6,B338&gt;Setup!$C$7),"Outside period",IF(K338&lt;0,"⚠ Stock goes negative","✔ OK"))))))))</f>
        <v/>
      </c>
      <c r="M338" s="9" t="str">
        <f aca="false">IF(OR(C338="",B338=""),"",B338+ROW()/1000000)</f>
        <v/>
      </c>
      <c r="N338" s="9" t="str">
        <f aca="false">IF(AND(E338="In",M338&lt;&gt;""),SUMIFS($F$7:$F$506,$C$7:$C$506,C338,$E$7:$E$506,"In",$M$7:$M$506,"&gt;"&amp;M338),"")</f>
        <v/>
      </c>
      <c r="O338" s="9" t="str">
        <f aca="false">IF(N338="","",IFERROR(INDEX('Item Master'!$K$6:$K$105,MATCH(C338,'Item Master'!$A$6:$A$105,0)),0))</f>
        <v/>
      </c>
      <c r="P338" s="9" t="n">
        <f aca="false">IF(N338="",0,MAX(0,MIN(N(F338),O338-N338))*N(G338))</f>
        <v>0</v>
      </c>
      <c r="Q338" s="9" t="str">
        <f aca="false">IF(AND(C338&lt;&gt;"",C338='Stock Ledger'!$C$4),M338,"")</f>
        <v/>
      </c>
    </row>
    <row r="339" customFormat="false" ht="15" hidden="false" customHeight="false" outlineLevel="0" collapsed="false">
      <c r="A339" s="45" t="str">
        <f aca="false">IF(C339="","",ROW()-6)</f>
        <v/>
      </c>
      <c r="B339" s="85"/>
      <c r="C339" s="80"/>
      <c r="D339" s="47" t="str">
        <f aca="false">IF(C339="","",IFERROR(INDEX('Item Master'!$B$6:$B$105,MATCH(C339,'Item Master'!$A$6:$A$105,0)),"?"))</f>
        <v/>
      </c>
      <c r="E339" s="82"/>
      <c r="F339" s="83"/>
      <c r="G339" s="84"/>
      <c r="H339" s="81"/>
      <c r="I339" s="80"/>
      <c r="J339" s="41" t="str">
        <f aca="false">IF(OR(C339="",G339=""),"",N(F339)*N(G339))</f>
        <v/>
      </c>
      <c r="K339" s="48" t="str">
        <f aca="false">IF(M339="","",N(IFERROR(INDEX('Item Master'!$E$6:$E$105,MATCH(C339,'Item Master'!$A$6:$A$105,0)),0))+SUMIFS($F$7:$F$506,$C$7:$C$506,C339,$E$7:$E$506,"In",$M$7:$M$506,"&lt;="&amp;M339)-SUMIFS($F$7:$F$506,$C$7:$C$506,C339,$E$7:$E$506,"Out",$M$7:$M$506,"&lt;="&amp;M339))</f>
        <v/>
      </c>
      <c r="L339" s="44" t="str">
        <f aca="false">IF(AND(B339="",C339="",F339=""),"",IF(C339="","⚠ Pick item",IF(D339="?","⚠ Code not in Item Master",IF(B339="","⚠ Enter date",IF(OR(E339="",N(F339)&lt;=0),"⚠ Type / quantity missing",IF(AND(E339="In",G339=""),"⚠ Enter purchase rate",IF(OR(B339&lt;Setup!$C$6,B339&gt;Setup!$C$7),"Outside period",IF(K339&lt;0,"⚠ Stock goes negative","✔ OK"))))))))</f>
        <v/>
      </c>
      <c r="M339" s="9" t="str">
        <f aca="false">IF(OR(C339="",B339=""),"",B339+ROW()/1000000)</f>
        <v/>
      </c>
      <c r="N339" s="9" t="str">
        <f aca="false">IF(AND(E339="In",M339&lt;&gt;""),SUMIFS($F$7:$F$506,$C$7:$C$506,C339,$E$7:$E$506,"In",$M$7:$M$506,"&gt;"&amp;M339),"")</f>
        <v/>
      </c>
      <c r="O339" s="9" t="str">
        <f aca="false">IF(N339="","",IFERROR(INDEX('Item Master'!$K$6:$K$105,MATCH(C339,'Item Master'!$A$6:$A$105,0)),0))</f>
        <v/>
      </c>
      <c r="P339" s="9" t="n">
        <f aca="false">IF(N339="",0,MAX(0,MIN(N(F339),O339-N339))*N(G339))</f>
        <v>0</v>
      </c>
      <c r="Q339" s="9" t="str">
        <f aca="false">IF(AND(C339&lt;&gt;"",C339='Stock Ledger'!$C$4),M339,"")</f>
        <v/>
      </c>
    </row>
    <row r="340" customFormat="false" ht="15" hidden="false" customHeight="false" outlineLevel="0" collapsed="false">
      <c r="A340" s="45" t="str">
        <f aca="false">IF(C340="","",ROW()-6)</f>
        <v/>
      </c>
      <c r="B340" s="85"/>
      <c r="C340" s="80"/>
      <c r="D340" s="47" t="str">
        <f aca="false">IF(C340="","",IFERROR(INDEX('Item Master'!$B$6:$B$105,MATCH(C340,'Item Master'!$A$6:$A$105,0)),"?"))</f>
        <v/>
      </c>
      <c r="E340" s="82"/>
      <c r="F340" s="83"/>
      <c r="G340" s="84"/>
      <c r="H340" s="81"/>
      <c r="I340" s="80"/>
      <c r="J340" s="41" t="str">
        <f aca="false">IF(OR(C340="",G340=""),"",N(F340)*N(G340))</f>
        <v/>
      </c>
      <c r="K340" s="48" t="str">
        <f aca="false">IF(M340="","",N(IFERROR(INDEX('Item Master'!$E$6:$E$105,MATCH(C340,'Item Master'!$A$6:$A$105,0)),0))+SUMIFS($F$7:$F$506,$C$7:$C$506,C340,$E$7:$E$506,"In",$M$7:$M$506,"&lt;="&amp;M340)-SUMIFS($F$7:$F$506,$C$7:$C$506,C340,$E$7:$E$506,"Out",$M$7:$M$506,"&lt;="&amp;M340))</f>
        <v/>
      </c>
      <c r="L340" s="44" t="str">
        <f aca="false">IF(AND(B340="",C340="",F340=""),"",IF(C340="","⚠ Pick item",IF(D340="?","⚠ Code not in Item Master",IF(B340="","⚠ Enter date",IF(OR(E340="",N(F340)&lt;=0),"⚠ Type / quantity missing",IF(AND(E340="In",G340=""),"⚠ Enter purchase rate",IF(OR(B340&lt;Setup!$C$6,B340&gt;Setup!$C$7),"Outside period",IF(K340&lt;0,"⚠ Stock goes negative","✔ OK"))))))))</f>
        <v/>
      </c>
      <c r="M340" s="9" t="str">
        <f aca="false">IF(OR(C340="",B340=""),"",B340+ROW()/1000000)</f>
        <v/>
      </c>
      <c r="N340" s="9" t="str">
        <f aca="false">IF(AND(E340="In",M340&lt;&gt;""),SUMIFS($F$7:$F$506,$C$7:$C$506,C340,$E$7:$E$506,"In",$M$7:$M$506,"&gt;"&amp;M340),"")</f>
        <v/>
      </c>
      <c r="O340" s="9" t="str">
        <f aca="false">IF(N340="","",IFERROR(INDEX('Item Master'!$K$6:$K$105,MATCH(C340,'Item Master'!$A$6:$A$105,0)),0))</f>
        <v/>
      </c>
      <c r="P340" s="9" t="n">
        <f aca="false">IF(N340="",0,MAX(0,MIN(N(F340),O340-N340))*N(G340))</f>
        <v>0</v>
      </c>
      <c r="Q340" s="9" t="str">
        <f aca="false">IF(AND(C340&lt;&gt;"",C340='Stock Ledger'!$C$4),M340,"")</f>
        <v/>
      </c>
    </row>
    <row r="341" customFormat="false" ht="15" hidden="false" customHeight="false" outlineLevel="0" collapsed="false">
      <c r="A341" s="45" t="str">
        <f aca="false">IF(C341="","",ROW()-6)</f>
        <v/>
      </c>
      <c r="B341" s="85"/>
      <c r="C341" s="80"/>
      <c r="D341" s="47" t="str">
        <f aca="false">IF(C341="","",IFERROR(INDEX('Item Master'!$B$6:$B$105,MATCH(C341,'Item Master'!$A$6:$A$105,0)),"?"))</f>
        <v/>
      </c>
      <c r="E341" s="82"/>
      <c r="F341" s="83"/>
      <c r="G341" s="84"/>
      <c r="H341" s="81"/>
      <c r="I341" s="80"/>
      <c r="J341" s="41" t="str">
        <f aca="false">IF(OR(C341="",G341=""),"",N(F341)*N(G341))</f>
        <v/>
      </c>
      <c r="K341" s="48" t="str">
        <f aca="false">IF(M341="","",N(IFERROR(INDEX('Item Master'!$E$6:$E$105,MATCH(C341,'Item Master'!$A$6:$A$105,0)),0))+SUMIFS($F$7:$F$506,$C$7:$C$506,C341,$E$7:$E$506,"In",$M$7:$M$506,"&lt;="&amp;M341)-SUMIFS($F$7:$F$506,$C$7:$C$506,C341,$E$7:$E$506,"Out",$M$7:$M$506,"&lt;="&amp;M341))</f>
        <v/>
      </c>
      <c r="L341" s="44" t="str">
        <f aca="false">IF(AND(B341="",C341="",F341=""),"",IF(C341="","⚠ Pick item",IF(D341="?","⚠ Code not in Item Master",IF(B341="","⚠ Enter date",IF(OR(E341="",N(F341)&lt;=0),"⚠ Type / quantity missing",IF(AND(E341="In",G341=""),"⚠ Enter purchase rate",IF(OR(B341&lt;Setup!$C$6,B341&gt;Setup!$C$7),"Outside period",IF(K341&lt;0,"⚠ Stock goes negative","✔ OK"))))))))</f>
        <v/>
      </c>
      <c r="M341" s="9" t="str">
        <f aca="false">IF(OR(C341="",B341=""),"",B341+ROW()/1000000)</f>
        <v/>
      </c>
      <c r="N341" s="9" t="str">
        <f aca="false">IF(AND(E341="In",M341&lt;&gt;""),SUMIFS($F$7:$F$506,$C$7:$C$506,C341,$E$7:$E$506,"In",$M$7:$M$506,"&gt;"&amp;M341),"")</f>
        <v/>
      </c>
      <c r="O341" s="9" t="str">
        <f aca="false">IF(N341="","",IFERROR(INDEX('Item Master'!$K$6:$K$105,MATCH(C341,'Item Master'!$A$6:$A$105,0)),0))</f>
        <v/>
      </c>
      <c r="P341" s="9" t="n">
        <f aca="false">IF(N341="",0,MAX(0,MIN(N(F341),O341-N341))*N(G341))</f>
        <v>0</v>
      </c>
      <c r="Q341" s="9" t="str">
        <f aca="false">IF(AND(C341&lt;&gt;"",C341='Stock Ledger'!$C$4),M341,"")</f>
        <v/>
      </c>
    </row>
    <row r="342" customFormat="false" ht="15" hidden="false" customHeight="false" outlineLevel="0" collapsed="false">
      <c r="A342" s="45" t="str">
        <f aca="false">IF(C342="","",ROW()-6)</f>
        <v/>
      </c>
      <c r="B342" s="85"/>
      <c r="C342" s="80"/>
      <c r="D342" s="47" t="str">
        <f aca="false">IF(C342="","",IFERROR(INDEX('Item Master'!$B$6:$B$105,MATCH(C342,'Item Master'!$A$6:$A$105,0)),"?"))</f>
        <v/>
      </c>
      <c r="E342" s="82"/>
      <c r="F342" s="83"/>
      <c r="G342" s="84"/>
      <c r="H342" s="81"/>
      <c r="I342" s="80"/>
      <c r="J342" s="41" t="str">
        <f aca="false">IF(OR(C342="",G342=""),"",N(F342)*N(G342))</f>
        <v/>
      </c>
      <c r="K342" s="48" t="str">
        <f aca="false">IF(M342="","",N(IFERROR(INDEX('Item Master'!$E$6:$E$105,MATCH(C342,'Item Master'!$A$6:$A$105,0)),0))+SUMIFS($F$7:$F$506,$C$7:$C$506,C342,$E$7:$E$506,"In",$M$7:$M$506,"&lt;="&amp;M342)-SUMIFS($F$7:$F$506,$C$7:$C$506,C342,$E$7:$E$506,"Out",$M$7:$M$506,"&lt;="&amp;M342))</f>
        <v/>
      </c>
      <c r="L342" s="44" t="str">
        <f aca="false">IF(AND(B342="",C342="",F342=""),"",IF(C342="","⚠ Pick item",IF(D342="?","⚠ Code not in Item Master",IF(B342="","⚠ Enter date",IF(OR(E342="",N(F342)&lt;=0),"⚠ Type / quantity missing",IF(AND(E342="In",G342=""),"⚠ Enter purchase rate",IF(OR(B342&lt;Setup!$C$6,B342&gt;Setup!$C$7),"Outside period",IF(K342&lt;0,"⚠ Stock goes negative","✔ OK"))))))))</f>
        <v/>
      </c>
      <c r="M342" s="9" t="str">
        <f aca="false">IF(OR(C342="",B342=""),"",B342+ROW()/1000000)</f>
        <v/>
      </c>
      <c r="N342" s="9" t="str">
        <f aca="false">IF(AND(E342="In",M342&lt;&gt;""),SUMIFS($F$7:$F$506,$C$7:$C$506,C342,$E$7:$E$506,"In",$M$7:$M$506,"&gt;"&amp;M342),"")</f>
        <v/>
      </c>
      <c r="O342" s="9" t="str">
        <f aca="false">IF(N342="","",IFERROR(INDEX('Item Master'!$K$6:$K$105,MATCH(C342,'Item Master'!$A$6:$A$105,0)),0))</f>
        <v/>
      </c>
      <c r="P342" s="9" t="n">
        <f aca="false">IF(N342="",0,MAX(0,MIN(N(F342),O342-N342))*N(G342))</f>
        <v>0</v>
      </c>
      <c r="Q342" s="9" t="str">
        <f aca="false">IF(AND(C342&lt;&gt;"",C342='Stock Ledger'!$C$4),M342,"")</f>
        <v/>
      </c>
    </row>
    <row r="343" customFormat="false" ht="15" hidden="false" customHeight="false" outlineLevel="0" collapsed="false">
      <c r="A343" s="45" t="str">
        <f aca="false">IF(C343="","",ROW()-6)</f>
        <v/>
      </c>
      <c r="B343" s="85"/>
      <c r="C343" s="80"/>
      <c r="D343" s="47" t="str">
        <f aca="false">IF(C343="","",IFERROR(INDEX('Item Master'!$B$6:$B$105,MATCH(C343,'Item Master'!$A$6:$A$105,0)),"?"))</f>
        <v/>
      </c>
      <c r="E343" s="82"/>
      <c r="F343" s="83"/>
      <c r="G343" s="84"/>
      <c r="H343" s="81"/>
      <c r="I343" s="80"/>
      <c r="J343" s="41" t="str">
        <f aca="false">IF(OR(C343="",G343=""),"",N(F343)*N(G343))</f>
        <v/>
      </c>
      <c r="K343" s="48" t="str">
        <f aca="false">IF(M343="","",N(IFERROR(INDEX('Item Master'!$E$6:$E$105,MATCH(C343,'Item Master'!$A$6:$A$105,0)),0))+SUMIFS($F$7:$F$506,$C$7:$C$506,C343,$E$7:$E$506,"In",$M$7:$M$506,"&lt;="&amp;M343)-SUMIFS($F$7:$F$506,$C$7:$C$506,C343,$E$7:$E$506,"Out",$M$7:$M$506,"&lt;="&amp;M343))</f>
        <v/>
      </c>
      <c r="L343" s="44" t="str">
        <f aca="false">IF(AND(B343="",C343="",F343=""),"",IF(C343="","⚠ Pick item",IF(D343="?","⚠ Code not in Item Master",IF(B343="","⚠ Enter date",IF(OR(E343="",N(F343)&lt;=0),"⚠ Type / quantity missing",IF(AND(E343="In",G343=""),"⚠ Enter purchase rate",IF(OR(B343&lt;Setup!$C$6,B343&gt;Setup!$C$7),"Outside period",IF(K343&lt;0,"⚠ Stock goes negative","✔ OK"))))))))</f>
        <v/>
      </c>
      <c r="M343" s="9" t="str">
        <f aca="false">IF(OR(C343="",B343=""),"",B343+ROW()/1000000)</f>
        <v/>
      </c>
      <c r="N343" s="9" t="str">
        <f aca="false">IF(AND(E343="In",M343&lt;&gt;""),SUMIFS($F$7:$F$506,$C$7:$C$506,C343,$E$7:$E$506,"In",$M$7:$M$506,"&gt;"&amp;M343),"")</f>
        <v/>
      </c>
      <c r="O343" s="9" t="str">
        <f aca="false">IF(N343="","",IFERROR(INDEX('Item Master'!$K$6:$K$105,MATCH(C343,'Item Master'!$A$6:$A$105,0)),0))</f>
        <v/>
      </c>
      <c r="P343" s="9" t="n">
        <f aca="false">IF(N343="",0,MAX(0,MIN(N(F343),O343-N343))*N(G343))</f>
        <v>0</v>
      </c>
      <c r="Q343" s="9" t="str">
        <f aca="false">IF(AND(C343&lt;&gt;"",C343='Stock Ledger'!$C$4),M343,"")</f>
        <v/>
      </c>
    </row>
    <row r="344" customFormat="false" ht="15" hidden="false" customHeight="false" outlineLevel="0" collapsed="false">
      <c r="A344" s="45" t="str">
        <f aca="false">IF(C344="","",ROW()-6)</f>
        <v/>
      </c>
      <c r="B344" s="85"/>
      <c r="C344" s="80"/>
      <c r="D344" s="47" t="str">
        <f aca="false">IF(C344="","",IFERROR(INDEX('Item Master'!$B$6:$B$105,MATCH(C344,'Item Master'!$A$6:$A$105,0)),"?"))</f>
        <v/>
      </c>
      <c r="E344" s="82"/>
      <c r="F344" s="83"/>
      <c r="G344" s="84"/>
      <c r="H344" s="81"/>
      <c r="I344" s="80"/>
      <c r="J344" s="41" t="str">
        <f aca="false">IF(OR(C344="",G344=""),"",N(F344)*N(G344))</f>
        <v/>
      </c>
      <c r="K344" s="48" t="str">
        <f aca="false">IF(M344="","",N(IFERROR(INDEX('Item Master'!$E$6:$E$105,MATCH(C344,'Item Master'!$A$6:$A$105,0)),0))+SUMIFS($F$7:$F$506,$C$7:$C$506,C344,$E$7:$E$506,"In",$M$7:$M$506,"&lt;="&amp;M344)-SUMIFS($F$7:$F$506,$C$7:$C$506,C344,$E$7:$E$506,"Out",$M$7:$M$506,"&lt;="&amp;M344))</f>
        <v/>
      </c>
      <c r="L344" s="44" t="str">
        <f aca="false">IF(AND(B344="",C344="",F344=""),"",IF(C344="","⚠ Pick item",IF(D344="?","⚠ Code not in Item Master",IF(B344="","⚠ Enter date",IF(OR(E344="",N(F344)&lt;=0),"⚠ Type / quantity missing",IF(AND(E344="In",G344=""),"⚠ Enter purchase rate",IF(OR(B344&lt;Setup!$C$6,B344&gt;Setup!$C$7),"Outside period",IF(K344&lt;0,"⚠ Stock goes negative","✔ OK"))))))))</f>
        <v/>
      </c>
      <c r="M344" s="9" t="str">
        <f aca="false">IF(OR(C344="",B344=""),"",B344+ROW()/1000000)</f>
        <v/>
      </c>
      <c r="N344" s="9" t="str">
        <f aca="false">IF(AND(E344="In",M344&lt;&gt;""),SUMIFS($F$7:$F$506,$C$7:$C$506,C344,$E$7:$E$506,"In",$M$7:$M$506,"&gt;"&amp;M344),"")</f>
        <v/>
      </c>
      <c r="O344" s="9" t="str">
        <f aca="false">IF(N344="","",IFERROR(INDEX('Item Master'!$K$6:$K$105,MATCH(C344,'Item Master'!$A$6:$A$105,0)),0))</f>
        <v/>
      </c>
      <c r="P344" s="9" t="n">
        <f aca="false">IF(N344="",0,MAX(0,MIN(N(F344),O344-N344))*N(G344))</f>
        <v>0</v>
      </c>
      <c r="Q344" s="9" t="str">
        <f aca="false">IF(AND(C344&lt;&gt;"",C344='Stock Ledger'!$C$4),M344,"")</f>
        <v/>
      </c>
    </row>
    <row r="345" customFormat="false" ht="15" hidden="false" customHeight="false" outlineLevel="0" collapsed="false">
      <c r="A345" s="45" t="str">
        <f aca="false">IF(C345="","",ROW()-6)</f>
        <v/>
      </c>
      <c r="B345" s="85"/>
      <c r="C345" s="80"/>
      <c r="D345" s="47" t="str">
        <f aca="false">IF(C345="","",IFERROR(INDEX('Item Master'!$B$6:$B$105,MATCH(C345,'Item Master'!$A$6:$A$105,0)),"?"))</f>
        <v/>
      </c>
      <c r="E345" s="82"/>
      <c r="F345" s="83"/>
      <c r="G345" s="84"/>
      <c r="H345" s="81"/>
      <c r="I345" s="80"/>
      <c r="J345" s="41" t="str">
        <f aca="false">IF(OR(C345="",G345=""),"",N(F345)*N(G345))</f>
        <v/>
      </c>
      <c r="K345" s="48" t="str">
        <f aca="false">IF(M345="","",N(IFERROR(INDEX('Item Master'!$E$6:$E$105,MATCH(C345,'Item Master'!$A$6:$A$105,0)),0))+SUMIFS($F$7:$F$506,$C$7:$C$506,C345,$E$7:$E$506,"In",$M$7:$M$506,"&lt;="&amp;M345)-SUMIFS($F$7:$F$506,$C$7:$C$506,C345,$E$7:$E$506,"Out",$M$7:$M$506,"&lt;="&amp;M345))</f>
        <v/>
      </c>
      <c r="L345" s="44" t="str">
        <f aca="false">IF(AND(B345="",C345="",F345=""),"",IF(C345="","⚠ Pick item",IF(D345="?","⚠ Code not in Item Master",IF(B345="","⚠ Enter date",IF(OR(E345="",N(F345)&lt;=0),"⚠ Type / quantity missing",IF(AND(E345="In",G345=""),"⚠ Enter purchase rate",IF(OR(B345&lt;Setup!$C$6,B345&gt;Setup!$C$7),"Outside period",IF(K345&lt;0,"⚠ Stock goes negative","✔ OK"))))))))</f>
        <v/>
      </c>
      <c r="M345" s="9" t="str">
        <f aca="false">IF(OR(C345="",B345=""),"",B345+ROW()/1000000)</f>
        <v/>
      </c>
      <c r="N345" s="9" t="str">
        <f aca="false">IF(AND(E345="In",M345&lt;&gt;""),SUMIFS($F$7:$F$506,$C$7:$C$506,C345,$E$7:$E$506,"In",$M$7:$M$506,"&gt;"&amp;M345),"")</f>
        <v/>
      </c>
      <c r="O345" s="9" t="str">
        <f aca="false">IF(N345="","",IFERROR(INDEX('Item Master'!$K$6:$K$105,MATCH(C345,'Item Master'!$A$6:$A$105,0)),0))</f>
        <v/>
      </c>
      <c r="P345" s="9" t="n">
        <f aca="false">IF(N345="",0,MAX(0,MIN(N(F345),O345-N345))*N(G345))</f>
        <v>0</v>
      </c>
      <c r="Q345" s="9" t="str">
        <f aca="false">IF(AND(C345&lt;&gt;"",C345='Stock Ledger'!$C$4),M345,"")</f>
        <v/>
      </c>
    </row>
    <row r="346" customFormat="false" ht="15" hidden="false" customHeight="false" outlineLevel="0" collapsed="false">
      <c r="A346" s="45" t="str">
        <f aca="false">IF(C346="","",ROW()-6)</f>
        <v/>
      </c>
      <c r="B346" s="85"/>
      <c r="C346" s="80"/>
      <c r="D346" s="47" t="str">
        <f aca="false">IF(C346="","",IFERROR(INDEX('Item Master'!$B$6:$B$105,MATCH(C346,'Item Master'!$A$6:$A$105,0)),"?"))</f>
        <v/>
      </c>
      <c r="E346" s="82"/>
      <c r="F346" s="83"/>
      <c r="G346" s="84"/>
      <c r="H346" s="81"/>
      <c r="I346" s="80"/>
      <c r="J346" s="41" t="str">
        <f aca="false">IF(OR(C346="",G346=""),"",N(F346)*N(G346))</f>
        <v/>
      </c>
      <c r="K346" s="48" t="str">
        <f aca="false">IF(M346="","",N(IFERROR(INDEX('Item Master'!$E$6:$E$105,MATCH(C346,'Item Master'!$A$6:$A$105,0)),0))+SUMIFS($F$7:$F$506,$C$7:$C$506,C346,$E$7:$E$506,"In",$M$7:$M$506,"&lt;="&amp;M346)-SUMIFS($F$7:$F$506,$C$7:$C$506,C346,$E$7:$E$506,"Out",$M$7:$M$506,"&lt;="&amp;M346))</f>
        <v/>
      </c>
      <c r="L346" s="44" t="str">
        <f aca="false">IF(AND(B346="",C346="",F346=""),"",IF(C346="","⚠ Pick item",IF(D346="?","⚠ Code not in Item Master",IF(B346="","⚠ Enter date",IF(OR(E346="",N(F346)&lt;=0),"⚠ Type / quantity missing",IF(AND(E346="In",G346=""),"⚠ Enter purchase rate",IF(OR(B346&lt;Setup!$C$6,B346&gt;Setup!$C$7),"Outside period",IF(K346&lt;0,"⚠ Stock goes negative","✔ OK"))))))))</f>
        <v/>
      </c>
      <c r="M346" s="9" t="str">
        <f aca="false">IF(OR(C346="",B346=""),"",B346+ROW()/1000000)</f>
        <v/>
      </c>
      <c r="N346" s="9" t="str">
        <f aca="false">IF(AND(E346="In",M346&lt;&gt;""),SUMIFS($F$7:$F$506,$C$7:$C$506,C346,$E$7:$E$506,"In",$M$7:$M$506,"&gt;"&amp;M346),"")</f>
        <v/>
      </c>
      <c r="O346" s="9" t="str">
        <f aca="false">IF(N346="","",IFERROR(INDEX('Item Master'!$K$6:$K$105,MATCH(C346,'Item Master'!$A$6:$A$105,0)),0))</f>
        <v/>
      </c>
      <c r="P346" s="9" t="n">
        <f aca="false">IF(N346="",0,MAX(0,MIN(N(F346),O346-N346))*N(G346))</f>
        <v>0</v>
      </c>
      <c r="Q346" s="9" t="str">
        <f aca="false">IF(AND(C346&lt;&gt;"",C346='Stock Ledger'!$C$4),M346,"")</f>
        <v/>
      </c>
    </row>
    <row r="347" customFormat="false" ht="15" hidden="false" customHeight="false" outlineLevel="0" collapsed="false">
      <c r="A347" s="45" t="str">
        <f aca="false">IF(C347="","",ROW()-6)</f>
        <v/>
      </c>
      <c r="B347" s="85"/>
      <c r="C347" s="80"/>
      <c r="D347" s="47" t="str">
        <f aca="false">IF(C347="","",IFERROR(INDEX('Item Master'!$B$6:$B$105,MATCH(C347,'Item Master'!$A$6:$A$105,0)),"?"))</f>
        <v/>
      </c>
      <c r="E347" s="82"/>
      <c r="F347" s="83"/>
      <c r="G347" s="84"/>
      <c r="H347" s="81"/>
      <c r="I347" s="80"/>
      <c r="J347" s="41" t="str">
        <f aca="false">IF(OR(C347="",G347=""),"",N(F347)*N(G347))</f>
        <v/>
      </c>
      <c r="K347" s="48" t="str">
        <f aca="false">IF(M347="","",N(IFERROR(INDEX('Item Master'!$E$6:$E$105,MATCH(C347,'Item Master'!$A$6:$A$105,0)),0))+SUMIFS($F$7:$F$506,$C$7:$C$506,C347,$E$7:$E$506,"In",$M$7:$M$506,"&lt;="&amp;M347)-SUMIFS($F$7:$F$506,$C$7:$C$506,C347,$E$7:$E$506,"Out",$M$7:$M$506,"&lt;="&amp;M347))</f>
        <v/>
      </c>
      <c r="L347" s="44" t="str">
        <f aca="false">IF(AND(B347="",C347="",F347=""),"",IF(C347="","⚠ Pick item",IF(D347="?","⚠ Code not in Item Master",IF(B347="","⚠ Enter date",IF(OR(E347="",N(F347)&lt;=0),"⚠ Type / quantity missing",IF(AND(E347="In",G347=""),"⚠ Enter purchase rate",IF(OR(B347&lt;Setup!$C$6,B347&gt;Setup!$C$7),"Outside period",IF(K347&lt;0,"⚠ Stock goes negative","✔ OK"))))))))</f>
        <v/>
      </c>
      <c r="M347" s="9" t="str">
        <f aca="false">IF(OR(C347="",B347=""),"",B347+ROW()/1000000)</f>
        <v/>
      </c>
      <c r="N347" s="9" t="str">
        <f aca="false">IF(AND(E347="In",M347&lt;&gt;""),SUMIFS($F$7:$F$506,$C$7:$C$506,C347,$E$7:$E$506,"In",$M$7:$M$506,"&gt;"&amp;M347),"")</f>
        <v/>
      </c>
      <c r="O347" s="9" t="str">
        <f aca="false">IF(N347="","",IFERROR(INDEX('Item Master'!$K$6:$K$105,MATCH(C347,'Item Master'!$A$6:$A$105,0)),0))</f>
        <v/>
      </c>
      <c r="P347" s="9" t="n">
        <f aca="false">IF(N347="",0,MAX(0,MIN(N(F347),O347-N347))*N(G347))</f>
        <v>0</v>
      </c>
      <c r="Q347" s="9" t="str">
        <f aca="false">IF(AND(C347&lt;&gt;"",C347='Stock Ledger'!$C$4),M347,"")</f>
        <v/>
      </c>
    </row>
    <row r="348" customFormat="false" ht="15" hidden="false" customHeight="false" outlineLevel="0" collapsed="false">
      <c r="A348" s="45" t="str">
        <f aca="false">IF(C348="","",ROW()-6)</f>
        <v/>
      </c>
      <c r="B348" s="85"/>
      <c r="C348" s="80"/>
      <c r="D348" s="47" t="str">
        <f aca="false">IF(C348="","",IFERROR(INDEX('Item Master'!$B$6:$B$105,MATCH(C348,'Item Master'!$A$6:$A$105,0)),"?"))</f>
        <v/>
      </c>
      <c r="E348" s="82"/>
      <c r="F348" s="83"/>
      <c r="G348" s="84"/>
      <c r="H348" s="81"/>
      <c r="I348" s="80"/>
      <c r="J348" s="41" t="str">
        <f aca="false">IF(OR(C348="",G348=""),"",N(F348)*N(G348))</f>
        <v/>
      </c>
      <c r="K348" s="48" t="str">
        <f aca="false">IF(M348="","",N(IFERROR(INDEX('Item Master'!$E$6:$E$105,MATCH(C348,'Item Master'!$A$6:$A$105,0)),0))+SUMIFS($F$7:$F$506,$C$7:$C$506,C348,$E$7:$E$506,"In",$M$7:$M$506,"&lt;="&amp;M348)-SUMIFS($F$7:$F$506,$C$7:$C$506,C348,$E$7:$E$506,"Out",$M$7:$M$506,"&lt;="&amp;M348))</f>
        <v/>
      </c>
      <c r="L348" s="44" t="str">
        <f aca="false">IF(AND(B348="",C348="",F348=""),"",IF(C348="","⚠ Pick item",IF(D348="?","⚠ Code not in Item Master",IF(B348="","⚠ Enter date",IF(OR(E348="",N(F348)&lt;=0),"⚠ Type / quantity missing",IF(AND(E348="In",G348=""),"⚠ Enter purchase rate",IF(OR(B348&lt;Setup!$C$6,B348&gt;Setup!$C$7),"Outside period",IF(K348&lt;0,"⚠ Stock goes negative","✔ OK"))))))))</f>
        <v/>
      </c>
      <c r="M348" s="9" t="str">
        <f aca="false">IF(OR(C348="",B348=""),"",B348+ROW()/1000000)</f>
        <v/>
      </c>
      <c r="N348" s="9" t="str">
        <f aca="false">IF(AND(E348="In",M348&lt;&gt;""),SUMIFS($F$7:$F$506,$C$7:$C$506,C348,$E$7:$E$506,"In",$M$7:$M$506,"&gt;"&amp;M348),"")</f>
        <v/>
      </c>
      <c r="O348" s="9" t="str">
        <f aca="false">IF(N348="","",IFERROR(INDEX('Item Master'!$K$6:$K$105,MATCH(C348,'Item Master'!$A$6:$A$105,0)),0))</f>
        <v/>
      </c>
      <c r="P348" s="9" t="n">
        <f aca="false">IF(N348="",0,MAX(0,MIN(N(F348),O348-N348))*N(G348))</f>
        <v>0</v>
      </c>
      <c r="Q348" s="9" t="str">
        <f aca="false">IF(AND(C348&lt;&gt;"",C348='Stock Ledger'!$C$4),M348,"")</f>
        <v/>
      </c>
    </row>
    <row r="349" customFormat="false" ht="15" hidden="false" customHeight="false" outlineLevel="0" collapsed="false">
      <c r="A349" s="45" t="str">
        <f aca="false">IF(C349="","",ROW()-6)</f>
        <v/>
      </c>
      <c r="B349" s="85"/>
      <c r="C349" s="80"/>
      <c r="D349" s="47" t="str">
        <f aca="false">IF(C349="","",IFERROR(INDEX('Item Master'!$B$6:$B$105,MATCH(C349,'Item Master'!$A$6:$A$105,0)),"?"))</f>
        <v/>
      </c>
      <c r="E349" s="82"/>
      <c r="F349" s="83"/>
      <c r="G349" s="84"/>
      <c r="H349" s="81"/>
      <c r="I349" s="80"/>
      <c r="J349" s="41" t="str">
        <f aca="false">IF(OR(C349="",G349=""),"",N(F349)*N(G349))</f>
        <v/>
      </c>
      <c r="K349" s="48" t="str">
        <f aca="false">IF(M349="","",N(IFERROR(INDEX('Item Master'!$E$6:$E$105,MATCH(C349,'Item Master'!$A$6:$A$105,0)),0))+SUMIFS($F$7:$F$506,$C$7:$C$506,C349,$E$7:$E$506,"In",$M$7:$M$506,"&lt;="&amp;M349)-SUMIFS($F$7:$F$506,$C$7:$C$506,C349,$E$7:$E$506,"Out",$M$7:$M$506,"&lt;="&amp;M349))</f>
        <v/>
      </c>
      <c r="L349" s="44" t="str">
        <f aca="false">IF(AND(B349="",C349="",F349=""),"",IF(C349="","⚠ Pick item",IF(D349="?","⚠ Code not in Item Master",IF(B349="","⚠ Enter date",IF(OR(E349="",N(F349)&lt;=0),"⚠ Type / quantity missing",IF(AND(E349="In",G349=""),"⚠ Enter purchase rate",IF(OR(B349&lt;Setup!$C$6,B349&gt;Setup!$C$7),"Outside period",IF(K349&lt;0,"⚠ Stock goes negative","✔ OK"))))))))</f>
        <v/>
      </c>
      <c r="M349" s="9" t="str">
        <f aca="false">IF(OR(C349="",B349=""),"",B349+ROW()/1000000)</f>
        <v/>
      </c>
      <c r="N349" s="9" t="str">
        <f aca="false">IF(AND(E349="In",M349&lt;&gt;""),SUMIFS($F$7:$F$506,$C$7:$C$506,C349,$E$7:$E$506,"In",$M$7:$M$506,"&gt;"&amp;M349),"")</f>
        <v/>
      </c>
      <c r="O349" s="9" t="str">
        <f aca="false">IF(N349="","",IFERROR(INDEX('Item Master'!$K$6:$K$105,MATCH(C349,'Item Master'!$A$6:$A$105,0)),0))</f>
        <v/>
      </c>
      <c r="P349" s="9" t="n">
        <f aca="false">IF(N349="",0,MAX(0,MIN(N(F349),O349-N349))*N(G349))</f>
        <v>0</v>
      </c>
      <c r="Q349" s="9" t="str">
        <f aca="false">IF(AND(C349&lt;&gt;"",C349='Stock Ledger'!$C$4),M349,"")</f>
        <v/>
      </c>
    </row>
    <row r="350" customFormat="false" ht="15" hidden="false" customHeight="false" outlineLevel="0" collapsed="false">
      <c r="A350" s="45" t="str">
        <f aca="false">IF(C350="","",ROW()-6)</f>
        <v/>
      </c>
      <c r="B350" s="85"/>
      <c r="C350" s="80"/>
      <c r="D350" s="47" t="str">
        <f aca="false">IF(C350="","",IFERROR(INDEX('Item Master'!$B$6:$B$105,MATCH(C350,'Item Master'!$A$6:$A$105,0)),"?"))</f>
        <v/>
      </c>
      <c r="E350" s="82"/>
      <c r="F350" s="83"/>
      <c r="G350" s="84"/>
      <c r="H350" s="81"/>
      <c r="I350" s="80"/>
      <c r="J350" s="41" t="str">
        <f aca="false">IF(OR(C350="",G350=""),"",N(F350)*N(G350))</f>
        <v/>
      </c>
      <c r="K350" s="48" t="str">
        <f aca="false">IF(M350="","",N(IFERROR(INDEX('Item Master'!$E$6:$E$105,MATCH(C350,'Item Master'!$A$6:$A$105,0)),0))+SUMIFS($F$7:$F$506,$C$7:$C$506,C350,$E$7:$E$506,"In",$M$7:$M$506,"&lt;="&amp;M350)-SUMIFS($F$7:$F$506,$C$7:$C$506,C350,$E$7:$E$506,"Out",$M$7:$M$506,"&lt;="&amp;M350))</f>
        <v/>
      </c>
      <c r="L350" s="44" t="str">
        <f aca="false">IF(AND(B350="",C350="",F350=""),"",IF(C350="","⚠ Pick item",IF(D350="?","⚠ Code not in Item Master",IF(B350="","⚠ Enter date",IF(OR(E350="",N(F350)&lt;=0),"⚠ Type / quantity missing",IF(AND(E350="In",G350=""),"⚠ Enter purchase rate",IF(OR(B350&lt;Setup!$C$6,B350&gt;Setup!$C$7),"Outside period",IF(K350&lt;0,"⚠ Stock goes negative","✔ OK"))))))))</f>
        <v/>
      </c>
      <c r="M350" s="9" t="str">
        <f aca="false">IF(OR(C350="",B350=""),"",B350+ROW()/1000000)</f>
        <v/>
      </c>
      <c r="N350" s="9" t="str">
        <f aca="false">IF(AND(E350="In",M350&lt;&gt;""),SUMIFS($F$7:$F$506,$C$7:$C$506,C350,$E$7:$E$506,"In",$M$7:$M$506,"&gt;"&amp;M350),"")</f>
        <v/>
      </c>
      <c r="O350" s="9" t="str">
        <f aca="false">IF(N350="","",IFERROR(INDEX('Item Master'!$K$6:$K$105,MATCH(C350,'Item Master'!$A$6:$A$105,0)),0))</f>
        <v/>
      </c>
      <c r="P350" s="9" t="n">
        <f aca="false">IF(N350="",0,MAX(0,MIN(N(F350),O350-N350))*N(G350))</f>
        <v>0</v>
      </c>
      <c r="Q350" s="9" t="str">
        <f aca="false">IF(AND(C350&lt;&gt;"",C350='Stock Ledger'!$C$4),M350,"")</f>
        <v/>
      </c>
    </row>
    <row r="351" customFormat="false" ht="15" hidden="false" customHeight="false" outlineLevel="0" collapsed="false">
      <c r="A351" s="45" t="str">
        <f aca="false">IF(C351="","",ROW()-6)</f>
        <v/>
      </c>
      <c r="B351" s="85"/>
      <c r="C351" s="80"/>
      <c r="D351" s="47" t="str">
        <f aca="false">IF(C351="","",IFERROR(INDEX('Item Master'!$B$6:$B$105,MATCH(C351,'Item Master'!$A$6:$A$105,0)),"?"))</f>
        <v/>
      </c>
      <c r="E351" s="82"/>
      <c r="F351" s="83"/>
      <c r="G351" s="84"/>
      <c r="H351" s="81"/>
      <c r="I351" s="80"/>
      <c r="J351" s="41" t="str">
        <f aca="false">IF(OR(C351="",G351=""),"",N(F351)*N(G351))</f>
        <v/>
      </c>
      <c r="K351" s="48" t="str">
        <f aca="false">IF(M351="","",N(IFERROR(INDEX('Item Master'!$E$6:$E$105,MATCH(C351,'Item Master'!$A$6:$A$105,0)),0))+SUMIFS($F$7:$F$506,$C$7:$C$506,C351,$E$7:$E$506,"In",$M$7:$M$506,"&lt;="&amp;M351)-SUMIFS($F$7:$F$506,$C$7:$C$506,C351,$E$7:$E$506,"Out",$M$7:$M$506,"&lt;="&amp;M351))</f>
        <v/>
      </c>
      <c r="L351" s="44" t="str">
        <f aca="false">IF(AND(B351="",C351="",F351=""),"",IF(C351="","⚠ Pick item",IF(D351="?","⚠ Code not in Item Master",IF(B351="","⚠ Enter date",IF(OR(E351="",N(F351)&lt;=0),"⚠ Type / quantity missing",IF(AND(E351="In",G351=""),"⚠ Enter purchase rate",IF(OR(B351&lt;Setup!$C$6,B351&gt;Setup!$C$7),"Outside period",IF(K351&lt;0,"⚠ Stock goes negative","✔ OK"))))))))</f>
        <v/>
      </c>
      <c r="M351" s="9" t="str">
        <f aca="false">IF(OR(C351="",B351=""),"",B351+ROW()/1000000)</f>
        <v/>
      </c>
      <c r="N351" s="9" t="str">
        <f aca="false">IF(AND(E351="In",M351&lt;&gt;""),SUMIFS($F$7:$F$506,$C$7:$C$506,C351,$E$7:$E$506,"In",$M$7:$M$506,"&gt;"&amp;M351),"")</f>
        <v/>
      </c>
      <c r="O351" s="9" t="str">
        <f aca="false">IF(N351="","",IFERROR(INDEX('Item Master'!$K$6:$K$105,MATCH(C351,'Item Master'!$A$6:$A$105,0)),0))</f>
        <v/>
      </c>
      <c r="P351" s="9" t="n">
        <f aca="false">IF(N351="",0,MAX(0,MIN(N(F351),O351-N351))*N(G351))</f>
        <v>0</v>
      </c>
      <c r="Q351" s="9" t="str">
        <f aca="false">IF(AND(C351&lt;&gt;"",C351='Stock Ledger'!$C$4),M351,"")</f>
        <v/>
      </c>
    </row>
    <row r="352" customFormat="false" ht="15" hidden="false" customHeight="false" outlineLevel="0" collapsed="false">
      <c r="A352" s="45" t="str">
        <f aca="false">IF(C352="","",ROW()-6)</f>
        <v/>
      </c>
      <c r="B352" s="85"/>
      <c r="C352" s="80"/>
      <c r="D352" s="47" t="str">
        <f aca="false">IF(C352="","",IFERROR(INDEX('Item Master'!$B$6:$B$105,MATCH(C352,'Item Master'!$A$6:$A$105,0)),"?"))</f>
        <v/>
      </c>
      <c r="E352" s="82"/>
      <c r="F352" s="83"/>
      <c r="G352" s="84"/>
      <c r="H352" s="81"/>
      <c r="I352" s="80"/>
      <c r="J352" s="41" t="str">
        <f aca="false">IF(OR(C352="",G352=""),"",N(F352)*N(G352))</f>
        <v/>
      </c>
      <c r="K352" s="48" t="str">
        <f aca="false">IF(M352="","",N(IFERROR(INDEX('Item Master'!$E$6:$E$105,MATCH(C352,'Item Master'!$A$6:$A$105,0)),0))+SUMIFS($F$7:$F$506,$C$7:$C$506,C352,$E$7:$E$506,"In",$M$7:$M$506,"&lt;="&amp;M352)-SUMIFS($F$7:$F$506,$C$7:$C$506,C352,$E$7:$E$506,"Out",$M$7:$M$506,"&lt;="&amp;M352))</f>
        <v/>
      </c>
      <c r="L352" s="44" t="str">
        <f aca="false">IF(AND(B352="",C352="",F352=""),"",IF(C352="","⚠ Pick item",IF(D352="?","⚠ Code not in Item Master",IF(B352="","⚠ Enter date",IF(OR(E352="",N(F352)&lt;=0),"⚠ Type / quantity missing",IF(AND(E352="In",G352=""),"⚠ Enter purchase rate",IF(OR(B352&lt;Setup!$C$6,B352&gt;Setup!$C$7),"Outside period",IF(K352&lt;0,"⚠ Stock goes negative","✔ OK"))))))))</f>
        <v/>
      </c>
      <c r="M352" s="9" t="str">
        <f aca="false">IF(OR(C352="",B352=""),"",B352+ROW()/1000000)</f>
        <v/>
      </c>
      <c r="N352" s="9" t="str">
        <f aca="false">IF(AND(E352="In",M352&lt;&gt;""),SUMIFS($F$7:$F$506,$C$7:$C$506,C352,$E$7:$E$506,"In",$M$7:$M$506,"&gt;"&amp;M352),"")</f>
        <v/>
      </c>
      <c r="O352" s="9" t="str">
        <f aca="false">IF(N352="","",IFERROR(INDEX('Item Master'!$K$6:$K$105,MATCH(C352,'Item Master'!$A$6:$A$105,0)),0))</f>
        <v/>
      </c>
      <c r="P352" s="9" t="n">
        <f aca="false">IF(N352="",0,MAX(0,MIN(N(F352),O352-N352))*N(G352))</f>
        <v>0</v>
      </c>
      <c r="Q352" s="9" t="str">
        <f aca="false">IF(AND(C352&lt;&gt;"",C352='Stock Ledger'!$C$4),M352,"")</f>
        <v/>
      </c>
    </row>
    <row r="353" customFormat="false" ht="15" hidden="false" customHeight="false" outlineLevel="0" collapsed="false">
      <c r="A353" s="45" t="str">
        <f aca="false">IF(C353="","",ROW()-6)</f>
        <v/>
      </c>
      <c r="B353" s="85"/>
      <c r="C353" s="80"/>
      <c r="D353" s="47" t="str">
        <f aca="false">IF(C353="","",IFERROR(INDEX('Item Master'!$B$6:$B$105,MATCH(C353,'Item Master'!$A$6:$A$105,0)),"?"))</f>
        <v/>
      </c>
      <c r="E353" s="82"/>
      <c r="F353" s="83"/>
      <c r="G353" s="84"/>
      <c r="H353" s="81"/>
      <c r="I353" s="80"/>
      <c r="J353" s="41" t="str">
        <f aca="false">IF(OR(C353="",G353=""),"",N(F353)*N(G353))</f>
        <v/>
      </c>
      <c r="K353" s="48" t="str">
        <f aca="false">IF(M353="","",N(IFERROR(INDEX('Item Master'!$E$6:$E$105,MATCH(C353,'Item Master'!$A$6:$A$105,0)),0))+SUMIFS($F$7:$F$506,$C$7:$C$506,C353,$E$7:$E$506,"In",$M$7:$M$506,"&lt;="&amp;M353)-SUMIFS($F$7:$F$506,$C$7:$C$506,C353,$E$7:$E$506,"Out",$M$7:$M$506,"&lt;="&amp;M353))</f>
        <v/>
      </c>
      <c r="L353" s="44" t="str">
        <f aca="false">IF(AND(B353="",C353="",F353=""),"",IF(C353="","⚠ Pick item",IF(D353="?","⚠ Code not in Item Master",IF(B353="","⚠ Enter date",IF(OR(E353="",N(F353)&lt;=0),"⚠ Type / quantity missing",IF(AND(E353="In",G353=""),"⚠ Enter purchase rate",IF(OR(B353&lt;Setup!$C$6,B353&gt;Setup!$C$7),"Outside period",IF(K353&lt;0,"⚠ Stock goes negative","✔ OK"))))))))</f>
        <v/>
      </c>
      <c r="M353" s="9" t="str">
        <f aca="false">IF(OR(C353="",B353=""),"",B353+ROW()/1000000)</f>
        <v/>
      </c>
      <c r="N353" s="9" t="str">
        <f aca="false">IF(AND(E353="In",M353&lt;&gt;""),SUMIFS($F$7:$F$506,$C$7:$C$506,C353,$E$7:$E$506,"In",$M$7:$M$506,"&gt;"&amp;M353),"")</f>
        <v/>
      </c>
      <c r="O353" s="9" t="str">
        <f aca="false">IF(N353="","",IFERROR(INDEX('Item Master'!$K$6:$K$105,MATCH(C353,'Item Master'!$A$6:$A$105,0)),0))</f>
        <v/>
      </c>
      <c r="P353" s="9" t="n">
        <f aca="false">IF(N353="",0,MAX(0,MIN(N(F353),O353-N353))*N(G353))</f>
        <v>0</v>
      </c>
      <c r="Q353" s="9" t="str">
        <f aca="false">IF(AND(C353&lt;&gt;"",C353='Stock Ledger'!$C$4),M353,"")</f>
        <v/>
      </c>
    </row>
    <row r="354" customFormat="false" ht="15" hidden="false" customHeight="false" outlineLevel="0" collapsed="false">
      <c r="A354" s="45" t="str">
        <f aca="false">IF(C354="","",ROW()-6)</f>
        <v/>
      </c>
      <c r="B354" s="85"/>
      <c r="C354" s="80"/>
      <c r="D354" s="47" t="str">
        <f aca="false">IF(C354="","",IFERROR(INDEX('Item Master'!$B$6:$B$105,MATCH(C354,'Item Master'!$A$6:$A$105,0)),"?"))</f>
        <v/>
      </c>
      <c r="E354" s="82"/>
      <c r="F354" s="83"/>
      <c r="G354" s="84"/>
      <c r="H354" s="81"/>
      <c r="I354" s="80"/>
      <c r="J354" s="41" t="str">
        <f aca="false">IF(OR(C354="",G354=""),"",N(F354)*N(G354))</f>
        <v/>
      </c>
      <c r="K354" s="48" t="str">
        <f aca="false">IF(M354="","",N(IFERROR(INDEX('Item Master'!$E$6:$E$105,MATCH(C354,'Item Master'!$A$6:$A$105,0)),0))+SUMIFS($F$7:$F$506,$C$7:$C$506,C354,$E$7:$E$506,"In",$M$7:$M$506,"&lt;="&amp;M354)-SUMIFS($F$7:$F$506,$C$7:$C$506,C354,$E$7:$E$506,"Out",$M$7:$M$506,"&lt;="&amp;M354))</f>
        <v/>
      </c>
      <c r="L354" s="44" t="str">
        <f aca="false">IF(AND(B354="",C354="",F354=""),"",IF(C354="","⚠ Pick item",IF(D354="?","⚠ Code not in Item Master",IF(B354="","⚠ Enter date",IF(OR(E354="",N(F354)&lt;=0),"⚠ Type / quantity missing",IF(AND(E354="In",G354=""),"⚠ Enter purchase rate",IF(OR(B354&lt;Setup!$C$6,B354&gt;Setup!$C$7),"Outside period",IF(K354&lt;0,"⚠ Stock goes negative","✔ OK"))))))))</f>
        <v/>
      </c>
      <c r="M354" s="9" t="str">
        <f aca="false">IF(OR(C354="",B354=""),"",B354+ROW()/1000000)</f>
        <v/>
      </c>
      <c r="N354" s="9" t="str">
        <f aca="false">IF(AND(E354="In",M354&lt;&gt;""),SUMIFS($F$7:$F$506,$C$7:$C$506,C354,$E$7:$E$506,"In",$M$7:$M$506,"&gt;"&amp;M354),"")</f>
        <v/>
      </c>
      <c r="O354" s="9" t="str">
        <f aca="false">IF(N354="","",IFERROR(INDEX('Item Master'!$K$6:$K$105,MATCH(C354,'Item Master'!$A$6:$A$105,0)),0))</f>
        <v/>
      </c>
      <c r="P354" s="9" t="n">
        <f aca="false">IF(N354="",0,MAX(0,MIN(N(F354),O354-N354))*N(G354))</f>
        <v>0</v>
      </c>
      <c r="Q354" s="9" t="str">
        <f aca="false">IF(AND(C354&lt;&gt;"",C354='Stock Ledger'!$C$4),M354,"")</f>
        <v/>
      </c>
    </row>
    <row r="355" customFormat="false" ht="15" hidden="false" customHeight="false" outlineLevel="0" collapsed="false">
      <c r="A355" s="45" t="str">
        <f aca="false">IF(C355="","",ROW()-6)</f>
        <v/>
      </c>
      <c r="B355" s="85"/>
      <c r="C355" s="80"/>
      <c r="D355" s="47" t="str">
        <f aca="false">IF(C355="","",IFERROR(INDEX('Item Master'!$B$6:$B$105,MATCH(C355,'Item Master'!$A$6:$A$105,0)),"?"))</f>
        <v/>
      </c>
      <c r="E355" s="82"/>
      <c r="F355" s="83"/>
      <c r="G355" s="84"/>
      <c r="H355" s="81"/>
      <c r="I355" s="80"/>
      <c r="J355" s="41" t="str">
        <f aca="false">IF(OR(C355="",G355=""),"",N(F355)*N(G355))</f>
        <v/>
      </c>
      <c r="K355" s="48" t="str">
        <f aca="false">IF(M355="","",N(IFERROR(INDEX('Item Master'!$E$6:$E$105,MATCH(C355,'Item Master'!$A$6:$A$105,0)),0))+SUMIFS($F$7:$F$506,$C$7:$C$506,C355,$E$7:$E$506,"In",$M$7:$M$506,"&lt;="&amp;M355)-SUMIFS($F$7:$F$506,$C$7:$C$506,C355,$E$7:$E$506,"Out",$M$7:$M$506,"&lt;="&amp;M355))</f>
        <v/>
      </c>
      <c r="L355" s="44" t="str">
        <f aca="false">IF(AND(B355="",C355="",F355=""),"",IF(C355="","⚠ Pick item",IF(D355="?","⚠ Code not in Item Master",IF(B355="","⚠ Enter date",IF(OR(E355="",N(F355)&lt;=0),"⚠ Type / quantity missing",IF(AND(E355="In",G355=""),"⚠ Enter purchase rate",IF(OR(B355&lt;Setup!$C$6,B355&gt;Setup!$C$7),"Outside period",IF(K355&lt;0,"⚠ Stock goes negative","✔ OK"))))))))</f>
        <v/>
      </c>
      <c r="M355" s="9" t="str">
        <f aca="false">IF(OR(C355="",B355=""),"",B355+ROW()/1000000)</f>
        <v/>
      </c>
      <c r="N355" s="9" t="str">
        <f aca="false">IF(AND(E355="In",M355&lt;&gt;""),SUMIFS($F$7:$F$506,$C$7:$C$506,C355,$E$7:$E$506,"In",$M$7:$M$506,"&gt;"&amp;M355),"")</f>
        <v/>
      </c>
      <c r="O355" s="9" t="str">
        <f aca="false">IF(N355="","",IFERROR(INDEX('Item Master'!$K$6:$K$105,MATCH(C355,'Item Master'!$A$6:$A$105,0)),0))</f>
        <v/>
      </c>
      <c r="P355" s="9" t="n">
        <f aca="false">IF(N355="",0,MAX(0,MIN(N(F355),O355-N355))*N(G355))</f>
        <v>0</v>
      </c>
      <c r="Q355" s="9" t="str">
        <f aca="false">IF(AND(C355&lt;&gt;"",C355='Stock Ledger'!$C$4),M355,"")</f>
        <v/>
      </c>
    </row>
    <row r="356" customFormat="false" ht="15" hidden="false" customHeight="false" outlineLevel="0" collapsed="false">
      <c r="A356" s="45" t="str">
        <f aca="false">IF(C356="","",ROW()-6)</f>
        <v/>
      </c>
      <c r="B356" s="85"/>
      <c r="C356" s="80"/>
      <c r="D356" s="47" t="str">
        <f aca="false">IF(C356="","",IFERROR(INDEX('Item Master'!$B$6:$B$105,MATCH(C356,'Item Master'!$A$6:$A$105,0)),"?"))</f>
        <v/>
      </c>
      <c r="E356" s="82"/>
      <c r="F356" s="83"/>
      <c r="G356" s="84"/>
      <c r="H356" s="81"/>
      <c r="I356" s="80"/>
      <c r="J356" s="41" t="str">
        <f aca="false">IF(OR(C356="",G356=""),"",N(F356)*N(G356))</f>
        <v/>
      </c>
      <c r="K356" s="48" t="str">
        <f aca="false">IF(M356="","",N(IFERROR(INDEX('Item Master'!$E$6:$E$105,MATCH(C356,'Item Master'!$A$6:$A$105,0)),0))+SUMIFS($F$7:$F$506,$C$7:$C$506,C356,$E$7:$E$506,"In",$M$7:$M$506,"&lt;="&amp;M356)-SUMIFS($F$7:$F$506,$C$7:$C$506,C356,$E$7:$E$506,"Out",$M$7:$M$506,"&lt;="&amp;M356))</f>
        <v/>
      </c>
      <c r="L356" s="44" t="str">
        <f aca="false">IF(AND(B356="",C356="",F356=""),"",IF(C356="","⚠ Pick item",IF(D356="?","⚠ Code not in Item Master",IF(B356="","⚠ Enter date",IF(OR(E356="",N(F356)&lt;=0),"⚠ Type / quantity missing",IF(AND(E356="In",G356=""),"⚠ Enter purchase rate",IF(OR(B356&lt;Setup!$C$6,B356&gt;Setup!$C$7),"Outside period",IF(K356&lt;0,"⚠ Stock goes negative","✔ OK"))))))))</f>
        <v/>
      </c>
      <c r="M356" s="9" t="str">
        <f aca="false">IF(OR(C356="",B356=""),"",B356+ROW()/1000000)</f>
        <v/>
      </c>
      <c r="N356" s="9" t="str">
        <f aca="false">IF(AND(E356="In",M356&lt;&gt;""),SUMIFS($F$7:$F$506,$C$7:$C$506,C356,$E$7:$E$506,"In",$M$7:$M$506,"&gt;"&amp;M356),"")</f>
        <v/>
      </c>
      <c r="O356" s="9" t="str">
        <f aca="false">IF(N356="","",IFERROR(INDEX('Item Master'!$K$6:$K$105,MATCH(C356,'Item Master'!$A$6:$A$105,0)),0))</f>
        <v/>
      </c>
      <c r="P356" s="9" t="n">
        <f aca="false">IF(N356="",0,MAX(0,MIN(N(F356),O356-N356))*N(G356))</f>
        <v>0</v>
      </c>
      <c r="Q356" s="9" t="str">
        <f aca="false">IF(AND(C356&lt;&gt;"",C356='Stock Ledger'!$C$4),M356,"")</f>
        <v/>
      </c>
    </row>
    <row r="357" customFormat="false" ht="15" hidden="false" customHeight="false" outlineLevel="0" collapsed="false">
      <c r="A357" s="45" t="str">
        <f aca="false">IF(C357="","",ROW()-6)</f>
        <v/>
      </c>
      <c r="B357" s="85"/>
      <c r="C357" s="80"/>
      <c r="D357" s="47" t="str">
        <f aca="false">IF(C357="","",IFERROR(INDEX('Item Master'!$B$6:$B$105,MATCH(C357,'Item Master'!$A$6:$A$105,0)),"?"))</f>
        <v/>
      </c>
      <c r="E357" s="82"/>
      <c r="F357" s="83"/>
      <c r="G357" s="84"/>
      <c r="H357" s="81"/>
      <c r="I357" s="80"/>
      <c r="J357" s="41" t="str">
        <f aca="false">IF(OR(C357="",G357=""),"",N(F357)*N(G357))</f>
        <v/>
      </c>
      <c r="K357" s="48" t="str">
        <f aca="false">IF(M357="","",N(IFERROR(INDEX('Item Master'!$E$6:$E$105,MATCH(C357,'Item Master'!$A$6:$A$105,0)),0))+SUMIFS($F$7:$F$506,$C$7:$C$506,C357,$E$7:$E$506,"In",$M$7:$M$506,"&lt;="&amp;M357)-SUMIFS($F$7:$F$506,$C$7:$C$506,C357,$E$7:$E$506,"Out",$M$7:$M$506,"&lt;="&amp;M357))</f>
        <v/>
      </c>
      <c r="L357" s="44" t="str">
        <f aca="false">IF(AND(B357="",C357="",F357=""),"",IF(C357="","⚠ Pick item",IF(D357="?","⚠ Code not in Item Master",IF(B357="","⚠ Enter date",IF(OR(E357="",N(F357)&lt;=0),"⚠ Type / quantity missing",IF(AND(E357="In",G357=""),"⚠ Enter purchase rate",IF(OR(B357&lt;Setup!$C$6,B357&gt;Setup!$C$7),"Outside period",IF(K357&lt;0,"⚠ Stock goes negative","✔ OK"))))))))</f>
        <v/>
      </c>
      <c r="M357" s="9" t="str">
        <f aca="false">IF(OR(C357="",B357=""),"",B357+ROW()/1000000)</f>
        <v/>
      </c>
      <c r="N357" s="9" t="str">
        <f aca="false">IF(AND(E357="In",M357&lt;&gt;""),SUMIFS($F$7:$F$506,$C$7:$C$506,C357,$E$7:$E$506,"In",$M$7:$M$506,"&gt;"&amp;M357),"")</f>
        <v/>
      </c>
      <c r="O357" s="9" t="str">
        <f aca="false">IF(N357="","",IFERROR(INDEX('Item Master'!$K$6:$K$105,MATCH(C357,'Item Master'!$A$6:$A$105,0)),0))</f>
        <v/>
      </c>
      <c r="P357" s="9" t="n">
        <f aca="false">IF(N357="",0,MAX(0,MIN(N(F357),O357-N357))*N(G357))</f>
        <v>0</v>
      </c>
      <c r="Q357" s="9" t="str">
        <f aca="false">IF(AND(C357&lt;&gt;"",C357='Stock Ledger'!$C$4),M357,"")</f>
        <v/>
      </c>
    </row>
    <row r="358" customFormat="false" ht="15" hidden="false" customHeight="false" outlineLevel="0" collapsed="false">
      <c r="A358" s="45" t="str">
        <f aca="false">IF(C358="","",ROW()-6)</f>
        <v/>
      </c>
      <c r="B358" s="85"/>
      <c r="C358" s="80"/>
      <c r="D358" s="47" t="str">
        <f aca="false">IF(C358="","",IFERROR(INDEX('Item Master'!$B$6:$B$105,MATCH(C358,'Item Master'!$A$6:$A$105,0)),"?"))</f>
        <v/>
      </c>
      <c r="E358" s="82"/>
      <c r="F358" s="83"/>
      <c r="G358" s="84"/>
      <c r="H358" s="81"/>
      <c r="I358" s="80"/>
      <c r="J358" s="41" t="str">
        <f aca="false">IF(OR(C358="",G358=""),"",N(F358)*N(G358))</f>
        <v/>
      </c>
      <c r="K358" s="48" t="str">
        <f aca="false">IF(M358="","",N(IFERROR(INDEX('Item Master'!$E$6:$E$105,MATCH(C358,'Item Master'!$A$6:$A$105,0)),0))+SUMIFS($F$7:$F$506,$C$7:$C$506,C358,$E$7:$E$506,"In",$M$7:$M$506,"&lt;="&amp;M358)-SUMIFS($F$7:$F$506,$C$7:$C$506,C358,$E$7:$E$506,"Out",$M$7:$M$506,"&lt;="&amp;M358))</f>
        <v/>
      </c>
      <c r="L358" s="44" t="str">
        <f aca="false">IF(AND(B358="",C358="",F358=""),"",IF(C358="","⚠ Pick item",IF(D358="?","⚠ Code not in Item Master",IF(B358="","⚠ Enter date",IF(OR(E358="",N(F358)&lt;=0),"⚠ Type / quantity missing",IF(AND(E358="In",G358=""),"⚠ Enter purchase rate",IF(OR(B358&lt;Setup!$C$6,B358&gt;Setup!$C$7),"Outside period",IF(K358&lt;0,"⚠ Stock goes negative","✔ OK"))))))))</f>
        <v/>
      </c>
      <c r="M358" s="9" t="str">
        <f aca="false">IF(OR(C358="",B358=""),"",B358+ROW()/1000000)</f>
        <v/>
      </c>
      <c r="N358" s="9" t="str">
        <f aca="false">IF(AND(E358="In",M358&lt;&gt;""),SUMIFS($F$7:$F$506,$C$7:$C$506,C358,$E$7:$E$506,"In",$M$7:$M$506,"&gt;"&amp;M358),"")</f>
        <v/>
      </c>
      <c r="O358" s="9" t="str">
        <f aca="false">IF(N358="","",IFERROR(INDEX('Item Master'!$K$6:$K$105,MATCH(C358,'Item Master'!$A$6:$A$105,0)),0))</f>
        <v/>
      </c>
      <c r="P358" s="9" t="n">
        <f aca="false">IF(N358="",0,MAX(0,MIN(N(F358),O358-N358))*N(G358))</f>
        <v>0</v>
      </c>
      <c r="Q358" s="9" t="str">
        <f aca="false">IF(AND(C358&lt;&gt;"",C358='Stock Ledger'!$C$4),M358,"")</f>
        <v/>
      </c>
    </row>
    <row r="359" customFormat="false" ht="15" hidden="false" customHeight="false" outlineLevel="0" collapsed="false">
      <c r="A359" s="45" t="str">
        <f aca="false">IF(C359="","",ROW()-6)</f>
        <v/>
      </c>
      <c r="B359" s="85"/>
      <c r="C359" s="80"/>
      <c r="D359" s="47" t="str">
        <f aca="false">IF(C359="","",IFERROR(INDEX('Item Master'!$B$6:$B$105,MATCH(C359,'Item Master'!$A$6:$A$105,0)),"?"))</f>
        <v/>
      </c>
      <c r="E359" s="82"/>
      <c r="F359" s="83"/>
      <c r="G359" s="84"/>
      <c r="H359" s="81"/>
      <c r="I359" s="80"/>
      <c r="J359" s="41" t="str">
        <f aca="false">IF(OR(C359="",G359=""),"",N(F359)*N(G359))</f>
        <v/>
      </c>
      <c r="K359" s="48" t="str">
        <f aca="false">IF(M359="","",N(IFERROR(INDEX('Item Master'!$E$6:$E$105,MATCH(C359,'Item Master'!$A$6:$A$105,0)),0))+SUMIFS($F$7:$F$506,$C$7:$C$506,C359,$E$7:$E$506,"In",$M$7:$M$506,"&lt;="&amp;M359)-SUMIFS($F$7:$F$506,$C$7:$C$506,C359,$E$7:$E$506,"Out",$M$7:$M$506,"&lt;="&amp;M359))</f>
        <v/>
      </c>
      <c r="L359" s="44" t="str">
        <f aca="false">IF(AND(B359="",C359="",F359=""),"",IF(C359="","⚠ Pick item",IF(D359="?","⚠ Code not in Item Master",IF(B359="","⚠ Enter date",IF(OR(E359="",N(F359)&lt;=0),"⚠ Type / quantity missing",IF(AND(E359="In",G359=""),"⚠ Enter purchase rate",IF(OR(B359&lt;Setup!$C$6,B359&gt;Setup!$C$7),"Outside period",IF(K359&lt;0,"⚠ Stock goes negative","✔ OK"))))))))</f>
        <v/>
      </c>
      <c r="M359" s="9" t="str">
        <f aca="false">IF(OR(C359="",B359=""),"",B359+ROW()/1000000)</f>
        <v/>
      </c>
      <c r="N359" s="9" t="str">
        <f aca="false">IF(AND(E359="In",M359&lt;&gt;""),SUMIFS($F$7:$F$506,$C$7:$C$506,C359,$E$7:$E$506,"In",$M$7:$M$506,"&gt;"&amp;M359),"")</f>
        <v/>
      </c>
      <c r="O359" s="9" t="str">
        <f aca="false">IF(N359="","",IFERROR(INDEX('Item Master'!$K$6:$K$105,MATCH(C359,'Item Master'!$A$6:$A$105,0)),0))</f>
        <v/>
      </c>
      <c r="P359" s="9" t="n">
        <f aca="false">IF(N359="",0,MAX(0,MIN(N(F359),O359-N359))*N(G359))</f>
        <v>0</v>
      </c>
      <c r="Q359" s="9" t="str">
        <f aca="false">IF(AND(C359&lt;&gt;"",C359='Stock Ledger'!$C$4),M359,"")</f>
        <v/>
      </c>
    </row>
    <row r="360" customFormat="false" ht="15" hidden="false" customHeight="false" outlineLevel="0" collapsed="false">
      <c r="A360" s="45" t="str">
        <f aca="false">IF(C360="","",ROW()-6)</f>
        <v/>
      </c>
      <c r="B360" s="85"/>
      <c r="C360" s="80"/>
      <c r="D360" s="47" t="str">
        <f aca="false">IF(C360="","",IFERROR(INDEX('Item Master'!$B$6:$B$105,MATCH(C360,'Item Master'!$A$6:$A$105,0)),"?"))</f>
        <v/>
      </c>
      <c r="E360" s="82"/>
      <c r="F360" s="83"/>
      <c r="G360" s="84"/>
      <c r="H360" s="81"/>
      <c r="I360" s="80"/>
      <c r="J360" s="41" t="str">
        <f aca="false">IF(OR(C360="",G360=""),"",N(F360)*N(G360))</f>
        <v/>
      </c>
      <c r="K360" s="48" t="str">
        <f aca="false">IF(M360="","",N(IFERROR(INDEX('Item Master'!$E$6:$E$105,MATCH(C360,'Item Master'!$A$6:$A$105,0)),0))+SUMIFS($F$7:$F$506,$C$7:$C$506,C360,$E$7:$E$506,"In",$M$7:$M$506,"&lt;="&amp;M360)-SUMIFS($F$7:$F$506,$C$7:$C$506,C360,$E$7:$E$506,"Out",$M$7:$M$506,"&lt;="&amp;M360))</f>
        <v/>
      </c>
      <c r="L360" s="44" t="str">
        <f aca="false">IF(AND(B360="",C360="",F360=""),"",IF(C360="","⚠ Pick item",IF(D360="?","⚠ Code not in Item Master",IF(B360="","⚠ Enter date",IF(OR(E360="",N(F360)&lt;=0),"⚠ Type / quantity missing",IF(AND(E360="In",G360=""),"⚠ Enter purchase rate",IF(OR(B360&lt;Setup!$C$6,B360&gt;Setup!$C$7),"Outside period",IF(K360&lt;0,"⚠ Stock goes negative","✔ OK"))))))))</f>
        <v/>
      </c>
      <c r="M360" s="9" t="str">
        <f aca="false">IF(OR(C360="",B360=""),"",B360+ROW()/1000000)</f>
        <v/>
      </c>
      <c r="N360" s="9" t="str">
        <f aca="false">IF(AND(E360="In",M360&lt;&gt;""),SUMIFS($F$7:$F$506,$C$7:$C$506,C360,$E$7:$E$506,"In",$M$7:$M$506,"&gt;"&amp;M360),"")</f>
        <v/>
      </c>
      <c r="O360" s="9" t="str">
        <f aca="false">IF(N360="","",IFERROR(INDEX('Item Master'!$K$6:$K$105,MATCH(C360,'Item Master'!$A$6:$A$105,0)),0))</f>
        <v/>
      </c>
      <c r="P360" s="9" t="n">
        <f aca="false">IF(N360="",0,MAX(0,MIN(N(F360),O360-N360))*N(G360))</f>
        <v>0</v>
      </c>
      <c r="Q360" s="9" t="str">
        <f aca="false">IF(AND(C360&lt;&gt;"",C360='Stock Ledger'!$C$4),M360,"")</f>
        <v/>
      </c>
    </row>
    <row r="361" customFormat="false" ht="15" hidden="false" customHeight="false" outlineLevel="0" collapsed="false">
      <c r="A361" s="45" t="str">
        <f aca="false">IF(C361="","",ROW()-6)</f>
        <v/>
      </c>
      <c r="B361" s="85"/>
      <c r="C361" s="80"/>
      <c r="D361" s="47" t="str">
        <f aca="false">IF(C361="","",IFERROR(INDEX('Item Master'!$B$6:$B$105,MATCH(C361,'Item Master'!$A$6:$A$105,0)),"?"))</f>
        <v/>
      </c>
      <c r="E361" s="82"/>
      <c r="F361" s="83"/>
      <c r="G361" s="84"/>
      <c r="H361" s="81"/>
      <c r="I361" s="80"/>
      <c r="J361" s="41" t="str">
        <f aca="false">IF(OR(C361="",G361=""),"",N(F361)*N(G361))</f>
        <v/>
      </c>
      <c r="K361" s="48" t="str">
        <f aca="false">IF(M361="","",N(IFERROR(INDEX('Item Master'!$E$6:$E$105,MATCH(C361,'Item Master'!$A$6:$A$105,0)),0))+SUMIFS($F$7:$F$506,$C$7:$C$506,C361,$E$7:$E$506,"In",$M$7:$M$506,"&lt;="&amp;M361)-SUMIFS($F$7:$F$506,$C$7:$C$506,C361,$E$7:$E$506,"Out",$M$7:$M$506,"&lt;="&amp;M361))</f>
        <v/>
      </c>
      <c r="L361" s="44" t="str">
        <f aca="false">IF(AND(B361="",C361="",F361=""),"",IF(C361="","⚠ Pick item",IF(D361="?","⚠ Code not in Item Master",IF(B361="","⚠ Enter date",IF(OR(E361="",N(F361)&lt;=0),"⚠ Type / quantity missing",IF(AND(E361="In",G361=""),"⚠ Enter purchase rate",IF(OR(B361&lt;Setup!$C$6,B361&gt;Setup!$C$7),"Outside period",IF(K361&lt;0,"⚠ Stock goes negative","✔ OK"))))))))</f>
        <v/>
      </c>
      <c r="M361" s="9" t="str">
        <f aca="false">IF(OR(C361="",B361=""),"",B361+ROW()/1000000)</f>
        <v/>
      </c>
      <c r="N361" s="9" t="str">
        <f aca="false">IF(AND(E361="In",M361&lt;&gt;""),SUMIFS($F$7:$F$506,$C$7:$C$506,C361,$E$7:$E$506,"In",$M$7:$M$506,"&gt;"&amp;M361),"")</f>
        <v/>
      </c>
      <c r="O361" s="9" t="str">
        <f aca="false">IF(N361="","",IFERROR(INDEX('Item Master'!$K$6:$K$105,MATCH(C361,'Item Master'!$A$6:$A$105,0)),0))</f>
        <v/>
      </c>
      <c r="P361" s="9" t="n">
        <f aca="false">IF(N361="",0,MAX(0,MIN(N(F361),O361-N361))*N(G361))</f>
        <v>0</v>
      </c>
      <c r="Q361" s="9" t="str">
        <f aca="false">IF(AND(C361&lt;&gt;"",C361='Stock Ledger'!$C$4),M361,"")</f>
        <v/>
      </c>
    </row>
    <row r="362" customFormat="false" ht="15" hidden="false" customHeight="false" outlineLevel="0" collapsed="false">
      <c r="A362" s="45" t="str">
        <f aca="false">IF(C362="","",ROW()-6)</f>
        <v/>
      </c>
      <c r="B362" s="85"/>
      <c r="C362" s="80"/>
      <c r="D362" s="47" t="str">
        <f aca="false">IF(C362="","",IFERROR(INDEX('Item Master'!$B$6:$B$105,MATCH(C362,'Item Master'!$A$6:$A$105,0)),"?"))</f>
        <v/>
      </c>
      <c r="E362" s="82"/>
      <c r="F362" s="83"/>
      <c r="G362" s="84"/>
      <c r="H362" s="81"/>
      <c r="I362" s="80"/>
      <c r="J362" s="41" t="str">
        <f aca="false">IF(OR(C362="",G362=""),"",N(F362)*N(G362))</f>
        <v/>
      </c>
      <c r="K362" s="48" t="str">
        <f aca="false">IF(M362="","",N(IFERROR(INDEX('Item Master'!$E$6:$E$105,MATCH(C362,'Item Master'!$A$6:$A$105,0)),0))+SUMIFS($F$7:$F$506,$C$7:$C$506,C362,$E$7:$E$506,"In",$M$7:$M$506,"&lt;="&amp;M362)-SUMIFS($F$7:$F$506,$C$7:$C$506,C362,$E$7:$E$506,"Out",$M$7:$M$506,"&lt;="&amp;M362))</f>
        <v/>
      </c>
      <c r="L362" s="44" t="str">
        <f aca="false">IF(AND(B362="",C362="",F362=""),"",IF(C362="","⚠ Pick item",IF(D362="?","⚠ Code not in Item Master",IF(B362="","⚠ Enter date",IF(OR(E362="",N(F362)&lt;=0),"⚠ Type / quantity missing",IF(AND(E362="In",G362=""),"⚠ Enter purchase rate",IF(OR(B362&lt;Setup!$C$6,B362&gt;Setup!$C$7),"Outside period",IF(K362&lt;0,"⚠ Stock goes negative","✔ OK"))))))))</f>
        <v/>
      </c>
      <c r="M362" s="9" t="str">
        <f aca="false">IF(OR(C362="",B362=""),"",B362+ROW()/1000000)</f>
        <v/>
      </c>
      <c r="N362" s="9" t="str">
        <f aca="false">IF(AND(E362="In",M362&lt;&gt;""),SUMIFS($F$7:$F$506,$C$7:$C$506,C362,$E$7:$E$506,"In",$M$7:$M$506,"&gt;"&amp;M362),"")</f>
        <v/>
      </c>
      <c r="O362" s="9" t="str">
        <f aca="false">IF(N362="","",IFERROR(INDEX('Item Master'!$K$6:$K$105,MATCH(C362,'Item Master'!$A$6:$A$105,0)),0))</f>
        <v/>
      </c>
      <c r="P362" s="9" t="n">
        <f aca="false">IF(N362="",0,MAX(0,MIN(N(F362),O362-N362))*N(G362))</f>
        <v>0</v>
      </c>
      <c r="Q362" s="9" t="str">
        <f aca="false">IF(AND(C362&lt;&gt;"",C362='Stock Ledger'!$C$4),M362,"")</f>
        <v/>
      </c>
    </row>
    <row r="363" customFormat="false" ht="15" hidden="false" customHeight="false" outlineLevel="0" collapsed="false">
      <c r="A363" s="45" t="str">
        <f aca="false">IF(C363="","",ROW()-6)</f>
        <v/>
      </c>
      <c r="B363" s="85"/>
      <c r="C363" s="80"/>
      <c r="D363" s="47" t="str">
        <f aca="false">IF(C363="","",IFERROR(INDEX('Item Master'!$B$6:$B$105,MATCH(C363,'Item Master'!$A$6:$A$105,0)),"?"))</f>
        <v/>
      </c>
      <c r="E363" s="82"/>
      <c r="F363" s="83"/>
      <c r="G363" s="84"/>
      <c r="H363" s="81"/>
      <c r="I363" s="80"/>
      <c r="J363" s="41" t="str">
        <f aca="false">IF(OR(C363="",G363=""),"",N(F363)*N(G363))</f>
        <v/>
      </c>
      <c r="K363" s="48" t="str">
        <f aca="false">IF(M363="","",N(IFERROR(INDEX('Item Master'!$E$6:$E$105,MATCH(C363,'Item Master'!$A$6:$A$105,0)),0))+SUMIFS($F$7:$F$506,$C$7:$C$506,C363,$E$7:$E$506,"In",$M$7:$M$506,"&lt;="&amp;M363)-SUMIFS($F$7:$F$506,$C$7:$C$506,C363,$E$7:$E$506,"Out",$M$7:$M$506,"&lt;="&amp;M363))</f>
        <v/>
      </c>
      <c r="L363" s="44" t="str">
        <f aca="false">IF(AND(B363="",C363="",F363=""),"",IF(C363="","⚠ Pick item",IF(D363="?","⚠ Code not in Item Master",IF(B363="","⚠ Enter date",IF(OR(E363="",N(F363)&lt;=0),"⚠ Type / quantity missing",IF(AND(E363="In",G363=""),"⚠ Enter purchase rate",IF(OR(B363&lt;Setup!$C$6,B363&gt;Setup!$C$7),"Outside period",IF(K363&lt;0,"⚠ Stock goes negative","✔ OK"))))))))</f>
        <v/>
      </c>
      <c r="M363" s="9" t="str">
        <f aca="false">IF(OR(C363="",B363=""),"",B363+ROW()/1000000)</f>
        <v/>
      </c>
      <c r="N363" s="9" t="str">
        <f aca="false">IF(AND(E363="In",M363&lt;&gt;""),SUMIFS($F$7:$F$506,$C$7:$C$506,C363,$E$7:$E$506,"In",$M$7:$M$506,"&gt;"&amp;M363),"")</f>
        <v/>
      </c>
      <c r="O363" s="9" t="str">
        <f aca="false">IF(N363="","",IFERROR(INDEX('Item Master'!$K$6:$K$105,MATCH(C363,'Item Master'!$A$6:$A$105,0)),0))</f>
        <v/>
      </c>
      <c r="P363" s="9" t="n">
        <f aca="false">IF(N363="",0,MAX(0,MIN(N(F363),O363-N363))*N(G363))</f>
        <v>0</v>
      </c>
      <c r="Q363" s="9" t="str">
        <f aca="false">IF(AND(C363&lt;&gt;"",C363='Stock Ledger'!$C$4),M363,"")</f>
        <v/>
      </c>
    </row>
    <row r="364" customFormat="false" ht="15" hidden="false" customHeight="false" outlineLevel="0" collapsed="false">
      <c r="A364" s="45" t="str">
        <f aca="false">IF(C364="","",ROW()-6)</f>
        <v/>
      </c>
      <c r="B364" s="85"/>
      <c r="C364" s="80"/>
      <c r="D364" s="47" t="str">
        <f aca="false">IF(C364="","",IFERROR(INDEX('Item Master'!$B$6:$B$105,MATCH(C364,'Item Master'!$A$6:$A$105,0)),"?"))</f>
        <v/>
      </c>
      <c r="E364" s="82"/>
      <c r="F364" s="83"/>
      <c r="G364" s="84"/>
      <c r="H364" s="81"/>
      <c r="I364" s="80"/>
      <c r="J364" s="41" t="str">
        <f aca="false">IF(OR(C364="",G364=""),"",N(F364)*N(G364))</f>
        <v/>
      </c>
      <c r="K364" s="48" t="str">
        <f aca="false">IF(M364="","",N(IFERROR(INDEX('Item Master'!$E$6:$E$105,MATCH(C364,'Item Master'!$A$6:$A$105,0)),0))+SUMIFS($F$7:$F$506,$C$7:$C$506,C364,$E$7:$E$506,"In",$M$7:$M$506,"&lt;="&amp;M364)-SUMIFS($F$7:$F$506,$C$7:$C$506,C364,$E$7:$E$506,"Out",$M$7:$M$506,"&lt;="&amp;M364))</f>
        <v/>
      </c>
      <c r="L364" s="44" t="str">
        <f aca="false">IF(AND(B364="",C364="",F364=""),"",IF(C364="","⚠ Pick item",IF(D364="?","⚠ Code not in Item Master",IF(B364="","⚠ Enter date",IF(OR(E364="",N(F364)&lt;=0),"⚠ Type / quantity missing",IF(AND(E364="In",G364=""),"⚠ Enter purchase rate",IF(OR(B364&lt;Setup!$C$6,B364&gt;Setup!$C$7),"Outside period",IF(K364&lt;0,"⚠ Stock goes negative","✔ OK"))))))))</f>
        <v/>
      </c>
      <c r="M364" s="9" t="str">
        <f aca="false">IF(OR(C364="",B364=""),"",B364+ROW()/1000000)</f>
        <v/>
      </c>
      <c r="N364" s="9" t="str">
        <f aca="false">IF(AND(E364="In",M364&lt;&gt;""),SUMIFS($F$7:$F$506,$C$7:$C$506,C364,$E$7:$E$506,"In",$M$7:$M$506,"&gt;"&amp;M364),"")</f>
        <v/>
      </c>
      <c r="O364" s="9" t="str">
        <f aca="false">IF(N364="","",IFERROR(INDEX('Item Master'!$K$6:$K$105,MATCH(C364,'Item Master'!$A$6:$A$105,0)),0))</f>
        <v/>
      </c>
      <c r="P364" s="9" t="n">
        <f aca="false">IF(N364="",0,MAX(0,MIN(N(F364),O364-N364))*N(G364))</f>
        <v>0</v>
      </c>
      <c r="Q364" s="9" t="str">
        <f aca="false">IF(AND(C364&lt;&gt;"",C364='Stock Ledger'!$C$4),M364,"")</f>
        <v/>
      </c>
    </row>
    <row r="365" customFormat="false" ht="15" hidden="false" customHeight="false" outlineLevel="0" collapsed="false">
      <c r="A365" s="45" t="str">
        <f aca="false">IF(C365="","",ROW()-6)</f>
        <v/>
      </c>
      <c r="B365" s="85"/>
      <c r="C365" s="80"/>
      <c r="D365" s="47" t="str">
        <f aca="false">IF(C365="","",IFERROR(INDEX('Item Master'!$B$6:$B$105,MATCH(C365,'Item Master'!$A$6:$A$105,0)),"?"))</f>
        <v/>
      </c>
      <c r="E365" s="82"/>
      <c r="F365" s="83"/>
      <c r="G365" s="84"/>
      <c r="H365" s="81"/>
      <c r="I365" s="80"/>
      <c r="J365" s="41" t="str">
        <f aca="false">IF(OR(C365="",G365=""),"",N(F365)*N(G365))</f>
        <v/>
      </c>
      <c r="K365" s="48" t="str">
        <f aca="false">IF(M365="","",N(IFERROR(INDEX('Item Master'!$E$6:$E$105,MATCH(C365,'Item Master'!$A$6:$A$105,0)),0))+SUMIFS($F$7:$F$506,$C$7:$C$506,C365,$E$7:$E$506,"In",$M$7:$M$506,"&lt;="&amp;M365)-SUMIFS($F$7:$F$506,$C$7:$C$506,C365,$E$7:$E$506,"Out",$M$7:$M$506,"&lt;="&amp;M365))</f>
        <v/>
      </c>
      <c r="L365" s="44" t="str">
        <f aca="false">IF(AND(B365="",C365="",F365=""),"",IF(C365="","⚠ Pick item",IF(D365="?","⚠ Code not in Item Master",IF(B365="","⚠ Enter date",IF(OR(E365="",N(F365)&lt;=0),"⚠ Type / quantity missing",IF(AND(E365="In",G365=""),"⚠ Enter purchase rate",IF(OR(B365&lt;Setup!$C$6,B365&gt;Setup!$C$7),"Outside period",IF(K365&lt;0,"⚠ Stock goes negative","✔ OK"))))))))</f>
        <v/>
      </c>
      <c r="M365" s="9" t="str">
        <f aca="false">IF(OR(C365="",B365=""),"",B365+ROW()/1000000)</f>
        <v/>
      </c>
      <c r="N365" s="9" t="str">
        <f aca="false">IF(AND(E365="In",M365&lt;&gt;""),SUMIFS($F$7:$F$506,$C$7:$C$506,C365,$E$7:$E$506,"In",$M$7:$M$506,"&gt;"&amp;M365),"")</f>
        <v/>
      </c>
      <c r="O365" s="9" t="str">
        <f aca="false">IF(N365="","",IFERROR(INDEX('Item Master'!$K$6:$K$105,MATCH(C365,'Item Master'!$A$6:$A$105,0)),0))</f>
        <v/>
      </c>
      <c r="P365" s="9" t="n">
        <f aca="false">IF(N365="",0,MAX(0,MIN(N(F365),O365-N365))*N(G365))</f>
        <v>0</v>
      </c>
      <c r="Q365" s="9" t="str">
        <f aca="false">IF(AND(C365&lt;&gt;"",C365='Stock Ledger'!$C$4),M365,"")</f>
        <v/>
      </c>
    </row>
    <row r="366" customFormat="false" ht="15" hidden="false" customHeight="false" outlineLevel="0" collapsed="false">
      <c r="A366" s="45" t="str">
        <f aca="false">IF(C366="","",ROW()-6)</f>
        <v/>
      </c>
      <c r="B366" s="85"/>
      <c r="C366" s="80"/>
      <c r="D366" s="47" t="str">
        <f aca="false">IF(C366="","",IFERROR(INDEX('Item Master'!$B$6:$B$105,MATCH(C366,'Item Master'!$A$6:$A$105,0)),"?"))</f>
        <v/>
      </c>
      <c r="E366" s="82"/>
      <c r="F366" s="83"/>
      <c r="G366" s="84"/>
      <c r="H366" s="81"/>
      <c r="I366" s="80"/>
      <c r="J366" s="41" t="str">
        <f aca="false">IF(OR(C366="",G366=""),"",N(F366)*N(G366))</f>
        <v/>
      </c>
      <c r="K366" s="48" t="str">
        <f aca="false">IF(M366="","",N(IFERROR(INDEX('Item Master'!$E$6:$E$105,MATCH(C366,'Item Master'!$A$6:$A$105,0)),0))+SUMIFS($F$7:$F$506,$C$7:$C$506,C366,$E$7:$E$506,"In",$M$7:$M$506,"&lt;="&amp;M366)-SUMIFS($F$7:$F$506,$C$7:$C$506,C366,$E$7:$E$506,"Out",$M$7:$M$506,"&lt;="&amp;M366))</f>
        <v/>
      </c>
      <c r="L366" s="44" t="str">
        <f aca="false">IF(AND(B366="",C366="",F366=""),"",IF(C366="","⚠ Pick item",IF(D366="?","⚠ Code not in Item Master",IF(B366="","⚠ Enter date",IF(OR(E366="",N(F366)&lt;=0),"⚠ Type / quantity missing",IF(AND(E366="In",G366=""),"⚠ Enter purchase rate",IF(OR(B366&lt;Setup!$C$6,B366&gt;Setup!$C$7),"Outside period",IF(K366&lt;0,"⚠ Stock goes negative","✔ OK"))))))))</f>
        <v/>
      </c>
      <c r="M366" s="9" t="str">
        <f aca="false">IF(OR(C366="",B366=""),"",B366+ROW()/1000000)</f>
        <v/>
      </c>
      <c r="N366" s="9" t="str">
        <f aca="false">IF(AND(E366="In",M366&lt;&gt;""),SUMIFS($F$7:$F$506,$C$7:$C$506,C366,$E$7:$E$506,"In",$M$7:$M$506,"&gt;"&amp;M366),"")</f>
        <v/>
      </c>
      <c r="O366" s="9" t="str">
        <f aca="false">IF(N366="","",IFERROR(INDEX('Item Master'!$K$6:$K$105,MATCH(C366,'Item Master'!$A$6:$A$105,0)),0))</f>
        <v/>
      </c>
      <c r="P366" s="9" t="n">
        <f aca="false">IF(N366="",0,MAX(0,MIN(N(F366),O366-N366))*N(G366))</f>
        <v>0</v>
      </c>
      <c r="Q366" s="9" t="str">
        <f aca="false">IF(AND(C366&lt;&gt;"",C366='Stock Ledger'!$C$4),M366,"")</f>
        <v/>
      </c>
    </row>
    <row r="367" customFormat="false" ht="15" hidden="false" customHeight="false" outlineLevel="0" collapsed="false">
      <c r="A367" s="45" t="str">
        <f aca="false">IF(C367="","",ROW()-6)</f>
        <v/>
      </c>
      <c r="B367" s="85"/>
      <c r="C367" s="80"/>
      <c r="D367" s="47" t="str">
        <f aca="false">IF(C367="","",IFERROR(INDEX('Item Master'!$B$6:$B$105,MATCH(C367,'Item Master'!$A$6:$A$105,0)),"?"))</f>
        <v/>
      </c>
      <c r="E367" s="82"/>
      <c r="F367" s="83"/>
      <c r="G367" s="84"/>
      <c r="H367" s="81"/>
      <c r="I367" s="80"/>
      <c r="J367" s="41" t="str">
        <f aca="false">IF(OR(C367="",G367=""),"",N(F367)*N(G367))</f>
        <v/>
      </c>
      <c r="K367" s="48" t="str">
        <f aca="false">IF(M367="","",N(IFERROR(INDEX('Item Master'!$E$6:$E$105,MATCH(C367,'Item Master'!$A$6:$A$105,0)),0))+SUMIFS($F$7:$F$506,$C$7:$C$506,C367,$E$7:$E$506,"In",$M$7:$M$506,"&lt;="&amp;M367)-SUMIFS($F$7:$F$506,$C$7:$C$506,C367,$E$7:$E$506,"Out",$M$7:$M$506,"&lt;="&amp;M367))</f>
        <v/>
      </c>
      <c r="L367" s="44" t="str">
        <f aca="false">IF(AND(B367="",C367="",F367=""),"",IF(C367="","⚠ Pick item",IF(D367="?","⚠ Code not in Item Master",IF(B367="","⚠ Enter date",IF(OR(E367="",N(F367)&lt;=0),"⚠ Type / quantity missing",IF(AND(E367="In",G367=""),"⚠ Enter purchase rate",IF(OR(B367&lt;Setup!$C$6,B367&gt;Setup!$C$7),"Outside period",IF(K367&lt;0,"⚠ Stock goes negative","✔ OK"))))))))</f>
        <v/>
      </c>
      <c r="M367" s="9" t="str">
        <f aca="false">IF(OR(C367="",B367=""),"",B367+ROW()/1000000)</f>
        <v/>
      </c>
      <c r="N367" s="9" t="str">
        <f aca="false">IF(AND(E367="In",M367&lt;&gt;""),SUMIFS($F$7:$F$506,$C$7:$C$506,C367,$E$7:$E$506,"In",$M$7:$M$506,"&gt;"&amp;M367),"")</f>
        <v/>
      </c>
      <c r="O367" s="9" t="str">
        <f aca="false">IF(N367="","",IFERROR(INDEX('Item Master'!$K$6:$K$105,MATCH(C367,'Item Master'!$A$6:$A$105,0)),0))</f>
        <v/>
      </c>
      <c r="P367" s="9" t="n">
        <f aca="false">IF(N367="",0,MAX(0,MIN(N(F367),O367-N367))*N(G367))</f>
        <v>0</v>
      </c>
      <c r="Q367" s="9" t="str">
        <f aca="false">IF(AND(C367&lt;&gt;"",C367='Stock Ledger'!$C$4),M367,"")</f>
        <v/>
      </c>
    </row>
    <row r="368" customFormat="false" ht="15" hidden="false" customHeight="false" outlineLevel="0" collapsed="false">
      <c r="A368" s="45" t="str">
        <f aca="false">IF(C368="","",ROW()-6)</f>
        <v/>
      </c>
      <c r="B368" s="85"/>
      <c r="C368" s="80"/>
      <c r="D368" s="47" t="str">
        <f aca="false">IF(C368="","",IFERROR(INDEX('Item Master'!$B$6:$B$105,MATCH(C368,'Item Master'!$A$6:$A$105,0)),"?"))</f>
        <v/>
      </c>
      <c r="E368" s="82"/>
      <c r="F368" s="83"/>
      <c r="G368" s="84"/>
      <c r="H368" s="81"/>
      <c r="I368" s="80"/>
      <c r="J368" s="41" t="str">
        <f aca="false">IF(OR(C368="",G368=""),"",N(F368)*N(G368))</f>
        <v/>
      </c>
      <c r="K368" s="48" t="str">
        <f aca="false">IF(M368="","",N(IFERROR(INDEX('Item Master'!$E$6:$E$105,MATCH(C368,'Item Master'!$A$6:$A$105,0)),0))+SUMIFS($F$7:$F$506,$C$7:$C$506,C368,$E$7:$E$506,"In",$M$7:$M$506,"&lt;="&amp;M368)-SUMIFS($F$7:$F$506,$C$7:$C$506,C368,$E$7:$E$506,"Out",$M$7:$M$506,"&lt;="&amp;M368))</f>
        <v/>
      </c>
      <c r="L368" s="44" t="str">
        <f aca="false">IF(AND(B368="",C368="",F368=""),"",IF(C368="","⚠ Pick item",IF(D368="?","⚠ Code not in Item Master",IF(B368="","⚠ Enter date",IF(OR(E368="",N(F368)&lt;=0),"⚠ Type / quantity missing",IF(AND(E368="In",G368=""),"⚠ Enter purchase rate",IF(OR(B368&lt;Setup!$C$6,B368&gt;Setup!$C$7),"Outside period",IF(K368&lt;0,"⚠ Stock goes negative","✔ OK"))))))))</f>
        <v/>
      </c>
      <c r="M368" s="9" t="str">
        <f aca="false">IF(OR(C368="",B368=""),"",B368+ROW()/1000000)</f>
        <v/>
      </c>
      <c r="N368" s="9" t="str">
        <f aca="false">IF(AND(E368="In",M368&lt;&gt;""),SUMIFS($F$7:$F$506,$C$7:$C$506,C368,$E$7:$E$506,"In",$M$7:$M$506,"&gt;"&amp;M368),"")</f>
        <v/>
      </c>
      <c r="O368" s="9" t="str">
        <f aca="false">IF(N368="","",IFERROR(INDEX('Item Master'!$K$6:$K$105,MATCH(C368,'Item Master'!$A$6:$A$105,0)),0))</f>
        <v/>
      </c>
      <c r="P368" s="9" t="n">
        <f aca="false">IF(N368="",0,MAX(0,MIN(N(F368),O368-N368))*N(G368))</f>
        <v>0</v>
      </c>
      <c r="Q368" s="9" t="str">
        <f aca="false">IF(AND(C368&lt;&gt;"",C368='Stock Ledger'!$C$4),M368,"")</f>
        <v/>
      </c>
    </row>
    <row r="369" customFormat="false" ht="15" hidden="false" customHeight="false" outlineLevel="0" collapsed="false">
      <c r="A369" s="45" t="str">
        <f aca="false">IF(C369="","",ROW()-6)</f>
        <v/>
      </c>
      <c r="B369" s="85"/>
      <c r="C369" s="80"/>
      <c r="D369" s="47" t="str">
        <f aca="false">IF(C369="","",IFERROR(INDEX('Item Master'!$B$6:$B$105,MATCH(C369,'Item Master'!$A$6:$A$105,0)),"?"))</f>
        <v/>
      </c>
      <c r="E369" s="82"/>
      <c r="F369" s="83"/>
      <c r="G369" s="84"/>
      <c r="H369" s="81"/>
      <c r="I369" s="80"/>
      <c r="J369" s="41" t="str">
        <f aca="false">IF(OR(C369="",G369=""),"",N(F369)*N(G369))</f>
        <v/>
      </c>
      <c r="K369" s="48" t="str">
        <f aca="false">IF(M369="","",N(IFERROR(INDEX('Item Master'!$E$6:$E$105,MATCH(C369,'Item Master'!$A$6:$A$105,0)),0))+SUMIFS($F$7:$F$506,$C$7:$C$506,C369,$E$7:$E$506,"In",$M$7:$M$506,"&lt;="&amp;M369)-SUMIFS($F$7:$F$506,$C$7:$C$506,C369,$E$7:$E$506,"Out",$M$7:$M$506,"&lt;="&amp;M369))</f>
        <v/>
      </c>
      <c r="L369" s="44" t="str">
        <f aca="false">IF(AND(B369="",C369="",F369=""),"",IF(C369="","⚠ Pick item",IF(D369="?","⚠ Code not in Item Master",IF(B369="","⚠ Enter date",IF(OR(E369="",N(F369)&lt;=0),"⚠ Type / quantity missing",IF(AND(E369="In",G369=""),"⚠ Enter purchase rate",IF(OR(B369&lt;Setup!$C$6,B369&gt;Setup!$C$7),"Outside period",IF(K369&lt;0,"⚠ Stock goes negative","✔ OK"))))))))</f>
        <v/>
      </c>
      <c r="M369" s="9" t="str">
        <f aca="false">IF(OR(C369="",B369=""),"",B369+ROW()/1000000)</f>
        <v/>
      </c>
      <c r="N369" s="9" t="str">
        <f aca="false">IF(AND(E369="In",M369&lt;&gt;""),SUMIFS($F$7:$F$506,$C$7:$C$506,C369,$E$7:$E$506,"In",$M$7:$M$506,"&gt;"&amp;M369),"")</f>
        <v/>
      </c>
      <c r="O369" s="9" t="str">
        <f aca="false">IF(N369="","",IFERROR(INDEX('Item Master'!$K$6:$K$105,MATCH(C369,'Item Master'!$A$6:$A$105,0)),0))</f>
        <v/>
      </c>
      <c r="P369" s="9" t="n">
        <f aca="false">IF(N369="",0,MAX(0,MIN(N(F369),O369-N369))*N(G369))</f>
        <v>0</v>
      </c>
      <c r="Q369" s="9" t="str">
        <f aca="false">IF(AND(C369&lt;&gt;"",C369='Stock Ledger'!$C$4),M369,"")</f>
        <v/>
      </c>
    </row>
    <row r="370" customFormat="false" ht="15" hidden="false" customHeight="false" outlineLevel="0" collapsed="false">
      <c r="A370" s="45" t="str">
        <f aca="false">IF(C370="","",ROW()-6)</f>
        <v/>
      </c>
      <c r="B370" s="85"/>
      <c r="C370" s="80"/>
      <c r="D370" s="47" t="str">
        <f aca="false">IF(C370="","",IFERROR(INDEX('Item Master'!$B$6:$B$105,MATCH(C370,'Item Master'!$A$6:$A$105,0)),"?"))</f>
        <v/>
      </c>
      <c r="E370" s="82"/>
      <c r="F370" s="83"/>
      <c r="G370" s="84"/>
      <c r="H370" s="81"/>
      <c r="I370" s="80"/>
      <c r="J370" s="41" t="str">
        <f aca="false">IF(OR(C370="",G370=""),"",N(F370)*N(G370))</f>
        <v/>
      </c>
      <c r="K370" s="48" t="str">
        <f aca="false">IF(M370="","",N(IFERROR(INDEX('Item Master'!$E$6:$E$105,MATCH(C370,'Item Master'!$A$6:$A$105,0)),0))+SUMIFS($F$7:$F$506,$C$7:$C$506,C370,$E$7:$E$506,"In",$M$7:$M$506,"&lt;="&amp;M370)-SUMIFS($F$7:$F$506,$C$7:$C$506,C370,$E$7:$E$506,"Out",$M$7:$M$506,"&lt;="&amp;M370))</f>
        <v/>
      </c>
      <c r="L370" s="44" t="str">
        <f aca="false">IF(AND(B370="",C370="",F370=""),"",IF(C370="","⚠ Pick item",IF(D370="?","⚠ Code not in Item Master",IF(B370="","⚠ Enter date",IF(OR(E370="",N(F370)&lt;=0),"⚠ Type / quantity missing",IF(AND(E370="In",G370=""),"⚠ Enter purchase rate",IF(OR(B370&lt;Setup!$C$6,B370&gt;Setup!$C$7),"Outside period",IF(K370&lt;0,"⚠ Stock goes negative","✔ OK"))))))))</f>
        <v/>
      </c>
      <c r="M370" s="9" t="str">
        <f aca="false">IF(OR(C370="",B370=""),"",B370+ROW()/1000000)</f>
        <v/>
      </c>
      <c r="N370" s="9" t="str">
        <f aca="false">IF(AND(E370="In",M370&lt;&gt;""),SUMIFS($F$7:$F$506,$C$7:$C$506,C370,$E$7:$E$506,"In",$M$7:$M$506,"&gt;"&amp;M370),"")</f>
        <v/>
      </c>
      <c r="O370" s="9" t="str">
        <f aca="false">IF(N370="","",IFERROR(INDEX('Item Master'!$K$6:$K$105,MATCH(C370,'Item Master'!$A$6:$A$105,0)),0))</f>
        <v/>
      </c>
      <c r="P370" s="9" t="n">
        <f aca="false">IF(N370="",0,MAX(0,MIN(N(F370),O370-N370))*N(G370))</f>
        <v>0</v>
      </c>
      <c r="Q370" s="9" t="str">
        <f aca="false">IF(AND(C370&lt;&gt;"",C370='Stock Ledger'!$C$4),M370,"")</f>
        <v/>
      </c>
    </row>
    <row r="371" customFormat="false" ht="15" hidden="false" customHeight="false" outlineLevel="0" collapsed="false">
      <c r="A371" s="45" t="str">
        <f aca="false">IF(C371="","",ROW()-6)</f>
        <v/>
      </c>
      <c r="B371" s="85"/>
      <c r="C371" s="80"/>
      <c r="D371" s="47" t="str">
        <f aca="false">IF(C371="","",IFERROR(INDEX('Item Master'!$B$6:$B$105,MATCH(C371,'Item Master'!$A$6:$A$105,0)),"?"))</f>
        <v/>
      </c>
      <c r="E371" s="82"/>
      <c r="F371" s="83"/>
      <c r="G371" s="84"/>
      <c r="H371" s="81"/>
      <c r="I371" s="80"/>
      <c r="J371" s="41" t="str">
        <f aca="false">IF(OR(C371="",G371=""),"",N(F371)*N(G371))</f>
        <v/>
      </c>
      <c r="K371" s="48" t="str">
        <f aca="false">IF(M371="","",N(IFERROR(INDEX('Item Master'!$E$6:$E$105,MATCH(C371,'Item Master'!$A$6:$A$105,0)),0))+SUMIFS($F$7:$F$506,$C$7:$C$506,C371,$E$7:$E$506,"In",$M$7:$M$506,"&lt;="&amp;M371)-SUMIFS($F$7:$F$506,$C$7:$C$506,C371,$E$7:$E$506,"Out",$M$7:$M$506,"&lt;="&amp;M371))</f>
        <v/>
      </c>
      <c r="L371" s="44" t="str">
        <f aca="false">IF(AND(B371="",C371="",F371=""),"",IF(C371="","⚠ Pick item",IF(D371="?","⚠ Code not in Item Master",IF(B371="","⚠ Enter date",IF(OR(E371="",N(F371)&lt;=0),"⚠ Type / quantity missing",IF(AND(E371="In",G371=""),"⚠ Enter purchase rate",IF(OR(B371&lt;Setup!$C$6,B371&gt;Setup!$C$7),"Outside period",IF(K371&lt;0,"⚠ Stock goes negative","✔ OK"))))))))</f>
        <v/>
      </c>
      <c r="M371" s="9" t="str">
        <f aca="false">IF(OR(C371="",B371=""),"",B371+ROW()/1000000)</f>
        <v/>
      </c>
      <c r="N371" s="9" t="str">
        <f aca="false">IF(AND(E371="In",M371&lt;&gt;""),SUMIFS($F$7:$F$506,$C$7:$C$506,C371,$E$7:$E$506,"In",$M$7:$M$506,"&gt;"&amp;M371),"")</f>
        <v/>
      </c>
      <c r="O371" s="9" t="str">
        <f aca="false">IF(N371="","",IFERROR(INDEX('Item Master'!$K$6:$K$105,MATCH(C371,'Item Master'!$A$6:$A$105,0)),0))</f>
        <v/>
      </c>
      <c r="P371" s="9" t="n">
        <f aca="false">IF(N371="",0,MAX(0,MIN(N(F371),O371-N371))*N(G371))</f>
        <v>0</v>
      </c>
      <c r="Q371" s="9" t="str">
        <f aca="false">IF(AND(C371&lt;&gt;"",C371='Stock Ledger'!$C$4),M371,"")</f>
        <v/>
      </c>
    </row>
    <row r="372" customFormat="false" ht="15" hidden="false" customHeight="false" outlineLevel="0" collapsed="false">
      <c r="A372" s="45" t="str">
        <f aca="false">IF(C372="","",ROW()-6)</f>
        <v/>
      </c>
      <c r="B372" s="85"/>
      <c r="C372" s="80"/>
      <c r="D372" s="47" t="str">
        <f aca="false">IF(C372="","",IFERROR(INDEX('Item Master'!$B$6:$B$105,MATCH(C372,'Item Master'!$A$6:$A$105,0)),"?"))</f>
        <v/>
      </c>
      <c r="E372" s="82"/>
      <c r="F372" s="83"/>
      <c r="G372" s="84"/>
      <c r="H372" s="81"/>
      <c r="I372" s="80"/>
      <c r="J372" s="41" t="str">
        <f aca="false">IF(OR(C372="",G372=""),"",N(F372)*N(G372))</f>
        <v/>
      </c>
      <c r="K372" s="48" t="str">
        <f aca="false">IF(M372="","",N(IFERROR(INDEX('Item Master'!$E$6:$E$105,MATCH(C372,'Item Master'!$A$6:$A$105,0)),0))+SUMIFS($F$7:$F$506,$C$7:$C$506,C372,$E$7:$E$506,"In",$M$7:$M$506,"&lt;="&amp;M372)-SUMIFS($F$7:$F$506,$C$7:$C$506,C372,$E$7:$E$506,"Out",$M$7:$M$506,"&lt;="&amp;M372))</f>
        <v/>
      </c>
      <c r="L372" s="44" t="str">
        <f aca="false">IF(AND(B372="",C372="",F372=""),"",IF(C372="","⚠ Pick item",IF(D372="?","⚠ Code not in Item Master",IF(B372="","⚠ Enter date",IF(OR(E372="",N(F372)&lt;=0),"⚠ Type / quantity missing",IF(AND(E372="In",G372=""),"⚠ Enter purchase rate",IF(OR(B372&lt;Setup!$C$6,B372&gt;Setup!$C$7),"Outside period",IF(K372&lt;0,"⚠ Stock goes negative","✔ OK"))))))))</f>
        <v/>
      </c>
      <c r="M372" s="9" t="str">
        <f aca="false">IF(OR(C372="",B372=""),"",B372+ROW()/1000000)</f>
        <v/>
      </c>
      <c r="N372" s="9" t="str">
        <f aca="false">IF(AND(E372="In",M372&lt;&gt;""),SUMIFS($F$7:$F$506,$C$7:$C$506,C372,$E$7:$E$506,"In",$M$7:$M$506,"&gt;"&amp;M372),"")</f>
        <v/>
      </c>
      <c r="O372" s="9" t="str">
        <f aca="false">IF(N372="","",IFERROR(INDEX('Item Master'!$K$6:$K$105,MATCH(C372,'Item Master'!$A$6:$A$105,0)),0))</f>
        <v/>
      </c>
      <c r="P372" s="9" t="n">
        <f aca="false">IF(N372="",0,MAX(0,MIN(N(F372),O372-N372))*N(G372))</f>
        <v>0</v>
      </c>
      <c r="Q372" s="9" t="str">
        <f aca="false">IF(AND(C372&lt;&gt;"",C372='Stock Ledger'!$C$4),M372,"")</f>
        <v/>
      </c>
    </row>
    <row r="373" customFormat="false" ht="15" hidden="false" customHeight="false" outlineLevel="0" collapsed="false">
      <c r="A373" s="45" t="str">
        <f aca="false">IF(C373="","",ROW()-6)</f>
        <v/>
      </c>
      <c r="B373" s="85"/>
      <c r="C373" s="80"/>
      <c r="D373" s="47" t="str">
        <f aca="false">IF(C373="","",IFERROR(INDEX('Item Master'!$B$6:$B$105,MATCH(C373,'Item Master'!$A$6:$A$105,0)),"?"))</f>
        <v/>
      </c>
      <c r="E373" s="82"/>
      <c r="F373" s="83"/>
      <c r="G373" s="84"/>
      <c r="H373" s="81"/>
      <c r="I373" s="80"/>
      <c r="J373" s="41" t="str">
        <f aca="false">IF(OR(C373="",G373=""),"",N(F373)*N(G373))</f>
        <v/>
      </c>
      <c r="K373" s="48" t="str">
        <f aca="false">IF(M373="","",N(IFERROR(INDEX('Item Master'!$E$6:$E$105,MATCH(C373,'Item Master'!$A$6:$A$105,0)),0))+SUMIFS($F$7:$F$506,$C$7:$C$506,C373,$E$7:$E$506,"In",$M$7:$M$506,"&lt;="&amp;M373)-SUMIFS($F$7:$F$506,$C$7:$C$506,C373,$E$7:$E$506,"Out",$M$7:$M$506,"&lt;="&amp;M373))</f>
        <v/>
      </c>
      <c r="L373" s="44" t="str">
        <f aca="false">IF(AND(B373="",C373="",F373=""),"",IF(C373="","⚠ Pick item",IF(D373="?","⚠ Code not in Item Master",IF(B373="","⚠ Enter date",IF(OR(E373="",N(F373)&lt;=0),"⚠ Type / quantity missing",IF(AND(E373="In",G373=""),"⚠ Enter purchase rate",IF(OR(B373&lt;Setup!$C$6,B373&gt;Setup!$C$7),"Outside period",IF(K373&lt;0,"⚠ Stock goes negative","✔ OK"))))))))</f>
        <v/>
      </c>
      <c r="M373" s="9" t="str">
        <f aca="false">IF(OR(C373="",B373=""),"",B373+ROW()/1000000)</f>
        <v/>
      </c>
      <c r="N373" s="9" t="str">
        <f aca="false">IF(AND(E373="In",M373&lt;&gt;""),SUMIFS($F$7:$F$506,$C$7:$C$506,C373,$E$7:$E$506,"In",$M$7:$M$506,"&gt;"&amp;M373),"")</f>
        <v/>
      </c>
      <c r="O373" s="9" t="str">
        <f aca="false">IF(N373="","",IFERROR(INDEX('Item Master'!$K$6:$K$105,MATCH(C373,'Item Master'!$A$6:$A$105,0)),0))</f>
        <v/>
      </c>
      <c r="P373" s="9" t="n">
        <f aca="false">IF(N373="",0,MAX(0,MIN(N(F373),O373-N373))*N(G373))</f>
        <v>0</v>
      </c>
      <c r="Q373" s="9" t="str">
        <f aca="false">IF(AND(C373&lt;&gt;"",C373='Stock Ledger'!$C$4),M373,"")</f>
        <v/>
      </c>
    </row>
    <row r="374" customFormat="false" ht="15" hidden="false" customHeight="false" outlineLevel="0" collapsed="false">
      <c r="A374" s="45" t="str">
        <f aca="false">IF(C374="","",ROW()-6)</f>
        <v/>
      </c>
      <c r="B374" s="85"/>
      <c r="C374" s="80"/>
      <c r="D374" s="47" t="str">
        <f aca="false">IF(C374="","",IFERROR(INDEX('Item Master'!$B$6:$B$105,MATCH(C374,'Item Master'!$A$6:$A$105,0)),"?"))</f>
        <v/>
      </c>
      <c r="E374" s="82"/>
      <c r="F374" s="83"/>
      <c r="G374" s="84"/>
      <c r="H374" s="81"/>
      <c r="I374" s="80"/>
      <c r="J374" s="41" t="str">
        <f aca="false">IF(OR(C374="",G374=""),"",N(F374)*N(G374))</f>
        <v/>
      </c>
      <c r="K374" s="48" t="str">
        <f aca="false">IF(M374="","",N(IFERROR(INDEX('Item Master'!$E$6:$E$105,MATCH(C374,'Item Master'!$A$6:$A$105,0)),0))+SUMIFS($F$7:$F$506,$C$7:$C$506,C374,$E$7:$E$506,"In",$M$7:$M$506,"&lt;="&amp;M374)-SUMIFS($F$7:$F$506,$C$7:$C$506,C374,$E$7:$E$506,"Out",$M$7:$M$506,"&lt;="&amp;M374))</f>
        <v/>
      </c>
      <c r="L374" s="44" t="str">
        <f aca="false">IF(AND(B374="",C374="",F374=""),"",IF(C374="","⚠ Pick item",IF(D374="?","⚠ Code not in Item Master",IF(B374="","⚠ Enter date",IF(OR(E374="",N(F374)&lt;=0),"⚠ Type / quantity missing",IF(AND(E374="In",G374=""),"⚠ Enter purchase rate",IF(OR(B374&lt;Setup!$C$6,B374&gt;Setup!$C$7),"Outside period",IF(K374&lt;0,"⚠ Stock goes negative","✔ OK"))))))))</f>
        <v/>
      </c>
      <c r="M374" s="9" t="str">
        <f aca="false">IF(OR(C374="",B374=""),"",B374+ROW()/1000000)</f>
        <v/>
      </c>
      <c r="N374" s="9" t="str">
        <f aca="false">IF(AND(E374="In",M374&lt;&gt;""),SUMIFS($F$7:$F$506,$C$7:$C$506,C374,$E$7:$E$506,"In",$M$7:$M$506,"&gt;"&amp;M374),"")</f>
        <v/>
      </c>
      <c r="O374" s="9" t="str">
        <f aca="false">IF(N374="","",IFERROR(INDEX('Item Master'!$K$6:$K$105,MATCH(C374,'Item Master'!$A$6:$A$105,0)),0))</f>
        <v/>
      </c>
      <c r="P374" s="9" t="n">
        <f aca="false">IF(N374="",0,MAX(0,MIN(N(F374),O374-N374))*N(G374))</f>
        <v>0</v>
      </c>
      <c r="Q374" s="9" t="str">
        <f aca="false">IF(AND(C374&lt;&gt;"",C374='Stock Ledger'!$C$4),M374,"")</f>
        <v/>
      </c>
    </row>
    <row r="375" customFormat="false" ht="15" hidden="false" customHeight="false" outlineLevel="0" collapsed="false">
      <c r="A375" s="45" t="str">
        <f aca="false">IF(C375="","",ROW()-6)</f>
        <v/>
      </c>
      <c r="B375" s="85"/>
      <c r="C375" s="80"/>
      <c r="D375" s="47" t="str">
        <f aca="false">IF(C375="","",IFERROR(INDEX('Item Master'!$B$6:$B$105,MATCH(C375,'Item Master'!$A$6:$A$105,0)),"?"))</f>
        <v/>
      </c>
      <c r="E375" s="82"/>
      <c r="F375" s="83"/>
      <c r="G375" s="84"/>
      <c r="H375" s="81"/>
      <c r="I375" s="80"/>
      <c r="J375" s="41" t="str">
        <f aca="false">IF(OR(C375="",G375=""),"",N(F375)*N(G375))</f>
        <v/>
      </c>
      <c r="K375" s="48" t="str">
        <f aca="false">IF(M375="","",N(IFERROR(INDEX('Item Master'!$E$6:$E$105,MATCH(C375,'Item Master'!$A$6:$A$105,0)),0))+SUMIFS($F$7:$F$506,$C$7:$C$506,C375,$E$7:$E$506,"In",$M$7:$M$506,"&lt;="&amp;M375)-SUMIFS($F$7:$F$506,$C$7:$C$506,C375,$E$7:$E$506,"Out",$M$7:$M$506,"&lt;="&amp;M375))</f>
        <v/>
      </c>
      <c r="L375" s="44" t="str">
        <f aca="false">IF(AND(B375="",C375="",F375=""),"",IF(C375="","⚠ Pick item",IF(D375="?","⚠ Code not in Item Master",IF(B375="","⚠ Enter date",IF(OR(E375="",N(F375)&lt;=0),"⚠ Type / quantity missing",IF(AND(E375="In",G375=""),"⚠ Enter purchase rate",IF(OR(B375&lt;Setup!$C$6,B375&gt;Setup!$C$7),"Outside period",IF(K375&lt;0,"⚠ Stock goes negative","✔ OK"))))))))</f>
        <v/>
      </c>
      <c r="M375" s="9" t="str">
        <f aca="false">IF(OR(C375="",B375=""),"",B375+ROW()/1000000)</f>
        <v/>
      </c>
      <c r="N375" s="9" t="str">
        <f aca="false">IF(AND(E375="In",M375&lt;&gt;""),SUMIFS($F$7:$F$506,$C$7:$C$506,C375,$E$7:$E$506,"In",$M$7:$M$506,"&gt;"&amp;M375),"")</f>
        <v/>
      </c>
      <c r="O375" s="9" t="str">
        <f aca="false">IF(N375="","",IFERROR(INDEX('Item Master'!$K$6:$K$105,MATCH(C375,'Item Master'!$A$6:$A$105,0)),0))</f>
        <v/>
      </c>
      <c r="P375" s="9" t="n">
        <f aca="false">IF(N375="",0,MAX(0,MIN(N(F375),O375-N375))*N(G375))</f>
        <v>0</v>
      </c>
      <c r="Q375" s="9" t="str">
        <f aca="false">IF(AND(C375&lt;&gt;"",C375='Stock Ledger'!$C$4),M375,"")</f>
        <v/>
      </c>
    </row>
    <row r="376" customFormat="false" ht="15" hidden="false" customHeight="false" outlineLevel="0" collapsed="false">
      <c r="A376" s="45" t="str">
        <f aca="false">IF(C376="","",ROW()-6)</f>
        <v/>
      </c>
      <c r="B376" s="85"/>
      <c r="C376" s="80"/>
      <c r="D376" s="47" t="str">
        <f aca="false">IF(C376="","",IFERROR(INDEX('Item Master'!$B$6:$B$105,MATCH(C376,'Item Master'!$A$6:$A$105,0)),"?"))</f>
        <v/>
      </c>
      <c r="E376" s="82"/>
      <c r="F376" s="83"/>
      <c r="G376" s="84"/>
      <c r="H376" s="81"/>
      <c r="I376" s="80"/>
      <c r="J376" s="41" t="str">
        <f aca="false">IF(OR(C376="",G376=""),"",N(F376)*N(G376))</f>
        <v/>
      </c>
      <c r="K376" s="48" t="str">
        <f aca="false">IF(M376="","",N(IFERROR(INDEX('Item Master'!$E$6:$E$105,MATCH(C376,'Item Master'!$A$6:$A$105,0)),0))+SUMIFS($F$7:$F$506,$C$7:$C$506,C376,$E$7:$E$506,"In",$M$7:$M$506,"&lt;="&amp;M376)-SUMIFS($F$7:$F$506,$C$7:$C$506,C376,$E$7:$E$506,"Out",$M$7:$M$506,"&lt;="&amp;M376))</f>
        <v/>
      </c>
      <c r="L376" s="44" t="str">
        <f aca="false">IF(AND(B376="",C376="",F376=""),"",IF(C376="","⚠ Pick item",IF(D376="?","⚠ Code not in Item Master",IF(B376="","⚠ Enter date",IF(OR(E376="",N(F376)&lt;=0),"⚠ Type / quantity missing",IF(AND(E376="In",G376=""),"⚠ Enter purchase rate",IF(OR(B376&lt;Setup!$C$6,B376&gt;Setup!$C$7),"Outside period",IF(K376&lt;0,"⚠ Stock goes negative","✔ OK"))))))))</f>
        <v/>
      </c>
      <c r="M376" s="9" t="str">
        <f aca="false">IF(OR(C376="",B376=""),"",B376+ROW()/1000000)</f>
        <v/>
      </c>
      <c r="N376" s="9" t="str">
        <f aca="false">IF(AND(E376="In",M376&lt;&gt;""),SUMIFS($F$7:$F$506,$C$7:$C$506,C376,$E$7:$E$506,"In",$M$7:$M$506,"&gt;"&amp;M376),"")</f>
        <v/>
      </c>
      <c r="O376" s="9" t="str">
        <f aca="false">IF(N376="","",IFERROR(INDEX('Item Master'!$K$6:$K$105,MATCH(C376,'Item Master'!$A$6:$A$105,0)),0))</f>
        <v/>
      </c>
      <c r="P376" s="9" t="n">
        <f aca="false">IF(N376="",0,MAX(0,MIN(N(F376),O376-N376))*N(G376))</f>
        <v>0</v>
      </c>
      <c r="Q376" s="9" t="str">
        <f aca="false">IF(AND(C376&lt;&gt;"",C376='Stock Ledger'!$C$4),M376,"")</f>
        <v/>
      </c>
    </row>
    <row r="377" customFormat="false" ht="15" hidden="false" customHeight="false" outlineLevel="0" collapsed="false">
      <c r="A377" s="45" t="str">
        <f aca="false">IF(C377="","",ROW()-6)</f>
        <v/>
      </c>
      <c r="B377" s="85"/>
      <c r="C377" s="80"/>
      <c r="D377" s="47" t="str">
        <f aca="false">IF(C377="","",IFERROR(INDEX('Item Master'!$B$6:$B$105,MATCH(C377,'Item Master'!$A$6:$A$105,0)),"?"))</f>
        <v/>
      </c>
      <c r="E377" s="82"/>
      <c r="F377" s="83"/>
      <c r="G377" s="84"/>
      <c r="H377" s="81"/>
      <c r="I377" s="80"/>
      <c r="J377" s="41" t="str">
        <f aca="false">IF(OR(C377="",G377=""),"",N(F377)*N(G377))</f>
        <v/>
      </c>
      <c r="K377" s="48" t="str">
        <f aca="false">IF(M377="","",N(IFERROR(INDEX('Item Master'!$E$6:$E$105,MATCH(C377,'Item Master'!$A$6:$A$105,0)),0))+SUMIFS($F$7:$F$506,$C$7:$C$506,C377,$E$7:$E$506,"In",$M$7:$M$506,"&lt;="&amp;M377)-SUMIFS($F$7:$F$506,$C$7:$C$506,C377,$E$7:$E$506,"Out",$M$7:$M$506,"&lt;="&amp;M377))</f>
        <v/>
      </c>
      <c r="L377" s="44" t="str">
        <f aca="false">IF(AND(B377="",C377="",F377=""),"",IF(C377="","⚠ Pick item",IF(D377="?","⚠ Code not in Item Master",IF(B377="","⚠ Enter date",IF(OR(E377="",N(F377)&lt;=0),"⚠ Type / quantity missing",IF(AND(E377="In",G377=""),"⚠ Enter purchase rate",IF(OR(B377&lt;Setup!$C$6,B377&gt;Setup!$C$7),"Outside period",IF(K377&lt;0,"⚠ Stock goes negative","✔ OK"))))))))</f>
        <v/>
      </c>
      <c r="M377" s="9" t="str">
        <f aca="false">IF(OR(C377="",B377=""),"",B377+ROW()/1000000)</f>
        <v/>
      </c>
      <c r="N377" s="9" t="str">
        <f aca="false">IF(AND(E377="In",M377&lt;&gt;""),SUMIFS($F$7:$F$506,$C$7:$C$506,C377,$E$7:$E$506,"In",$M$7:$M$506,"&gt;"&amp;M377),"")</f>
        <v/>
      </c>
      <c r="O377" s="9" t="str">
        <f aca="false">IF(N377="","",IFERROR(INDEX('Item Master'!$K$6:$K$105,MATCH(C377,'Item Master'!$A$6:$A$105,0)),0))</f>
        <v/>
      </c>
      <c r="P377" s="9" t="n">
        <f aca="false">IF(N377="",0,MAX(0,MIN(N(F377),O377-N377))*N(G377))</f>
        <v>0</v>
      </c>
      <c r="Q377" s="9" t="str">
        <f aca="false">IF(AND(C377&lt;&gt;"",C377='Stock Ledger'!$C$4),M377,"")</f>
        <v/>
      </c>
    </row>
    <row r="378" customFormat="false" ht="15" hidden="false" customHeight="false" outlineLevel="0" collapsed="false">
      <c r="A378" s="45" t="str">
        <f aca="false">IF(C378="","",ROW()-6)</f>
        <v/>
      </c>
      <c r="B378" s="85"/>
      <c r="C378" s="80"/>
      <c r="D378" s="47" t="str">
        <f aca="false">IF(C378="","",IFERROR(INDEX('Item Master'!$B$6:$B$105,MATCH(C378,'Item Master'!$A$6:$A$105,0)),"?"))</f>
        <v/>
      </c>
      <c r="E378" s="82"/>
      <c r="F378" s="83"/>
      <c r="G378" s="84"/>
      <c r="H378" s="81"/>
      <c r="I378" s="80"/>
      <c r="J378" s="41" t="str">
        <f aca="false">IF(OR(C378="",G378=""),"",N(F378)*N(G378))</f>
        <v/>
      </c>
      <c r="K378" s="48" t="str">
        <f aca="false">IF(M378="","",N(IFERROR(INDEX('Item Master'!$E$6:$E$105,MATCH(C378,'Item Master'!$A$6:$A$105,0)),0))+SUMIFS($F$7:$F$506,$C$7:$C$506,C378,$E$7:$E$506,"In",$M$7:$M$506,"&lt;="&amp;M378)-SUMIFS($F$7:$F$506,$C$7:$C$506,C378,$E$7:$E$506,"Out",$M$7:$M$506,"&lt;="&amp;M378))</f>
        <v/>
      </c>
      <c r="L378" s="44" t="str">
        <f aca="false">IF(AND(B378="",C378="",F378=""),"",IF(C378="","⚠ Pick item",IF(D378="?","⚠ Code not in Item Master",IF(B378="","⚠ Enter date",IF(OR(E378="",N(F378)&lt;=0),"⚠ Type / quantity missing",IF(AND(E378="In",G378=""),"⚠ Enter purchase rate",IF(OR(B378&lt;Setup!$C$6,B378&gt;Setup!$C$7),"Outside period",IF(K378&lt;0,"⚠ Stock goes negative","✔ OK"))))))))</f>
        <v/>
      </c>
      <c r="M378" s="9" t="str">
        <f aca="false">IF(OR(C378="",B378=""),"",B378+ROW()/1000000)</f>
        <v/>
      </c>
      <c r="N378" s="9" t="str">
        <f aca="false">IF(AND(E378="In",M378&lt;&gt;""),SUMIFS($F$7:$F$506,$C$7:$C$506,C378,$E$7:$E$506,"In",$M$7:$M$506,"&gt;"&amp;M378),"")</f>
        <v/>
      </c>
      <c r="O378" s="9" t="str">
        <f aca="false">IF(N378="","",IFERROR(INDEX('Item Master'!$K$6:$K$105,MATCH(C378,'Item Master'!$A$6:$A$105,0)),0))</f>
        <v/>
      </c>
      <c r="P378" s="9" t="n">
        <f aca="false">IF(N378="",0,MAX(0,MIN(N(F378),O378-N378))*N(G378))</f>
        <v>0</v>
      </c>
      <c r="Q378" s="9" t="str">
        <f aca="false">IF(AND(C378&lt;&gt;"",C378='Stock Ledger'!$C$4),M378,"")</f>
        <v/>
      </c>
    </row>
    <row r="379" customFormat="false" ht="15" hidden="false" customHeight="false" outlineLevel="0" collapsed="false">
      <c r="A379" s="45" t="str">
        <f aca="false">IF(C379="","",ROW()-6)</f>
        <v/>
      </c>
      <c r="B379" s="85"/>
      <c r="C379" s="80"/>
      <c r="D379" s="47" t="str">
        <f aca="false">IF(C379="","",IFERROR(INDEX('Item Master'!$B$6:$B$105,MATCH(C379,'Item Master'!$A$6:$A$105,0)),"?"))</f>
        <v/>
      </c>
      <c r="E379" s="82"/>
      <c r="F379" s="83"/>
      <c r="G379" s="84"/>
      <c r="H379" s="81"/>
      <c r="I379" s="80"/>
      <c r="J379" s="41" t="str">
        <f aca="false">IF(OR(C379="",G379=""),"",N(F379)*N(G379))</f>
        <v/>
      </c>
      <c r="K379" s="48" t="str">
        <f aca="false">IF(M379="","",N(IFERROR(INDEX('Item Master'!$E$6:$E$105,MATCH(C379,'Item Master'!$A$6:$A$105,0)),0))+SUMIFS($F$7:$F$506,$C$7:$C$506,C379,$E$7:$E$506,"In",$M$7:$M$506,"&lt;="&amp;M379)-SUMIFS($F$7:$F$506,$C$7:$C$506,C379,$E$7:$E$506,"Out",$M$7:$M$506,"&lt;="&amp;M379))</f>
        <v/>
      </c>
      <c r="L379" s="44" t="str">
        <f aca="false">IF(AND(B379="",C379="",F379=""),"",IF(C379="","⚠ Pick item",IF(D379="?","⚠ Code not in Item Master",IF(B379="","⚠ Enter date",IF(OR(E379="",N(F379)&lt;=0),"⚠ Type / quantity missing",IF(AND(E379="In",G379=""),"⚠ Enter purchase rate",IF(OR(B379&lt;Setup!$C$6,B379&gt;Setup!$C$7),"Outside period",IF(K379&lt;0,"⚠ Stock goes negative","✔ OK"))))))))</f>
        <v/>
      </c>
      <c r="M379" s="9" t="str">
        <f aca="false">IF(OR(C379="",B379=""),"",B379+ROW()/1000000)</f>
        <v/>
      </c>
      <c r="N379" s="9" t="str">
        <f aca="false">IF(AND(E379="In",M379&lt;&gt;""),SUMIFS($F$7:$F$506,$C$7:$C$506,C379,$E$7:$E$506,"In",$M$7:$M$506,"&gt;"&amp;M379),"")</f>
        <v/>
      </c>
      <c r="O379" s="9" t="str">
        <f aca="false">IF(N379="","",IFERROR(INDEX('Item Master'!$K$6:$K$105,MATCH(C379,'Item Master'!$A$6:$A$105,0)),0))</f>
        <v/>
      </c>
      <c r="P379" s="9" t="n">
        <f aca="false">IF(N379="",0,MAX(0,MIN(N(F379),O379-N379))*N(G379))</f>
        <v>0</v>
      </c>
      <c r="Q379" s="9" t="str">
        <f aca="false">IF(AND(C379&lt;&gt;"",C379='Stock Ledger'!$C$4),M379,"")</f>
        <v/>
      </c>
    </row>
    <row r="380" customFormat="false" ht="15" hidden="false" customHeight="false" outlineLevel="0" collapsed="false">
      <c r="A380" s="45" t="str">
        <f aca="false">IF(C380="","",ROW()-6)</f>
        <v/>
      </c>
      <c r="B380" s="85"/>
      <c r="C380" s="80"/>
      <c r="D380" s="47" t="str">
        <f aca="false">IF(C380="","",IFERROR(INDEX('Item Master'!$B$6:$B$105,MATCH(C380,'Item Master'!$A$6:$A$105,0)),"?"))</f>
        <v/>
      </c>
      <c r="E380" s="82"/>
      <c r="F380" s="83"/>
      <c r="G380" s="84"/>
      <c r="H380" s="81"/>
      <c r="I380" s="80"/>
      <c r="J380" s="41" t="str">
        <f aca="false">IF(OR(C380="",G380=""),"",N(F380)*N(G380))</f>
        <v/>
      </c>
      <c r="K380" s="48" t="str">
        <f aca="false">IF(M380="","",N(IFERROR(INDEX('Item Master'!$E$6:$E$105,MATCH(C380,'Item Master'!$A$6:$A$105,0)),0))+SUMIFS($F$7:$F$506,$C$7:$C$506,C380,$E$7:$E$506,"In",$M$7:$M$506,"&lt;="&amp;M380)-SUMIFS($F$7:$F$506,$C$7:$C$506,C380,$E$7:$E$506,"Out",$M$7:$M$506,"&lt;="&amp;M380))</f>
        <v/>
      </c>
      <c r="L380" s="44" t="str">
        <f aca="false">IF(AND(B380="",C380="",F380=""),"",IF(C380="","⚠ Pick item",IF(D380="?","⚠ Code not in Item Master",IF(B380="","⚠ Enter date",IF(OR(E380="",N(F380)&lt;=0),"⚠ Type / quantity missing",IF(AND(E380="In",G380=""),"⚠ Enter purchase rate",IF(OR(B380&lt;Setup!$C$6,B380&gt;Setup!$C$7),"Outside period",IF(K380&lt;0,"⚠ Stock goes negative","✔ OK"))))))))</f>
        <v/>
      </c>
      <c r="M380" s="9" t="str">
        <f aca="false">IF(OR(C380="",B380=""),"",B380+ROW()/1000000)</f>
        <v/>
      </c>
      <c r="N380" s="9" t="str">
        <f aca="false">IF(AND(E380="In",M380&lt;&gt;""),SUMIFS($F$7:$F$506,$C$7:$C$506,C380,$E$7:$E$506,"In",$M$7:$M$506,"&gt;"&amp;M380),"")</f>
        <v/>
      </c>
      <c r="O380" s="9" t="str">
        <f aca="false">IF(N380="","",IFERROR(INDEX('Item Master'!$K$6:$K$105,MATCH(C380,'Item Master'!$A$6:$A$105,0)),0))</f>
        <v/>
      </c>
      <c r="P380" s="9" t="n">
        <f aca="false">IF(N380="",0,MAX(0,MIN(N(F380),O380-N380))*N(G380))</f>
        <v>0</v>
      </c>
      <c r="Q380" s="9" t="str">
        <f aca="false">IF(AND(C380&lt;&gt;"",C380='Stock Ledger'!$C$4),M380,"")</f>
        <v/>
      </c>
    </row>
    <row r="381" customFormat="false" ht="15" hidden="false" customHeight="false" outlineLevel="0" collapsed="false">
      <c r="A381" s="45" t="str">
        <f aca="false">IF(C381="","",ROW()-6)</f>
        <v/>
      </c>
      <c r="B381" s="85"/>
      <c r="C381" s="80"/>
      <c r="D381" s="47" t="str">
        <f aca="false">IF(C381="","",IFERROR(INDEX('Item Master'!$B$6:$B$105,MATCH(C381,'Item Master'!$A$6:$A$105,0)),"?"))</f>
        <v/>
      </c>
      <c r="E381" s="82"/>
      <c r="F381" s="83"/>
      <c r="G381" s="84"/>
      <c r="H381" s="81"/>
      <c r="I381" s="80"/>
      <c r="J381" s="41" t="str">
        <f aca="false">IF(OR(C381="",G381=""),"",N(F381)*N(G381))</f>
        <v/>
      </c>
      <c r="K381" s="48" t="str">
        <f aca="false">IF(M381="","",N(IFERROR(INDEX('Item Master'!$E$6:$E$105,MATCH(C381,'Item Master'!$A$6:$A$105,0)),0))+SUMIFS($F$7:$F$506,$C$7:$C$506,C381,$E$7:$E$506,"In",$M$7:$M$506,"&lt;="&amp;M381)-SUMIFS($F$7:$F$506,$C$7:$C$506,C381,$E$7:$E$506,"Out",$M$7:$M$506,"&lt;="&amp;M381))</f>
        <v/>
      </c>
      <c r="L381" s="44" t="str">
        <f aca="false">IF(AND(B381="",C381="",F381=""),"",IF(C381="","⚠ Pick item",IF(D381="?","⚠ Code not in Item Master",IF(B381="","⚠ Enter date",IF(OR(E381="",N(F381)&lt;=0),"⚠ Type / quantity missing",IF(AND(E381="In",G381=""),"⚠ Enter purchase rate",IF(OR(B381&lt;Setup!$C$6,B381&gt;Setup!$C$7),"Outside period",IF(K381&lt;0,"⚠ Stock goes negative","✔ OK"))))))))</f>
        <v/>
      </c>
      <c r="M381" s="9" t="str">
        <f aca="false">IF(OR(C381="",B381=""),"",B381+ROW()/1000000)</f>
        <v/>
      </c>
      <c r="N381" s="9" t="str">
        <f aca="false">IF(AND(E381="In",M381&lt;&gt;""),SUMIFS($F$7:$F$506,$C$7:$C$506,C381,$E$7:$E$506,"In",$M$7:$M$506,"&gt;"&amp;M381),"")</f>
        <v/>
      </c>
      <c r="O381" s="9" t="str">
        <f aca="false">IF(N381="","",IFERROR(INDEX('Item Master'!$K$6:$K$105,MATCH(C381,'Item Master'!$A$6:$A$105,0)),0))</f>
        <v/>
      </c>
      <c r="P381" s="9" t="n">
        <f aca="false">IF(N381="",0,MAX(0,MIN(N(F381),O381-N381))*N(G381))</f>
        <v>0</v>
      </c>
      <c r="Q381" s="9" t="str">
        <f aca="false">IF(AND(C381&lt;&gt;"",C381='Stock Ledger'!$C$4),M381,"")</f>
        <v/>
      </c>
    </row>
    <row r="382" customFormat="false" ht="15" hidden="false" customHeight="false" outlineLevel="0" collapsed="false">
      <c r="A382" s="45" t="str">
        <f aca="false">IF(C382="","",ROW()-6)</f>
        <v/>
      </c>
      <c r="B382" s="85"/>
      <c r="C382" s="80"/>
      <c r="D382" s="47" t="str">
        <f aca="false">IF(C382="","",IFERROR(INDEX('Item Master'!$B$6:$B$105,MATCH(C382,'Item Master'!$A$6:$A$105,0)),"?"))</f>
        <v/>
      </c>
      <c r="E382" s="82"/>
      <c r="F382" s="83"/>
      <c r="G382" s="84"/>
      <c r="H382" s="81"/>
      <c r="I382" s="80"/>
      <c r="J382" s="41" t="str">
        <f aca="false">IF(OR(C382="",G382=""),"",N(F382)*N(G382))</f>
        <v/>
      </c>
      <c r="K382" s="48" t="str">
        <f aca="false">IF(M382="","",N(IFERROR(INDEX('Item Master'!$E$6:$E$105,MATCH(C382,'Item Master'!$A$6:$A$105,0)),0))+SUMIFS($F$7:$F$506,$C$7:$C$506,C382,$E$7:$E$506,"In",$M$7:$M$506,"&lt;="&amp;M382)-SUMIFS($F$7:$F$506,$C$7:$C$506,C382,$E$7:$E$506,"Out",$M$7:$M$506,"&lt;="&amp;M382))</f>
        <v/>
      </c>
      <c r="L382" s="44" t="str">
        <f aca="false">IF(AND(B382="",C382="",F382=""),"",IF(C382="","⚠ Pick item",IF(D382="?","⚠ Code not in Item Master",IF(B382="","⚠ Enter date",IF(OR(E382="",N(F382)&lt;=0),"⚠ Type / quantity missing",IF(AND(E382="In",G382=""),"⚠ Enter purchase rate",IF(OR(B382&lt;Setup!$C$6,B382&gt;Setup!$C$7),"Outside period",IF(K382&lt;0,"⚠ Stock goes negative","✔ OK"))))))))</f>
        <v/>
      </c>
      <c r="M382" s="9" t="str">
        <f aca="false">IF(OR(C382="",B382=""),"",B382+ROW()/1000000)</f>
        <v/>
      </c>
      <c r="N382" s="9" t="str">
        <f aca="false">IF(AND(E382="In",M382&lt;&gt;""),SUMIFS($F$7:$F$506,$C$7:$C$506,C382,$E$7:$E$506,"In",$M$7:$M$506,"&gt;"&amp;M382),"")</f>
        <v/>
      </c>
      <c r="O382" s="9" t="str">
        <f aca="false">IF(N382="","",IFERROR(INDEX('Item Master'!$K$6:$K$105,MATCH(C382,'Item Master'!$A$6:$A$105,0)),0))</f>
        <v/>
      </c>
      <c r="P382" s="9" t="n">
        <f aca="false">IF(N382="",0,MAX(0,MIN(N(F382),O382-N382))*N(G382))</f>
        <v>0</v>
      </c>
      <c r="Q382" s="9" t="str">
        <f aca="false">IF(AND(C382&lt;&gt;"",C382='Stock Ledger'!$C$4),M382,"")</f>
        <v/>
      </c>
    </row>
    <row r="383" customFormat="false" ht="15" hidden="false" customHeight="false" outlineLevel="0" collapsed="false">
      <c r="A383" s="45" t="str">
        <f aca="false">IF(C383="","",ROW()-6)</f>
        <v/>
      </c>
      <c r="B383" s="85"/>
      <c r="C383" s="80"/>
      <c r="D383" s="47" t="str">
        <f aca="false">IF(C383="","",IFERROR(INDEX('Item Master'!$B$6:$B$105,MATCH(C383,'Item Master'!$A$6:$A$105,0)),"?"))</f>
        <v/>
      </c>
      <c r="E383" s="82"/>
      <c r="F383" s="83"/>
      <c r="G383" s="84"/>
      <c r="H383" s="81"/>
      <c r="I383" s="80"/>
      <c r="J383" s="41" t="str">
        <f aca="false">IF(OR(C383="",G383=""),"",N(F383)*N(G383))</f>
        <v/>
      </c>
      <c r="K383" s="48" t="str">
        <f aca="false">IF(M383="","",N(IFERROR(INDEX('Item Master'!$E$6:$E$105,MATCH(C383,'Item Master'!$A$6:$A$105,0)),0))+SUMIFS($F$7:$F$506,$C$7:$C$506,C383,$E$7:$E$506,"In",$M$7:$M$506,"&lt;="&amp;M383)-SUMIFS($F$7:$F$506,$C$7:$C$506,C383,$E$7:$E$506,"Out",$M$7:$M$506,"&lt;="&amp;M383))</f>
        <v/>
      </c>
      <c r="L383" s="44" t="str">
        <f aca="false">IF(AND(B383="",C383="",F383=""),"",IF(C383="","⚠ Pick item",IF(D383="?","⚠ Code not in Item Master",IF(B383="","⚠ Enter date",IF(OR(E383="",N(F383)&lt;=0),"⚠ Type / quantity missing",IF(AND(E383="In",G383=""),"⚠ Enter purchase rate",IF(OR(B383&lt;Setup!$C$6,B383&gt;Setup!$C$7),"Outside period",IF(K383&lt;0,"⚠ Stock goes negative","✔ OK"))))))))</f>
        <v/>
      </c>
      <c r="M383" s="9" t="str">
        <f aca="false">IF(OR(C383="",B383=""),"",B383+ROW()/1000000)</f>
        <v/>
      </c>
      <c r="N383" s="9" t="str">
        <f aca="false">IF(AND(E383="In",M383&lt;&gt;""),SUMIFS($F$7:$F$506,$C$7:$C$506,C383,$E$7:$E$506,"In",$M$7:$M$506,"&gt;"&amp;M383),"")</f>
        <v/>
      </c>
      <c r="O383" s="9" t="str">
        <f aca="false">IF(N383="","",IFERROR(INDEX('Item Master'!$K$6:$K$105,MATCH(C383,'Item Master'!$A$6:$A$105,0)),0))</f>
        <v/>
      </c>
      <c r="P383" s="9" t="n">
        <f aca="false">IF(N383="",0,MAX(0,MIN(N(F383),O383-N383))*N(G383))</f>
        <v>0</v>
      </c>
      <c r="Q383" s="9" t="str">
        <f aca="false">IF(AND(C383&lt;&gt;"",C383='Stock Ledger'!$C$4),M383,"")</f>
        <v/>
      </c>
    </row>
    <row r="384" customFormat="false" ht="15" hidden="false" customHeight="false" outlineLevel="0" collapsed="false">
      <c r="A384" s="45" t="str">
        <f aca="false">IF(C384="","",ROW()-6)</f>
        <v/>
      </c>
      <c r="B384" s="85"/>
      <c r="C384" s="80"/>
      <c r="D384" s="47" t="str">
        <f aca="false">IF(C384="","",IFERROR(INDEX('Item Master'!$B$6:$B$105,MATCH(C384,'Item Master'!$A$6:$A$105,0)),"?"))</f>
        <v/>
      </c>
      <c r="E384" s="82"/>
      <c r="F384" s="83"/>
      <c r="G384" s="84"/>
      <c r="H384" s="81"/>
      <c r="I384" s="80"/>
      <c r="J384" s="41" t="str">
        <f aca="false">IF(OR(C384="",G384=""),"",N(F384)*N(G384))</f>
        <v/>
      </c>
      <c r="K384" s="48" t="str">
        <f aca="false">IF(M384="","",N(IFERROR(INDEX('Item Master'!$E$6:$E$105,MATCH(C384,'Item Master'!$A$6:$A$105,0)),0))+SUMIFS($F$7:$F$506,$C$7:$C$506,C384,$E$7:$E$506,"In",$M$7:$M$506,"&lt;="&amp;M384)-SUMIFS($F$7:$F$506,$C$7:$C$506,C384,$E$7:$E$506,"Out",$M$7:$M$506,"&lt;="&amp;M384))</f>
        <v/>
      </c>
      <c r="L384" s="44" t="str">
        <f aca="false">IF(AND(B384="",C384="",F384=""),"",IF(C384="","⚠ Pick item",IF(D384="?","⚠ Code not in Item Master",IF(B384="","⚠ Enter date",IF(OR(E384="",N(F384)&lt;=0),"⚠ Type / quantity missing",IF(AND(E384="In",G384=""),"⚠ Enter purchase rate",IF(OR(B384&lt;Setup!$C$6,B384&gt;Setup!$C$7),"Outside period",IF(K384&lt;0,"⚠ Stock goes negative","✔ OK"))))))))</f>
        <v/>
      </c>
      <c r="M384" s="9" t="str">
        <f aca="false">IF(OR(C384="",B384=""),"",B384+ROW()/1000000)</f>
        <v/>
      </c>
      <c r="N384" s="9" t="str">
        <f aca="false">IF(AND(E384="In",M384&lt;&gt;""),SUMIFS($F$7:$F$506,$C$7:$C$506,C384,$E$7:$E$506,"In",$M$7:$M$506,"&gt;"&amp;M384),"")</f>
        <v/>
      </c>
      <c r="O384" s="9" t="str">
        <f aca="false">IF(N384="","",IFERROR(INDEX('Item Master'!$K$6:$K$105,MATCH(C384,'Item Master'!$A$6:$A$105,0)),0))</f>
        <v/>
      </c>
      <c r="P384" s="9" t="n">
        <f aca="false">IF(N384="",0,MAX(0,MIN(N(F384),O384-N384))*N(G384))</f>
        <v>0</v>
      </c>
      <c r="Q384" s="9" t="str">
        <f aca="false">IF(AND(C384&lt;&gt;"",C384='Stock Ledger'!$C$4),M384,"")</f>
        <v/>
      </c>
    </row>
    <row r="385" customFormat="false" ht="15" hidden="false" customHeight="false" outlineLevel="0" collapsed="false">
      <c r="A385" s="45" t="str">
        <f aca="false">IF(C385="","",ROW()-6)</f>
        <v/>
      </c>
      <c r="B385" s="85"/>
      <c r="C385" s="80"/>
      <c r="D385" s="47" t="str">
        <f aca="false">IF(C385="","",IFERROR(INDEX('Item Master'!$B$6:$B$105,MATCH(C385,'Item Master'!$A$6:$A$105,0)),"?"))</f>
        <v/>
      </c>
      <c r="E385" s="82"/>
      <c r="F385" s="83"/>
      <c r="G385" s="84"/>
      <c r="H385" s="81"/>
      <c r="I385" s="80"/>
      <c r="J385" s="41" t="str">
        <f aca="false">IF(OR(C385="",G385=""),"",N(F385)*N(G385))</f>
        <v/>
      </c>
      <c r="K385" s="48" t="str">
        <f aca="false">IF(M385="","",N(IFERROR(INDEX('Item Master'!$E$6:$E$105,MATCH(C385,'Item Master'!$A$6:$A$105,0)),0))+SUMIFS($F$7:$F$506,$C$7:$C$506,C385,$E$7:$E$506,"In",$M$7:$M$506,"&lt;="&amp;M385)-SUMIFS($F$7:$F$506,$C$7:$C$506,C385,$E$7:$E$506,"Out",$M$7:$M$506,"&lt;="&amp;M385))</f>
        <v/>
      </c>
      <c r="L385" s="44" t="str">
        <f aca="false">IF(AND(B385="",C385="",F385=""),"",IF(C385="","⚠ Pick item",IF(D385="?","⚠ Code not in Item Master",IF(B385="","⚠ Enter date",IF(OR(E385="",N(F385)&lt;=0),"⚠ Type / quantity missing",IF(AND(E385="In",G385=""),"⚠ Enter purchase rate",IF(OR(B385&lt;Setup!$C$6,B385&gt;Setup!$C$7),"Outside period",IF(K385&lt;0,"⚠ Stock goes negative","✔ OK"))))))))</f>
        <v/>
      </c>
      <c r="M385" s="9" t="str">
        <f aca="false">IF(OR(C385="",B385=""),"",B385+ROW()/1000000)</f>
        <v/>
      </c>
      <c r="N385" s="9" t="str">
        <f aca="false">IF(AND(E385="In",M385&lt;&gt;""),SUMIFS($F$7:$F$506,$C$7:$C$506,C385,$E$7:$E$506,"In",$M$7:$M$506,"&gt;"&amp;M385),"")</f>
        <v/>
      </c>
      <c r="O385" s="9" t="str">
        <f aca="false">IF(N385="","",IFERROR(INDEX('Item Master'!$K$6:$K$105,MATCH(C385,'Item Master'!$A$6:$A$105,0)),0))</f>
        <v/>
      </c>
      <c r="P385" s="9" t="n">
        <f aca="false">IF(N385="",0,MAX(0,MIN(N(F385),O385-N385))*N(G385))</f>
        <v>0</v>
      </c>
      <c r="Q385" s="9" t="str">
        <f aca="false">IF(AND(C385&lt;&gt;"",C385='Stock Ledger'!$C$4),M385,"")</f>
        <v/>
      </c>
    </row>
    <row r="386" customFormat="false" ht="15" hidden="false" customHeight="false" outlineLevel="0" collapsed="false">
      <c r="A386" s="45" t="str">
        <f aca="false">IF(C386="","",ROW()-6)</f>
        <v/>
      </c>
      <c r="B386" s="85"/>
      <c r="C386" s="80"/>
      <c r="D386" s="47" t="str">
        <f aca="false">IF(C386="","",IFERROR(INDEX('Item Master'!$B$6:$B$105,MATCH(C386,'Item Master'!$A$6:$A$105,0)),"?"))</f>
        <v/>
      </c>
      <c r="E386" s="82"/>
      <c r="F386" s="83"/>
      <c r="G386" s="84"/>
      <c r="H386" s="81"/>
      <c r="I386" s="80"/>
      <c r="J386" s="41" t="str">
        <f aca="false">IF(OR(C386="",G386=""),"",N(F386)*N(G386))</f>
        <v/>
      </c>
      <c r="K386" s="48" t="str">
        <f aca="false">IF(M386="","",N(IFERROR(INDEX('Item Master'!$E$6:$E$105,MATCH(C386,'Item Master'!$A$6:$A$105,0)),0))+SUMIFS($F$7:$F$506,$C$7:$C$506,C386,$E$7:$E$506,"In",$M$7:$M$506,"&lt;="&amp;M386)-SUMIFS($F$7:$F$506,$C$7:$C$506,C386,$E$7:$E$506,"Out",$M$7:$M$506,"&lt;="&amp;M386))</f>
        <v/>
      </c>
      <c r="L386" s="44" t="str">
        <f aca="false">IF(AND(B386="",C386="",F386=""),"",IF(C386="","⚠ Pick item",IF(D386="?","⚠ Code not in Item Master",IF(B386="","⚠ Enter date",IF(OR(E386="",N(F386)&lt;=0),"⚠ Type / quantity missing",IF(AND(E386="In",G386=""),"⚠ Enter purchase rate",IF(OR(B386&lt;Setup!$C$6,B386&gt;Setup!$C$7),"Outside period",IF(K386&lt;0,"⚠ Stock goes negative","✔ OK"))))))))</f>
        <v/>
      </c>
      <c r="M386" s="9" t="str">
        <f aca="false">IF(OR(C386="",B386=""),"",B386+ROW()/1000000)</f>
        <v/>
      </c>
      <c r="N386" s="9" t="str">
        <f aca="false">IF(AND(E386="In",M386&lt;&gt;""),SUMIFS($F$7:$F$506,$C$7:$C$506,C386,$E$7:$E$506,"In",$M$7:$M$506,"&gt;"&amp;M386),"")</f>
        <v/>
      </c>
      <c r="O386" s="9" t="str">
        <f aca="false">IF(N386="","",IFERROR(INDEX('Item Master'!$K$6:$K$105,MATCH(C386,'Item Master'!$A$6:$A$105,0)),0))</f>
        <v/>
      </c>
      <c r="P386" s="9" t="n">
        <f aca="false">IF(N386="",0,MAX(0,MIN(N(F386),O386-N386))*N(G386))</f>
        <v>0</v>
      </c>
      <c r="Q386" s="9" t="str">
        <f aca="false">IF(AND(C386&lt;&gt;"",C386='Stock Ledger'!$C$4),M386,"")</f>
        <v/>
      </c>
    </row>
    <row r="387" customFormat="false" ht="15" hidden="false" customHeight="false" outlineLevel="0" collapsed="false">
      <c r="A387" s="45" t="str">
        <f aca="false">IF(C387="","",ROW()-6)</f>
        <v/>
      </c>
      <c r="B387" s="85"/>
      <c r="C387" s="80"/>
      <c r="D387" s="47" t="str">
        <f aca="false">IF(C387="","",IFERROR(INDEX('Item Master'!$B$6:$B$105,MATCH(C387,'Item Master'!$A$6:$A$105,0)),"?"))</f>
        <v/>
      </c>
      <c r="E387" s="82"/>
      <c r="F387" s="83"/>
      <c r="G387" s="84"/>
      <c r="H387" s="81"/>
      <c r="I387" s="80"/>
      <c r="J387" s="41" t="str">
        <f aca="false">IF(OR(C387="",G387=""),"",N(F387)*N(G387))</f>
        <v/>
      </c>
      <c r="K387" s="48" t="str">
        <f aca="false">IF(M387="","",N(IFERROR(INDEX('Item Master'!$E$6:$E$105,MATCH(C387,'Item Master'!$A$6:$A$105,0)),0))+SUMIFS($F$7:$F$506,$C$7:$C$506,C387,$E$7:$E$506,"In",$M$7:$M$506,"&lt;="&amp;M387)-SUMIFS($F$7:$F$506,$C$7:$C$506,C387,$E$7:$E$506,"Out",$M$7:$M$506,"&lt;="&amp;M387))</f>
        <v/>
      </c>
      <c r="L387" s="44" t="str">
        <f aca="false">IF(AND(B387="",C387="",F387=""),"",IF(C387="","⚠ Pick item",IF(D387="?","⚠ Code not in Item Master",IF(B387="","⚠ Enter date",IF(OR(E387="",N(F387)&lt;=0),"⚠ Type / quantity missing",IF(AND(E387="In",G387=""),"⚠ Enter purchase rate",IF(OR(B387&lt;Setup!$C$6,B387&gt;Setup!$C$7),"Outside period",IF(K387&lt;0,"⚠ Stock goes negative","✔ OK"))))))))</f>
        <v/>
      </c>
      <c r="M387" s="9" t="str">
        <f aca="false">IF(OR(C387="",B387=""),"",B387+ROW()/1000000)</f>
        <v/>
      </c>
      <c r="N387" s="9" t="str">
        <f aca="false">IF(AND(E387="In",M387&lt;&gt;""),SUMIFS($F$7:$F$506,$C$7:$C$506,C387,$E$7:$E$506,"In",$M$7:$M$506,"&gt;"&amp;M387),"")</f>
        <v/>
      </c>
      <c r="O387" s="9" t="str">
        <f aca="false">IF(N387="","",IFERROR(INDEX('Item Master'!$K$6:$K$105,MATCH(C387,'Item Master'!$A$6:$A$105,0)),0))</f>
        <v/>
      </c>
      <c r="P387" s="9" t="n">
        <f aca="false">IF(N387="",0,MAX(0,MIN(N(F387),O387-N387))*N(G387))</f>
        <v>0</v>
      </c>
      <c r="Q387" s="9" t="str">
        <f aca="false">IF(AND(C387&lt;&gt;"",C387='Stock Ledger'!$C$4),M387,"")</f>
        <v/>
      </c>
    </row>
    <row r="388" customFormat="false" ht="15" hidden="false" customHeight="false" outlineLevel="0" collapsed="false">
      <c r="A388" s="45" t="str">
        <f aca="false">IF(C388="","",ROW()-6)</f>
        <v/>
      </c>
      <c r="B388" s="85"/>
      <c r="C388" s="80"/>
      <c r="D388" s="47" t="str">
        <f aca="false">IF(C388="","",IFERROR(INDEX('Item Master'!$B$6:$B$105,MATCH(C388,'Item Master'!$A$6:$A$105,0)),"?"))</f>
        <v/>
      </c>
      <c r="E388" s="82"/>
      <c r="F388" s="83"/>
      <c r="G388" s="84"/>
      <c r="H388" s="81"/>
      <c r="I388" s="80"/>
      <c r="J388" s="41" t="str">
        <f aca="false">IF(OR(C388="",G388=""),"",N(F388)*N(G388))</f>
        <v/>
      </c>
      <c r="K388" s="48" t="str">
        <f aca="false">IF(M388="","",N(IFERROR(INDEX('Item Master'!$E$6:$E$105,MATCH(C388,'Item Master'!$A$6:$A$105,0)),0))+SUMIFS($F$7:$F$506,$C$7:$C$506,C388,$E$7:$E$506,"In",$M$7:$M$506,"&lt;="&amp;M388)-SUMIFS($F$7:$F$506,$C$7:$C$506,C388,$E$7:$E$506,"Out",$M$7:$M$506,"&lt;="&amp;M388))</f>
        <v/>
      </c>
      <c r="L388" s="44" t="str">
        <f aca="false">IF(AND(B388="",C388="",F388=""),"",IF(C388="","⚠ Pick item",IF(D388="?","⚠ Code not in Item Master",IF(B388="","⚠ Enter date",IF(OR(E388="",N(F388)&lt;=0),"⚠ Type / quantity missing",IF(AND(E388="In",G388=""),"⚠ Enter purchase rate",IF(OR(B388&lt;Setup!$C$6,B388&gt;Setup!$C$7),"Outside period",IF(K388&lt;0,"⚠ Stock goes negative","✔ OK"))))))))</f>
        <v/>
      </c>
      <c r="M388" s="9" t="str">
        <f aca="false">IF(OR(C388="",B388=""),"",B388+ROW()/1000000)</f>
        <v/>
      </c>
      <c r="N388" s="9" t="str">
        <f aca="false">IF(AND(E388="In",M388&lt;&gt;""),SUMIFS($F$7:$F$506,$C$7:$C$506,C388,$E$7:$E$506,"In",$M$7:$M$506,"&gt;"&amp;M388),"")</f>
        <v/>
      </c>
      <c r="O388" s="9" t="str">
        <f aca="false">IF(N388="","",IFERROR(INDEX('Item Master'!$K$6:$K$105,MATCH(C388,'Item Master'!$A$6:$A$105,0)),0))</f>
        <v/>
      </c>
      <c r="P388" s="9" t="n">
        <f aca="false">IF(N388="",0,MAX(0,MIN(N(F388),O388-N388))*N(G388))</f>
        <v>0</v>
      </c>
      <c r="Q388" s="9" t="str">
        <f aca="false">IF(AND(C388&lt;&gt;"",C388='Stock Ledger'!$C$4),M388,"")</f>
        <v/>
      </c>
    </row>
    <row r="389" customFormat="false" ht="15" hidden="false" customHeight="false" outlineLevel="0" collapsed="false">
      <c r="A389" s="45" t="str">
        <f aca="false">IF(C389="","",ROW()-6)</f>
        <v/>
      </c>
      <c r="B389" s="85"/>
      <c r="C389" s="80"/>
      <c r="D389" s="47" t="str">
        <f aca="false">IF(C389="","",IFERROR(INDEX('Item Master'!$B$6:$B$105,MATCH(C389,'Item Master'!$A$6:$A$105,0)),"?"))</f>
        <v/>
      </c>
      <c r="E389" s="82"/>
      <c r="F389" s="83"/>
      <c r="G389" s="84"/>
      <c r="H389" s="81"/>
      <c r="I389" s="80"/>
      <c r="J389" s="41" t="str">
        <f aca="false">IF(OR(C389="",G389=""),"",N(F389)*N(G389))</f>
        <v/>
      </c>
      <c r="K389" s="48" t="str">
        <f aca="false">IF(M389="","",N(IFERROR(INDEX('Item Master'!$E$6:$E$105,MATCH(C389,'Item Master'!$A$6:$A$105,0)),0))+SUMIFS($F$7:$F$506,$C$7:$C$506,C389,$E$7:$E$506,"In",$M$7:$M$506,"&lt;="&amp;M389)-SUMIFS($F$7:$F$506,$C$7:$C$506,C389,$E$7:$E$506,"Out",$M$7:$M$506,"&lt;="&amp;M389))</f>
        <v/>
      </c>
      <c r="L389" s="44" t="str">
        <f aca="false">IF(AND(B389="",C389="",F389=""),"",IF(C389="","⚠ Pick item",IF(D389="?","⚠ Code not in Item Master",IF(B389="","⚠ Enter date",IF(OR(E389="",N(F389)&lt;=0),"⚠ Type / quantity missing",IF(AND(E389="In",G389=""),"⚠ Enter purchase rate",IF(OR(B389&lt;Setup!$C$6,B389&gt;Setup!$C$7),"Outside period",IF(K389&lt;0,"⚠ Stock goes negative","✔ OK"))))))))</f>
        <v/>
      </c>
      <c r="M389" s="9" t="str">
        <f aca="false">IF(OR(C389="",B389=""),"",B389+ROW()/1000000)</f>
        <v/>
      </c>
      <c r="N389" s="9" t="str">
        <f aca="false">IF(AND(E389="In",M389&lt;&gt;""),SUMIFS($F$7:$F$506,$C$7:$C$506,C389,$E$7:$E$506,"In",$M$7:$M$506,"&gt;"&amp;M389),"")</f>
        <v/>
      </c>
      <c r="O389" s="9" t="str">
        <f aca="false">IF(N389="","",IFERROR(INDEX('Item Master'!$K$6:$K$105,MATCH(C389,'Item Master'!$A$6:$A$105,0)),0))</f>
        <v/>
      </c>
      <c r="P389" s="9" t="n">
        <f aca="false">IF(N389="",0,MAX(0,MIN(N(F389),O389-N389))*N(G389))</f>
        <v>0</v>
      </c>
      <c r="Q389" s="9" t="str">
        <f aca="false">IF(AND(C389&lt;&gt;"",C389='Stock Ledger'!$C$4),M389,"")</f>
        <v/>
      </c>
    </row>
    <row r="390" customFormat="false" ht="15" hidden="false" customHeight="false" outlineLevel="0" collapsed="false">
      <c r="A390" s="45" t="str">
        <f aca="false">IF(C390="","",ROW()-6)</f>
        <v/>
      </c>
      <c r="B390" s="85"/>
      <c r="C390" s="80"/>
      <c r="D390" s="47" t="str">
        <f aca="false">IF(C390="","",IFERROR(INDEX('Item Master'!$B$6:$B$105,MATCH(C390,'Item Master'!$A$6:$A$105,0)),"?"))</f>
        <v/>
      </c>
      <c r="E390" s="82"/>
      <c r="F390" s="83"/>
      <c r="G390" s="84"/>
      <c r="H390" s="81"/>
      <c r="I390" s="80"/>
      <c r="J390" s="41" t="str">
        <f aca="false">IF(OR(C390="",G390=""),"",N(F390)*N(G390))</f>
        <v/>
      </c>
      <c r="K390" s="48" t="str">
        <f aca="false">IF(M390="","",N(IFERROR(INDEX('Item Master'!$E$6:$E$105,MATCH(C390,'Item Master'!$A$6:$A$105,0)),0))+SUMIFS($F$7:$F$506,$C$7:$C$506,C390,$E$7:$E$506,"In",$M$7:$M$506,"&lt;="&amp;M390)-SUMIFS($F$7:$F$506,$C$7:$C$506,C390,$E$7:$E$506,"Out",$M$7:$M$506,"&lt;="&amp;M390))</f>
        <v/>
      </c>
      <c r="L390" s="44" t="str">
        <f aca="false">IF(AND(B390="",C390="",F390=""),"",IF(C390="","⚠ Pick item",IF(D390="?","⚠ Code not in Item Master",IF(B390="","⚠ Enter date",IF(OR(E390="",N(F390)&lt;=0),"⚠ Type / quantity missing",IF(AND(E390="In",G390=""),"⚠ Enter purchase rate",IF(OR(B390&lt;Setup!$C$6,B390&gt;Setup!$C$7),"Outside period",IF(K390&lt;0,"⚠ Stock goes negative","✔ OK"))))))))</f>
        <v/>
      </c>
      <c r="M390" s="9" t="str">
        <f aca="false">IF(OR(C390="",B390=""),"",B390+ROW()/1000000)</f>
        <v/>
      </c>
      <c r="N390" s="9" t="str">
        <f aca="false">IF(AND(E390="In",M390&lt;&gt;""),SUMIFS($F$7:$F$506,$C$7:$C$506,C390,$E$7:$E$506,"In",$M$7:$M$506,"&gt;"&amp;M390),"")</f>
        <v/>
      </c>
      <c r="O390" s="9" t="str">
        <f aca="false">IF(N390="","",IFERROR(INDEX('Item Master'!$K$6:$K$105,MATCH(C390,'Item Master'!$A$6:$A$105,0)),0))</f>
        <v/>
      </c>
      <c r="P390" s="9" t="n">
        <f aca="false">IF(N390="",0,MAX(0,MIN(N(F390),O390-N390))*N(G390))</f>
        <v>0</v>
      </c>
      <c r="Q390" s="9" t="str">
        <f aca="false">IF(AND(C390&lt;&gt;"",C390='Stock Ledger'!$C$4),M390,"")</f>
        <v/>
      </c>
    </row>
    <row r="391" customFormat="false" ht="15" hidden="false" customHeight="false" outlineLevel="0" collapsed="false">
      <c r="A391" s="45" t="str">
        <f aca="false">IF(C391="","",ROW()-6)</f>
        <v/>
      </c>
      <c r="B391" s="85"/>
      <c r="C391" s="80"/>
      <c r="D391" s="47" t="str">
        <f aca="false">IF(C391="","",IFERROR(INDEX('Item Master'!$B$6:$B$105,MATCH(C391,'Item Master'!$A$6:$A$105,0)),"?"))</f>
        <v/>
      </c>
      <c r="E391" s="82"/>
      <c r="F391" s="83"/>
      <c r="G391" s="84"/>
      <c r="H391" s="81"/>
      <c r="I391" s="80"/>
      <c r="J391" s="41" t="str">
        <f aca="false">IF(OR(C391="",G391=""),"",N(F391)*N(G391))</f>
        <v/>
      </c>
      <c r="K391" s="48" t="str">
        <f aca="false">IF(M391="","",N(IFERROR(INDEX('Item Master'!$E$6:$E$105,MATCH(C391,'Item Master'!$A$6:$A$105,0)),0))+SUMIFS($F$7:$F$506,$C$7:$C$506,C391,$E$7:$E$506,"In",$M$7:$M$506,"&lt;="&amp;M391)-SUMIFS($F$7:$F$506,$C$7:$C$506,C391,$E$7:$E$506,"Out",$M$7:$M$506,"&lt;="&amp;M391))</f>
        <v/>
      </c>
      <c r="L391" s="44" t="str">
        <f aca="false">IF(AND(B391="",C391="",F391=""),"",IF(C391="","⚠ Pick item",IF(D391="?","⚠ Code not in Item Master",IF(B391="","⚠ Enter date",IF(OR(E391="",N(F391)&lt;=0),"⚠ Type / quantity missing",IF(AND(E391="In",G391=""),"⚠ Enter purchase rate",IF(OR(B391&lt;Setup!$C$6,B391&gt;Setup!$C$7),"Outside period",IF(K391&lt;0,"⚠ Stock goes negative","✔ OK"))))))))</f>
        <v/>
      </c>
      <c r="M391" s="9" t="str">
        <f aca="false">IF(OR(C391="",B391=""),"",B391+ROW()/1000000)</f>
        <v/>
      </c>
      <c r="N391" s="9" t="str">
        <f aca="false">IF(AND(E391="In",M391&lt;&gt;""),SUMIFS($F$7:$F$506,$C$7:$C$506,C391,$E$7:$E$506,"In",$M$7:$M$506,"&gt;"&amp;M391),"")</f>
        <v/>
      </c>
      <c r="O391" s="9" t="str">
        <f aca="false">IF(N391="","",IFERROR(INDEX('Item Master'!$K$6:$K$105,MATCH(C391,'Item Master'!$A$6:$A$105,0)),0))</f>
        <v/>
      </c>
      <c r="P391" s="9" t="n">
        <f aca="false">IF(N391="",0,MAX(0,MIN(N(F391),O391-N391))*N(G391))</f>
        <v>0</v>
      </c>
      <c r="Q391" s="9" t="str">
        <f aca="false">IF(AND(C391&lt;&gt;"",C391='Stock Ledger'!$C$4),M391,"")</f>
        <v/>
      </c>
    </row>
    <row r="392" customFormat="false" ht="15" hidden="false" customHeight="false" outlineLevel="0" collapsed="false">
      <c r="A392" s="45" t="str">
        <f aca="false">IF(C392="","",ROW()-6)</f>
        <v/>
      </c>
      <c r="B392" s="85"/>
      <c r="C392" s="80"/>
      <c r="D392" s="47" t="str">
        <f aca="false">IF(C392="","",IFERROR(INDEX('Item Master'!$B$6:$B$105,MATCH(C392,'Item Master'!$A$6:$A$105,0)),"?"))</f>
        <v/>
      </c>
      <c r="E392" s="82"/>
      <c r="F392" s="83"/>
      <c r="G392" s="84"/>
      <c r="H392" s="81"/>
      <c r="I392" s="80"/>
      <c r="J392" s="41" t="str">
        <f aca="false">IF(OR(C392="",G392=""),"",N(F392)*N(G392))</f>
        <v/>
      </c>
      <c r="K392" s="48" t="str">
        <f aca="false">IF(M392="","",N(IFERROR(INDEX('Item Master'!$E$6:$E$105,MATCH(C392,'Item Master'!$A$6:$A$105,0)),0))+SUMIFS($F$7:$F$506,$C$7:$C$506,C392,$E$7:$E$506,"In",$M$7:$M$506,"&lt;="&amp;M392)-SUMIFS($F$7:$F$506,$C$7:$C$506,C392,$E$7:$E$506,"Out",$M$7:$M$506,"&lt;="&amp;M392))</f>
        <v/>
      </c>
      <c r="L392" s="44" t="str">
        <f aca="false">IF(AND(B392="",C392="",F392=""),"",IF(C392="","⚠ Pick item",IF(D392="?","⚠ Code not in Item Master",IF(B392="","⚠ Enter date",IF(OR(E392="",N(F392)&lt;=0),"⚠ Type / quantity missing",IF(AND(E392="In",G392=""),"⚠ Enter purchase rate",IF(OR(B392&lt;Setup!$C$6,B392&gt;Setup!$C$7),"Outside period",IF(K392&lt;0,"⚠ Stock goes negative","✔ OK"))))))))</f>
        <v/>
      </c>
      <c r="M392" s="9" t="str">
        <f aca="false">IF(OR(C392="",B392=""),"",B392+ROW()/1000000)</f>
        <v/>
      </c>
      <c r="N392" s="9" t="str">
        <f aca="false">IF(AND(E392="In",M392&lt;&gt;""),SUMIFS($F$7:$F$506,$C$7:$C$506,C392,$E$7:$E$506,"In",$M$7:$M$506,"&gt;"&amp;M392),"")</f>
        <v/>
      </c>
      <c r="O392" s="9" t="str">
        <f aca="false">IF(N392="","",IFERROR(INDEX('Item Master'!$K$6:$K$105,MATCH(C392,'Item Master'!$A$6:$A$105,0)),0))</f>
        <v/>
      </c>
      <c r="P392" s="9" t="n">
        <f aca="false">IF(N392="",0,MAX(0,MIN(N(F392),O392-N392))*N(G392))</f>
        <v>0</v>
      </c>
      <c r="Q392" s="9" t="str">
        <f aca="false">IF(AND(C392&lt;&gt;"",C392='Stock Ledger'!$C$4),M392,"")</f>
        <v/>
      </c>
    </row>
    <row r="393" customFormat="false" ht="15" hidden="false" customHeight="false" outlineLevel="0" collapsed="false">
      <c r="A393" s="45" t="str">
        <f aca="false">IF(C393="","",ROW()-6)</f>
        <v/>
      </c>
      <c r="B393" s="85"/>
      <c r="C393" s="80"/>
      <c r="D393" s="47" t="str">
        <f aca="false">IF(C393="","",IFERROR(INDEX('Item Master'!$B$6:$B$105,MATCH(C393,'Item Master'!$A$6:$A$105,0)),"?"))</f>
        <v/>
      </c>
      <c r="E393" s="82"/>
      <c r="F393" s="83"/>
      <c r="G393" s="84"/>
      <c r="H393" s="81"/>
      <c r="I393" s="80"/>
      <c r="J393" s="41" t="str">
        <f aca="false">IF(OR(C393="",G393=""),"",N(F393)*N(G393))</f>
        <v/>
      </c>
      <c r="K393" s="48" t="str">
        <f aca="false">IF(M393="","",N(IFERROR(INDEX('Item Master'!$E$6:$E$105,MATCH(C393,'Item Master'!$A$6:$A$105,0)),0))+SUMIFS($F$7:$F$506,$C$7:$C$506,C393,$E$7:$E$506,"In",$M$7:$M$506,"&lt;="&amp;M393)-SUMIFS($F$7:$F$506,$C$7:$C$506,C393,$E$7:$E$506,"Out",$M$7:$M$506,"&lt;="&amp;M393))</f>
        <v/>
      </c>
      <c r="L393" s="44" t="str">
        <f aca="false">IF(AND(B393="",C393="",F393=""),"",IF(C393="","⚠ Pick item",IF(D393="?","⚠ Code not in Item Master",IF(B393="","⚠ Enter date",IF(OR(E393="",N(F393)&lt;=0),"⚠ Type / quantity missing",IF(AND(E393="In",G393=""),"⚠ Enter purchase rate",IF(OR(B393&lt;Setup!$C$6,B393&gt;Setup!$C$7),"Outside period",IF(K393&lt;0,"⚠ Stock goes negative","✔ OK"))))))))</f>
        <v/>
      </c>
      <c r="M393" s="9" t="str">
        <f aca="false">IF(OR(C393="",B393=""),"",B393+ROW()/1000000)</f>
        <v/>
      </c>
      <c r="N393" s="9" t="str">
        <f aca="false">IF(AND(E393="In",M393&lt;&gt;""),SUMIFS($F$7:$F$506,$C$7:$C$506,C393,$E$7:$E$506,"In",$M$7:$M$506,"&gt;"&amp;M393),"")</f>
        <v/>
      </c>
      <c r="O393" s="9" t="str">
        <f aca="false">IF(N393="","",IFERROR(INDEX('Item Master'!$K$6:$K$105,MATCH(C393,'Item Master'!$A$6:$A$105,0)),0))</f>
        <v/>
      </c>
      <c r="P393" s="9" t="n">
        <f aca="false">IF(N393="",0,MAX(0,MIN(N(F393),O393-N393))*N(G393))</f>
        <v>0</v>
      </c>
      <c r="Q393" s="9" t="str">
        <f aca="false">IF(AND(C393&lt;&gt;"",C393='Stock Ledger'!$C$4),M393,"")</f>
        <v/>
      </c>
    </row>
    <row r="394" customFormat="false" ht="15" hidden="false" customHeight="false" outlineLevel="0" collapsed="false">
      <c r="A394" s="45" t="str">
        <f aca="false">IF(C394="","",ROW()-6)</f>
        <v/>
      </c>
      <c r="B394" s="85"/>
      <c r="C394" s="80"/>
      <c r="D394" s="47" t="str">
        <f aca="false">IF(C394="","",IFERROR(INDEX('Item Master'!$B$6:$B$105,MATCH(C394,'Item Master'!$A$6:$A$105,0)),"?"))</f>
        <v/>
      </c>
      <c r="E394" s="82"/>
      <c r="F394" s="83"/>
      <c r="G394" s="84"/>
      <c r="H394" s="81"/>
      <c r="I394" s="80"/>
      <c r="J394" s="41" t="str">
        <f aca="false">IF(OR(C394="",G394=""),"",N(F394)*N(G394))</f>
        <v/>
      </c>
      <c r="K394" s="48" t="str">
        <f aca="false">IF(M394="","",N(IFERROR(INDEX('Item Master'!$E$6:$E$105,MATCH(C394,'Item Master'!$A$6:$A$105,0)),0))+SUMIFS($F$7:$F$506,$C$7:$C$506,C394,$E$7:$E$506,"In",$M$7:$M$506,"&lt;="&amp;M394)-SUMIFS($F$7:$F$506,$C$7:$C$506,C394,$E$7:$E$506,"Out",$M$7:$M$506,"&lt;="&amp;M394))</f>
        <v/>
      </c>
      <c r="L394" s="44" t="str">
        <f aca="false">IF(AND(B394="",C394="",F394=""),"",IF(C394="","⚠ Pick item",IF(D394="?","⚠ Code not in Item Master",IF(B394="","⚠ Enter date",IF(OR(E394="",N(F394)&lt;=0),"⚠ Type / quantity missing",IF(AND(E394="In",G394=""),"⚠ Enter purchase rate",IF(OR(B394&lt;Setup!$C$6,B394&gt;Setup!$C$7),"Outside period",IF(K394&lt;0,"⚠ Stock goes negative","✔ OK"))))))))</f>
        <v/>
      </c>
      <c r="M394" s="9" t="str">
        <f aca="false">IF(OR(C394="",B394=""),"",B394+ROW()/1000000)</f>
        <v/>
      </c>
      <c r="N394" s="9" t="str">
        <f aca="false">IF(AND(E394="In",M394&lt;&gt;""),SUMIFS($F$7:$F$506,$C$7:$C$506,C394,$E$7:$E$506,"In",$M$7:$M$506,"&gt;"&amp;M394),"")</f>
        <v/>
      </c>
      <c r="O394" s="9" t="str">
        <f aca="false">IF(N394="","",IFERROR(INDEX('Item Master'!$K$6:$K$105,MATCH(C394,'Item Master'!$A$6:$A$105,0)),0))</f>
        <v/>
      </c>
      <c r="P394" s="9" t="n">
        <f aca="false">IF(N394="",0,MAX(0,MIN(N(F394),O394-N394))*N(G394))</f>
        <v>0</v>
      </c>
      <c r="Q394" s="9" t="str">
        <f aca="false">IF(AND(C394&lt;&gt;"",C394='Stock Ledger'!$C$4),M394,"")</f>
        <v/>
      </c>
    </row>
    <row r="395" customFormat="false" ht="15" hidden="false" customHeight="false" outlineLevel="0" collapsed="false">
      <c r="A395" s="45" t="str">
        <f aca="false">IF(C395="","",ROW()-6)</f>
        <v/>
      </c>
      <c r="B395" s="85"/>
      <c r="C395" s="80"/>
      <c r="D395" s="47" t="str">
        <f aca="false">IF(C395="","",IFERROR(INDEX('Item Master'!$B$6:$B$105,MATCH(C395,'Item Master'!$A$6:$A$105,0)),"?"))</f>
        <v/>
      </c>
      <c r="E395" s="82"/>
      <c r="F395" s="83"/>
      <c r="G395" s="84"/>
      <c r="H395" s="81"/>
      <c r="I395" s="80"/>
      <c r="J395" s="41" t="str">
        <f aca="false">IF(OR(C395="",G395=""),"",N(F395)*N(G395))</f>
        <v/>
      </c>
      <c r="K395" s="48" t="str">
        <f aca="false">IF(M395="","",N(IFERROR(INDEX('Item Master'!$E$6:$E$105,MATCH(C395,'Item Master'!$A$6:$A$105,0)),0))+SUMIFS($F$7:$F$506,$C$7:$C$506,C395,$E$7:$E$506,"In",$M$7:$M$506,"&lt;="&amp;M395)-SUMIFS($F$7:$F$506,$C$7:$C$506,C395,$E$7:$E$506,"Out",$M$7:$M$506,"&lt;="&amp;M395))</f>
        <v/>
      </c>
      <c r="L395" s="44" t="str">
        <f aca="false">IF(AND(B395="",C395="",F395=""),"",IF(C395="","⚠ Pick item",IF(D395="?","⚠ Code not in Item Master",IF(B395="","⚠ Enter date",IF(OR(E395="",N(F395)&lt;=0),"⚠ Type / quantity missing",IF(AND(E395="In",G395=""),"⚠ Enter purchase rate",IF(OR(B395&lt;Setup!$C$6,B395&gt;Setup!$C$7),"Outside period",IF(K395&lt;0,"⚠ Stock goes negative","✔ OK"))))))))</f>
        <v/>
      </c>
      <c r="M395" s="9" t="str">
        <f aca="false">IF(OR(C395="",B395=""),"",B395+ROW()/1000000)</f>
        <v/>
      </c>
      <c r="N395" s="9" t="str">
        <f aca="false">IF(AND(E395="In",M395&lt;&gt;""),SUMIFS($F$7:$F$506,$C$7:$C$506,C395,$E$7:$E$506,"In",$M$7:$M$506,"&gt;"&amp;M395),"")</f>
        <v/>
      </c>
      <c r="O395" s="9" t="str">
        <f aca="false">IF(N395="","",IFERROR(INDEX('Item Master'!$K$6:$K$105,MATCH(C395,'Item Master'!$A$6:$A$105,0)),0))</f>
        <v/>
      </c>
      <c r="P395" s="9" t="n">
        <f aca="false">IF(N395="",0,MAX(0,MIN(N(F395),O395-N395))*N(G395))</f>
        <v>0</v>
      </c>
      <c r="Q395" s="9" t="str">
        <f aca="false">IF(AND(C395&lt;&gt;"",C395='Stock Ledger'!$C$4),M395,"")</f>
        <v/>
      </c>
    </row>
    <row r="396" customFormat="false" ht="15" hidden="false" customHeight="false" outlineLevel="0" collapsed="false">
      <c r="A396" s="45" t="str">
        <f aca="false">IF(C396="","",ROW()-6)</f>
        <v/>
      </c>
      <c r="B396" s="85"/>
      <c r="C396" s="80"/>
      <c r="D396" s="47" t="str">
        <f aca="false">IF(C396="","",IFERROR(INDEX('Item Master'!$B$6:$B$105,MATCH(C396,'Item Master'!$A$6:$A$105,0)),"?"))</f>
        <v/>
      </c>
      <c r="E396" s="82"/>
      <c r="F396" s="83"/>
      <c r="G396" s="84"/>
      <c r="H396" s="81"/>
      <c r="I396" s="80"/>
      <c r="J396" s="41" t="str">
        <f aca="false">IF(OR(C396="",G396=""),"",N(F396)*N(G396))</f>
        <v/>
      </c>
      <c r="K396" s="48" t="str">
        <f aca="false">IF(M396="","",N(IFERROR(INDEX('Item Master'!$E$6:$E$105,MATCH(C396,'Item Master'!$A$6:$A$105,0)),0))+SUMIFS($F$7:$F$506,$C$7:$C$506,C396,$E$7:$E$506,"In",$M$7:$M$506,"&lt;="&amp;M396)-SUMIFS($F$7:$F$506,$C$7:$C$506,C396,$E$7:$E$506,"Out",$M$7:$M$506,"&lt;="&amp;M396))</f>
        <v/>
      </c>
      <c r="L396" s="44" t="str">
        <f aca="false">IF(AND(B396="",C396="",F396=""),"",IF(C396="","⚠ Pick item",IF(D396="?","⚠ Code not in Item Master",IF(B396="","⚠ Enter date",IF(OR(E396="",N(F396)&lt;=0),"⚠ Type / quantity missing",IF(AND(E396="In",G396=""),"⚠ Enter purchase rate",IF(OR(B396&lt;Setup!$C$6,B396&gt;Setup!$C$7),"Outside period",IF(K396&lt;0,"⚠ Stock goes negative","✔ OK"))))))))</f>
        <v/>
      </c>
      <c r="M396" s="9" t="str">
        <f aca="false">IF(OR(C396="",B396=""),"",B396+ROW()/1000000)</f>
        <v/>
      </c>
      <c r="N396" s="9" t="str">
        <f aca="false">IF(AND(E396="In",M396&lt;&gt;""),SUMIFS($F$7:$F$506,$C$7:$C$506,C396,$E$7:$E$506,"In",$M$7:$M$506,"&gt;"&amp;M396),"")</f>
        <v/>
      </c>
      <c r="O396" s="9" t="str">
        <f aca="false">IF(N396="","",IFERROR(INDEX('Item Master'!$K$6:$K$105,MATCH(C396,'Item Master'!$A$6:$A$105,0)),0))</f>
        <v/>
      </c>
      <c r="P396" s="9" t="n">
        <f aca="false">IF(N396="",0,MAX(0,MIN(N(F396),O396-N396))*N(G396))</f>
        <v>0</v>
      </c>
      <c r="Q396" s="9" t="str">
        <f aca="false">IF(AND(C396&lt;&gt;"",C396='Stock Ledger'!$C$4),M396,"")</f>
        <v/>
      </c>
    </row>
    <row r="397" customFormat="false" ht="15" hidden="false" customHeight="false" outlineLevel="0" collapsed="false">
      <c r="A397" s="45" t="str">
        <f aca="false">IF(C397="","",ROW()-6)</f>
        <v/>
      </c>
      <c r="B397" s="85"/>
      <c r="C397" s="80"/>
      <c r="D397" s="47" t="str">
        <f aca="false">IF(C397="","",IFERROR(INDEX('Item Master'!$B$6:$B$105,MATCH(C397,'Item Master'!$A$6:$A$105,0)),"?"))</f>
        <v/>
      </c>
      <c r="E397" s="82"/>
      <c r="F397" s="83"/>
      <c r="G397" s="84"/>
      <c r="H397" s="81"/>
      <c r="I397" s="80"/>
      <c r="J397" s="41" t="str">
        <f aca="false">IF(OR(C397="",G397=""),"",N(F397)*N(G397))</f>
        <v/>
      </c>
      <c r="K397" s="48" t="str">
        <f aca="false">IF(M397="","",N(IFERROR(INDEX('Item Master'!$E$6:$E$105,MATCH(C397,'Item Master'!$A$6:$A$105,0)),0))+SUMIFS($F$7:$F$506,$C$7:$C$506,C397,$E$7:$E$506,"In",$M$7:$M$506,"&lt;="&amp;M397)-SUMIFS($F$7:$F$506,$C$7:$C$506,C397,$E$7:$E$506,"Out",$M$7:$M$506,"&lt;="&amp;M397))</f>
        <v/>
      </c>
      <c r="L397" s="44" t="str">
        <f aca="false">IF(AND(B397="",C397="",F397=""),"",IF(C397="","⚠ Pick item",IF(D397="?","⚠ Code not in Item Master",IF(B397="","⚠ Enter date",IF(OR(E397="",N(F397)&lt;=0),"⚠ Type / quantity missing",IF(AND(E397="In",G397=""),"⚠ Enter purchase rate",IF(OR(B397&lt;Setup!$C$6,B397&gt;Setup!$C$7),"Outside period",IF(K397&lt;0,"⚠ Stock goes negative","✔ OK"))))))))</f>
        <v/>
      </c>
      <c r="M397" s="9" t="str">
        <f aca="false">IF(OR(C397="",B397=""),"",B397+ROW()/1000000)</f>
        <v/>
      </c>
      <c r="N397" s="9" t="str">
        <f aca="false">IF(AND(E397="In",M397&lt;&gt;""),SUMIFS($F$7:$F$506,$C$7:$C$506,C397,$E$7:$E$506,"In",$M$7:$M$506,"&gt;"&amp;M397),"")</f>
        <v/>
      </c>
      <c r="O397" s="9" t="str">
        <f aca="false">IF(N397="","",IFERROR(INDEX('Item Master'!$K$6:$K$105,MATCH(C397,'Item Master'!$A$6:$A$105,0)),0))</f>
        <v/>
      </c>
      <c r="P397" s="9" t="n">
        <f aca="false">IF(N397="",0,MAX(0,MIN(N(F397),O397-N397))*N(G397))</f>
        <v>0</v>
      </c>
      <c r="Q397" s="9" t="str">
        <f aca="false">IF(AND(C397&lt;&gt;"",C397='Stock Ledger'!$C$4),M397,"")</f>
        <v/>
      </c>
    </row>
    <row r="398" customFormat="false" ht="15" hidden="false" customHeight="false" outlineLevel="0" collapsed="false">
      <c r="A398" s="45" t="str">
        <f aca="false">IF(C398="","",ROW()-6)</f>
        <v/>
      </c>
      <c r="B398" s="85"/>
      <c r="C398" s="80"/>
      <c r="D398" s="47" t="str">
        <f aca="false">IF(C398="","",IFERROR(INDEX('Item Master'!$B$6:$B$105,MATCH(C398,'Item Master'!$A$6:$A$105,0)),"?"))</f>
        <v/>
      </c>
      <c r="E398" s="82"/>
      <c r="F398" s="83"/>
      <c r="G398" s="84"/>
      <c r="H398" s="81"/>
      <c r="I398" s="80"/>
      <c r="J398" s="41" t="str">
        <f aca="false">IF(OR(C398="",G398=""),"",N(F398)*N(G398))</f>
        <v/>
      </c>
      <c r="K398" s="48" t="str">
        <f aca="false">IF(M398="","",N(IFERROR(INDEX('Item Master'!$E$6:$E$105,MATCH(C398,'Item Master'!$A$6:$A$105,0)),0))+SUMIFS($F$7:$F$506,$C$7:$C$506,C398,$E$7:$E$506,"In",$M$7:$M$506,"&lt;="&amp;M398)-SUMIFS($F$7:$F$506,$C$7:$C$506,C398,$E$7:$E$506,"Out",$M$7:$M$506,"&lt;="&amp;M398))</f>
        <v/>
      </c>
      <c r="L398" s="44" t="str">
        <f aca="false">IF(AND(B398="",C398="",F398=""),"",IF(C398="","⚠ Pick item",IF(D398="?","⚠ Code not in Item Master",IF(B398="","⚠ Enter date",IF(OR(E398="",N(F398)&lt;=0),"⚠ Type / quantity missing",IF(AND(E398="In",G398=""),"⚠ Enter purchase rate",IF(OR(B398&lt;Setup!$C$6,B398&gt;Setup!$C$7),"Outside period",IF(K398&lt;0,"⚠ Stock goes negative","✔ OK"))))))))</f>
        <v/>
      </c>
      <c r="M398" s="9" t="str">
        <f aca="false">IF(OR(C398="",B398=""),"",B398+ROW()/1000000)</f>
        <v/>
      </c>
      <c r="N398" s="9" t="str">
        <f aca="false">IF(AND(E398="In",M398&lt;&gt;""),SUMIFS($F$7:$F$506,$C$7:$C$506,C398,$E$7:$E$506,"In",$M$7:$M$506,"&gt;"&amp;M398),"")</f>
        <v/>
      </c>
      <c r="O398" s="9" t="str">
        <f aca="false">IF(N398="","",IFERROR(INDEX('Item Master'!$K$6:$K$105,MATCH(C398,'Item Master'!$A$6:$A$105,0)),0))</f>
        <v/>
      </c>
      <c r="P398" s="9" t="n">
        <f aca="false">IF(N398="",0,MAX(0,MIN(N(F398),O398-N398))*N(G398))</f>
        <v>0</v>
      </c>
      <c r="Q398" s="9" t="str">
        <f aca="false">IF(AND(C398&lt;&gt;"",C398='Stock Ledger'!$C$4),M398,"")</f>
        <v/>
      </c>
    </row>
    <row r="399" customFormat="false" ht="15" hidden="false" customHeight="false" outlineLevel="0" collapsed="false">
      <c r="A399" s="45" t="str">
        <f aca="false">IF(C399="","",ROW()-6)</f>
        <v/>
      </c>
      <c r="B399" s="85"/>
      <c r="C399" s="80"/>
      <c r="D399" s="47" t="str">
        <f aca="false">IF(C399="","",IFERROR(INDEX('Item Master'!$B$6:$B$105,MATCH(C399,'Item Master'!$A$6:$A$105,0)),"?"))</f>
        <v/>
      </c>
      <c r="E399" s="82"/>
      <c r="F399" s="83"/>
      <c r="G399" s="84"/>
      <c r="H399" s="81"/>
      <c r="I399" s="80"/>
      <c r="J399" s="41" t="str">
        <f aca="false">IF(OR(C399="",G399=""),"",N(F399)*N(G399))</f>
        <v/>
      </c>
      <c r="K399" s="48" t="str">
        <f aca="false">IF(M399="","",N(IFERROR(INDEX('Item Master'!$E$6:$E$105,MATCH(C399,'Item Master'!$A$6:$A$105,0)),0))+SUMIFS($F$7:$F$506,$C$7:$C$506,C399,$E$7:$E$506,"In",$M$7:$M$506,"&lt;="&amp;M399)-SUMIFS($F$7:$F$506,$C$7:$C$506,C399,$E$7:$E$506,"Out",$M$7:$M$506,"&lt;="&amp;M399))</f>
        <v/>
      </c>
      <c r="L399" s="44" t="str">
        <f aca="false">IF(AND(B399="",C399="",F399=""),"",IF(C399="","⚠ Pick item",IF(D399="?","⚠ Code not in Item Master",IF(B399="","⚠ Enter date",IF(OR(E399="",N(F399)&lt;=0),"⚠ Type / quantity missing",IF(AND(E399="In",G399=""),"⚠ Enter purchase rate",IF(OR(B399&lt;Setup!$C$6,B399&gt;Setup!$C$7),"Outside period",IF(K399&lt;0,"⚠ Stock goes negative","✔ OK"))))))))</f>
        <v/>
      </c>
      <c r="M399" s="9" t="str">
        <f aca="false">IF(OR(C399="",B399=""),"",B399+ROW()/1000000)</f>
        <v/>
      </c>
      <c r="N399" s="9" t="str">
        <f aca="false">IF(AND(E399="In",M399&lt;&gt;""),SUMIFS($F$7:$F$506,$C$7:$C$506,C399,$E$7:$E$506,"In",$M$7:$M$506,"&gt;"&amp;M399),"")</f>
        <v/>
      </c>
      <c r="O399" s="9" t="str">
        <f aca="false">IF(N399="","",IFERROR(INDEX('Item Master'!$K$6:$K$105,MATCH(C399,'Item Master'!$A$6:$A$105,0)),0))</f>
        <v/>
      </c>
      <c r="P399" s="9" t="n">
        <f aca="false">IF(N399="",0,MAX(0,MIN(N(F399),O399-N399))*N(G399))</f>
        <v>0</v>
      </c>
      <c r="Q399" s="9" t="str">
        <f aca="false">IF(AND(C399&lt;&gt;"",C399='Stock Ledger'!$C$4),M399,"")</f>
        <v/>
      </c>
    </row>
    <row r="400" customFormat="false" ht="15" hidden="false" customHeight="false" outlineLevel="0" collapsed="false">
      <c r="A400" s="45" t="str">
        <f aca="false">IF(C400="","",ROW()-6)</f>
        <v/>
      </c>
      <c r="B400" s="85"/>
      <c r="C400" s="80"/>
      <c r="D400" s="47" t="str">
        <f aca="false">IF(C400="","",IFERROR(INDEX('Item Master'!$B$6:$B$105,MATCH(C400,'Item Master'!$A$6:$A$105,0)),"?"))</f>
        <v/>
      </c>
      <c r="E400" s="82"/>
      <c r="F400" s="83"/>
      <c r="G400" s="84"/>
      <c r="H400" s="81"/>
      <c r="I400" s="80"/>
      <c r="J400" s="41" t="str">
        <f aca="false">IF(OR(C400="",G400=""),"",N(F400)*N(G400))</f>
        <v/>
      </c>
      <c r="K400" s="48" t="str">
        <f aca="false">IF(M400="","",N(IFERROR(INDEX('Item Master'!$E$6:$E$105,MATCH(C400,'Item Master'!$A$6:$A$105,0)),0))+SUMIFS($F$7:$F$506,$C$7:$C$506,C400,$E$7:$E$506,"In",$M$7:$M$506,"&lt;="&amp;M400)-SUMIFS($F$7:$F$506,$C$7:$C$506,C400,$E$7:$E$506,"Out",$M$7:$M$506,"&lt;="&amp;M400))</f>
        <v/>
      </c>
      <c r="L400" s="44" t="str">
        <f aca="false">IF(AND(B400="",C400="",F400=""),"",IF(C400="","⚠ Pick item",IF(D400="?","⚠ Code not in Item Master",IF(B400="","⚠ Enter date",IF(OR(E400="",N(F400)&lt;=0),"⚠ Type / quantity missing",IF(AND(E400="In",G400=""),"⚠ Enter purchase rate",IF(OR(B400&lt;Setup!$C$6,B400&gt;Setup!$C$7),"Outside period",IF(K400&lt;0,"⚠ Stock goes negative","✔ OK"))))))))</f>
        <v/>
      </c>
      <c r="M400" s="9" t="str">
        <f aca="false">IF(OR(C400="",B400=""),"",B400+ROW()/1000000)</f>
        <v/>
      </c>
      <c r="N400" s="9" t="str">
        <f aca="false">IF(AND(E400="In",M400&lt;&gt;""),SUMIFS($F$7:$F$506,$C$7:$C$506,C400,$E$7:$E$506,"In",$M$7:$M$506,"&gt;"&amp;M400),"")</f>
        <v/>
      </c>
      <c r="O400" s="9" t="str">
        <f aca="false">IF(N400="","",IFERROR(INDEX('Item Master'!$K$6:$K$105,MATCH(C400,'Item Master'!$A$6:$A$105,0)),0))</f>
        <v/>
      </c>
      <c r="P400" s="9" t="n">
        <f aca="false">IF(N400="",0,MAX(0,MIN(N(F400),O400-N400))*N(G400))</f>
        <v>0</v>
      </c>
      <c r="Q400" s="9" t="str">
        <f aca="false">IF(AND(C400&lt;&gt;"",C400='Stock Ledger'!$C$4),M400,"")</f>
        <v/>
      </c>
    </row>
    <row r="401" customFormat="false" ht="15" hidden="false" customHeight="false" outlineLevel="0" collapsed="false">
      <c r="A401" s="45" t="str">
        <f aca="false">IF(C401="","",ROW()-6)</f>
        <v/>
      </c>
      <c r="B401" s="85"/>
      <c r="C401" s="80"/>
      <c r="D401" s="47" t="str">
        <f aca="false">IF(C401="","",IFERROR(INDEX('Item Master'!$B$6:$B$105,MATCH(C401,'Item Master'!$A$6:$A$105,0)),"?"))</f>
        <v/>
      </c>
      <c r="E401" s="82"/>
      <c r="F401" s="83"/>
      <c r="G401" s="84"/>
      <c r="H401" s="81"/>
      <c r="I401" s="80"/>
      <c r="J401" s="41" t="str">
        <f aca="false">IF(OR(C401="",G401=""),"",N(F401)*N(G401))</f>
        <v/>
      </c>
      <c r="K401" s="48" t="str">
        <f aca="false">IF(M401="","",N(IFERROR(INDEX('Item Master'!$E$6:$E$105,MATCH(C401,'Item Master'!$A$6:$A$105,0)),0))+SUMIFS($F$7:$F$506,$C$7:$C$506,C401,$E$7:$E$506,"In",$M$7:$M$506,"&lt;="&amp;M401)-SUMIFS($F$7:$F$506,$C$7:$C$506,C401,$E$7:$E$506,"Out",$M$7:$M$506,"&lt;="&amp;M401))</f>
        <v/>
      </c>
      <c r="L401" s="44" t="str">
        <f aca="false">IF(AND(B401="",C401="",F401=""),"",IF(C401="","⚠ Pick item",IF(D401="?","⚠ Code not in Item Master",IF(B401="","⚠ Enter date",IF(OR(E401="",N(F401)&lt;=0),"⚠ Type / quantity missing",IF(AND(E401="In",G401=""),"⚠ Enter purchase rate",IF(OR(B401&lt;Setup!$C$6,B401&gt;Setup!$C$7),"Outside period",IF(K401&lt;0,"⚠ Stock goes negative","✔ OK"))))))))</f>
        <v/>
      </c>
      <c r="M401" s="9" t="str">
        <f aca="false">IF(OR(C401="",B401=""),"",B401+ROW()/1000000)</f>
        <v/>
      </c>
      <c r="N401" s="9" t="str">
        <f aca="false">IF(AND(E401="In",M401&lt;&gt;""),SUMIFS($F$7:$F$506,$C$7:$C$506,C401,$E$7:$E$506,"In",$M$7:$M$506,"&gt;"&amp;M401),"")</f>
        <v/>
      </c>
      <c r="O401" s="9" t="str">
        <f aca="false">IF(N401="","",IFERROR(INDEX('Item Master'!$K$6:$K$105,MATCH(C401,'Item Master'!$A$6:$A$105,0)),0))</f>
        <v/>
      </c>
      <c r="P401" s="9" t="n">
        <f aca="false">IF(N401="",0,MAX(0,MIN(N(F401),O401-N401))*N(G401))</f>
        <v>0</v>
      </c>
      <c r="Q401" s="9" t="str">
        <f aca="false">IF(AND(C401&lt;&gt;"",C401='Stock Ledger'!$C$4),M401,"")</f>
        <v/>
      </c>
    </row>
    <row r="402" customFormat="false" ht="15" hidden="false" customHeight="false" outlineLevel="0" collapsed="false">
      <c r="A402" s="45" t="str">
        <f aca="false">IF(C402="","",ROW()-6)</f>
        <v/>
      </c>
      <c r="B402" s="85"/>
      <c r="C402" s="80"/>
      <c r="D402" s="47" t="str">
        <f aca="false">IF(C402="","",IFERROR(INDEX('Item Master'!$B$6:$B$105,MATCH(C402,'Item Master'!$A$6:$A$105,0)),"?"))</f>
        <v/>
      </c>
      <c r="E402" s="82"/>
      <c r="F402" s="83"/>
      <c r="G402" s="84"/>
      <c r="H402" s="81"/>
      <c r="I402" s="80"/>
      <c r="J402" s="41" t="str">
        <f aca="false">IF(OR(C402="",G402=""),"",N(F402)*N(G402))</f>
        <v/>
      </c>
      <c r="K402" s="48" t="str">
        <f aca="false">IF(M402="","",N(IFERROR(INDEX('Item Master'!$E$6:$E$105,MATCH(C402,'Item Master'!$A$6:$A$105,0)),0))+SUMIFS($F$7:$F$506,$C$7:$C$506,C402,$E$7:$E$506,"In",$M$7:$M$506,"&lt;="&amp;M402)-SUMIFS($F$7:$F$506,$C$7:$C$506,C402,$E$7:$E$506,"Out",$M$7:$M$506,"&lt;="&amp;M402))</f>
        <v/>
      </c>
      <c r="L402" s="44" t="str">
        <f aca="false">IF(AND(B402="",C402="",F402=""),"",IF(C402="","⚠ Pick item",IF(D402="?","⚠ Code not in Item Master",IF(B402="","⚠ Enter date",IF(OR(E402="",N(F402)&lt;=0),"⚠ Type / quantity missing",IF(AND(E402="In",G402=""),"⚠ Enter purchase rate",IF(OR(B402&lt;Setup!$C$6,B402&gt;Setup!$C$7),"Outside period",IF(K402&lt;0,"⚠ Stock goes negative","✔ OK"))))))))</f>
        <v/>
      </c>
      <c r="M402" s="9" t="str">
        <f aca="false">IF(OR(C402="",B402=""),"",B402+ROW()/1000000)</f>
        <v/>
      </c>
      <c r="N402" s="9" t="str">
        <f aca="false">IF(AND(E402="In",M402&lt;&gt;""),SUMIFS($F$7:$F$506,$C$7:$C$506,C402,$E$7:$E$506,"In",$M$7:$M$506,"&gt;"&amp;M402),"")</f>
        <v/>
      </c>
      <c r="O402" s="9" t="str">
        <f aca="false">IF(N402="","",IFERROR(INDEX('Item Master'!$K$6:$K$105,MATCH(C402,'Item Master'!$A$6:$A$105,0)),0))</f>
        <v/>
      </c>
      <c r="P402" s="9" t="n">
        <f aca="false">IF(N402="",0,MAX(0,MIN(N(F402),O402-N402))*N(G402))</f>
        <v>0</v>
      </c>
      <c r="Q402" s="9" t="str">
        <f aca="false">IF(AND(C402&lt;&gt;"",C402='Stock Ledger'!$C$4),M402,"")</f>
        <v/>
      </c>
    </row>
    <row r="403" customFormat="false" ht="15" hidden="false" customHeight="false" outlineLevel="0" collapsed="false">
      <c r="A403" s="45" t="str">
        <f aca="false">IF(C403="","",ROW()-6)</f>
        <v/>
      </c>
      <c r="B403" s="85"/>
      <c r="C403" s="80"/>
      <c r="D403" s="47" t="str">
        <f aca="false">IF(C403="","",IFERROR(INDEX('Item Master'!$B$6:$B$105,MATCH(C403,'Item Master'!$A$6:$A$105,0)),"?"))</f>
        <v/>
      </c>
      <c r="E403" s="82"/>
      <c r="F403" s="83"/>
      <c r="G403" s="84"/>
      <c r="H403" s="81"/>
      <c r="I403" s="80"/>
      <c r="J403" s="41" t="str">
        <f aca="false">IF(OR(C403="",G403=""),"",N(F403)*N(G403))</f>
        <v/>
      </c>
      <c r="K403" s="48" t="str">
        <f aca="false">IF(M403="","",N(IFERROR(INDEX('Item Master'!$E$6:$E$105,MATCH(C403,'Item Master'!$A$6:$A$105,0)),0))+SUMIFS($F$7:$F$506,$C$7:$C$506,C403,$E$7:$E$506,"In",$M$7:$M$506,"&lt;="&amp;M403)-SUMIFS($F$7:$F$506,$C$7:$C$506,C403,$E$7:$E$506,"Out",$M$7:$M$506,"&lt;="&amp;M403))</f>
        <v/>
      </c>
      <c r="L403" s="44" t="str">
        <f aca="false">IF(AND(B403="",C403="",F403=""),"",IF(C403="","⚠ Pick item",IF(D403="?","⚠ Code not in Item Master",IF(B403="","⚠ Enter date",IF(OR(E403="",N(F403)&lt;=0),"⚠ Type / quantity missing",IF(AND(E403="In",G403=""),"⚠ Enter purchase rate",IF(OR(B403&lt;Setup!$C$6,B403&gt;Setup!$C$7),"Outside period",IF(K403&lt;0,"⚠ Stock goes negative","✔ OK"))))))))</f>
        <v/>
      </c>
      <c r="M403" s="9" t="str">
        <f aca="false">IF(OR(C403="",B403=""),"",B403+ROW()/1000000)</f>
        <v/>
      </c>
      <c r="N403" s="9" t="str">
        <f aca="false">IF(AND(E403="In",M403&lt;&gt;""),SUMIFS($F$7:$F$506,$C$7:$C$506,C403,$E$7:$E$506,"In",$M$7:$M$506,"&gt;"&amp;M403),"")</f>
        <v/>
      </c>
      <c r="O403" s="9" t="str">
        <f aca="false">IF(N403="","",IFERROR(INDEX('Item Master'!$K$6:$K$105,MATCH(C403,'Item Master'!$A$6:$A$105,0)),0))</f>
        <v/>
      </c>
      <c r="P403" s="9" t="n">
        <f aca="false">IF(N403="",0,MAX(0,MIN(N(F403),O403-N403))*N(G403))</f>
        <v>0</v>
      </c>
      <c r="Q403" s="9" t="str">
        <f aca="false">IF(AND(C403&lt;&gt;"",C403='Stock Ledger'!$C$4),M403,"")</f>
        <v/>
      </c>
    </row>
    <row r="404" customFormat="false" ht="15" hidden="false" customHeight="false" outlineLevel="0" collapsed="false">
      <c r="A404" s="45" t="str">
        <f aca="false">IF(C404="","",ROW()-6)</f>
        <v/>
      </c>
      <c r="B404" s="85"/>
      <c r="C404" s="80"/>
      <c r="D404" s="47" t="str">
        <f aca="false">IF(C404="","",IFERROR(INDEX('Item Master'!$B$6:$B$105,MATCH(C404,'Item Master'!$A$6:$A$105,0)),"?"))</f>
        <v/>
      </c>
      <c r="E404" s="82"/>
      <c r="F404" s="83"/>
      <c r="G404" s="84"/>
      <c r="H404" s="81"/>
      <c r="I404" s="80"/>
      <c r="J404" s="41" t="str">
        <f aca="false">IF(OR(C404="",G404=""),"",N(F404)*N(G404))</f>
        <v/>
      </c>
      <c r="K404" s="48" t="str">
        <f aca="false">IF(M404="","",N(IFERROR(INDEX('Item Master'!$E$6:$E$105,MATCH(C404,'Item Master'!$A$6:$A$105,0)),0))+SUMIFS($F$7:$F$506,$C$7:$C$506,C404,$E$7:$E$506,"In",$M$7:$M$506,"&lt;="&amp;M404)-SUMIFS($F$7:$F$506,$C$7:$C$506,C404,$E$7:$E$506,"Out",$M$7:$M$506,"&lt;="&amp;M404))</f>
        <v/>
      </c>
      <c r="L404" s="44" t="str">
        <f aca="false">IF(AND(B404="",C404="",F404=""),"",IF(C404="","⚠ Pick item",IF(D404="?","⚠ Code not in Item Master",IF(B404="","⚠ Enter date",IF(OR(E404="",N(F404)&lt;=0),"⚠ Type / quantity missing",IF(AND(E404="In",G404=""),"⚠ Enter purchase rate",IF(OR(B404&lt;Setup!$C$6,B404&gt;Setup!$C$7),"Outside period",IF(K404&lt;0,"⚠ Stock goes negative","✔ OK"))))))))</f>
        <v/>
      </c>
      <c r="M404" s="9" t="str">
        <f aca="false">IF(OR(C404="",B404=""),"",B404+ROW()/1000000)</f>
        <v/>
      </c>
      <c r="N404" s="9" t="str">
        <f aca="false">IF(AND(E404="In",M404&lt;&gt;""),SUMIFS($F$7:$F$506,$C$7:$C$506,C404,$E$7:$E$506,"In",$M$7:$M$506,"&gt;"&amp;M404),"")</f>
        <v/>
      </c>
      <c r="O404" s="9" t="str">
        <f aca="false">IF(N404="","",IFERROR(INDEX('Item Master'!$K$6:$K$105,MATCH(C404,'Item Master'!$A$6:$A$105,0)),0))</f>
        <v/>
      </c>
      <c r="P404" s="9" t="n">
        <f aca="false">IF(N404="",0,MAX(0,MIN(N(F404),O404-N404))*N(G404))</f>
        <v>0</v>
      </c>
      <c r="Q404" s="9" t="str">
        <f aca="false">IF(AND(C404&lt;&gt;"",C404='Stock Ledger'!$C$4),M404,"")</f>
        <v/>
      </c>
    </row>
    <row r="405" customFormat="false" ht="15" hidden="false" customHeight="false" outlineLevel="0" collapsed="false">
      <c r="A405" s="45" t="str">
        <f aca="false">IF(C405="","",ROW()-6)</f>
        <v/>
      </c>
      <c r="B405" s="85"/>
      <c r="C405" s="80"/>
      <c r="D405" s="47" t="str">
        <f aca="false">IF(C405="","",IFERROR(INDEX('Item Master'!$B$6:$B$105,MATCH(C405,'Item Master'!$A$6:$A$105,0)),"?"))</f>
        <v/>
      </c>
      <c r="E405" s="82"/>
      <c r="F405" s="83"/>
      <c r="G405" s="84"/>
      <c r="H405" s="81"/>
      <c r="I405" s="80"/>
      <c r="J405" s="41" t="str">
        <f aca="false">IF(OR(C405="",G405=""),"",N(F405)*N(G405))</f>
        <v/>
      </c>
      <c r="K405" s="48" t="str">
        <f aca="false">IF(M405="","",N(IFERROR(INDEX('Item Master'!$E$6:$E$105,MATCH(C405,'Item Master'!$A$6:$A$105,0)),0))+SUMIFS($F$7:$F$506,$C$7:$C$506,C405,$E$7:$E$506,"In",$M$7:$M$506,"&lt;="&amp;M405)-SUMIFS($F$7:$F$506,$C$7:$C$506,C405,$E$7:$E$506,"Out",$M$7:$M$506,"&lt;="&amp;M405))</f>
        <v/>
      </c>
      <c r="L405" s="44" t="str">
        <f aca="false">IF(AND(B405="",C405="",F405=""),"",IF(C405="","⚠ Pick item",IF(D405="?","⚠ Code not in Item Master",IF(B405="","⚠ Enter date",IF(OR(E405="",N(F405)&lt;=0),"⚠ Type / quantity missing",IF(AND(E405="In",G405=""),"⚠ Enter purchase rate",IF(OR(B405&lt;Setup!$C$6,B405&gt;Setup!$C$7),"Outside period",IF(K405&lt;0,"⚠ Stock goes negative","✔ OK"))))))))</f>
        <v/>
      </c>
      <c r="M405" s="9" t="str">
        <f aca="false">IF(OR(C405="",B405=""),"",B405+ROW()/1000000)</f>
        <v/>
      </c>
      <c r="N405" s="9" t="str">
        <f aca="false">IF(AND(E405="In",M405&lt;&gt;""),SUMIFS($F$7:$F$506,$C$7:$C$506,C405,$E$7:$E$506,"In",$M$7:$M$506,"&gt;"&amp;M405),"")</f>
        <v/>
      </c>
      <c r="O405" s="9" t="str">
        <f aca="false">IF(N405="","",IFERROR(INDEX('Item Master'!$K$6:$K$105,MATCH(C405,'Item Master'!$A$6:$A$105,0)),0))</f>
        <v/>
      </c>
      <c r="P405" s="9" t="n">
        <f aca="false">IF(N405="",0,MAX(0,MIN(N(F405),O405-N405))*N(G405))</f>
        <v>0</v>
      </c>
      <c r="Q405" s="9" t="str">
        <f aca="false">IF(AND(C405&lt;&gt;"",C405='Stock Ledger'!$C$4),M405,"")</f>
        <v/>
      </c>
    </row>
    <row r="406" customFormat="false" ht="15" hidden="false" customHeight="false" outlineLevel="0" collapsed="false">
      <c r="A406" s="45" t="str">
        <f aca="false">IF(C406="","",ROW()-6)</f>
        <v/>
      </c>
      <c r="B406" s="85"/>
      <c r="C406" s="80"/>
      <c r="D406" s="47" t="str">
        <f aca="false">IF(C406="","",IFERROR(INDEX('Item Master'!$B$6:$B$105,MATCH(C406,'Item Master'!$A$6:$A$105,0)),"?"))</f>
        <v/>
      </c>
      <c r="E406" s="82"/>
      <c r="F406" s="83"/>
      <c r="G406" s="84"/>
      <c r="H406" s="81"/>
      <c r="I406" s="80"/>
      <c r="J406" s="41" t="str">
        <f aca="false">IF(OR(C406="",G406=""),"",N(F406)*N(G406))</f>
        <v/>
      </c>
      <c r="K406" s="48" t="str">
        <f aca="false">IF(M406="","",N(IFERROR(INDEX('Item Master'!$E$6:$E$105,MATCH(C406,'Item Master'!$A$6:$A$105,0)),0))+SUMIFS($F$7:$F$506,$C$7:$C$506,C406,$E$7:$E$506,"In",$M$7:$M$506,"&lt;="&amp;M406)-SUMIFS($F$7:$F$506,$C$7:$C$506,C406,$E$7:$E$506,"Out",$M$7:$M$506,"&lt;="&amp;M406))</f>
        <v/>
      </c>
      <c r="L406" s="44" t="str">
        <f aca="false">IF(AND(B406="",C406="",F406=""),"",IF(C406="","⚠ Pick item",IF(D406="?","⚠ Code not in Item Master",IF(B406="","⚠ Enter date",IF(OR(E406="",N(F406)&lt;=0),"⚠ Type / quantity missing",IF(AND(E406="In",G406=""),"⚠ Enter purchase rate",IF(OR(B406&lt;Setup!$C$6,B406&gt;Setup!$C$7),"Outside period",IF(K406&lt;0,"⚠ Stock goes negative","✔ OK"))))))))</f>
        <v/>
      </c>
      <c r="M406" s="9" t="str">
        <f aca="false">IF(OR(C406="",B406=""),"",B406+ROW()/1000000)</f>
        <v/>
      </c>
      <c r="N406" s="9" t="str">
        <f aca="false">IF(AND(E406="In",M406&lt;&gt;""),SUMIFS($F$7:$F$506,$C$7:$C$506,C406,$E$7:$E$506,"In",$M$7:$M$506,"&gt;"&amp;M406),"")</f>
        <v/>
      </c>
      <c r="O406" s="9" t="str">
        <f aca="false">IF(N406="","",IFERROR(INDEX('Item Master'!$K$6:$K$105,MATCH(C406,'Item Master'!$A$6:$A$105,0)),0))</f>
        <v/>
      </c>
      <c r="P406" s="9" t="n">
        <f aca="false">IF(N406="",0,MAX(0,MIN(N(F406),O406-N406))*N(G406))</f>
        <v>0</v>
      </c>
      <c r="Q406" s="9" t="str">
        <f aca="false">IF(AND(C406&lt;&gt;"",C406='Stock Ledger'!$C$4),M406,"")</f>
        <v/>
      </c>
    </row>
    <row r="407" customFormat="false" ht="15" hidden="false" customHeight="false" outlineLevel="0" collapsed="false">
      <c r="A407" s="45" t="str">
        <f aca="false">IF(C407="","",ROW()-6)</f>
        <v/>
      </c>
      <c r="B407" s="85"/>
      <c r="C407" s="80"/>
      <c r="D407" s="47" t="str">
        <f aca="false">IF(C407="","",IFERROR(INDEX('Item Master'!$B$6:$B$105,MATCH(C407,'Item Master'!$A$6:$A$105,0)),"?"))</f>
        <v/>
      </c>
      <c r="E407" s="82"/>
      <c r="F407" s="83"/>
      <c r="G407" s="84"/>
      <c r="H407" s="81"/>
      <c r="I407" s="80"/>
      <c r="J407" s="41" t="str">
        <f aca="false">IF(OR(C407="",G407=""),"",N(F407)*N(G407))</f>
        <v/>
      </c>
      <c r="K407" s="48" t="str">
        <f aca="false">IF(M407="","",N(IFERROR(INDEX('Item Master'!$E$6:$E$105,MATCH(C407,'Item Master'!$A$6:$A$105,0)),0))+SUMIFS($F$7:$F$506,$C$7:$C$506,C407,$E$7:$E$506,"In",$M$7:$M$506,"&lt;="&amp;M407)-SUMIFS($F$7:$F$506,$C$7:$C$506,C407,$E$7:$E$506,"Out",$M$7:$M$506,"&lt;="&amp;M407))</f>
        <v/>
      </c>
      <c r="L407" s="44" t="str">
        <f aca="false">IF(AND(B407="",C407="",F407=""),"",IF(C407="","⚠ Pick item",IF(D407="?","⚠ Code not in Item Master",IF(B407="","⚠ Enter date",IF(OR(E407="",N(F407)&lt;=0),"⚠ Type / quantity missing",IF(AND(E407="In",G407=""),"⚠ Enter purchase rate",IF(OR(B407&lt;Setup!$C$6,B407&gt;Setup!$C$7),"Outside period",IF(K407&lt;0,"⚠ Stock goes negative","✔ OK"))))))))</f>
        <v/>
      </c>
      <c r="M407" s="9" t="str">
        <f aca="false">IF(OR(C407="",B407=""),"",B407+ROW()/1000000)</f>
        <v/>
      </c>
      <c r="N407" s="9" t="str">
        <f aca="false">IF(AND(E407="In",M407&lt;&gt;""),SUMIFS($F$7:$F$506,$C$7:$C$506,C407,$E$7:$E$506,"In",$M$7:$M$506,"&gt;"&amp;M407),"")</f>
        <v/>
      </c>
      <c r="O407" s="9" t="str">
        <f aca="false">IF(N407="","",IFERROR(INDEX('Item Master'!$K$6:$K$105,MATCH(C407,'Item Master'!$A$6:$A$105,0)),0))</f>
        <v/>
      </c>
      <c r="P407" s="9" t="n">
        <f aca="false">IF(N407="",0,MAX(0,MIN(N(F407),O407-N407))*N(G407))</f>
        <v>0</v>
      </c>
      <c r="Q407" s="9" t="str">
        <f aca="false">IF(AND(C407&lt;&gt;"",C407='Stock Ledger'!$C$4),M407,"")</f>
        <v/>
      </c>
    </row>
    <row r="408" customFormat="false" ht="15" hidden="false" customHeight="false" outlineLevel="0" collapsed="false">
      <c r="A408" s="45" t="str">
        <f aca="false">IF(C408="","",ROW()-6)</f>
        <v/>
      </c>
      <c r="B408" s="85"/>
      <c r="C408" s="80"/>
      <c r="D408" s="47" t="str">
        <f aca="false">IF(C408="","",IFERROR(INDEX('Item Master'!$B$6:$B$105,MATCH(C408,'Item Master'!$A$6:$A$105,0)),"?"))</f>
        <v/>
      </c>
      <c r="E408" s="82"/>
      <c r="F408" s="83"/>
      <c r="G408" s="84"/>
      <c r="H408" s="81"/>
      <c r="I408" s="80"/>
      <c r="J408" s="41" t="str">
        <f aca="false">IF(OR(C408="",G408=""),"",N(F408)*N(G408))</f>
        <v/>
      </c>
      <c r="K408" s="48" t="str">
        <f aca="false">IF(M408="","",N(IFERROR(INDEX('Item Master'!$E$6:$E$105,MATCH(C408,'Item Master'!$A$6:$A$105,0)),0))+SUMIFS($F$7:$F$506,$C$7:$C$506,C408,$E$7:$E$506,"In",$M$7:$M$506,"&lt;="&amp;M408)-SUMIFS($F$7:$F$506,$C$7:$C$506,C408,$E$7:$E$506,"Out",$M$7:$M$506,"&lt;="&amp;M408))</f>
        <v/>
      </c>
      <c r="L408" s="44" t="str">
        <f aca="false">IF(AND(B408="",C408="",F408=""),"",IF(C408="","⚠ Pick item",IF(D408="?","⚠ Code not in Item Master",IF(B408="","⚠ Enter date",IF(OR(E408="",N(F408)&lt;=0),"⚠ Type / quantity missing",IF(AND(E408="In",G408=""),"⚠ Enter purchase rate",IF(OR(B408&lt;Setup!$C$6,B408&gt;Setup!$C$7),"Outside period",IF(K408&lt;0,"⚠ Stock goes negative","✔ OK"))))))))</f>
        <v/>
      </c>
      <c r="M408" s="9" t="str">
        <f aca="false">IF(OR(C408="",B408=""),"",B408+ROW()/1000000)</f>
        <v/>
      </c>
      <c r="N408" s="9" t="str">
        <f aca="false">IF(AND(E408="In",M408&lt;&gt;""),SUMIFS($F$7:$F$506,$C$7:$C$506,C408,$E$7:$E$506,"In",$M$7:$M$506,"&gt;"&amp;M408),"")</f>
        <v/>
      </c>
      <c r="O408" s="9" t="str">
        <f aca="false">IF(N408="","",IFERROR(INDEX('Item Master'!$K$6:$K$105,MATCH(C408,'Item Master'!$A$6:$A$105,0)),0))</f>
        <v/>
      </c>
      <c r="P408" s="9" t="n">
        <f aca="false">IF(N408="",0,MAX(0,MIN(N(F408),O408-N408))*N(G408))</f>
        <v>0</v>
      </c>
      <c r="Q408" s="9" t="str">
        <f aca="false">IF(AND(C408&lt;&gt;"",C408='Stock Ledger'!$C$4),M408,"")</f>
        <v/>
      </c>
    </row>
    <row r="409" customFormat="false" ht="15" hidden="false" customHeight="false" outlineLevel="0" collapsed="false">
      <c r="A409" s="45" t="str">
        <f aca="false">IF(C409="","",ROW()-6)</f>
        <v/>
      </c>
      <c r="B409" s="85"/>
      <c r="C409" s="80"/>
      <c r="D409" s="47" t="str">
        <f aca="false">IF(C409="","",IFERROR(INDEX('Item Master'!$B$6:$B$105,MATCH(C409,'Item Master'!$A$6:$A$105,0)),"?"))</f>
        <v/>
      </c>
      <c r="E409" s="82"/>
      <c r="F409" s="83"/>
      <c r="G409" s="84"/>
      <c r="H409" s="81"/>
      <c r="I409" s="80"/>
      <c r="J409" s="41" t="str">
        <f aca="false">IF(OR(C409="",G409=""),"",N(F409)*N(G409))</f>
        <v/>
      </c>
      <c r="K409" s="48" t="str">
        <f aca="false">IF(M409="","",N(IFERROR(INDEX('Item Master'!$E$6:$E$105,MATCH(C409,'Item Master'!$A$6:$A$105,0)),0))+SUMIFS($F$7:$F$506,$C$7:$C$506,C409,$E$7:$E$506,"In",$M$7:$M$506,"&lt;="&amp;M409)-SUMIFS($F$7:$F$506,$C$7:$C$506,C409,$E$7:$E$506,"Out",$M$7:$M$506,"&lt;="&amp;M409))</f>
        <v/>
      </c>
      <c r="L409" s="44" t="str">
        <f aca="false">IF(AND(B409="",C409="",F409=""),"",IF(C409="","⚠ Pick item",IF(D409="?","⚠ Code not in Item Master",IF(B409="","⚠ Enter date",IF(OR(E409="",N(F409)&lt;=0),"⚠ Type / quantity missing",IF(AND(E409="In",G409=""),"⚠ Enter purchase rate",IF(OR(B409&lt;Setup!$C$6,B409&gt;Setup!$C$7),"Outside period",IF(K409&lt;0,"⚠ Stock goes negative","✔ OK"))))))))</f>
        <v/>
      </c>
      <c r="M409" s="9" t="str">
        <f aca="false">IF(OR(C409="",B409=""),"",B409+ROW()/1000000)</f>
        <v/>
      </c>
      <c r="N409" s="9" t="str">
        <f aca="false">IF(AND(E409="In",M409&lt;&gt;""),SUMIFS($F$7:$F$506,$C$7:$C$506,C409,$E$7:$E$506,"In",$M$7:$M$506,"&gt;"&amp;M409),"")</f>
        <v/>
      </c>
      <c r="O409" s="9" t="str">
        <f aca="false">IF(N409="","",IFERROR(INDEX('Item Master'!$K$6:$K$105,MATCH(C409,'Item Master'!$A$6:$A$105,0)),0))</f>
        <v/>
      </c>
      <c r="P409" s="9" t="n">
        <f aca="false">IF(N409="",0,MAX(0,MIN(N(F409),O409-N409))*N(G409))</f>
        <v>0</v>
      </c>
      <c r="Q409" s="9" t="str">
        <f aca="false">IF(AND(C409&lt;&gt;"",C409='Stock Ledger'!$C$4),M409,"")</f>
        <v/>
      </c>
    </row>
    <row r="410" customFormat="false" ht="15" hidden="false" customHeight="false" outlineLevel="0" collapsed="false">
      <c r="A410" s="45" t="str">
        <f aca="false">IF(C410="","",ROW()-6)</f>
        <v/>
      </c>
      <c r="B410" s="85"/>
      <c r="C410" s="80"/>
      <c r="D410" s="47" t="str">
        <f aca="false">IF(C410="","",IFERROR(INDEX('Item Master'!$B$6:$B$105,MATCH(C410,'Item Master'!$A$6:$A$105,0)),"?"))</f>
        <v/>
      </c>
      <c r="E410" s="82"/>
      <c r="F410" s="83"/>
      <c r="G410" s="84"/>
      <c r="H410" s="81"/>
      <c r="I410" s="80"/>
      <c r="J410" s="41" t="str">
        <f aca="false">IF(OR(C410="",G410=""),"",N(F410)*N(G410))</f>
        <v/>
      </c>
      <c r="K410" s="48" t="str">
        <f aca="false">IF(M410="","",N(IFERROR(INDEX('Item Master'!$E$6:$E$105,MATCH(C410,'Item Master'!$A$6:$A$105,0)),0))+SUMIFS($F$7:$F$506,$C$7:$C$506,C410,$E$7:$E$506,"In",$M$7:$M$506,"&lt;="&amp;M410)-SUMIFS($F$7:$F$506,$C$7:$C$506,C410,$E$7:$E$506,"Out",$M$7:$M$506,"&lt;="&amp;M410))</f>
        <v/>
      </c>
      <c r="L410" s="44" t="str">
        <f aca="false">IF(AND(B410="",C410="",F410=""),"",IF(C410="","⚠ Pick item",IF(D410="?","⚠ Code not in Item Master",IF(B410="","⚠ Enter date",IF(OR(E410="",N(F410)&lt;=0),"⚠ Type / quantity missing",IF(AND(E410="In",G410=""),"⚠ Enter purchase rate",IF(OR(B410&lt;Setup!$C$6,B410&gt;Setup!$C$7),"Outside period",IF(K410&lt;0,"⚠ Stock goes negative","✔ OK"))))))))</f>
        <v/>
      </c>
      <c r="M410" s="9" t="str">
        <f aca="false">IF(OR(C410="",B410=""),"",B410+ROW()/1000000)</f>
        <v/>
      </c>
      <c r="N410" s="9" t="str">
        <f aca="false">IF(AND(E410="In",M410&lt;&gt;""),SUMIFS($F$7:$F$506,$C$7:$C$506,C410,$E$7:$E$506,"In",$M$7:$M$506,"&gt;"&amp;M410),"")</f>
        <v/>
      </c>
      <c r="O410" s="9" t="str">
        <f aca="false">IF(N410="","",IFERROR(INDEX('Item Master'!$K$6:$K$105,MATCH(C410,'Item Master'!$A$6:$A$105,0)),0))</f>
        <v/>
      </c>
      <c r="P410" s="9" t="n">
        <f aca="false">IF(N410="",0,MAX(0,MIN(N(F410),O410-N410))*N(G410))</f>
        <v>0</v>
      </c>
      <c r="Q410" s="9" t="str">
        <f aca="false">IF(AND(C410&lt;&gt;"",C410='Stock Ledger'!$C$4),M410,"")</f>
        <v/>
      </c>
    </row>
    <row r="411" customFormat="false" ht="15" hidden="false" customHeight="false" outlineLevel="0" collapsed="false">
      <c r="A411" s="45" t="str">
        <f aca="false">IF(C411="","",ROW()-6)</f>
        <v/>
      </c>
      <c r="B411" s="85"/>
      <c r="C411" s="80"/>
      <c r="D411" s="47" t="str">
        <f aca="false">IF(C411="","",IFERROR(INDEX('Item Master'!$B$6:$B$105,MATCH(C411,'Item Master'!$A$6:$A$105,0)),"?"))</f>
        <v/>
      </c>
      <c r="E411" s="82"/>
      <c r="F411" s="83"/>
      <c r="G411" s="84"/>
      <c r="H411" s="81"/>
      <c r="I411" s="80"/>
      <c r="J411" s="41" t="str">
        <f aca="false">IF(OR(C411="",G411=""),"",N(F411)*N(G411))</f>
        <v/>
      </c>
      <c r="K411" s="48" t="str">
        <f aca="false">IF(M411="","",N(IFERROR(INDEX('Item Master'!$E$6:$E$105,MATCH(C411,'Item Master'!$A$6:$A$105,0)),0))+SUMIFS($F$7:$F$506,$C$7:$C$506,C411,$E$7:$E$506,"In",$M$7:$M$506,"&lt;="&amp;M411)-SUMIFS($F$7:$F$506,$C$7:$C$506,C411,$E$7:$E$506,"Out",$M$7:$M$506,"&lt;="&amp;M411))</f>
        <v/>
      </c>
      <c r="L411" s="44" t="str">
        <f aca="false">IF(AND(B411="",C411="",F411=""),"",IF(C411="","⚠ Pick item",IF(D411="?","⚠ Code not in Item Master",IF(B411="","⚠ Enter date",IF(OR(E411="",N(F411)&lt;=0),"⚠ Type / quantity missing",IF(AND(E411="In",G411=""),"⚠ Enter purchase rate",IF(OR(B411&lt;Setup!$C$6,B411&gt;Setup!$C$7),"Outside period",IF(K411&lt;0,"⚠ Stock goes negative","✔ OK"))))))))</f>
        <v/>
      </c>
      <c r="M411" s="9" t="str">
        <f aca="false">IF(OR(C411="",B411=""),"",B411+ROW()/1000000)</f>
        <v/>
      </c>
      <c r="N411" s="9" t="str">
        <f aca="false">IF(AND(E411="In",M411&lt;&gt;""),SUMIFS($F$7:$F$506,$C$7:$C$506,C411,$E$7:$E$506,"In",$M$7:$M$506,"&gt;"&amp;M411),"")</f>
        <v/>
      </c>
      <c r="O411" s="9" t="str">
        <f aca="false">IF(N411="","",IFERROR(INDEX('Item Master'!$K$6:$K$105,MATCH(C411,'Item Master'!$A$6:$A$105,0)),0))</f>
        <v/>
      </c>
      <c r="P411" s="9" t="n">
        <f aca="false">IF(N411="",0,MAX(0,MIN(N(F411),O411-N411))*N(G411))</f>
        <v>0</v>
      </c>
      <c r="Q411" s="9" t="str">
        <f aca="false">IF(AND(C411&lt;&gt;"",C411='Stock Ledger'!$C$4),M411,"")</f>
        <v/>
      </c>
    </row>
    <row r="412" customFormat="false" ht="15" hidden="false" customHeight="false" outlineLevel="0" collapsed="false">
      <c r="A412" s="45" t="str">
        <f aca="false">IF(C412="","",ROW()-6)</f>
        <v/>
      </c>
      <c r="B412" s="85"/>
      <c r="C412" s="80"/>
      <c r="D412" s="47" t="str">
        <f aca="false">IF(C412="","",IFERROR(INDEX('Item Master'!$B$6:$B$105,MATCH(C412,'Item Master'!$A$6:$A$105,0)),"?"))</f>
        <v/>
      </c>
      <c r="E412" s="82"/>
      <c r="F412" s="83"/>
      <c r="G412" s="84"/>
      <c r="H412" s="81"/>
      <c r="I412" s="80"/>
      <c r="J412" s="41" t="str">
        <f aca="false">IF(OR(C412="",G412=""),"",N(F412)*N(G412))</f>
        <v/>
      </c>
      <c r="K412" s="48" t="str">
        <f aca="false">IF(M412="","",N(IFERROR(INDEX('Item Master'!$E$6:$E$105,MATCH(C412,'Item Master'!$A$6:$A$105,0)),0))+SUMIFS($F$7:$F$506,$C$7:$C$506,C412,$E$7:$E$506,"In",$M$7:$M$506,"&lt;="&amp;M412)-SUMIFS($F$7:$F$506,$C$7:$C$506,C412,$E$7:$E$506,"Out",$M$7:$M$506,"&lt;="&amp;M412))</f>
        <v/>
      </c>
      <c r="L412" s="44" t="str">
        <f aca="false">IF(AND(B412="",C412="",F412=""),"",IF(C412="","⚠ Pick item",IF(D412="?","⚠ Code not in Item Master",IF(B412="","⚠ Enter date",IF(OR(E412="",N(F412)&lt;=0),"⚠ Type / quantity missing",IF(AND(E412="In",G412=""),"⚠ Enter purchase rate",IF(OR(B412&lt;Setup!$C$6,B412&gt;Setup!$C$7),"Outside period",IF(K412&lt;0,"⚠ Stock goes negative","✔ OK"))))))))</f>
        <v/>
      </c>
      <c r="M412" s="9" t="str">
        <f aca="false">IF(OR(C412="",B412=""),"",B412+ROW()/1000000)</f>
        <v/>
      </c>
      <c r="N412" s="9" t="str">
        <f aca="false">IF(AND(E412="In",M412&lt;&gt;""),SUMIFS($F$7:$F$506,$C$7:$C$506,C412,$E$7:$E$506,"In",$M$7:$M$506,"&gt;"&amp;M412),"")</f>
        <v/>
      </c>
      <c r="O412" s="9" t="str">
        <f aca="false">IF(N412="","",IFERROR(INDEX('Item Master'!$K$6:$K$105,MATCH(C412,'Item Master'!$A$6:$A$105,0)),0))</f>
        <v/>
      </c>
      <c r="P412" s="9" t="n">
        <f aca="false">IF(N412="",0,MAX(0,MIN(N(F412),O412-N412))*N(G412))</f>
        <v>0</v>
      </c>
      <c r="Q412" s="9" t="str">
        <f aca="false">IF(AND(C412&lt;&gt;"",C412='Stock Ledger'!$C$4),M412,"")</f>
        <v/>
      </c>
    </row>
    <row r="413" customFormat="false" ht="15" hidden="false" customHeight="false" outlineLevel="0" collapsed="false">
      <c r="A413" s="45" t="str">
        <f aca="false">IF(C413="","",ROW()-6)</f>
        <v/>
      </c>
      <c r="B413" s="85"/>
      <c r="C413" s="80"/>
      <c r="D413" s="47" t="str">
        <f aca="false">IF(C413="","",IFERROR(INDEX('Item Master'!$B$6:$B$105,MATCH(C413,'Item Master'!$A$6:$A$105,0)),"?"))</f>
        <v/>
      </c>
      <c r="E413" s="82"/>
      <c r="F413" s="83"/>
      <c r="G413" s="84"/>
      <c r="H413" s="81"/>
      <c r="I413" s="80"/>
      <c r="J413" s="41" t="str">
        <f aca="false">IF(OR(C413="",G413=""),"",N(F413)*N(G413))</f>
        <v/>
      </c>
      <c r="K413" s="48" t="str">
        <f aca="false">IF(M413="","",N(IFERROR(INDEX('Item Master'!$E$6:$E$105,MATCH(C413,'Item Master'!$A$6:$A$105,0)),0))+SUMIFS($F$7:$F$506,$C$7:$C$506,C413,$E$7:$E$506,"In",$M$7:$M$506,"&lt;="&amp;M413)-SUMIFS($F$7:$F$506,$C$7:$C$506,C413,$E$7:$E$506,"Out",$M$7:$M$506,"&lt;="&amp;M413))</f>
        <v/>
      </c>
      <c r="L413" s="44" t="str">
        <f aca="false">IF(AND(B413="",C413="",F413=""),"",IF(C413="","⚠ Pick item",IF(D413="?","⚠ Code not in Item Master",IF(B413="","⚠ Enter date",IF(OR(E413="",N(F413)&lt;=0),"⚠ Type / quantity missing",IF(AND(E413="In",G413=""),"⚠ Enter purchase rate",IF(OR(B413&lt;Setup!$C$6,B413&gt;Setup!$C$7),"Outside period",IF(K413&lt;0,"⚠ Stock goes negative","✔ OK"))))))))</f>
        <v/>
      </c>
      <c r="M413" s="9" t="str">
        <f aca="false">IF(OR(C413="",B413=""),"",B413+ROW()/1000000)</f>
        <v/>
      </c>
      <c r="N413" s="9" t="str">
        <f aca="false">IF(AND(E413="In",M413&lt;&gt;""),SUMIFS($F$7:$F$506,$C$7:$C$506,C413,$E$7:$E$506,"In",$M$7:$M$506,"&gt;"&amp;M413),"")</f>
        <v/>
      </c>
      <c r="O413" s="9" t="str">
        <f aca="false">IF(N413="","",IFERROR(INDEX('Item Master'!$K$6:$K$105,MATCH(C413,'Item Master'!$A$6:$A$105,0)),0))</f>
        <v/>
      </c>
      <c r="P413" s="9" t="n">
        <f aca="false">IF(N413="",0,MAX(0,MIN(N(F413),O413-N413))*N(G413))</f>
        <v>0</v>
      </c>
      <c r="Q413" s="9" t="str">
        <f aca="false">IF(AND(C413&lt;&gt;"",C413='Stock Ledger'!$C$4),M413,"")</f>
        <v/>
      </c>
    </row>
    <row r="414" customFormat="false" ht="15" hidden="false" customHeight="false" outlineLevel="0" collapsed="false">
      <c r="A414" s="45" t="str">
        <f aca="false">IF(C414="","",ROW()-6)</f>
        <v/>
      </c>
      <c r="B414" s="85"/>
      <c r="C414" s="80"/>
      <c r="D414" s="47" t="str">
        <f aca="false">IF(C414="","",IFERROR(INDEX('Item Master'!$B$6:$B$105,MATCH(C414,'Item Master'!$A$6:$A$105,0)),"?"))</f>
        <v/>
      </c>
      <c r="E414" s="82"/>
      <c r="F414" s="83"/>
      <c r="G414" s="84"/>
      <c r="H414" s="81"/>
      <c r="I414" s="80"/>
      <c r="J414" s="41" t="str">
        <f aca="false">IF(OR(C414="",G414=""),"",N(F414)*N(G414))</f>
        <v/>
      </c>
      <c r="K414" s="48" t="str">
        <f aca="false">IF(M414="","",N(IFERROR(INDEX('Item Master'!$E$6:$E$105,MATCH(C414,'Item Master'!$A$6:$A$105,0)),0))+SUMIFS($F$7:$F$506,$C$7:$C$506,C414,$E$7:$E$506,"In",$M$7:$M$506,"&lt;="&amp;M414)-SUMIFS($F$7:$F$506,$C$7:$C$506,C414,$E$7:$E$506,"Out",$M$7:$M$506,"&lt;="&amp;M414))</f>
        <v/>
      </c>
      <c r="L414" s="44" t="str">
        <f aca="false">IF(AND(B414="",C414="",F414=""),"",IF(C414="","⚠ Pick item",IF(D414="?","⚠ Code not in Item Master",IF(B414="","⚠ Enter date",IF(OR(E414="",N(F414)&lt;=0),"⚠ Type / quantity missing",IF(AND(E414="In",G414=""),"⚠ Enter purchase rate",IF(OR(B414&lt;Setup!$C$6,B414&gt;Setup!$C$7),"Outside period",IF(K414&lt;0,"⚠ Stock goes negative","✔ OK"))))))))</f>
        <v/>
      </c>
      <c r="M414" s="9" t="str">
        <f aca="false">IF(OR(C414="",B414=""),"",B414+ROW()/1000000)</f>
        <v/>
      </c>
      <c r="N414" s="9" t="str">
        <f aca="false">IF(AND(E414="In",M414&lt;&gt;""),SUMIFS($F$7:$F$506,$C$7:$C$506,C414,$E$7:$E$506,"In",$M$7:$M$506,"&gt;"&amp;M414),"")</f>
        <v/>
      </c>
      <c r="O414" s="9" t="str">
        <f aca="false">IF(N414="","",IFERROR(INDEX('Item Master'!$K$6:$K$105,MATCH(C414,'Item Master'!$A$6:$A$105,0)),0))</f>
        <v/>
      </c>
      <c r="P414" s="9" t="n">
        <f aca="false">IF(N414="",0,MAX(0,MIN(N(F414),O414-N414))*N(G414))</f>
        <v>0</v>
      </c>
      <c r="Q414" s="9" t="str">
        <f aca="false">IF(AND(C414&lt;&gt;"",C414='Stock Ledger'!$C$4),M414,"")</f>
        <v/>
      </c>
    </row>
    <row r="415" customFormat="false" ht="15" hidden="false" customHeight="false" outlineLevel="0" collapsed="false">
      <c r="A415" s="45" t="str">
        <f aca="false">IF(C415="","",ROW()-6)</f>
        <v/>
      </c>
      <c r="B415" s="85"/>
      <c r="C415" s="80"/>
      <c r="D415" s="47" t="str">
        <f aca="false">IF(C415="","",IFERROR(INDEX('Item Master'!$B$6:$B$105,MATCH(C415,'Item Master'!$A$6:$A$105,0)),"?"))</f>
        <v/>
      </c>
      <c r="E415" s="82"/>
      <c r="F415" s="83"/>
      <c r="G415" s="84"/>
      <c r="H415" s="81"/>
      <c r="I415" s="80"/>
      <c r="J415" s="41" t="str">
        <f aca="false">IF(OR(C415="",G415=""),"",N(F415)*N(G415))</f>
        <v/>
      </c>
      <c r="K415" s="48" t="str">
        <f aca="false">IF(M415="","",N(IFERROR(INDEX('Item Master'!$E$6:$E$105,MATCH(C415,'Item Master'!$A$6:$A$105,0)),0))+SUMIFS($F$7:$F$506,$C$7:$C$506,C415,$E$7:$E$506,"In",$M$7:$M$506,"&lt;="&amp;M415)-SUMIFS($F$7:$F$506,$C$7:$C$506,C415,$E$7:$E$506,"Out",$M$7:$M$506,"&lt;="&amp;M415))</f>
        <v/>
      </c>
      <c r="L415" s="44" t="str">
        <f aca="false">IF(AND(B415="",C415="",F415=""),"",IF(C415="","⚠ Pick item",IF(D415="?","⚠ Code not in Item Master",IF(B415="","⚠ Enter date",IF(OR(E415="",N(F415)&lt;=0),"⚠ Type / quantity missing",IF(AND(E415="In",G415=""),"⚠ Enter purchase rate",IF(OR(B415&lt;Setup!$C$6,B415&gt;Setup!$C$7),"Outside period",IF(K415&lt;0,"⚠ Stock goes negative","✔ OK"))))))))</f>
        <v/>
      </c>
      <c r="M415" s="9" t="str">
        <f aca="false">IF(OR(C415="",B415=""),"",B415+ROW()/1000000)</f>
        <v/>
      </c>
      <c r="N415" s="9" t="str">
        <f aca="false">IF(AND(E415="In",M415&lt;&gt;""),SUMIFS($F$7:$F$506,$C$7:$C$506,C415,$E$7:$E$506,"In",$M$7:$M$506,"&gt;"&amp;M415),"")</f>
        <v/>
      </c>
      <c r="O415" s="9" t="str">
        <f aca="false">IF(N415="","",IFERROR(INDEX('Item Master'!$K$6:$K$105,MATCH(C415,'Item Master'!$A$6:$A$105,0)),0))</f>
        <v/>
      </c>
      <c r="P415" s="9" t="n">
        <f aca="false">IF(N415="",0,MAX(0,MIN(N(F415),O415-N415))*N(G415))</f>
        <v>0</v>
      </c>
      <c r="Q415" s="9" t="str">
        <f aca="false">IF(AND(C415&lt;&gt;"",C415='Stock Ledger'!$C$4),M415,"")</f>
        <v/>
      </c>
    </row>
    <row r="416" customFormat="false" ht="15" hidden="false" customHeight="false" outlineLevel="0" collapsed="false">
      <c r="A416" s="45" t="str">
        <f aca="false">IF(C416="","",ROW()-6)</f>
        <v/>
      </c>
      <c r="B416" s="85"/>
      <c r="C416" s="80"/>
      <c r="D416" s="47" t="str">
        <f aca="false">IF(C416="","",IFERROR(INDEX('Item Master'!$B$6:$B$105,MATCH(C416,'Item Master'!$A$6:$A$105,0)),"?"))</f>
        <v/>
      </c>
      <c r="E416" s="82"/>
      <c r="F416" s="83"/>
      <c r="G416" s="84"/>
      <c r="H416" s="81"/>
      <c r="I416" s="80"/>
      <c r="J416" s="41" t="str">
        <f aca="false">IF(OR(C416="",G416=""),"",N(F416)*N(G416))</f>
        <v/>
      </c>
      <c r="K416" s="48" t="str">
        <f aca="false">IF(M416="","",N(IFERROR(INDEX('Item Master'!$E$6:$E$105,MATCH(C416,'Item Master'!$A$6:$A$105,0)),0))+SUMIFS($F$7:$F$506,$C$7:$C$506,C416,$E$7:$E$506,"In",$M$7:$M$506,"&lt;="&amp;M416)-SUMIFS($F$7:$F$506,$C$7:$C$506,C416,$E$7:$E$506,"Out",$M$7:$M$506,"&lt;="&amp;M416))</f>
        <v/>
      </c>
      <c r="L416" s="44" t="str">
        <f aca="false">IF(AND(B416="",C416="",F416=""),"",IF(C416="","⚠ Pick item",IF(D416="?","⚠ Code not in Item Master",IF(B416="","⚠ Enter date",IF(OR(E416="",N(F416)&lt;=0),"⚠ Type / quantity missing",IF(AND(E416="In",G416=""),"⚠ Enter purchase rate",IF(OR(B416&lt;Setup!$C$6,B416&gt;Setup!$C$7),"Outside period",IF(K416&lt;0,"⚠ Stock goes negative","✔ OK"))))))))</f>
        <v/>
      </c>
      <c r="M416" s="9" t="str">
        <f aca="false">IF(OR(C416="",B416=""),"",B416+ROW()/1000000)</f>
        <v/>
      </c>
      <c r="N416" s="9" t="str">
        <f aca="false">IF(AND(E416="In",M416&lt;&gt;""),SUMIFS($F$7:$F$506,$C$7:$C$506,C416,$E$7:$E$506,"In",$M$7:$M$506,"&gt;"&amp;M416),"")</f>
        <v/>
      </c>
      <c r="O416" s="9" t="str">
        <f aca="false">IF(N416="","",IFERROR(INDEX('Item Master'!$K$6:$K$105,MATCH(C416,'Item Master'!$A$6:$A$105,0)),0))</f>
        <v/>
      </c>
      <c r="P416" s="9" t="n">
        <f aca="false">IF(N416="",0,MAX(0,MIN(N(F416),O416-N416))*N(G416))</f>
        <v>0</v>
      </c>
      <c r="Q416" s="9" t="str">
        <f aca="false">IF(AND(C416&lt;&gt;"",C416='Stock Ledger'!$C$4),M416,"")</f>
        <v/>
      </c>
    </row>
    <row r="417" customFormat="false" ht="15" hidden="false" customHeight="false" outlineLevel="0" collapsed="false">
      <c r="A417" s="45" t="str">
        <f aca="false">IF(C417="","",ROW()-6)</f>
        <v/>
      </c>
      <c r="B417" s="85"/>
      <c r="C417" s="80"/>
      <c r="D417" s="47" t="str">
        <f aca="false">IF(C417="","",IFERROR(INDEX('Item Master'!$B$6:$B$105,MATCH(C417,'Item Master'!$A$6:$A$105,0)),"?"))</f>
        <v/>
      </c>
      <c r="E417" s="82"/>
      <c r="F417" s="83"/>
      <c r="G417" s="84"/>
      <c r="H417" s="81"/>
      <c r="I417" s="80"/>
      <c r="J417" s="41" t="str">
        <f aca="false">IF(OR(C417="",G417=""),"",N(F417)*N(G417))</f>
        <v/>
      </c>
      <c r="K417" s="48" t="str">
        <f aca="false">IF(M417="","",N(IFERROR(INDEX('Item Master'!$E$6:$E$105,MATCH(C417,'Item Master'!$A$6:$A$105,0)),0))+SUMIFS($F$7:$F$506,$C$7:$C$506,C417,$E$7:$E$506,"In",$M$7:$M$506,"&lt;="&amp;M417)-SUMIFS($F$7:$F$506,$C$7:$C$506,C417,$E$7:$E$506,"Out",$M$7:$M$506,"&lt;="&amp;M417))</f>
        <v/>
      </c>
      <c r="L417" s="44" t="str">
        <f aca="false">IF(AND(B417="",C417="",F417=""),"",IF(C417="","⚠ Pick item",IF(D417="?","⚠ Code not in Item Master",IF(B417="","⚠ Enter date",IF(OR(E417="",N(F417)&lt;=0),"⚠ Type / quantity missing",IF(AND(E417="In",G417=""),"⚠ Enter purchase rate",IF(OR(B417&lt;Setup!$C$6,B417&gt;Setup!$C$7),"Outside period",IF(K417&lt;0,"⚠ Stock goes negative","✔ OK"))))))))</f>
        <v/>
      </c>
      <c r="M417" s="9" t="str">
        <f aca="false">IF(OR(C417="",B417=""),"",B417+ROW()/1000000)</f>
        <v/>
      </c>
      <c r="N417" s="9" t="str">
        <f aca="false">IF(AND(E417="In",M417&lt;&gt;""),SUMIFS($F$7:$F$506,$C$7:$C$506,C417,$E$7:$E$506,"In",$M$7:$M$506,"&gt;"&amp;M417),"")</f>
        <v/>
      </c>
      <c r="O417" s="9" t="str">
        <f aca="false">IF(N417="","",IFERROR(INDEX('Item Master'!$K$6:$K$105,MATCH(C417,'Item Master'!$A$6:$A$105,0)),0))</f>
        <v/>
      </c>
      <c r="P417" s="9" t="n">
        <f aca="false">IF(N417="",0,MAX(0,MIN(N(F417),O417-N417))*N(G417))</f>
        <v>0</v>
      </c>
      <c r="Q417" s="9" t="str">
        <f aca="false">IF(AND(C417&lt;&gt;"",C417='Stock Ledger'!$C$4),M417,"")</f>
        <v/>
      </c>
    </row>
    <row r="418" customFormat="false" ht="15" hidden="false" customHeight="false" outlineLevel="0" collapsed="false">
      <c r="A418" s="45" t="str">
        <f aca="false">IF(C418="","",ROW()-6)</f>
        <v/>
      </c>
      <c r="B418" s="85"/>
      <c r="C418" s="80"/>
      <c r="D418" s="47" t="str">
        <f aca="false">IF(C418="","",IFERROR(INDEX('Item Master'!$B$6:$B$105,MATCH(C418,'Item Master'!$A$6:$A$105,0)),"?"))</f>
        <v/>
      </c>
      <c r="E418" s="82"/>
      <c r="F418" s="83"/>
      <c r="G418" s="84"/>
      <c r="H418" s="81"/>
      <c r="I418" s="80"/>
      <c r="J418" s="41" t="str">
        <f aca="false">IF(OR(C418="",G418=""),"",N(F418)*N(G418))</f>
        <v/>
      </c>
      <c r="K418" s="48" t="str">
        <f aca="false">IF(M418="","",N(IFERROR(INDEX('Item Master'!$E$6:$E$105,MATCH(C418,'Item Master'!$A$6:$A$105,0)),0))+SUMIFS($F$7:$F$506,$C$7:$C$506,C418,$E$7:$E$506,"In",$M$7:$M$506,"&lt;="&amp;M418)-SUMIFS($F$7:$F$506,$C$7:$C$506,C418,$E$7:$E$506,"Out",$M$7:$M$506,"&lt;="&amp;M418))</f>
        <v/>
      </c>
      <c r="L418" s="44" t="str">
        <f aca="false">IF(AND(B418="",C418="",F418=""),"",IF(C418="","⚠ Pick item",IF(D418="?","⚠ Code not in Item Master",IF(B418="","⚠ Enter date",IF(OR(E418="",N(F418)&lt;=0),"⚠ Type / quantity missing",IF(AND(E418="In",G418=""),"⚠ Enter purchase rate",IF(OR(B418&lt;Setup!$C$6,B418&gt;Setup!$C$7),"Outside period",IF(K418&lt;0,"⚠ Stock goes negative","✔ OK"))))))))</f>
        <v/>
      </c>
      <c r="M418" s="9" t="str">
        <f aca="false">IF(OR(C418="",B418=""),"",B418+ROW()/1000000)</f>
        <v/>
      </c>
      <c r="N418" s="9" t="str">
        <f aca="false">IF(AND(E418="In",M418&lt;&gt;""),SUMIFS($F$7:$F$506,$C$7:$C$506,C418,$E$7:$E$506,"In",$M$7:$M$506,"&gt;"&amp;M418),"")</f>
        <v/>
      </c>
      <c r="O418" s="9" t="str">
        <f aca="false">IF(N418="","",IFERROR(INDEX('Item Master'!$K$6:$K$105,MATCH(C418,'Item Master'!$A$6:$A$105,0)),0))</f>
        <v/>
      </c>
      <c r="P418" s="9" t="n">
        <f aca="false">IF(N418="",0,MAX(0,MIN(N(F418),O418-N418))*N(G418))</f>
        <v>0</v>
      </c>
      <c r="Q418" s="9" t="str">
        <f aca="false">IF(AND(C418&lt;&gt;"",C418='Stock Ledger'!$C$4),M418,"")</f>
        <v/>
      </c>
    </row>
    <row r="419" customFormat="false" ht="15" hidden="false" customHeight="false" outlineLevel="0" collapsed="false">
      <c r="A419" s="45" t="str">
        <f aca="false">IF(C419="","",ROW()-6)</f>
        <v/>
      </c>
      <c r="B419" s="85"/>
      <c r="C419" s="80"/>
      <c r="D419" s="47" t="str">
        <f aca="false">IF(C419="","",IFERROR(INDEX('Item Master'!$B$6:$B$105,MATCH(C419,'Item Master'!$A$6:$A$105,0)),"?"))</f>
        <v/>
      </c>
      <c r="E419" s="82"/>
      <c r="F419" s="83"/>
      <c r="G419" s="84"/>
      <c r="H419" s="81"/>
      <c r="I419" s="80"/>
      <c r="J419" s="41" t="str">
        <f aca="false">IF(OR(C419="",G419=""),"",N(F419)*N(G419))</f>
        <v/>
      </c>
      <c r="K419" s="48" t="str">
        <f aca="false">IF(M419="","",N(IFERROR(INDEX('Item Master'!$E$6:$E$105,MATCH(C419,'Item Master'!$A$6:$A$105,0)),0))+SUMIFS($F$7:$F$506,$C$7:$C$506,C419,$E$7:$E$506,"In",$M$7:$M$506,"&lt;="&amp;M419)-SUMIFS($F$7:$F$506,$C$7:$C$506,C419,$E$7:$E$506,"Out",$M$7:$M$506,"&lt;="&amp;M419))</f>
        <v/>
      </c>
      <c r="L419" s="44" t="str">
        <f aca="false">IF(AND(B419="",C419="",F419=""),"",IF(C419="","⚠ Pick item",IF(D419="?","⚠ Code not in Item Master",IF(B419="","⚠ Enter date",IF(OR(E419="",N(F419)&lt;=0),"⚠ Type / quantity missing",IF(AND(E419="In",G419=""),"⚠ Enter purchase rate",IF(OR(B419&lt;Setup!$C$6,B419&gt;Setup!$C$7),"Outside period",IF(K419&lt;0,"⚠ Stock goes negative","✔ OK"))))))))</f>
        <v/>
      </c>
      <c r="M419" s="9" t="str">
        <f aca="false">IF(OR(C419="",B419=""),"",B419+ROW()/1000000)</f>
        <v/>
      </c>
      <c r="N419" s="9" t="str">
        <f aca="false">IF(AND(E419="In",M419&lt;&gt;""),SUMIFS($F$7:$F$506,$C$7:$C$506,C419,$E$7:$E$506,"In",$M$7:$M$506,"&gt;"&amp;M419),"")</f>
        <v/>
      </c>
      <c r="O419" s="9" t="str">
        <f aca="false">IF(N419="","",IFERROR(INDEX('Item Master'!$K$6:$K$105,MATCH(C419,'Item Master'!$A$6:$A$105,0)),0))</f>
        <v/>
      </c>
      <c r="P419" s="9" t="n">
        <f aca="false">IF(N419="",0,MAX(0,MIN(N(F419),O419-N419))*N(G419))</f>
        <v>0</v>
      </c>
      <c r="Q419" s="9" t="str">
        <f aca="false">IF(AND(C419&lt;&gt;"",C419='Stock Ledger'!$C$4),M419,"")</f>
        <v/>
      </c>
    </row>
    <row r="420" customFormat="false" ht="15" hidden="false" customHeight="false" outlineLevel="0" collapsed="false">
      <c r="A420" s="45" t="str">
        <f aca="false">IF(C420="","",ROW()-6)</f>
        <v/>
      </c>
      <c r="B420" s="85"/>
      <c r="C420" s="80"/>
      <c r="D420" s="47" t="str">
        <f aca="false">IF(C420="","",IFERROR(INDEX('Item Master'!$B$6:$B$105,MATCH(C420,'Item Master'!$A$6:$A$105,0)),"?"))</f>
        <v/>
      </c>
      <c r="E420" s="82"/>
      <c r="F420" s="83"/>
      <c r="G420" s="84"/>
      <c r="H420" s="81"/>
      <c r="I420" s="80"/>
      <c r="J420" s="41" t="str">
        <f aca="false">IF(OR(C420="",G420=""),"",N(F420)*N(G420))</f>
        <v/>
      </c>
      <c r="K420" s="48" t="str">
        <f aca="false">IF(M420="","",N(IFERROR(INDEX('Item Master'!$E$6:$E$105,MATCH(C420,'Item Master'!$A$6:$A$105,0)),0))+SUMIFS($F$7:$F$506,$C$7:$C$506,C420,$E$7:$E$506,"In",$M$7:$M$506,"&lt;="&amp;M420)-SUMIFS($F$7:$F$506,$C$7:$C$506,C420,$E$7:$E$506,"Out",$M$7:$M$506,"&lt;="&amp;M420))</f>
        <v/>
      </c>
      <c r="L420" s="44" t="str">
        <f aca="false">IF(AND(B420="",C420="",F420=""),"",IF(C420="","⚠ Pick item",IF(D420="?","⚠ Code not in Item Master",IF(B420="","⚠ Enter date",IF(OR(E420="",N(F420)&lt;=0),"⚠ Type / quantity missing",IF(AND(E420="In",G420=""),"⚠ Enter purchase rate",IF(OR(B420&lt;Setup!$C$6,B420&gt;Setup!$C$7),"Outside period",IF(K420&lt;0,"⚠ Stock goes negative","✔ OK"))))))))</f>
        <v/>
      </c>
      <c r="M420" s="9" t="str">
        <f aca="false">IF(OR(C420="",B420=""),"",B420+ROW()/1000000)</f>
        <v/>
      </c>
      <c r="N420" s="9" t="str">
        <f aca="false">IF(AND(E420="In",M420&lt;&gt;""),SUMIFS($F$7:$F$506,$C$7:$C$506,C420,$E$7:$E$506,"In",$M$7:$M$506,"&gt;"&amp;M420),"")</f>
        <v/>
      </c>
      <c r="O420" s="9" t="str">
        <f aca="false">IF(N420="","",IFERROR(INDEX('Item Master'!$K$6:$K$105,MATCH(C420,'Item Master'!$A$6:$A$105,0)),0))</f>
        <v/>
      </c>
      <c r="P420" s="9" t="n">
        <f aca="false">IF(N420="",0,MAX(0,MIN(N(F420),O420-N420))*N(G420))</f>
        <v>0</v>
      </c>
      <c r="Q420" s="9" t="str">
        <f aca="false">IF(AND(C420&lt;&gt;"",C420='Stock Ledger'!$C$4),M420,"")</f>
        <v/>
      </c>
    </row>
    <row r="421" customFormat="false" ht="15" hidden="false" customHeight="false" outlineLevel="0" collapsed="false">
      <c r="A421" s="45" t="str">
        <f aca="false">IF(C421="","",ROW()-6)</f>
        <v/>
      </c>
      <c r="B421" s="85"/>
      <c r="C421" s="80"/>
      <c r="D421" s="47" t="str">
        <f aca="false">IF(C421="","",IFERROR(INDEX('Item Master'!$B$6:$B$105,MATCH(C421,'Item Master'!$A$6:$A$105,0)),"?"))</f>
        <v/>
      </c>
      <c r="E421" s="82"/>
      <c r="F421" s="83"/>
      <c r="G421" s="84"/>
      <c r="H421" s="81"/>
      <c r="I421" s="80"/>
      <c r="J421" s="41" t="str">
        <f aca="false">IF(OR(C421="",G421=""),"",N(F421)*N(G421))</f>
        <v/>
      </c>
      <c r="K421" s="48" t="str">
        <f aca="false">IF(M421="","",N(IFERROR(INDEX('Item Master'!$E$6:$E$105,MATCH(C421,'Item Master'!$A$6:$A$105,0)),0))+SUMIFS($F$7:$F$506,$C$7:$C$506,C421,$E$7:$E$506,"In",$M$7:$M$506,"&lt;="&amp;M421)-SUMIFS($F$7:$F$506,$C$7:$C$506,C421,$E$7:$E$506,"Out",$M$7:$M$506,"&lt;="&amp;M421))</f>
        <v/>
      </c>
      <c r="L421" s="44" t="str">
        <f aca="false">IF(AND(B421="",C421="",F421=""),"",IF(C421="","⚠ Pick item",IF(D421="?","⚠ Code not in Item Master",IF(B421="","⚠ Enter date",IF(OR(E421="",N(F421)&lt;=0),"⚠ Type / quantity missing",IF(AND(E421="In",G421=""),"⚠ Enter purchase rate",IF(OR(B421&lt;Setup!$C$6,B421&gt;Setup!$C$7),"Outside period",IF(K421&lt;0,"⚠ Stock goes negative","✔ OK"))))))))</f>
        <v/>
      </c>
      <c r="M421" s="9" t="str">
        <f aca="false">IF(OR(C421="",B421=""),"",B421+ROW()/1000000)</f>
        <v/>
      </c>
      <c r="N421" s="9" t="str">
        <f aca="false">IF(AND(E421="In",M421&lt;&gt;""),SUMIFS($F$7:$F$506,$C$7:$C$506,C421,$E$7:$E$506,"In",$M$7:$M$506,"&gt;"&amp;M421),"")</f>
        <v/>
      </c>
      <c r="O421" s="9" t="str">
        <f aca="false">IF(N421="","",IFERROR(INDEX('Item Master'!$K$6:$K$105,MATCH(C421,'Item Master'!$A$6:$A$105,0)),0))</f>
        <v/>
      </c>
      <c r="P421" s="9" t="n">
        <f aca="false">IF(N421="",0,MAX(0,MIN(N(F421),O421-N421))*N(G421))</f>
        <v>0</v>
      </c>
      <c r="Q421" s="9" t="str">
        <f aca="false">IF(AND(C421&lt;&gt;"",C421='Stock Ledger'!$C$4),M421,"")</f>
        <v/>
      </c>
    </row>
    <row r="422" customFormat="false" ht="15" hidden="false" customHeight="false" outlineLevel="0" collapsed="false">
      <c r="A422" s="45" t="str">
        <f aca="false">IF(C422="","",ROW()-6)</f>
        <v/>
      </c>
      <c r="B422" s="85"/>
      <c r="C422" s="80"/>
      <c r="D422" s="47" t="str">
        <f aca="false">IF(C422="","",IFERROR(INDEX('Item Master'!$B$6:$B$105,MATCH(C422,'Item Master'!$A$6:$A$105,0)),"?"))</f>
        <v/>
      </c>
      <c r="E422" s="82"/>
      <c r="F422" s="83"/>
      <c r="G422" s="84"/>
      <c r="H422" s="81"/>
      <c r="I422" s="80"/>
      <c r="J422" s="41" t="str">
        <f aca="false">IF(OR(C422="",G422=""),"",N(F422)*N(G422))</f>
        <v/>
      </c>
      <c r="K422" s="48" t="str">
        <f aca="false">IF(M422="","",N(IFERROR(INDEX('Item Master'!$E$6:$E$105,MATCH(C422,'Item Master'!$A$6:$A$105,0)),0))+SUMIFS($F$7:$F$506,$C$7:$C$506,C422,$E$7:$E$506,"In",$M$7:$M$506,"&lt;="&amp;M422)-SUMIFS($F$7:$F$506,$C$7:$C$506,C422,$E$7:$E$506,"Out",$M$7:$M$506,"&lt;="&amp;M422))</f>
        <v/>
      </c>
      <c r="L422" s="44" t="str">
        <f aca="false">IF(AND(B422="",C422="",F422=""),"",IF(C422="","⚠ Pick item",IF(D422="?","⚠ Code not in Item Master",IF(B422="","⚠ Enter date",IF(OR(E422="",N(F422)&lt;=0),"⚠ Type / quantity missing",IF(AND(E422="In",G422=""),"⚠ Enter purchase rate",IF(OR(B422&lt;Setup!$C$6,B422&gt;Setup!$C$7),"Outside period",IF(K422&lt;0,"⚠ Stock goes negative","✔ OK"))))))))</f>
        <v/>
      </c>
      <c r="M422" s="9" t="str">
        <f aca="false">IF(OR(C422="",B422=""),"",B422+ROW()/1000000)</f>
        <v/>
      </c>
      <c r="N422" s="9" t="str">
        <f aca="false">IF(AND(E422="In",M422&lt;&gt;""),SUMIFS($F$7:$F$506,$C$7:$C$506,C422,$E$7:$E$506,"In",$M$7:$M$506,"&gt;"&amp;M422),"")</f>
        <v/>
      </c>
      <c r="O422" s="9" t="str">
        <f aca="false">IF(N422="","",IFERROR(INDEX('Item Master'!$K$6:$K$105,MATCH(C422,'Item Master'!$A$6:$A$105,0)),0))</f>
        <v/>
      </c>
      <c r="P422" s="9" t="n">
        <f aca="false">IF(N422="",0,MAX(0,MIN(N(F422),O422-N422))*N(G422))</f>
        <v>0</v>
      </c>
      <c r="Q422" s="9" t="str">
        <f aca="false">IF(AND(C422&lt;&gt;"",C422='Stock Ledger'!$C$4),M422,"")</f>
        <v/>
      </c>
    </row>
    <row r="423" customFormat="false" ht="15" hidden="false" customHeight="false" outlineLevel="0" collapsed="false">
      <c r="A423" s="45" t="str">
        <f aca="false">IF(C423="","",ROW()-6)</f>
        <v/>
      </c>
      <c r="B423" s="85"/>
      <c r="C423" s="80"/>
      <c r="D423" s="47" t="str">
        <f aca="false">IF(C423="","",IFERROR(INDEX('Item Master'!$B$6:$B$105,MATCH(C423,'Item Master'!$A$6:$A$105,0)),"?"))</f>
        <v/>
      </c>
      <c r="E423" s="82"/>
      <c r="F423" s="83"/>
      <c r="G423" s="84"/>
      <c r="H423" s="81"/>
      <c r="I423" s="80"/>
      <c r="J423" s="41" t="str">
        <f aca="false">IF(OR(C423="",G423=""),"",N(F423)*N(G423))</f>
        <v/>
      </c>
      <c r="K423" s="48" t="str">
        <f aca="false">IF(M423="","",N(IFERROR(INDEX('Item Master'!$E$6:$E$105,MATCH(C423,'Item Master'!$A$6:$A$105,0)),0))+SUMIFS($F$7:$F$506,$C$7:$C$506,C423,$E$7:$E$506,"In",$M$7:$M$506,"&lt;="&amp;M423)-SUMIFS($F$7:$F$506,$C$7:$C$506,C423,$E$7:$E$506,"Out",$M$7:$M$506,"&lt;="&amp;M423))</f>
        <v/>
      </c>
      <c r="L423" s="44" t="str">
        <f aca="false">IF(AND(B423="",C423="",F423=""),"",IF(C423="","⚠ Pick item",IF(D423="?","⚠ Code not in Item Master",IF(B423="","⚠ Enter date",IF(OR(E423="",N(F423)&lt;=0),"⚠ Type / quantity missing",IF(AND(E423="In",G423=""),"⚠ Enter purchase rate",IF(OR(B423&lt;Setup!$C$6,B423&gt;Setup!$C$7),"Outside period",IF(K423&lt;0,"⚠ Stock goes negative","✔ OK"))))))))</f>
        <v/>
      </c>
      <c r="M423" s="9" t="str">
        <f aca="false">IF(OR(C423="",B423=""),"",B423+ROW()/1000000)</f>
        <v/>
      </c>
      <c r="N423" s="9" t="str">
        <f aca="false">IF(AND(E423="In",M423&lt;&gt;""),SUMIFS($F$7:$F$506,$C$7:$C$506,C423,$E$7:$E$506,"In",$M$7:$M$506,"&gt;"&amp;M423),"")</f>
        <v/>
      </c>
      <c r="O423" s="9" t="str">
        <f aca="false">IF(N423="","",IFERROR(INDEX('Item Master'!$K$6:$K$105,MATCH(C423,'Item Master'!$A$6:$A$105,0)),0))</f>
        <v/>
      </c>
      <c r="P423" s="9" t="n">
        <f aca="false">IF(N423="",0,MAX(0,MIN(N(F423),O423-N423))*N(G423))</f>
        <v>0</v>
      </c>
      <c r="Q423" s="9" t="str">
        <f aca="false">IF(AND(C423&lt;&gt;"",C423='Stock Ledger'!$C$4),M423,"")</f>
        <v/>
      </c>
    </row>
    <row r="424" customFormat="false" ht="15" hidden="false" customHeight="false" outlineLevel="0" collapsed="false">
      <c r="A424" s="45" t="str">
        <f aca="false">IF(C424="","",ROW()-6)</f>
        <v/>
      </c>
      <c r="B424" s="85"/>
      <c r="C424" s="80"/>
      <c r="D424" s="47" t="str">
        <f aca="false">IF(C424="","",IFERROR(INDEX('Item Master'!$B$6:$B$105,MATCH(C424,'Item Master'!$A$6:$A$105,0)),"?"))</f>
        <v/>
      </c>
      <c r="E424" s="82"/>
      <c r="F424" s="83"/>
      <c r="G424" s="84"/>
      <c r="H424" s="81"/>
      <c r="I424" s="80"/>
      <c r="J424" s="41" t="str">
        <f aca="false">IF(OR(C424="",G424=""),"",N(F424)*N(G424))</f>
        <v/>
      </c>
      <c r="K424" s="48" t="str">
        <f aca="false">IF(M424="","",N(IFERROR(INDEX('Item Master'!$E$6:$E$105,MATCH(C424,'Item Master'!$A$6:$A$105,0)),0))+SUMIFS($F$7:$F$506,$C$7:$C$506,C424,$E$7:$E$506,"In",$M$7:$M$506,"&lt;="&amp;M424)-SUMIFS($F$7:$F$506,$C$7:$C$506,C424,$E$7:$E$506,"Out",$M$7:$M$506,"&lt;="&amp;M424))</f>
        <v/>
      </c>
      <c r="L424" s="44" t="str">
        <f aca="false">IF(AND(B424="",C424="",F424=""),"",IF(C424="","⚠ Pick item",IF(D424="?","⚠ Code not in Item Master",IF(B424="","⚠ Enter date",IF(OR(E424="",N(F424)&lt;=0),"⚠ Type / quantity missing",IF(AND(E424="In",G424=""),"⚠ Enter purchase rate",IF(OR(B424&lt;Setup!$C$6,B424&gt;Setup!$C$7),"Outside period",IF(K424&lt;0,"⚠ Stock goes negative","✔ OK"))))))))</f>
        <v/>
      </c>
      <c r="M424" s="9" t="str">
        <f aca="false">IF(OR(C424="",B424=""),"",B424+ROW()/1000000)</f>
        <v/>
      </c>
      <c r="N424" s="9" t="str">
        <f aca="false">IF(AND(E424="In",M424&lt;&gt;""),SUMIFS($F$7:$F$506,$C$7:$C$506,C424,$E$7:$E$506,"In",$M$7:$M$506,"&gt;"&amp;M424),"")</f>
        <v/>
      </c>
      <c r="O424" s="9" t="str">
        <f aca="false">IF(N424="","",IFERROR(INDEX('Item Master'!$K$6:$K$105,MATCH(C424,'Item Master'!$A$6:$A$105,0)),0))</f>
        <v/>
      </c>
      <c r="P424" s="9" t="n">
        <f aca="false">IF(N424="",0,MAX(0,MIN(N(F424),O424-N424))*N(G424))</f>
        <v>0</v>
      </c>
      <c r="Q424" s="9" t="str">
        <f aca="false">IF(AND(C424&lt;&gt;"",C424='Stock Ledger'!$C$4),M424,"")</f>
        <v/>
      </c>
    </row>
    <row r="425" customFormat="false" ht="15" hidden="false" customHeight="false" outlineLevel="0" collapsed="false">
      <c r="A425" s="45" t="str">
        <f aca="false">IF(C425="","",ROW()-6)</f>
        <v/>
      </c>
      <c r="B425" s="85"/>
      <c r="C425" s="80"/>
      <c r="D425" s="47" t="str">
        <f aca="false">IF(C425="","",IFERROR(INDEX('Item Master'!$B$6:$B$105,MATCH(C425,'Item Master'!$A$6:$A$105,0)),"?"))</f>
        <v/>
      </c>
      <c r="E425" s="82"/>
      <c r="F425" s="83"/>
      <c r="G425" s="84"/>
      <c r="H425" s="81"/>
      <c r="I425" s="80"/>
      <c r="J425" s="41" t="str">
        <f aca="false">IF(OR(C425="",G425=""),"",N(F425)*N(G425))</f>
        <v/>
      </c>
      <c r="K425" s="48" t="str">
        <f aca="false">IF(M425="","",N(IFERROR(INDEX('Item Master'!$E$6:$E$105,MATCH(C425,'Item Master'!$A$6:$A$105,0)),0))+SUMIFS($F$7:$F$506,$C$7:$C$506,C425,$E$7:$E$506,"In",$M$7:$M$506,"&lt;="&amp;M425)-SUMIFS($F$7:$F$506,$C$7:$C$506,C425,$E$7:$E$506,"Out",$M$7:$M$506,"&lt;="&amp;M425))</f>
        <v/>
      </c>
      <c r="L425" s="44" t="str">
        <f aca="false">IF(AND(B425="",C425="",F425=""),"",IF(C425="","⚠ Pick item",IF(D425="?","⚠ Code not in Item Master",IF(B425="","⚠ Enter date",IF(OR(E425="",N(F425)&lt;=0),"⚠ Type / quantity missing",IF(AND(E425="In",G425=""),"⚠ Enter purchase rate",IF(OR(B425&lt;Setup!$C$6,B425&gt;Setup!$C$7),"Outside period",IF(K425&lt;0,"⚠ Stock goes negative","✔ OK"))))))))</f>
        <v/>
      </c>
      <c r="M425" s="9" t="str">
        <f aca="false">IF(OR(C425="",B425=""),"",B425+ROW()/1000000)</f>
        <v/>
      </c>
      <c r="N425" s="9" t="str">
        <f aca="false">IF(AND(E425="In",M425&lt;&gt;""),SUMIFS($F$7:$F$506,$C$7:$C$506,C425,$E$7:$E$506,"In",$M$7:$M$506,"&gt;"&amp;M425),"")</f>
        <v/>
      </c>
      <c r="O425" s="9" t="str">
        <f aca="false">IF(N425="","",IFERROR(INDEX('Item Master'!$K$6:$K$105,MATCH(C425,'Item Master'!$A$6:$A$105,0)),0))</f>
        <v/>
      </c>
      <c r="P425" s="9" t="n">
        <f aca="false">IF(N425="",0,MAX(0,MIN(N(F425),O425-N425))*N(G425))</f>
        <v>0</v>
      </c>
      <c r="Q425" s="9" t="str">
        <f aca="false">IF(AND(C425&lt;&gt;"",C425='Stock Ledger'!$C$4),M425,"")</f>
        <v/>
      </c>
    </row>
    <row r="426" customFormat="false" ht="15" hidden="false" customHeight="false" outlineLevel="0" collapsed="false">
      <c r="A426" s="45" t="str">
        <f aca="false">IF(C426="","",ROW()-6)</f>
        <v/>
      </c>
      <c r="B426" s="85"/>
      <c r="C426" s="80"/>
      <c r="D426" s="47" t="str">
        <f aca="false">IF(C426="","",IFERROR(INDEX('Item Master'!$B$6:$B$105,MATCH(C426,'Item Master'!$A$6:$A$105,0)),"?"))</f>
        <v/>
      </c>
      <c r="E426" s="82"/>
      <c r="F426" s="83"/>
      <c r="G426" s="84"/>
      <c r="H426" s="81"/>
      <c r="I426" s="80"/>
      <c r="J426" s="41" t="str">
        <f aca="false">IF(OR(C426="",G426=""),"",N(F426)*N(G426))</f>
        <v/>
      </c>
      <c r="K426" s="48" t="str">
        <f aca="false">IF(M426="","",N(IFERROR(INDEX('Item Master'!$E$6:$E$105,MATCH(C426,'Item Master'!$A$6:$A$105,0)),0))+SUMIFS($F$7:$F$506,$C$7:$C$506,C426,$E$7:$E$506,"In",$M$7:$M$506,"&lt;="&amp;M426)-SUMIFS($F$7:$F$506,$C$7:$C$506,C426,$E$7:$E$506,"Out",$M$7:$M$506,"&lt;="&amp;M426))</f>
        <v/>
      </c>
      <c r="L426" s="44" t="str">
        <f aca="false">IF(AND(B426="",C426="",F426=""),"",IF(C426="","⚠ Pick item",IF(D426="?","⚠ Code not in Item Master",IF(B426="","⚠ Enter date",IF(OR(E426="",N(F426)&lt;=0),"⚠ Type / quantity missing",IF(AND(E426="In",G426=""),"⚠ Enter purchase rate",IF(OR(B426&lt;Setup!$C$6,B426&gt;Setup!$C$7),"Outside period",IF(K426&lt;0,"⚠ Stock goes negative","✔ OK"))))))))</f>
        <v/>
      </c>
      <c r="M426" s="9" t="str">
        <f aca="false">IF(OR(C426="",B426=""),"",B426+ROW()/1000000)</f>
        <v/>
      </c>
      <c r="N426" s="9" t="str">
        <f aca="false">IF(AND(E426="In",M426&lt;&gt;""),SUMIFS($F$7:$F$506,$C$7:$C$506,C426,$E$7:$E$506,"In",$M$7:$M$506,"&gt;"&amp;M426),"")</f>
        <v/>
      </c>
      <c r="O426" s="9" t="str">
        <f aca="false">IF(N426="","",IFERROR(INDEX('Item Master'!$K$6:$K$105,MATCH(C426,'Item Master'!$A$6:$A$105,0)),0))</f>
        <v/>
      </c>
      <c r="P426" s="9" t="n">
        <f aca="false">IF(N426="",0,MAX(0,MIN(N(F426),O426-N426))*N(G426))</f>
        <v>0</v>
      </c>
      <c r="Q426" s="9" t="str">
        <f aca="false">IF(AND(C426&lt;&gt;"",C426='Stock Ledger'!$C$4),M426,"")</f>
        <v/>
      </c>
    </row>
    <row r="427" customFormat="false" ht="15" hidden="false" customHeight="false" outlineLevel="0" collapsed="false">
      <c r="A427" s="45" t="str">
        <f aca="false">IF(C427="","",ROW()-6)</f>
        <v/>
      </c>
      <c r="B427" s="85"/>
      <c r="C427" s="80"/>
      <c r="D427" s="47" t="str">
        <f aca="false">IF(C427="","",IFERROR(INDEX('Item Master'!$B$6:$B$105,MATCH(C427,'Item Master'!$A$6:$A$105,0)),"?"))</f>
        <v/>
      </c>
      <c r="E427" s="82"/>
      <c r="F427" s="83"/>
      <c r="G427" s="84"/>
      <c r="H427" s="81"/>
      <c r="I427" s="80"/>
      <c r="J427" s="41" t="str">
        <f aca="false">IF(OR(C427="",G427=""),"",N(F427)*N(G427))</f>
        <v/>
      </c>
      <c r="K427" s="48" t="str">
        <f aca="false">IF(M427="","",N(IFERROR(INDEX('Item Master'!$E$6:$E$105,MATCH(C427,'Item Master'!$A$6:$A$105,0)),0))+SUMIFS($F$7:$F$506,$C$7:$C$506,C427,$E$7:$E$506,"In",$M$7:$M$506,"&lt;="&amp;M427)-SUMIFS($F$7:$F$506,$C$7:$C$506,C427,$E$7:$E$506,"Out",$M$7:$M$506,"&lt;="&amp;M427))</f>
        <v/>
      </c>
      <c r="L427" s="44" t="str">
        <f aca="false">IF(AND(B427="",C427="",F427=""),"",IF(C427="","⚠ Pick item",IF(D427="?","⚠ Code not in Item Master",IF(B427="","⚠ Enter date",IF(OR(E427="",N(F427)&lt;=0),"⚠ Type / quantity missing",IF(AND(E427="In",G427=""),"⚠ Enter purchase rate",IF(OR(B427&lt;Setup!$C$6,B427&gt;Setup!$C$7),"Outside period",IF(K427&lt;0,"⚠ Stock goes negative","✔ OK"))))))))</f>
        <v/>
      </c>
      <c r="M427" s="9" t="str">
        <f aca="false">IF(OR(C427="",B427=""),"",B427+ROW()/1000000)</f>
        <v/>
      </c>
      <c r="N427" s="9" t="str">
        <f aca="false">IF(AND(E427="In",M427&lt;&gt;""),SUMIFS($F$7:$F$506,$C$7:$C$506,C427,$E$7:$E$506,"In",$M$7:$M$506,"&gt;"&amp;M427),"")</f>
        <v/>
      </c>
      <c r="O427" s="9" t="str">
        <f aca="false">IF(N427="","",IFERROR(INDEX('Item Master'!$K$6:$K$105,MATCH(C427,'Item Master'!$A$6:$A$105,0)),0))</f>
        <v/>
      </c>
      <c r="P427" s="9" t="n">
        <f aca="false">IF(N427="",0,MAX(0,MIN(N(F427),O427-N427))*N(G427))</f>
        <v>0</v>
      </c>
      <c r="Q427" s="9" t="str">
        <f aca="false">IF(AND(C427&lt;&gt;"",C427='Stock Ledger'!$C$4),M427,"")</f>
        <v/>
      </c>
    </row>
    <row r="428" customFormat="false" ht="15" hidden="false" customHeight="false" outlineLevel="0" collapsed="false">
      <c r="A428" s="45" t="str">
        <f aca="false">IF(C428="","",ROW()-6)</f>
        <v/>
      </c>
      <c r="B428" s="85"/>
      <c r="C428" s="80"/>
      <c r="D428" s="47" t="str">
        <f aca="false">IF(C428="","",IFERROR(INDEX('Item Master'!$B$6:$B$105,MATCH(C428,'Item Master'!$A$6:$A$105,0)),"?"))</f>
        <v/>
      </c>
      <c r="E428" s="82"/>
      <c r="F428" s="83"/>
      <c r="G428" s="84"/>
      <c r="H428" s="81"/>
      <c r="I428" s="80"/>
      <c r="J428" s="41" t="str">
        <f aca="false">IF(OR(C428="",G428=""),"",N(F428)*N(G428))</f>
        <v/>
      </c>
      <c r="K428" s="48" t="str">
        <f aca="false">IF(M428="","",N(IFERROR(INDEX('Item Master'!$E$6:$E$105,MATCH(C428,'Item Master'!$A$6:$A$105,0)),0))+SUMIFS($F$7:$F$506,$C$7:$C$506,C428,$E$7:$E$506,"In",$M$7:$M$506,"&lt;="&amp;M428)-SUMIFS($F$7:$F$506,$C$7:$C$506,C428,$E$7:$E$506,"Out",$M$7:$M$506,"&lt;="&amp;M428))</f>
        <v/>
      </c>
      <c r="L428" s="44" t="str">
        <f aca="false">IF(AND(B428="",C428="",F428=""),"",IF(C428="","⚠ Pick item",IF(D428="?","⚠ Code not in Item Master",IF(B428="","⚠ Enter date",IF(OR(E428="",N(F428)&lt;=0),"⚠ Type / quantity missing",IF(AND(E428="In",G428=""),"⚠ Enter purchase rate",IF(OR(B428&lt;Setup!$C$6,B428&gt;Setup!$C$7),"Outside period",IF(K428&lt;0,"⚠ Stock goes negative","✔ OK"))))))))</f>
        <v/>
      </c>
      <c r="M428" s="9" t="str">
        <f aca="false">IF(OR(C428="",B428=""),"",B428+ROW()/1000000)</f>
        <v/>
      </c>
      <c r="N428" s="9" t="str">
        <f aca="false">IF(AND(E428="In",M428&lt;&gt;""),SUMIFS($F$7:$F$506,$C$7:$C$506,C428,$E$7:$E$506,"In",$M$7:$M$506,"&gt;"&amp;M428),"")</f>
        <v/>
      </c>
      <c r="O428" s="9" t="str">
        <f aca="false">IF(N428="","",IFERROR(INDEX('Item Master'!$K$6:$K$105,MATCH(C428,'Item Master'!$A$6:$A$105,0)),0))</f>
        <v/>
      </c>
      <c r="P428" s="9" t="n">
        <f aca="false">IF(N428="",0,MAX(0,MIN(N(F428),O428-N428))*N(G428))</f>
        <v>0</v>
      </c>
      <c r="Q428" s="9" t="str">
        <f aca="false">IF(AND(C428&lt;&gt;"",C428='Stock Ledger'!$C$4),M428,"")</f>
        <v/>
      </c>
    </row>
    <row r="429" customFormat="false" ht="15" hidden="false" customHeight="false" outlineLevel="0" collapsed="false">
      <c r="A429" s="45" t="str">
        <f aca="false">IF(C429="","",ROW()-6)</f>
        <v/>
      </c>
      <c r="B429" s="85"/>
      <c r="C429" s="80"/>
      <c r="D429" s="47" t="str">
        <f aca="false">IF(C429="","",IFERROR(INDEX('Item Master'!$B$6:$B$105,MATCH(C429,'Item Master'!$A$6:$A$105,0)),"?"))</f>
        <v/>
      </c>
      <c r="E429" s="82"/>
      <c r="F429" s="83"/>
      <c r="G429" s="84"/>
      <c r="H429" s="81"/>
      <c r="I429" s="80"/>
      <c r="J429" s="41" t="str">
        <f aca="false">IF(OR(C429="",G429=""),"",N(F429)*N(G429))</f>
        <v/>
      </c>
      <c r="K429" s="48" t="str">
        <f aca="false">IF(M429="","",N(IFERROR(INDEX('Item Master'!$E$6:$E$105,MATCH(C429,'Item Master'!$A$6:$A$105,0)),0))+SUMIFS($F$7:$F$506,$C$7:$C$506,C429,$E$7:$E$506,"In",$M$7:$M$506,"&lt;="&amp;M429)-SUMIFS($F$7:$F$506,$C$7:$C$506,C429,$E$7:$E$506,"Out",$M$7:$M$506,"&lt;="&amp;M429))</f>
        <v/>
      </c>
      <c r="L429" s="44" t="str">
        <f aca="false">IF(AND(B429="",C429="",F429=""),"",IF(C429="","⚠ Pick item",IF(D429="?","⚠ Code not in Item Master",IF(B429="","⚠ Enter date",IF(OR(E429="",N(F429)&lt;=0),"⚠ Type / quantity missing",IF(AND(E429="In",G429=""),"⚠ Enter purchase rate",IF(OR(B429&lt;Setup!$C$6,B429&gt;Setup!$C$7),"Outside period",IF(K429&lt;0,"⚠ Stock goes negative","✔ OK"))))))))</f>
        <v/>
      </c>
      <c r="M429" s="9" t="str">
        <f aca="false">IF(OR(C429="",B429=""),"",B429+ROW()/1000000)</f>
        <v/>
      </c>
      <c r="N429" s="9" t="str">
        <f aca="false">IF(AND(E429="In",M429&lt;&gt;""),SUMIFS($F$7:$F$506,$C$7:$C$506,C429,$E$7:$E$506,"In",$M$7:$M$506,"&gt;"&amp;M429),"")</f>
        <v/>
      </c>
      <c r="O429" s="9" t="str">
        <f aca="false">IF(N429="","",IFERROR(INDEX('Item Master'!$K$6:$K$105,MATCH(C429,'Item Master'!$A$6:$A$105,0)),0))</f>
        <v/>
      </c>
      <c r="P429" s="9" t="n">
        <f aca="false">IF(N429="",0,MAX(0,MIN(N(F429),O429-N429))*N(G429))</f>
        <v>0</v>
      </c>
      <c r="Q429" s="9" t="str">
        <f aca="false">IF(AND(C429&lt;&gt;"",C429='Stock Ledger'!$C$4),M429,"")</f>
        <v/>
      </c>
    </row>
    <row r="430" customFormat="false" ht="15" hidden="false" customHeight="false" outlineLevel="0" collapsed="false">
      <c r="A430" s="45" t="str">
        <f aca="false">IF(C430="","",ROW()-6)</f>
        <v/>
      </c>
      <c r="B430" s="85"/>
      <c r="C430" s="80"/>
      <c r="D430" s="47" t="str">
        <f aca="false">IF(C430="","",IFERROR(INDEX('Item Master'!$B$6:$B$105,MATCH(C430,'Item Master'!$A$6:$A$105,0)),"?"))</f>
        <v/>
      </c>
      <c r="E430" s="82"/>
      <c r="F430" s="83"/>
      <c r="G430" s="84"/>
      <c r="H430" s="81"/>
      <c r="I430" s="80"/>
      <c r="J430" s="41" t="str">
        <f aca="false">IF(OR(C430="",G430=""),"",N(F430)*N(G430))</f>
        <v/>
      </c>
      <c r="K430" s="48" t="str">
        <f aca="false">IF(M430="","",N(IFERROR(INDEX('Item Master'!$E$6:$E$105,MATCH(C430,'Item Master'!$A$6:$A$105,0)),0))+SUMIFS($F$7:$F$506,$C$7:$C$506,C430,$E$7:$E$506,"In",$M$7:$M$506,"&lt;="&amp;M430)-SUMIFS($F$7:$F$506,$C$7:$C$506,C430,$E$7:$E$506,"Out",$M$7:$M$506,"&lt;="&amp;M430))</f>
        <v/>
      </c>
      <c r="L430" s="44" t="str">
        <f aca="false">IF(AND(B430="",C430="",F430=""),"",IF(C430="","⚠ Pick item",IF(D430="?","⚠ Code not in Item Master",IF(B430="","⚠ Enter date",IF(OR(E430="",N(F430)&lt;=0),"⚠ Type / quantity missing",IF(AND(E430="In",G430=""),"⚠ Enter purchase rate",IF(OR(B430&lt;Setup!$C$6,B430&gt;Setup!$C$7),"Outside period",IF(K430&lt;0,"⚠ Stock goes negative","✔ OK"))))))))</f>
        <v/>
      </c>
      <c r="M430" s="9" t="str">
        <f aca="false">IF(OR(C430="",B430=""),"",B430+ROW()/1000000)</f>
        <v/>
      </c>
      <c r="N430" s="9" t="str">
        <f aca="false">IF(AND(E430="In",M430&lt;&gt;""),SUMIFS($F$7:$F$506,$C$7:$C$506,C430,$E$7:$E$506,"In",$M$7:$M$506,"&gt;"&amp;M430),"")</f>
        <v/>
      </c>
      <c r="O430" s="9" t="str">
        <f aca="false">IF(N430="","",IFERROR(INDEX('Item Master'!$K$6:$K$105,MATCH(C430,'Item Master'!$A$6:$A$105,0)),0))</f>
        <v/>
      </c>
      <c r="P430" s="9" t="n">
        <f aca="false">IF(N430="",0,MAX(0,MIN(N(F430),O430-N430))*N(G430))</f>
        <v>0</v>
      </c>
      <c r="Q430" s="9" t="str">
        <f aca="false">IF(AND(C430&lt;&gt;"",C430='Stock Ledger'!$C$4),M430,"")</f>
        <v/>
      </c>
    </row>
    <row r="431" customFormat="false" ht="15" hidden="false" customHeight="false" outlineLevel="0" collapsed="false">
      <c r="A431" s="45" t="str">
        <f aca="false">IF(C431="","",ROW()-6)</f>
        <v/>
      </c>
      <c r="B431" s="85"/>
      <c r="C431" s="80"/>
      <c r="D431" s="47" t="str">
        <f aca="false">IF(C431="","",IFERROR(INDEX('Item Master'!$B$6:$B$105,MATCH(C431,'Item Master'!$A$6:$A$105,0)),"?"))</f>
        <v/>
      </c>
      <c r="E431" s="82"/>
      <c r="F431" s="83"/>
      <c r="G431" s="84"/>
      <c r="H431" s="81"/>
      <c r="I431" s="80"/>
      <c r="J431" s="41" t="str">
        <f aca="false">IF(OR(C431="",G431=""),"",N(F431)*N(G431))</f>
        <v/>
      </c>
      <c r="K431" s="48" t="str">
        <f aca="false">IF(M431="","",N(IFERROR(INDEX('Item Master'!$E$6:$E$105,MATCH(C431,'Item Master'!$A$6:$A$105,0)),0))+SUMIFS($F$7:$F$506,$C$7:$C$506,C431,$E$7:$E$506,"In",$M$7:$M$506,"&lt;="&amp;M431)-SUMIFS($F$7:$F$506,$C$7:$C$506,C431,$E$7:$E$506,"Out",$M$7:$M$506,"&lt;="&amp;M431))</f>
        <v/>
      </c>
      <c r="L431" s="44" t="str">
        <f aca="false">IF(AND(B431="",C431="",F431=""),"",IF(C431="","⚠ Pick item",IF(D431="?","⚠ Code not in Item Master",IF(B431="","⚠ Enter date",IF(OR(E431="",N(F431)&lt;=0),"⚠ Type / quantity missing",IF(AND(E431="In",G431=""),"⚠ Enter purchase rate",IF(OR(B431&lt;Setup!$C$6,B431&gt;Setup!$C$7),"Outside period",IF(K431&lt;0,"⚠ Stock goes negative","✔ OK"))))))))</f>
        <v/>
      </c>
      <c r="M431" s="9" t="str">
        <f aca="false">IF(OR(C431="",B431=""),"",B431+ROW()/1000000)</f>
        <v/>
      </c>
      <c r="N431" s="9" t="str">
        <f aca="false">IF(AND(E431="In",M431&lt;&gt;""),SUMIFS($F$7:$F$506,$C$7:$C$506,C431,$E$7:$E$506,"In",$M$7:$M$506,"&gt;"&amp;M431),"")</f>
        <v/>
      </c>
      <c r="O431" s="9" t="str">
        <f aca="false">IF(N431="","",IFERROR(INDEX('Item Master'!$K$6:$K$105,MATCH(C431,'Item Master'!$A$6:$A$105,0)),0))</f>
        <v/>
      </c>
      <c r="P431" s="9" t="n">
        <f aca="false">IF(N431="",0,MAX(0,MIN(N(F431),O431-N431))*N(G431))</f>
        <v>0</v>
      </c>
      <c r="Q431" s="9" t="str">
        <f aca="false">IF(AND(C431&lt;&gt;"",C431='Stock Ledger'!$C$4),M431,"")</f>
        <v/>
      </c>
    </row>
    <row r="432" customFormat="false" ht="15" hidden="false" customHeight="false" outlineLevel="0" collapsed="false">
      <c r="A432" s="45" t="str">
        <f aca="false">IF(C432="","",ROW()-6)</f>
        <v/>
      </c>
      <c r="B432" s="85"/>
      <c r="C432" s="80"/>
      <c r="D432" s="47" t="str">
        <f aca="false">IF(C432="","",IFERROR(INDEX('Item Master'!$B$6:$B$105,MATCH(C432,'Item Master'!$A$6:$A$105,0)),"?"))</f>
        <v/>
      </c>
      <c r="E432" s="82"/>
      <c r="F432" s="83"/>
      <c r="G432" s="84"/>
      <c r="H432" s="81"/>
      <c r="I432" s="80"/>
      <c r="J432" s="41" t="str">
        <f aca="false">IF(OR(C432="",G432=""),"",N(F432)*N(G432))</f>
        <v/>
      </c>
      <c r="K432" s="48" t="str">
        <f aca="false">IF(M432="","",N(IFERROR(INDEX('Item Master'!$E$6:$E$105,MATCH(C432,'Item Master'!$A$6:$A$105,0)),0))+SUMIFS($F$7:$F$506,$C$7:$C$506,C432,$E$7:$E$506,"In",$M$7:$M$506,"&lt;="&amp;M432)-SUMIFS($F$7:$F$506,$C$7:$C$506,C432,$E$7:$E$506,"Out",$M$7:$M$506,"&lt;="&amp;M432))</f>
        <v/>
      </c>
      <c r="L432" s="44" t="str">
        <f aca="false">IF(AND(B432="",C432="",F432=""),"",IF(C432="","⚠ Pick item",IF(D432="?","⚠ Code not in Item Master",IF(B432="","⚠ Enter date",IF(OR(E432="",N(F432)&lt;=0),"⚠ Type / quantity missing",IF(AND(E432="In",G432=""),"⚠ Enter purchase rate",IF(OR(B432&lt;Setup!$C$6,B432&gt;Setup!$C$7),"Outside period",IF(K432&lt;0,"⚠ Stock goes negative","✔ OK"))))))))</f>
        <v/>
      </c>
      <c r="M432" s="9" t="str">
        <f aca="false">IF(OR(C432="",B432=""),"",B432+ROW()/1000000)</f>
        <v/>
      </c>
      <c r="N432" s="9" t="str">
        <f aca="false">IF(AND(E432="In",M432&lt;&gt;""),SUMIFS($F$7:$F$506,$C$7:$C$506,C432,$E$7:$E$506,"In",$M$7:$M$506,"&gt;"&amp;M432),"")</f>
        <v/>
      </c>
      <c r="O432" s="9" t="str">
        <f aca="false">IF(N432="","",IFERROR(INDEX('Item Master'!$K$6:$K$105,MATCH(C432,'Item Master'!$A$6:$A$105,0)),0))</f>
        <v/>
      </c>
      <c r="P432" s="9" t="n">
        <f aca="false">IF(N432="",0,MAX(0,MIN(N(F432),O432-N432))*N(G432))</f>
        <v>0</v>
      </c>
      <c r="Q432" s="9" t="str">
        <f aca="false">IF(AND(C432&lt;&gt;"",C432='Stock Ledger'!$C$4),M432,"")</f>
        <v/>
      </c>
    </row>
    <row r="433" customFormat="false" ht="15" hidden="false" customHeight="false" outlineLevel="0" collapsed="false">
      <c r="A433" s="45" t="str">
        <f aca="false">IF(C433="","",ROW()-6)</f>
        <v/>
      </c>
      <c r="B433" s="85"/>
      <c r="C433" s="80"/>
      <c r="D433" s="47" t="str">
        <f aca="false">IF(C433="","",IFERROR(INDEX('Item Master'!$B$6:$B$105,MATCH(C433,'Item Master'!$A$6:$A$105,0)),"?"))</f>
        <v/>
      </c>
      <c r="E433" s="82"/>
      <c r="F433" s="83"/>
      <c r="G433" s="84"/>
      <c r="H433" s="81"/>
      <c r="I433" s="80"/>
      <c r="J433" s="41" t="str">
        <f aca="false">IF(OR(C433="",G433=""),"",N(F433)*N(G433))</f>
        <v/>
      </c>
      <c r="K433" s="48" t="str">
        <f aca="false">IF(M433="","",N(IFERROR(INDEX('Item Master'!$E$6:$E$105,MATCH(C433,'Item Master'!$A$6:$A$105,0)),0))+SUMIFS($F$7:$F$506,$C$7:$C$506,C433,$E$7:$E$506,"In",$M$7:$M$506,"&lt;="&amp;M433)-SUMIFS($F$7:$F$506,$C$7:$C$506,C433,$E$7:$E$506,"Out",$M$7:$M$506,"&lt;="&amp;M433))</f>
        <v/>
      </c>
      <c r="L433" s="44" t="str">
        <f aca="false">IF(AND(B433="",C433="",F433=""),"",IF(C433="","⚠ Pick item",IF(D433="?","⚠ Code not in Item Master",IF(B433="","⚠ Enter date",IF(OR(E433="",N(F433)&lt;=0),"⚠ Type / quantity missing",IF(AND(E433="In",G433=""),"⚠ Enter purchase rate",IF(OR(B433&lt;Setup!$C$6,B433&gt;Setup!$C$7),"Outside period",IF(K433&lt;0,"⚠ Stock goes negative","✔ OK"))))))))</f>
        <v/>
      </c>
      <c r="M433" s="9" t="str">
        <f aca="false">IF(OR(C433="",B433=""),"",B433+ROW()/1000000)</f>
        <v/>
      </c>
      <c r="N433" s="9" t="str">
        <f aca="false">IF(AND(E433="In",M433&lt;&gt;""),SUMIFS($F$7:$F$506,$C$7:$C$506,C433,$E$7:$E$506,"In",$M$7:$M$506,"&gt;"&amp;M433),"")</f>
        <v/>
      </c>
      <c r="O433" s="9" t="str">
        <f aca="false">IF(N433="","",IFERROR(INDEX('Item Master'!$K$6:$K$105,MATCH(C433,'Item Master'!$A$6:$A$105,0)),0))</f>
        <v/>
      </c>
      <c r="P433" s="9" t="n">
        <f aca="false">IF(N433="",0,MAX(0,MIN(N(F433),O433-N433))*N(G433))</f>
        <v>0</v>
      </c>
      <c r="Q433" s="9" t="str">
        <f aca="false">IF(AND(C433&lt;&gt;"",C433='Stock Ledger'!$C$4),M433,"")</f>
        <v/>
      </c>
    </row>
    <row r="434" customFormat="false" ht="15" hidden="false" customHeight="false" outlineLevel="0" collapsed="false">
      <c r="A434" s="45" t="str">
        <f aca="false">IF(C434="","",ROW()-6)</f>
        <v/>
      </c>
      <c r="B434" s="85"/>
      <c r="C434" s="80"/>
      <c r="D434" s="47" t="str">
        <f aca="false">IF(C434="","",IFERROR(INDEX('Item Master'!$B$6:$B$105,MATCH(C434,'Item Master'!$A$6:$A$105,0)),"?"))</f>
        <v/>
      </c>
      <c r="E434" s="82"/>
      <c r="F434" s="83"/>
      <c r="G434" s="84"/>
      <c r="H434" s="81"/>
      <c r="I434" s="80"/>
      <c r="J434" s="41" t="str">
        <f aca="false">IF(OR(C434="",G434=""),"",N(F434)*N(G434))</f>
        <v/>
      </c>
      <c r="K434" s="48" t="str">
        <f aca="false">IF(M434="","",N(IFERROR(INDEX('Item Master'!$E$6:$E$105,MATCH(C434,'Item Master'!$A$6:$A$105,0)),0))+SUMIFS($F$7:$F$506,$C$7:$C$506,C434,$E$7:$E$506,"In",$M$7:$M$506,"&lt;="&amp;M434)-SUMIFS($F$7:$F$506,$C$7:$C$506,C434,$E$7:$E$506,"Out",$M$7:$M$506,"&lt;="&amp;M434))</f>
        <v/>
      </c>
      <c r="L434" s="44" t="str">
        <f aca="false">IF(AND(B434="",C434="",F434=""),"",IF(C434="","⚠ Pick item",IF(D434="?","⚠ Code not in Item Master",IF(B434="","⚠ Enter date",IF(OR(E434="",N(F434)&lt;=0),"⚠ Type / quantity missing",IF(AND(E434="In",G434=""),"⚠ Enter purchase rate",IF(OR(B434&lt;Setup!$C$6,B434&gt;Setup!$C$7),"Outside period",IF(K434&lt;0,"⚠ Stock goes negative","✔ OK"))))))))</f>
        <v/>
      </c>
      <c r="M434" s="9" t="str">
        <f aca="false">IF(OR(C434="",B434=""),"",B434+ROW()/1000000)</f>
        <v/>
      </c>
      <c r="N434" s="9" t="str">
        <f aca="false">IF(AND(E434="In",M434&lt;&gt;""),SUMIFS($F$7:$F$506,$C$7:$C$506,C434,$E$7:$E$506,"In",$M$7:$M$506,"&gt;"&amp;M434),"")</f>
        <v/>
      </c>
      <c r="O434" s="9" t="str">
        <f aca="false">IF(N434="","",IFERROR(INDEX('Item Master'!$K$6:$K$105,MATCH(C434,'Item Master'!$A$6:$A$105,0)),0))</f>
        <v/>
      </c>
      <c r="P434" s="9" t="n">
        <f aca="false">IF(N434="",0,MAX(0,MIN(N(F434),O434-N434))*N(G434))</f>
        <v>0</v>
      </c>
      <c r="Q434" s="9" t="str">
        <f aca="false">IF(AND(C434&lt;&gt;"",C434='Stock Ledger'!$C$4),M434,"")</f>
        <v/>
      </c>
    </row>
    <row r="435" customFormat="false" ht="15" hidden="false" customHeight="false" outlineLevel="0" collapsed="false">
      <c r="A435" s="45" t="str">
        <f aca="false">IF(C435="","",ROW()-6)</f>
        <v/>
      </c>
      <c r="B435" s="85"/>
      <c r="C435" s="80"/>
      <c r="D435" s="47" t="str">
        <f aca="false">IF(C435="","",IFERROR(INDEX('Item Master'!$B$6:$B$105,MATCH(C435,'Item Master'!$A$6:$A$105,0)),"?"))</f>
        <v/>
      </c>
      <c r="E435" s="82"/>
      <c r="F435" s="83"/>
      <c r="G435" s="84"/>
      <c r="H435" s="81"/>
      <c r="I435" s="80"/>
      <c r="J435" s="41" t="str">
        <f aca="false">IF(OR(C435="",G435=""),"",N(F435)*N(G435))</f>
        <v/>
      </c>
      <c r="K435" s="48" t="str">
        <f aca="false">IF(M435="","",N(IFERROR(INDEX('Item Master'!$E$6:$E$105,MATCH(C435,'Item Master'!$A$6:$A$105,0)),0))+SUMIFS($F$7:$F$506,$C$7:$C$506,C435,$E$7:$E$506,"In",$M$7:$M$506,"&lt;="&amp;M435)-SUMIFS($F$7:$F$506,$C$7:$C$506,C435,$E$7:$E$506,"Out",$M$7:$M$506,"&lt;="&amp;M435))</f>
        <v/>
      </c>
      <c r="L435" s="44" t="str">
        <f aca="false">IF(AND(B435="",C435="",F435=""),"",IF(C435="","⚠ Pick item",IF(D435="?","⚠ Code not in Item Master",IF(B435="","⚠ Enter date",IF(OR(E435="",N(F435)&lt;=0),"⚠ Type / quantity missing",IF(AND(E435="In",G435=""),"⚠ Enter purchase rate",IF(OR(B435&lt;Setup!$C$6,B435&gt;Setup!$C$7),"Outside period",IF(K435&lt;0,"⚠ Stock goes negative","✔ OK"))))))))</f>
        <v/>
      </c>
      <c r="M435" s="9" t="str">
        <f aca="false">IF(OR(C435="",B435=""),"",B435+ROW()/1000000)</f>
        <v/>
      </c>
      <c r="N435" s="9" t="str">
        <f aca="false">IF(AND(E435="In",M435&lt;&gt;""),SUMIFS($F$7:$F$506,$C$7:$C$506,C435,$E$7:$E$506,"In",$M$7:$M$506,"&gt;"&amp;M435),"")</f>
        <v/>
      </c>
      <c r="O435" s="9" t="str">
        <f aca="false">IF(N435="","",IFERROR(INDEX('Item Master'!$K$6:$K$105,MATCH(C435,'Item Master'!$A$6:$A$105,0)),0))</f>
        <v/>
      </c>
      <c r="P435" s="9" t="n">
        <f aca="false">IF(N435="",0,MAX(0,MIN(N(F435),O435-N435))*N(G435))</f>
        <v>0</v>
      </c>
      <c r="Q435" s="9" t="str">
        <f aca="false">IF(AND(C435&lt;&gt;"",C435='Stock Ledger'!$C$4),M435,"")</f>
        <v/>
      </c>
    </row>
    <row r="436" customFormat="false" ht="15" hidden="false" customHeight="false" outlineLevel="0" collapsed="false">
      <c r="A436" s="45" t="str">
        <f aca="false">IF(C436="","",ROW()-6)</f>
        <v/>
      </c>
      <c r="B436" s="85"/>
      <c r="C436" s="80"/>
      <c r="D436" s="47" t="str">
        <f aca="false">IF(C436="","",IFERROR(INDEX('Item Master'!$B$6:$B$105,MATCH(C436,'Item Master'!$A$6:$A$105,0)),"?"))</f>
        <v/>
      </c>
      <c r="E436" s="82"/>
      <c r="F436" s="83"/>
      <c r="G436" s="84"/>
      <c r="H436" s="81"/>
      <c r="I436" s="80"/>
      <c r="J436" s="41" t="str">
        <f aca="false">IF(OR(C436="",G436=""),"",N(F436)*N(G436))</f>
        <v/>
      </c>
      <c r="K436" s="48" t="str">
        <f aca="false">IF(M436="","",N(IFERROR(INDEX('Item Master'!$E$6:$E$105,MATCH(C436,'Item Master'!$A$6:$A$105,0)),0))+SUMIFS($F$7:$F$506,$C$7:$C$506,C436,$E$7:$E$506,"In",$M$7:$M$506,"&lt;="&amp;M436)-SUMIFS($F$7:$F$506,$C$7:$C$506,C436,$E$7:$E$506,"Out",$M$7:$M$506,"&lt;="&amp;M436))</f>
        <v/>
      </c>
      <c r="L436" s="44" t="str">
        <f aca="false">IF(AND(B436="",C436="",F436=""),"",IF(C436="","⚠ Pick item",IF(D436="?","⚠ Code not in Item Master",IF(B436="","⚠ Enter date",IF(OR(E436="",N(F436)&lt;=0),"⚠ Type / quantity missing",IF(AND(E436="In",G436=""),"⚠ Enter purchase rate",IF(OR(B436&lt;Setup!$C$6,B436&gt;Setup!$C$7),"Outside period",IF(K436&lt;0,"⚠ Stock goes negative","✔ OK"))))))))</f>
        <v/>
      </c>
      <c r="M436" s="9" t="str">
        <f aca="false">IF(OR(C436="",B436=""),"",B436+ROW()/1000000)</f>
        <v/>
      </c>
      <c r="N436" s="9" t="str">
        <f aca="false">IF(AND(E436="In",M436&lt;&gt;""),SUMIFS($F$7:$F$506,$C$7:$C$506,C436,$E$7:$E$506,"In",$M$7:$M$506,"&gt;"&amp;M436),"")</f>
        <v/>
      </c>
      <c r="O436" s="9" t="str">
        <f aca="false">IF(N436="","",IFERROR(INDEX('Item Master'!$K$6:$K$105,MATCH(C436,'Item Master'!$A$6:$A$105,0)),0))</f>
        <v/>
      </c>
      <c r="P436" s="9" t="n">
        <f aca="false">IF(N436="",0,MAX(0,MIN(N(F436),O436-N436))*N(G436))</f>
        <v>0</v>
      </c>
      <c r="Q436" s="9" t="str">
        <f aca="false">IF(AND(C436&lt;&gt;"",C436='Stock Ledger'!$C$4),M436,"")</f>
        <v/>
      </c>
    </row>
    <row r="437" customFormat="false" ht="15" hidden="false" customHeight="false" outlineLevel="0" collapsed="false">
      <c r="A437" s="45" t="str">
        <f aca="false">IF(C437="","",ROW()-6)</f>
        <v/>
      </c>
      <c r="B437" s="85"/>
      <c r="C437" s="80"/>
      <c r="D437" s="47" t="str">
        <f aca="false">IF(C437="","",IFERROR(INDEX('Item Master'!$B$6:$B$105,MATCH(C437,'Item Master'!$A$6:$A$105,0)),"?"))</f>
        <v/>
      </c>
      <c r="E437" s="82"/>
      <c r="F437" s="83"/>
      <c r="G437" s="84"/>
      <c r="H437" s="81"/>
      <c r="I437" s="80"/>
      <c r="J437" s="41" t="str">
        <f aca="false">IF(OR(C437="",G437=""),"",N(F437)*N(G437))</f>
        <v/>
      </c>
      <c r="K437" s="48" t="str">
        <f aca="false">IF(M437="","",N(IFERROR(INDEX('Item Master'!$E$6:$E$105,MATCH(C437,'Item Master'!$A$6:$A$105,0)),0))+SUMIFS($F$7:$F$506,$C$7:$C$506,C437,$E$7:$E$506,"In",$M$7:$M$506,"&lt;="&amp;M437)-SUMIFS($F$7:$F$506,$C$7:$C$506,C437,$E$7:$E$506,"Out",$M$7:$M$506,"&lt;="&amp;M437))</f>
        <v/>
      </c>
      <c r="L437" s="44" t="str">
        <f aca="false">IF(AND(B437="",C437="",F437=""),"",IF(C437="","⚠ Pick item",IF(D437="?","⚠ Code not in Item Master",IF(B437="","⚠ Enter date",IF(OR(E437="",N(F437)&lt;=0),"⚠ Type / quantity missing",IF(AND(E437="In",G437=""),"⚠ Enter purchase rate",IF(OR(B437&lt;Setup!$C$6,B437&gt;Setup!$C$7),"Outside period",IF(K437&lt;0,"⚠ Stock goes negative","✔ OK"))))))))</f>
        <v/>
      </c>
      <c r="M437" s="9" t="str">
        <f aca="false">IF(OR(C437="",B437=""),"",B437+ROW()/1000000)</f>
        <v/>
      </c>
      <c r="N437" s="9" t="str">
        <f aca="false">IF(AND(E437="In",M437&lt;&gt;""),SUMIFS($F$7:$F$506,$C$7:$C$506,C437,$E$7:$E$506,"In",$M$7:$M$506,"&gt;"&amp;M437),"")</f>
        <v/>
      </c>
      <c r="O437" s="9" t="str">
        <f aca="false">IF(N437="","",IFERROR(INDEX('Item Master'!$K$6:$K$105,MATCH(C437,'Item Master'!$A$6:$A$105,0)),0))</f>
        <v/>
      </c>
      <c r="P437" s="9" t="n">
        <f aca="false">IF(N437="",0,MAX(0,MIN(N(F437),O437-N437))*N(G437))</f>
        <v>0</v>
      </c>
      <c r="Q437" s="9" t="str">
        <f aca="false">IF(AND(C437&lt;&gt;"",C437='Stock Ledger'!$C$4),M437,"")</f>
        <v/>
      </c>
    </row>
    <row r="438" customFormat="false" ht="15" hidden="false" customHeight="false" outlineLevel="0" collapsed="false">
      <c r="A438" s="45" t="str">
        <f aca="false">IF(C438="","",ROW()-6)</f>
        <v/>
      </c>
      <c r="B438" s="85"/>
      <c r="C438" s="80"/>
      <c r="D438" s="47" t="str">
        <f aca="false">IF(C438="","",IFERROR(INDEX('Item Master'!$B$6:$B$105,MATCH(C438,'Item Master'!$A$6:$A$105,0)),"?"))</f>
        <v/>
      </c>
      <c r="E438" s="82"/>
      <c r="F438" s="83"/>
      <c r="G438" s="84"/>
      <c r="H438" s="81"/>
      <c r="I438" s="80"/>
      <c r="J438" s="41" t="str">
        <f aca="false">IF(OR(C438="",G438=""),"",N(F438)*N(G438))</f>
        <v/>
      </c>
      <c r="K438" s="48" t="str">
        <f aca="false">IF(M438="","",N(IFERROR(INDEX('Item Master'!$E$6:$E$105,MATCH(C438,'Item Master'!$A$6:$A$105,0)),0))+SUMIFS($F$7:$F$506,$C$7:$C$506,C438,$E$7:$E$506,"In",$M$7:$M$506,"&lt;="&amp;M438)-SUMIFS($F$7:$F$506,$C$7:$C$506,C438,$E$7:$E$506,"Out",$M$7:$M$506,"&lt;="&amp;M438))</f>
        <v/>
      </c>
      <c r="L438" s="44" t="str">
        <f aca="false">IF(AND(B438="",C438="",F438=""),"",IF(C438="","⚠ Pick item",IF(D438="?","⚠ Code not in Item Master",IF(B438="","⚠ Enter date",IF(OR(E438="",N(F438)&lt;=0),"⚠ Type / quantity missing",IF(AND(E438="In",G438=""),"⚠ Enter purchase rate",IF(OR(B438&lt;Setup!$C$6,B438&gt;Setup!$C$7),"Outside period",IF(K438&lt;0,"⚠ Stock goes negative","✔ OK"))))))))</f>
        <v/>
      </c>
      <c r="M438" s="9" t="str">
        <f aca="false">IF(OR(C438="",B438=""),"",B438+ROW()/1000000)</f>
        <v/>
      </c>
      <c r="N438" s="9" t="str">
        <f aca="false">IF(AND(E438="In",M438&lt;&gt;""),SUMIFS($F$7:$F$506,$C$7:$C$506,C438,$E$7:$E$506,"In",$M$7:$M$506,"&gt;"&amp;M438),"")</f>
        <v/>
      </c>
      <c r="O438" s="9" t="str">
        <f aca="false">IF(N438="","",IFERROR(INDEX('Item Master'!$K$6:$K$105,MATCH(C438,'Item Master'!$A$6:$A$105,0)),0))</f>
        <v/>
      </c>
      <c r="P438" s="9" t="n">
        <f aca="false">IF(N438="",0,MAX(0,MIN(N(F438),O438-N438))*N(G438))</f>
        <v>0</v>
      </c>
      <c r="Q438" s="9" t="str">
        <f aca="false">IF(AND(C438&lt;&gt;"",C438='Stock Ledger'!$C$4),M438,"")</f>
        <v/>
      </c>
    </row>
    <row r="439" customFormat="false" ht="15" hidden="false" customHeight="false" outlineLevel="0" collapsed="false">
      <c r="A439" s="45" t="str">
        <f aca="false">IF(C439="","",ROW()-6)</f>
        <v/>
      </c>
      <c r="B439" s="85"/>
      <c r="C439" s="80"/>
      <c r="D439" s="47" t="str">
        <f aca="false">IF(C439="","",IFERROR(INDEX('Item Master'!$B$6:$B$105,MATCH(C439,'Item Master'!$A$6:$A$105,0)),"?"))</f>
        <v/>
      </c>
      <c r="E439" s="82"/>
      <c r="F439" s="83"/>
      <c r="G439" s="84"/>
      <c r="H439" s="81"/>
      <c r="I439" s="80"/>
      <c r="J439" s="41" t="str">
        <f aca="false">IF(OR(C439="",G439=""),"",N(F439)*N(G439))</f>
        <v/>
      </c>
      <c r="K439" s="48" t="str">
        <f aca="false">IF(M439="","",N(IFERROR(INDEX('Item Master'!$E$6:$E$105,MATCH(C439,'Item Master'!$A$6:$A$105,0)),0))+SUMIFS($F$7:$F$506,$C$7:$C$506,C439,$E$7:$E$506,"In",$M$7:$M$506,"&lt;="&amp;M439)-SUMIFS($F$7:$F$506,$C$7:$C$506,C439,$E$7:$E$506,"Out",$M$7:$M$506,"&lt;="&amp;M439))</f>
        <v/>
      </c>
      <c r="L439" s="44" t="str">
        <f aca="false">IF(AND(B439="",C439="",F439=""),"",IF(C439="","⚠ Pick item",IF(D439="?","⚠ Code not in Item Master",IF(B439="","⚠ Enter date",IF(OR(E439="",N(F439)&lt;=0),"⚠ Type / quantity missing",IF(AND(E439="In",G439=""),"⚠ Enter purchase rate",IF(OR(B439&lt;Setup!$C$6,B439&gt;Setup!$C$7),"Outside period",IF(K439&lt;0,"⚠ Stock goes negative","✔ OK"))))))))</f>
        <v/>
      </c>
      <c r="M439" s="9" t="str">
        <f aca="false">IF(OR(C439="",B439=""),"",B439+ROW()/1000000)</f>
        <v/>
      </c>
      <c r="N439" s="9" t="str">
        <f aca="false">IF(AND(E439="In",M439&lt;&gt;""),SUMIFS($F$7:$F$506,$C$7:$C$506,C439,$E$7:$E$506,"In",$M$7:$M$506,"&gt;"&amp;M439),"")</f>
        <v/>
      </c>
      <c r="O439" s="9" t="str">
        <f aca="false">IF(N439="","",IFERROR(INDEX('Item Master'!$K$6:$K$105,MATCH(C439,'Item Master'!$A$6:$A$105,0)),0))</f>
        <v/>
      </c>
      <c r="P439" s="9" t="n">
        <f aca="false">IF(N439="",0,MAX(0,MIN(N(F439),O439-N439))*N(G439))</f>
        <v>0</v>
      </c>
      <c r="Q439" s="9" t="str">
        <f aca="false">IF(AND(C439&lt;&gt;"",C439='Stock Ledger'!$C$4),M439,"")</f>
        <v/>
      </c>
    </row>
    <row r="440" customFormat="false" ht="15" hidden="false" customHeight="false" outlineLevel="0" collapsed="false">
      <c r="A440" s="45" t="str">
        <f aca="false">IF(C440="","",ROW()-6)</f>
        <v/>
      </c>
      <c r="B440" s="85"/>
      <c r="C440" s="80"/>
      <c r="D440" s="47" t="str">
        <f aca="false">IF(C440="","",IFERROR(INDEX('Item Master'!$B$6:$B$105,MATCH(C440,'Item Master'!$A$6:$A$105,0)),"?"))</f>
        <v/>
      </c>
      <c r="E440" s="82"/>
      <c r="F440" s="83"/>
      <c r="G440" s="84"/>
      <c r="H440" s="81"/>
      <c r="I440" s="80"/>
      <c r="J440" s="41" t="str">
        <f aca="false">IF(OR(C440="",G440=""),"",N(F440)*N(G440))</f>
        <v/>
      </c>
      <c r="K440" s="48" t="str">
        <f aca="false">IF(M440="","",N(IFERROR(INDEX('Item Master'!$E$6:$E$105,MATCH(C440,'Item Master'!$A$6:$A$105,0)),0))+SUMIFS($F$7:$F$506,$C$7:$C$506,C440,$E$7:$E$506,"In",$M$7:$M$506,"&lt;="&amp;M440)-SUMIFS($F$7:$F$506,$C$7:$C$506,C440,$E$7:$E$506,"Out",$M$7:$M$506,"&lt;="&amp;M440))</f>
        <v/>
      </c>
      <c r="L440" s="44" t="str">
        <f aca="false">IF(AND(B440="",C440="",F440=""),"",IF(C440="","⚠ Pick item",IF(D440="?","⚠ Code not in Item Master",IF(B440="","⚠ Enter date",IF(OR(E440="",N(F440)&lt;=0),"⚠ Type / quantity missing",IF(AND(E440="In",G440=""),"⚠ Enter purchase rate",IF(OR(B440&lt;Setup!$C$6,B440&gt;Setup!$C$7),"Outside period",IF(K440&lt;0,"⚠ Stock goes negative","✔ OK"))))))))</f>
        <v/>
      </c>
      <c r="M440" s="9" t="str">
        <f aca="false">IF(OR(C440="",B440=""),"",B440+ROW()/1000000)</f>
        <v/>
      </c>
      <c r="N440" s="9" t="str">
        <f aca="false">IF(AND(E440="In",M440&lt;&gt;""),SUMIFS($F$7:$F$506,$C$7:$C$506,C440,$E$7:$E$506,"In",$M$7:$M$506,"&gt;"&amp;M440),"")</f>
        <v/>
      </c>
      <c r="O440" s="9" t="str">
        <f aca="false">IF(N440="","",IFERROR(INDEX('Item Master'!$K$6:$K$105,MATCH(C440,'Item Master'!$A$6:$A$105,0)),0))</f>
        <v/>
      </c>
      <c r="P440" s="9" t="n">
        <f aca="false">IF(N440="",0,MAX(0,MIN(N(F440),O440-N440))*N(G440))</f>
        <v>0</v>
      </c>
      <c r="Q440" s="9" t="str">
        <f aca="false">IF(AND(C440&lt;&gt;"",C440='Stock Ledger'!$C$4),M440,"")</f>
        <v/>
      </c>
    </row>
    <row r="441" customFormat="false" ht="15" hidden="false" customHeight="false" outlineLevel="0" collapsed="false">
      <c r="A441" s="45" t="str">
        <f aca="false">IF(C441="","",ROW()-6)</f>
        <v/>
      </c>
      <c r="B441" s="85"/>
      <c r="C441" s="80"/>
      <c r="D441" s="47" t="str">
        <f aca="false">IF(C441="","",IFERROR(INDEX('Item Master'!$B$6:$B$105,MATCH(C441,'Item Master'!$A$6:$A$105,0)),"?"))</f>
        <v/>
      </c>
      <c r="E441" s="82"/>
      <c r="F441" s="83"/>
      <c r="G441" s="84"/>
      <c r="H441" s="81"/>
      <c r="I441" s="80"/>
      <c r="J441" s="41" t="str">
        <f aca="false">IF(OR(C441="",G441=""),"",N(F441)*N(G441))</f>
        <v/>
      </c>
      <c r="K441" s="48" t="str">
        <f aca="false">IF(M441="","",N(IFERROR(INDEX('Item Master'!$E$6:$E$105,MATCH(C441,'Item Master'!$A$6:$A$105,0)),0))+SUMIFS($F$7:$F$506,$C$7:$C$506,C441,$E$7:$E$506,"In",$M$7:$M$506,"&lt;="&amp;M441)-SUMIFS($F$7:$F$506,$C$7:$C$506,C441,$E$7:$E$506,"Out",$M$7:$M$506,"&lt;="&amp;M441))</f>
        <v/>
      </c>
      <c r="L441" s="44" t="str">
        <f aca="false">IF(AND(B441="",C441="",F441=""),"",IF(C441="","⚠ Pick item",IF(D441="?","⚠ Code not in Item Master",IF(B441="","⚠ Enter date",IF(OR(E441="",N(F441)&lt;=0),"⚠ Type / quantity missing",IF(AND(E441="In",G441=""),"⚠ Enter purchase rate",IF(OR(B441&lt;Setup!$C$6,B441&gt;Setup!$C$7),"Outside period",IF(K441&lt;0,"⚠ Stock goes negative","✔ OK"))))))))</f>
        <v/>
      </c>
      <c r="M441" s="9" t="str">
        <f aca="false">IF(OR(C441="",B441=""),"",B441+ROW()/1000000)</f>
        <v/>
      </c>
      <c r="N441" s="9" t="str">
        <f aca="false">IF(AND(E441="In",M441&lt;&gt;""),SUMIFS($F$7:$F$506,$C$7:$C$506,C441,$E$7:$E$506,"In",$M$7:$M$506,"&gt;"&amp;M441),"")</f>
        <v/>
      </c>
      <c r="O441" s="9" t="str">
        <f aca="false">IF(N441="","",IFERROR(INDEX('Item Master'!$K$6:$K$105,MATCH(C441,'Item Master'!$A$6:$A$105,0)),0))</f>
        <v/>
      </c>
      <c r="P441" s="9" t="n">
        <f aca="false">IF(N441="",0,MAX(0,MIN(N(F441),O441-N441))*N(G441))</f>
        <v>0</v>
      </c>
      <c r="Q441" s="9" t="str">
        <f aca="false">IF(AND(C441&lt;&gt;"",C441='Stock Ledger'!$C$4),M441,"")</f>
        <v/>
      </c>
    </row>
    <row r="442" customFormat="false" ht="15" hidden="false" customHeight="false" outlineLevel="0" collapsed="false">
      <c r="A442" s="45" t="str">
        <f aca="false">IF(C442="","",ROW()-6)</f>
        <v/>
      </c>
      <c r="B442" s="85"/>
      <c r="C442" s="80"/>
      <c r="D442" s="47" t="str">
        <f aca="false">IF(C442="","",IFERROR(INDEX('Item Master'!$B$6:$B$105,MATCH(C442,'Item Master'!$A$6:$A$105,0)),"?"))</f>
        <v/>
      </c>
      <c r="E442" s="82"/>
      <c r="F442" s="83"/>
      <c r="G442" s="84"/>
      <c r="H442" s="81"/>
      <c r="I442" s="80"/>
      <c r="J442" s="41" t="str">
        <f aca="false">IF(OR(C442="",G442=""),"",N(F442)*N(G442))</f>
        <v/>
      </c>
      <c r="K442" s="48" t="str">
        <f aca="false">IF(M442="","",N(IFERROR(INDEX('Item Master'!$E$6:$E$105,MATCH(C442,'Item Master'!$A$6:$A$105,0)),0))+SUMIFS($F$7:$F$506,$C$7:$C$506,C442,$E$7:$E$506,"In",$M$7:$M$506,"&lt;="&amp;M442)-SUMIFS($F$7:$F$506,$C$7:$C$506,C442,$E$7:$E$506,"Out",$M$7:$M$506,"&lt;="&amp;M442))</f>
        <v/>
      </c>
      <c r="L442" s="44" t="str">
        <f aca="false">IF(AND(B442="",C442="",F442=""),"",IF(C442="","⚠ Pick item",IF(D442="?","⚠ Code not in Item Master",IF(B442="","⚠ Enter date",IF(OR(E442="",N(F442)&lt;=0),"⚠ Type / quantity missing",IF(AND(E442="In",G442=""),"⚠ Enter purchase rate",IF(OR(B442&lt;Setup!$C$6,B442&gt;Setup!$C$7),"Outside period",IF(K442&lt;0,"⚠ Stock goes negative","✔ OK"))))))))</f>
        <v/>
      </c>
      <c r="M442" s="9" t="str">
        <f aca="false">IF(OR(C442="",B442=""),"",B442+ROW()/1000000)</f>
        <v/>
      </c>
      <c r="N442" s="9" t="str">
        <f aca="false">IF(AND(E442="In",M442&lt;&gt;""),SUMIFS($F$7:$F$506,$C$7:$C$506,C442,$E$7:$E$506,"In",$M$7:$M$506,"&gt;"&amp;M442),"")</f>
        <v/>
      </c>
      <c r="O442" s="9" t="str">
        <f aca="false">IF(N442="","",IFERROR(INDEX('Item Master'!$K$6:$K$105,MATCH(C442,'Item Master'!$A$6:$A$105,0)),0))</f>
        <v/>
      </c>
      <c r="P442" s="9" t="n">
        <f aca="false">IF(N442="",0,MAX(0,MIN(N(F442),O442-N442))*N(G442))</f>
        <v>0</v>
      </c>
      <c r="Q442" s="9" t="str">
        <f aca="false">IF(AND(C442&lt;&gt;"",C442='Stock Ledger'!$C$4),M442,"")</f>
        <v/>
      </c>
    </row>
    <row r="443" customFormat="false" ht="15" hidden="false" customHeight="false" outlineLevel="0" collapsed="false">
      <c r="A443" s="45" t="str">
        <f aca="false">IF(C443="","",ROW()-6)</f>
        <v/>
      </c>
      <c r="B443" s="85"/>
      <c r="C443" s="80"/>
      <c r="D443" s="47" t="str">
        <f aca="false">IF(C443="","",IFERROR(INDEX('Item Master'!$B$6:$B$105,MATCH(C443,'Item Master'!$A$6:$A$105,0)),"?"))</f>
        <v/>
      </c>
      <c r="E443" s="82"/>
      <c r="F443" s="83"/>
      <c r="G443" s="84"/>
      <c r="H443" s="81"/>
      <c r="I443" s="80"/>
      <c r="J443" s="41" t="str">
        <f aca="false">IF(OR(C443="",G443=""),"",N(F443)*N(G443))</f>
        <v/>
      </c>
      <c r="K443" s="48" t="str">
        <f aca="false">IF(M443="","",N(IFERROR(INDEX('Item Master'!$E$6:$E$105,MATCH(C443,'Item Master'!$A$6:$A$105,0)),0))+SUMIFS($F$7:$F$506,$C$7:$C$506,C443,$E$7:$E$506,"In",$M$7:$M$506,"&lt;="&amp;M443)-SUMIFS($F$7:$F$506,$C$7:$C$506,C443,$E$7:$E$506,"Out",$M$7:$M$506,"&lt;="&amp;M443))</f>
        <v/>
      </c>
      <c r="L443" s="44" t="str">
        <f aca="false">IF(AND(B443="",C443="",F443=""),"",IF(C443="","⚠ Pick item",IF(D443="?","⚠ Code not in Item Master",IF(B443="","⚠ Enter date",IF(OR(E443="",N(F443)&lt;=0),"⚠ Type / quantity missing",IF(AND(E443="In",G443=""),"⚠ Enter purchase rate",IF(OR(B443&lt;Setup!$C$6,B443&gt;Setup!$C$7),"Outside period",IF(K443&lt;0,"⚠ Stock goes negative","✔ OK"))))))))</f>
        <v/>
      </c>
      <c r="M443" s="9" t="str">
        <f aca="false">IF(OR(C443="",B443=""),"",B443+ROW()/1000000)</f>
        <v/>
      </c>
      <c r="N443" s="9" t="str">
        <f aca="false">IF(AND(E443="In",M443&lt;&gt;""),SUMIFS($F$7:$F$506,$C$7:$C$506,C443,$E$7:$E$506,"In",$M$7:$M$506,"&gt;"&amp;M443),"")</f>
        <v/>
      </c>
      <c r="O443" s="9" t="str">
        <f aca="false">IF(N443="","",IFERROR(INDEX('Item Master'!$K$6:$K$105,MATCH(C443,'Item Master'!$A$6:$A$105,0)),0))</f>
        <v/>
      </c>
      <c r="P443" s="9" t="n">
        <f aca="false">IF(N443="",0,MAX(0,MIN(N(F443),O443-N443))*N(G443))</f>
        <v>0</v>
      </c>
      <c r="Q443" s="9" t="str">
        <f aca="false">IF(AND(C443&lt;&gt;"",C443='Stock Ledger'!$C$4),M443,"")</f>
        <v/>
      </c>
    </row>
    <row r="444" customFormat="false" ht="15" hidden="false" customHeight="false" outlineLevel="0" collapsed="false">
      <c r="A444" s="45" t="str">
        <f aca="false">IF(C444="","",ROW()-6)</f>
        <v/>
      </c>
      <c r="B444" s="85"/>
      <c r="C444" s="80"/>
      <c r="D444" s="47" t="str">
        <f aca="false">IF(C444="","",IFERROR(INDEX('Item Master'!$B$6:$B$105,MATCH(C444,'Item Master'!$A$6:$A$105,0)),"?"))</f>
        <v/>
      </c>
      <c r="E444" s="82"/>
      <c r="F444" s="83"/>
      <c r="G444" s="84"/>
      <c r="H444" s="81"/>
      <c r="I444" s="80"/>
      <c r="J444" s="41" t="str">
        <f aca="false">IF(OR(C444="",G444=""),"",N(F444)*N(G444))</f>
        <v/>
      </c>
      <c r="K444" s="48" t="str">
        <f aca="false">IF(M444="","",N(IFERROR(INDEX('Item Master'!$E$6:$E$105,MATCH(C444,'Item Master'!$A$6:$A$105,0)),0))+SUMIFS($F$7:$F$506,$C$7:$C$506,C444,$E$7:$E$506,"In",$M$7:$M$506,"&lt;="&amp;M444)-SUMIFS($F$7:$F$506,$C$7:$C$506,C444,$E$7:$E$506,"Out",$M$7:$M$506,"&lt;="&amp;M444))</f>
        <v/>
      </c>
      <c r="L444" s="44" t="str">
        <f aca="false">IF(AND(B444="",C444="",F444=""),"",IF(C444="","⚠ Pick item",IF(D444="?","⚠ Code not in Item Master",IF(B444="","⚠ Enter date",IF(OR(E444="",N(F444)&lt;=0),"⚠ Type / quantity missing",IF(AND(E444="In",G444=""),"⚠ Enter purchase rate",IF(OR(B444&lt;Setup!$C$6,B444&gt;Setup!$C$7),"Outside period",IF(K444&lt;0,"⚠ Stock goes negative","✔ OK"))))))))</f>
        <v/>
      </c>
      <c r="M444" s="9" t="str">
        <f aca="false">IF(OR(C444="",B444=""),"",B444+ROW()/1000000)</f>
        <v/>
      </c>
      <c r="N444" s="9" t="str">
        <f aca="false">IF(AND(E444="In",M444&lt;&gt;""),SUMIFS($F$7:$F$506,$C$7:$C$506,C444,$E$7:$E$506,"In",$M$7:$M$506,"&gt;"&amp;M444),"")</f>
        <v/>
      </c>
      <c r="O444" s="9" t="str">
        <f aca="false">IF(N444="","",IFERROR(INDEX('Item Master'!$K$6:$K$105,MATCH(C444,'Item Master'!$A$6:$A$105,0)),0))</f>
        <v/>
      </c>
      <c r="P444" s="9" t="n">
        <f aca="false">IF(N444="",0,MAX(0,MIN(N(F444),O444-N444))*N(G444))</f>
        <v>0</v>
      </c>
      <c r="Q444" s="9" t="str">
        <f aca="false">IF(AND(C444&lt;&gt;"",C444='Stock Ledger'!$C$4),M444,"")</f>
        <v/>
      </c>
    </row>
    <row r="445" customFormat="false" ht="15" hidden="false" customHeight="false" outlineLevel="0" collapsed="false">
      <c r="A445" s="45" t="str">
        <f aca="false">IF(C445="","",ROW()-6)</f>
        <v/>
      </c>
      <c r="B445" s="85"/>
      <c r="C445" s="80"/>
      <c r="D445" s="47" t="str">
        <f aca="false">IF(C445="","",IFERROR(INDEX('Item Master'!$B$6:$B$105,MATCH(C445,'Item Master'!$A$6:$A$105,0)),"?"))</f>
        <v/>
      </c>
      <c r="E445" s="82"/>
      <c r="F445" s="83"/>
      <c r="G445" s="84"/>
      <c r="H445" s="81"/>
      <c r="I445" s="80"/>
      <c r="J445" s="41" t="str">
        <f aca="false">IF(OR(C445="",G445=""),"",N(F445)*N(G445))</f>
        <v/>
      </c>
      <c r="K445" s="48" t="str">
        <f aca="false">IF(M445="","",N(IFERROR(INDEX('Item Master'!$E$6:$E$105,MATCH(C445,'Item Master'!$A$6:$A$105,0)),0))+SUMIFS($F$7:$F$506,$C$7:$C$506,C445,$E$7:$E$506,"In",$M$7:$M$506,"&lt;="&amp;M445)-SUMIFS($F$7:$F$506,$C$7:$C$506,C445,$E$7:$E$506,"Out",$M$7:$M$506,"&lt;="&amp;M445))</f>
        <v/>
      </c>
      <c r="L445" s="44" t="str">
        <f aca="false">IF(AND(B445="",C445="",F445=""),"",IF(C445="","⚠ Pick item",IF(D445="?","⚠ Code not in Item Master",IF(B445="","⚠ Enter date",IF(OR(E445="",N(F445)&lt;=0),"⚠ Type / quantity missing",IF(AND(E445="In",G445=""),"⚠ Enter purchase rate",IF(OR(B445&lt;Setup!$C$6,B445&gt;Setup!$C$7),"Outside period",IF(K445&lt;0,"⚠ Stock goes negative","✔ OK"))))))))</f>
        <v/>
      </c>
      <c r="M445" s="9" t="str">
        <f aca="false">IF(OR(C445="",B445=""),"",B445+ROW()/1000000)</f>
        <v/>
      </c>
      <c r="N445" s="9" t="str">
        <f aca="false">IF(AND(E445="In",M445&lt;&gt;""),SUMIFS($F$7:$F$506,$C$7:$C$506,C445,$E$7:$E$506,"In",$M$7:$M$506,"&gt;"&amp;M445),"")</f>
        <v/>
      </c>
      <c r="O445" s="9" t="str">
        <f aca="false">IF(N445="","",IFERROR(INDEX('Item Master'!$K$6:$K$105,MATCH(C445,'Item Master'!$A$6:$A$105,0)),0))</f>
        <v/>
      </c>
      <c r="P445" s="9" t="n">
        <f aca="false">IF(N445="",0,MAX(0,MIN(N(F445),O445-N445))*N(G445))</f>
        <v>0</v>
      </c>
      <c r="Q445" s="9" t="str">
        <f aca="false">IF(AND(C445&lt;&gt;"",C445='Stock Ledger'!$C$4),M445,"")</f>
        <v/>
      </c>
    </row>
    <row r="446" customFormat="false" ht="15" hidden="false" customHeight="false" outlineLevel="0" collapsed="false">
      <c r="A446" s="45" t="str">
        <f aca="false">IF(C446="","",ROW()-6)</f>
        <v/>
      </c>
      <c r="B446" s="85"/>
      <c r="C446" s="80"/>
      <c r="D446" s="47" t="str">
        <f aca="false">IF(C446="","",IFERROR(INDEX('Item Master'!$B$6:$B$105,MATCH(C446,'Item Master'!$A$6:$A$105,0)),"?"))</f>
        <v/>
      </c>
      <c r="E446" s="82"/>
      <c r="F446" s="83"/>
      <c r="G446" s="84"/>
      <c r="H446" s="81"/>
      <c r="I446" s="80"/>
      <c r="J446" s="41" t="str">
        <f aca="false">IF(OR(C446="",G446=""),"",N(F446)*N(G446))</f>
        <v/>
      </c>
      <c r="K446" s="48" t="str">
        <f aca="false">IF(M446="","",N(IFERROR(INDEX('Item Master'!$E$6:$E$105,MATCH(C446,'Item Master'!$A$6:$A$105,0)),0))+SUMIFS($F$7:$F$506,$C$7:$C$506,C446,$E$7:$E$506,"In",$M$7:$M$506,"&lt;="&amp;M446)-SUMIFS($F$7:$F$506,$C$7:$C$506,C446,$E$7:$E$506,"Out",$M$7:$M$506,"&lt;="&amp;M446))</f>
        <v/>
      </c>
      <c r="L446" s="44" t="str">
        <f aca="false">IF(AND(B446="",C446="",F446=""),"",IF(C446="","⚠ Pick item",IF(D446="?","⚠ Code not in Item Master",IF(B446="","⚠ Enter date",IF(OR(E446="",N(F446)&lt;=0),"⚠ Type / quantity missing",IF(AND(E446="In",G446=""),"⚠ Enter purchase rate",IF(OR(B446&lt;Setup!$C$6,B446&gt;Setup!$C$7),"Outside period",IF(K446&lt;0,"⚠ Stock goes negative","✔ OK"))))))))</f>
        <v/>
      </c>
      <c r="M446" s="9" t="str">
        <f aca="false">IF(OR(C446="",B446=""),"",B446+ROW()/1000000)</f>
        <v/>
      </c>
      <c r="N446" s="9" t="str">
        <f aca="false">IF(AND(E446="In",M446&lt;&gt;""),SUMIFS($F$7:$F$506,$C$7:$C$506,C446,$E$7:$E$506,"In",$M$7:$M$506,"&gt;"&amp;M446),"")</f>
        <v/>
      </c>
      <c r="O446" s="9" t="str">
        <f aca="false">IF(N446="","",IFERROR(INDEX('Item Master'!$K$6:$K$105,MATCH(C446,'Item Master'!$A$6:$A$105,0)),0))</f>
        <v/>
      </c>
      <c r="P446" s="9" t="n">
        <f aca="false">IF(N446="",0,MAX(0,MIN(N(F446),O446-N446))*N(G446))</f>
        <v>0</v>
      </c>
      <c r="Q446" s="9" t="str">
        <f aca="false">IF(AND(C446&lt;&gt;"",C446='Stock Ledger'!$C$4),M446,"")</f>
        <v/>
      </c>
    </row>
    <row r="447" customFormat="false" ht="15" hidden="false" customHeight="false" outlineLevel="0" collapsed="false">
      <c r="A447" s="45" t="str">
        <f aca="false">IF(C447="","",ROW()-6)</f>
        <v/>
      </c>
      <c r="B447" s="85"/>
      <c r="C447" s="80"/>
      <c r="D447" s="47" t="str">
        <f aca="false">IF(C447="","",IFERROR(INDEX('Item Master'!$B$6:$B$105,MATCH(C447,'Item Master'!$A$6:$A$105,0)),"?"))</f>
        <v/>
      </c>
      <c r="E447" s="82"/>
      <c r="F447" s="83"/>
      <c r="G447" s="84"/>
      <c r="H447" s="81"/>
      <c r="I447" s="80"/>
      <c r="J447" s="41" t="str">
        <f aca="false">IF(OR(C447="",G447=""),"",N(F447)*N(G447))</f>
        <v/>
      </c>
      <c r="K447" s="48" t="str">
        <f aca="false">IF(M447="","",N(IFERROR(INDEX('Item Master'!$E$6:$E$105,MATCH(C447,'Item Master'!$A$6:$A$105,0)),0))+SUMIFS($F$7:$F$506,$C$7:$C$506,C447,$E$7:$E$506,"In",$M$7:$M$506,"&lt;="&amp;M447)-SUMIFS($F$7:$F$506,$C$7:$C$506,C447,$E$7:$E$506,"Out",$M$7:$M$506,"&lt;="&amp;M447))</f>
        <v/>
      </c>
      <c r="L447" s="44" t="str">
        <f aca="false">IF(AND(B447="",C447="",F447=""),"",IF(C447="","⚠ Pick item",IF(D447="?","⚠ Code not in Item Master",IF(B447="","⚠ Enter date",IF(OR(E447="",N(F447)&lt;=0),"⚠ Type / quantity missing",IF(AND(E447="In",G447=""),"⚠ Enter purchase rate",IF(OR(B447&lt;Setup!$C$6,B447&gt;Setup!$C$7),"Outside period",IF(K447&lt;0,"⚠ Stock goes negative","✔ OK"))))))))</f>
        <v/>
      </c>
      <c r="M447" s="9" t="str">
        <f aca="false">IF(OR(C447="",B447=""),"",B447+ROW()/1000000)</f>
        <v/>
      </c>
      <c r="N447" s="9" t="str">
        <f aca="false">IF(AND(E447="In",M447&lt;&gt;""),SUMIFS($F$7:$F$506,$C$7:$C$506,C447,$E$7:$E$506,"In",$M$7:$M$506,"&gt;"&amp;M447),"")</f>
        <v/>
      </c>
      <c r="O447" s="9" t="str">
        <f aca="false">IF(N447="","",IFERROR(INDEX('Item Master'!$K$6:$K$105,MATCH(C447,'Item Master'!$A$6:$A$105,0)),0))</f>
        <v/>
      </c>
      <c r="P447" s="9" t="n">
        <f aca="false">IF(N447="",0,MAX(0,MIN(N(F447),O447-N447))*N(G447))</f>
        <v>0</v>
      </c>
      <c r="Q447" s="9" t="str">
        <f aca="false">IF(AND(C447&lt;&gt;"",C447='Stock Ledger'!$C$4),M447,"")</f>
        <v/>
      </c>
    </row>
    <row r="448" customFormat="false" ht="15" hidden="false" customHeight="false" outlineLevel="0" collapsed="false">
      <c r="A448" s="45" t="str">
        <f aca="false">IF(C448="","",ROW()-6)</f>
        <v/>
      </c>
      <c r="B448" s="85"/>
      <c r="C448" s="80"/>
      <c r="D448" s="47" t="str">
        <f aca="false">IF(C448="","",IFERROR(INDEX('Item Master'!$B$6:$B$105,MATCH(C448,'Item Master'!$A$6:$A$105,0)),"?"))</f>
        <v/>
      </c>
      <c r="E448" s="82"/>
      <c r="F448" s="83"/>
      <c r="G448" s="84"/>
      <c r="H448" s="81"/>
      <c r="I448" s="80"/>
      <c r="J448" s="41" t="str">
        <f aca="false">IF(OR(C448="",G448=""),"",N(F448)*N(G448))</f>
        <v/>
      </c>
      <c r="K448" s="48" t="str">
        <f aca="false">IF(M448="","",N(IFERROR(INDEX('Item Master'!$E$6:$E$105,MATCH(C448,'Item Master'!$A$6:$A$105,0)),0))+SUMIFS($F$7:$F$506,$C$7:$C$506,C448,$E$7:$E$506,"In",$M$7:$M$506,"&lt;="&amp;M448)-SUMIFS($F$7:$F$506,$C$7:$C$506,C448,$E$7:$E$506,"Out",$M$7:$M$506,"&lt;="&amp;M448))</f>
        <v/>
      </c>
      <c r="L448" s="44" t="str">
        <f aca="false">IF(AND(B448="",C448="",F448=""),"",IF(C448="","⚠ Pick item",IF(D448="?","⚠ Code not in Item Master",IF(B448="","⚠ Enter date",IF(OR(E448="",N(F448)&lt;=0),"⚠ Type / quantity missing",IF(AND(E448="In",G448=""),"⚠ Enter purchase rate",IF(OR(B448&lt;Setup!$C$6,B448&gt;Setup!$C$7),"Outside period",IF(K448&lt;0,"⚠ Stock goes negative","✔ OK"))))))))</f>
        <v/>
      </c>
      <c r="M448" s="9" t="str">
        <f aca="false">IF(OR(C448="",B448=""),"",B448+ROW()/1000000)</f>
        <v/>
      </c>
      <c r="N448" s="9" t="str">
        <f aca="false">IF(AND(E448="In",M448&lt;&gt;""),SUMIFS($F$7:$F$506,$C$7:$C$506,C448,$E$7:$E$506,"In",$M$7:$M$506,"&gt;"&amp;M448),"")</f>
        <v/>
      </c>
      <c r="O448" s="9" t="str">
        <f aca="false">IF(N448="","",IFERROR(INDEX('Item Master'!$K$6:$K$105,MATCH(C448,'Item Master'!$A$6:$A$105,0)),0))</f>
        <v/>
      </c>
      <c r="P448" s="9" t="n">
        <f aca="false">IF(N448="",0,MAX(0,MIN(N(F448),O448-N448))*N(G448))</f>
        <v>0</v>
      </c>
      <c r="Q448" s="9" t="str">
        <f aca="false">IF(AND(C448&lt;&gt;"",C448='Stock Ledger'!$C$4),M448,"")</f>
        <v/>
      </c>
    </row>
    <row r="449" customFormat="false" ht="15" hidden="false" customHeight="false" outlineLevel="0" collapsed="false">
      <c r="A449" s="45" t="str">
        <f aca="false">IF(C449="","",ROW()-6)</f>
        <v/>
      </c>
      <c r="B449" s="85"/>
      <c r="C449" s="80"/>
      <c r="D449" s="47" t="str">
        <f aca="false">IF(C449="","",IFERROR(INDEX('Item Master'!$B$6:$B$105,MATCH(C449,'Item Master'!$A$6:$A$105,0)),"?"))</f>
        <v/>
      </c>
      <c r="E449" s="82"/>
      <c r="F449" s="83"/>
      <c r="G449" s="84"/>
      <c r="H449" s="81"/>
      <c r="I449" s="80"/>
      <c r="J449" s="41" t="str">
        <f aca="false">IF(OR(C449="",G449=""),"",N(F449)*N(G449))</f>
        <v/>
      </c>
      <c r="K449" s="48" t="str">
        <f aca="false">IF(M449="","",N(IFERROR(INDEX('Item Master'!$E$6:$E$105,MATCH(C449,'Item Master'!$A$6:$A$105,0)),0))+SUMIFS($F$7:$F$506,$C$7:$C$506,C449,$E$7:$E$506,"In",$M$7:$M$506,"&lt;="&amp;M449)-SUMIFS($F$7:$F$506,$C$7:$C$506,C449,$E$7:$E$506,"Out",$M$7:$M$506,"&lt;="&amp;M449))</f>
        <v/>
      </c>
      <c r="L449" s="44" t="str">
        <f aca="false">IF(AND(B449="",C449="",F449=""),"",IF(C449="","⚠ Pick item",IF(D449="?","⚠ Code not in Item Master",IF(B449="","⚠ Enter date",IF(OR(E449="",N(F449)&lt;=0),"⚠ Type / quantity missing",IF(AND(E449="In",G449=""),"⚠ Enter purchase rate",IF(OR(B449&lt;Setup!$C$6,B449&gt;Setup!$C$7),"Outside period",IF(K449&lt;0,"⚠ Stock goes negative","✔ OK"))))))))</f>
        <v/>
      </c>
      <c r="M449" s="9" t="str">
        <f aca="false">IF(OR(C449="",B449=""),"",B449+ROW()/1000000)</f>
        <v/>
      </c>
      <c r="N449" s="9" t="str">
        <f aca="false">IF(AND(E449="In",M449&lt;&gt;""),SUMIFS($F$7:$F$506,$C$7:$C$506,C449,$E$7:$E$506,"In",$M$7:$M$506,"&gt;"&amp;M449),"")</f>
        <v/>
      </c>
      <c r="O449" s="9" t="str">
        <f aca="false">IF(N449="","",IFERROR(INDEX('Item Master'!$K$6:$K$105,MATCH(C449,'Item Master'!$A$6:$A$105,0)),0))</f>
        <v/>
      </c>
      <c r="P449" s="9" t="n">
        <f aca="false">IF(N449="",0,MAX(0,MIN(N(F449),O449-N449))*N(G449))</f>
        <v>0</v>
      </c>
      <c r="Q449" s="9" t="str">
        <f aca="false">IF(AND(C449&lt;&gt;"",C449='Stock Ledger'!$C$4),M449,"")</f>
        <v/>
      </c>
    </row>
    <row r="450" customFormat="false" ht="15" hidden="false" customHeight="false" outlineLevel="0" collapsed="false">
      <c r="A450" s="45" t="str">
        <f aca="false">IF(C450="","",ROW()-6)</f>
        <v/>
      </c>
      <c r="B450" s="85"/>
      <c r="C450" s="80"/>
      <c r="D450" s="47" t="str">
        <f aca="false">IF(C450="","",IFERROR(INDEX('Item Master'!$B$6:$B$105,MATCH(C450,'Item Master'!$A$6:$A$105,0)),"?"))</f>
        <v/>
      </c>
      <c r="E450" s="82"/>
      <c r="F450" s="83"/>
      <c r="G450" s="84"/>
      <c r="H450" s="81"/>
      <c r="I450" s="80"/>
      <c r="J450" s="41" t="str">
        <f aca="false">IF(OR(C450="",G450=""),"",N(F450)*N(G450))</f>
        <v/>
      </c>
      <c r="K450" s="48" t="str">
        <f aca="false">IF(M450="","",N(IFERROR(INDEX('Item Master'!$E$6:$E$105,MATCH(C450,'Item Master'!$A$6:$A$105,0)),0))+SUMIFS($F$7:$F$506,$C$7:$C$506,C450,$E$7:$E$506,"In",$M$7:$M$506,"&lt;="&amp;M450)-SUMIFS($F$7:$F$506,$C$7:$C$506,C450,$E$7:$E$506,"Out",$M$7:$M$506,"&lt;="&amp;M450))</f>
        <v/>
      </c>
      <c r="L450" s="44" t="str">
        <f aca="false">IF(AND(B450="",C450="",F450=""),"",IF(C450="","⚠ Pick item",IF(D450="?","⚠ Code not in Item Master",IF(B450="","⚠ Enter date",IF(OR(E450="",N(F450)&lt;=0),"⚠ Type / quantity missing",IF(AND(E450="In",G450=""),"⚠ Enter purchase rate",IF(OR(B450&lt;Setup!$C$6,B450&gt;Setup!$C$7),"Outside period",IF(K450&lt;0,"⚠ Stock goes negative","✔ OK"))))))))</f>
        <v/>
      </c>
      <c r="M450" s="9" t="str">
        <f aca="false">IF(OR(C450="",B450=""),"",B450+ROW()/1000000)</f>
        <v/>
      </c>
      <c r="N450" s="9" t="str">
        <f aca="false">IF(AND(E450="In",M450&lt;&gt;""),SUMIFS($F$7:$F$506,$C$7:$C$506,C450,$E$7:$E$506,"In",$M$7:$M$506,"&gt;"&amp;M450),"")</f>
        <v/>
      </c>
      <c r="O450" s="9" t="str">
        <f aca="false">IF(N450="","",IFERROR(INDEX('Item Master'!$K$6:$K$105,MATCH(C450,'Item Master'!$A$6:$A$105,0)),0))</f>
        <v/>
      </c>
      <c r="P450" s="9" t="n">
        <f aca="false">IF(N450="",0,MAX(0,MIN(N(F450),O450-N450))*N(G450))</f>
        <v>0</v>
      </c>
      <c r="Q450" s="9" t="str">
        <f aca="false">IF(AND(C450&lt;&gt;"",C450='Stock Ledger'!$C$4),M450,"")</f>
        <v/>
      </c>
    </row>
    <row r="451" customFormat="false" ht="15" hidden="false" customHeight="false" outlineLevel="0" collapsed="false">
      <c r="A451" s="45" t="str">
        <f aca="false">IF(C451="","",ROW()-6)</f>
        <v/>
      </c>
      <c r="B451" s="85"/>
      <c r="C451" s="80"/>
      <c r="D451" s="47" t="str">
        <f aca="false">IF(C451="","",IFERROR(INDEX('Item Master'!$B$6:$B$105,MATCH(C451,'Item Master'!$A$6:$A$105,0)),"?"))</f>
        <v/>
      </c>
      <c r="E451" s="82"/>
      <c r="F451" s="83"/>
      <c r="G451" s="84"/>
      <c r="H451" s="81"/>
      <c r="I451" s="80"/>
      <c r="J451" s="41" t="str">
        <f aca="false">IF(OR(C451="",G451=""),"",N(F451)*N(G451))</f>
        <v/>
      </c>
      <c r="K451" s="48" t="str">
        <f aca="false">IF(M451="","",N(IFERROR(INDEX('Item Master'!$E$6:$E$105,MATCH(C451,'Item Master'!$A$6:$A$105,0)),0))+SUMIFS($F$7:$F$506,$C$7:$C$506,C451,$E$7:$E$506,"In",$M$7:$M$506,"&lt;="&amp;M451)-SUMIFS($F$7:$F$506,$C$7:$C$506,C451,$E$7:$E$506,"Out",$M$7:$M$506,"&lt;="&amp;M451))</f>
        <v/>
      </c>
      <c r="L451" s="44" t="str">
        <f aca="false">IF(AND(B451="",C451="",F451=""),"",IF(C451="","⚠ Pick item",IF(D451="?","⚠ Code not in Item Master",IF(B451="","⚠ Enter date",IF(OR(E451="",N(F451)&lt;=0),"⚠ Type / quantity missing",IF(AND(E451="In",G451=""),"⚠ Enter purchase rate",IF(OR(B451&lt;Setup!$C$6,B451&gt;Setup!$C$7),"Outside period",IF(K451&lt;0,"⚠ Stock goes negative","✔ OK"))))))))</f>
        <v/>
      </c>
      <c r="M451" s="9" t="str">
        <f aca="false">IF(OR(C451="",B451=""),"",B451+ROW()/1000000)</f>
        <v/>
      </c>
      <c r="N451" s="9" t="str">
        <f aca="false">IF(AND(E451="In",M451&lt;&gt;""),SUMIFS($F$7:$F$506,$C$7:$C$506,C451,$E$7:$E$506,"In",$M$7:$M$506,"&gt;"&amp;M451),"")</f>
        <v/>
      </c>
      <c r="O451" s="9" t="str">
        <f aca="false">IF(N451="","",IFERROR(INDEX('Item Master'!$K$6:$K$105,MATCH(C451,'Item Master'!$A$6:$A$105,0)),0))</f>
        <v/>
      </c>
      <c r="P451" s="9" t="n">
        <f aca="false">IF(N451="",0,MAX(0,MIN(N(F451),O451-N451))*N(G451))</f>
        <v>0</v>
      </c>
      <c r="Q451" s="9" t="str">
        <f aca="false">IF(AND(C451&lt;&gt;"",C451='Stock Ledger'!$C$4),M451,"")</f>
        <v/>
      </c>
    </row>
    <row r="452" customFormat="false" ht="15" hidden="false" customHeight="false" outlineLevel="0" collapsed="false">
      <c r="A452" s="45" t="str">
        <f aca="false">IF(C452="","",ROW()-6)</f>
        <v/>
      </c>
      <c r="B452" s="85"/>
      <c r="C452" s="80"/>
      <c r="D452" s="47" t="str">
        <f aca="false">IF(C452="","",IFERROR(INDEX('Item Master'!$B$6:$B$105,MATCH(C452,'Item Master'!$A$6:$A$105,0)),"?"))</f>
        <v/>
      </c>
      <c r="E452" s="82"/>
      <c r="F452" s="83"/>
      <c r="G452" s="84"/>
      <c r="H452" s="81"/>
      <c r="I452" s="80"/>
      <c r="J452" s="41" t="str">
        <f aca="false">IF(OR(C452="",G452=""),"",N(F452)*N(G452))</f>
        <v/>
      </c>
      <c r="K452" s="48" t="str">
        <f aca="false">IF(M452="","",N(IFERROR(INDEX('Item Master'!$E$6:$E$105,MATCH(C452,'Item Master'!$A$6:$A$105,0)),0))+SUMIFS($F$7:$F$506,$C$7:$C$506,C452,$E$7:$E$506,"In",$M$7:$M$506,"&lt;="&amp;M452)-SUMIFS($F$7:$F$506,$C$7:$C$506,C452,$E$7:$E$506,"Out",$M$7:$M$506,"&lt;="&amp;M452))</f>
        <v/>
      </c>
      <c r="L452" s="44" t="str">
        <f aca="false">IF(AND(B452="",C452="",F452=""),"",IF(C452="","⚠ Pick item",IF(D452="?","⚠ Code not in Item Master",IF(B452="","⚠ Enter date",IF(OR(E452="",N(F452)&lt;=0),"⚠ Type / quantity missing",IF(AND(E452="In",G452=""),"⚠ Enter purchase rate",IF(OR(B452&lt;Setup!$C$6,B452&gt;Setup!$C$7),"Outside period",IF(K452&lt;0,"⚠ Stock goes negative","✔ OK"))))))))</f>
        <v/>
      </c>
      <c r="M452" s="9" t="str">
        <f aca="false">IF(OR(C452="",B452=""),"",B452+ROW()/1000000)</f>
        <v/>
      </c>
      <c r="N452" s="9" t="str">
        <f aca="false">IF(AND(E452="In",M452&lt;&gt;""),SUMIFS($F$7:$F$506,$C$7:$C$506,C452,$E$7:$E$506,"In",$M$7:$M$506,"&gt;"&amp;M452),"")</f>
        <v/>
      </c>
      <c r="O452" s="9" t="str">
        <f aca="false">IF(N452="","",IFERROR(INDEX('Item Master'!$K$6:$K$105,MATCH(C452,'Item Master'!$A$6:$A$105,0)),0))</f>
        <v/>
      </c>
      <c r="P452" s="9" t="n">
        <f aca="false">IF(N452="",0,MAX(0,MIN(N(F452),O452-N452))*N(G452))</f>
        <v>0</v>
      </c>
      <c r="Q452" s="9" t="str">
        <f aca="false">IF(AND(C452&lt;&gt;"",C452='Stock Ledger'!$C$4),M452,"")</f>
        <v/>
      </c>
    </row>
    <row r="453" customFormat="false" ht="15" hidden="false" customHeight="false" outlineLevel="0" collapsed="false">
      <c r="A453" s="45" t="str">
        <f aca="false">IF(C453="","",ROW()-6)</f>
        <v/>
      </c>
      <c r="B453" s="85"/>
      <c r="C453" s="80"/>
      <c r="D453" s="47" t="str">
        <f aca="false">IF(C453="","",IFERROR(INDEX('Item Master'!$B$6:$B$105,MATCH(C453,'Item Master'!$A$6:$A$105,0)),"?"))</f>
        <v/>
      </c>
      <c r="E453" s="82"/>
      <c r="F453" s="83"/>
      <c r="G453" s="84"/>
      <c r="H453" s="81"/>
      <c r="I453" s="80"/>
      <c r="J453" s="41" t="str">
        <f aca="false">IF(OR(C453="",G453=""),"",N(F453)*N(G453))</f>
        <v/>
      </c>
      <c r="K453" s="48" t="str">
        <f aca="false">IF(M453="","",N(IFERROR(INDEX('Item Master'!$E$6:$E$105,MATCH(C453,'Item Master'!$A$6:$A$105,0)),0))+SUMIFS($F$7:$F$506,$C$7:$C$506,C453,$E$7:$E$506,"In",$M$7:$M$506,"&lt;="&amp;M453)-SUMIFS($F$7:$F$506,$C$7:$C$506,C453,$E$7:$E$506,"Out",$M$7:$M$506,"&lt;="&amp;M453))</f>
        <v/>
      </c>
      <c r="L453" s="44" t="str">
        <f aca="false">IF(AND(B453="",C453="",F453=""),"",IF(C453="","⚠ Pick item",IF(D453="?","⚠ Code not in Item Master",IF(B453="","⚠ Enter date",IF(OR(E453="",N(F453)&lt;=0),"⚠ Type / quantity missing",IF(AND(E453="In",G453=""),"⚠ Enter purchase rate",IF(OR(B453&lt;Setup!$C$6,B453&gt;Setup!$C$7),"Outside period",IF(K453&lt;0,"⚠ Stock goes negative","✔ OK"))))))))</f>
        <v/>
      </c>
      <c r="M453" s="9" t="str">
        <f aca="false">IF(OR(C453="",B453=""),"",B453+ROW()/1000000)</f>
        <v/>
      </c>
      <c r="N453" s="9" t="str">
        <f aca="false">IF(AND(E453="In",M453&lt;&gt;""),SUMIFS($F$7:$F$506,$C$7:$C$506,C453,$E$7:$E$506,"In",$M$7:$M$506,"&gt;"&amp;M453),"")</f>
        <v/>
      </c>
      <c r="O453" s="9" t="str">
        <f aca="false">IF(N453="","",IFERROR(INDEX('Item Master'!$K$6:$K$105,MATCH(C453,'Item Master'!$A$6:$A$105,0)),0))</f>
        <v/>
      </c>
      <c r="P453" s="9" t="n">
        <f aca="false">IF(N453="",0,MAX(0,MIN(N(F453),O453-N453))*N(G453))</f>
        <v>0</v>
      </c>
      <c r="Q453" s="9" t="str">
        <f aca="false">IF(AND(C453&lt;&gt;"",C453='Stock Ledger'!$C$4),M453,"")</f>
        <v/>
      </c>
    </row>
    <row r="454" customFormat="false" ht="15" hidden="false" customHeight="false" outlineLevel="0" collapsed="false">
      <c r="A454" s="45" t="str">
        <f aca="false">IF(C454="","",ROW()-6)</f>
        <v/>
      </c>
      <c r="B454" s="85"/>
      <c r="C454" s="80"/>
      <c r="D454" s="47" t="str">
        <f aca="false">IF(C454="","",IFERROR(INDEX('Item Master'!$B$6:$B$105,MATCH(C454,'Item Master'!$A$6:$A$105,0)),"?"))</f>
        <v/>
      </c>
      <c r="E454" s="82"/>
      <c r="F454" s="83"/>
      <c r="G454" s="84"/>
      <c r="H454" s="81"/>
      <c r="I454" s="80"/>
      <c r="J454" s="41" t="str">
        <f aca="false">IF(OR(C454="",G454=""),"",N(F454)*N(G454))</f>
        <v/>
      </c>
      <c r="K454" s="48" t="str">
        <f aca="false">IF(M454="","",N(IFERROR(INDEX('Item Master'!$E$6:$E$105,MATCH(C454,'Item Master'!$A$6:$A$105,0)),0))+SUMIFS($F$7:$F$506,$C$7:$C$506,C454,$E$7:$E$506,"In",$M$7:$M$506,"&lt;="&amp;M454)-SUMIFS($F$7:$F$506,$C$7:$C$506,C454,$E$7:$E$506,"Out",$M$7:$M$506,"&lt;="&amp;M454))</f>
        <v/>
      </c>
      <c r="L454" s="44" t="str">
        <f aca="false">IF(AND(B454="",C454="",F454=""),"",IF(C454="","⚠ Pick item",IF(D454="?","⚠ Code not in Item Master",IF(B454="","⚠ Enter date",IF(OR(E454="",N(F454)&lt;=0),"⚠ Type / quantity missing",IF(AND(E454="In",G454=""),"⚠ Enter purchase rate",IF(OR(B454&lt;Setup!$C$6,B454&gt;Setup!$C$7),"Outside period",IF(K454&lt;0,"⚠ Stock goes negative","✔ OK"))))))))</f>
        <v/>
      </c>
      <c r="M454" s="9" t="str">
        <f aca="false">IF(OR(C454="",B454=""),"",B454+ROW()/1000000)</f>
        <v/>
      </c>
      <c r="N454" s="9" t="str">
        <f aca="false">IF(AND(E454="In",M454&lt;&gt;""),SUMIFS($F$7:$F$506,$C$7:$C$506,C454,$E$7:$E$506,"In",$M$7:$M$506,"&gt;"&amp;M454),"")</f>
        <v/>
      </c>
      <c r="O454" s="9" t="str">
        <f aca="false">IF(N454="","",IFERROR(INDEX('Item Master'!$K$6:$K$105,MATCH(C454,'Item Master'!$A$6:$A$105,0)),0))</f>
        <v/>
      </c>
      <c r="P454" s="9" t="n">
        <f aca="false">IF(N454="",0,MAX(0,MIN(N(F454),O454-N454))*N(G454))</f>
        <v>0</v>
      </c>
      <c r="Q454" s="9" t="str">
        <f aca="false">IF(AND(C454&lt;&gt;"",C454='Stock Ledger'!$C$4),M454,"")</f>
        <v/>
      </c>
    </row>
    <row r="455" customFormat="false" ht="15" hidden="false" customHeight="false" outlineLevel="0" collapsed="false">
      <c r="A455" s="45" t="str">
        <f aca="false">IF(C455="","",ROW()-6)</f>
        <v/>
      </c>
      <c r="B455" s="85"/>
      <c r="C455" s="80"/>
      <c r="D455" s="47" t="str">
        <f aca="false">IF(C455="","",IFERROR(INDEX('Item Master'!$B$6:$B$105,MATCH(C455,'Item Master'!$A$6:$A$105,0)),"?"))</f>
        <v/>
      </c>
      <c r="E455" s="82"/>
      <c r="F455" s="83"/>
      <c r="G455" s="84"/>
      <c r="H455" s="81"/>
      <c r="I455" s="80"/>
      <c r="J455" s="41" t="str">
        <f aca="false">IF(OR(C455="",G455=""),"",N(F455)*N(G455))</f>
        <v/>
      </c>
      <c r="K455" s="48" t="str">
        <f aca="false">IF(M455="","",N(IFERROR(INDEX('Item Master'!$E$6:$E$105,MATCH(C455,'Item Master'!$A$6:$A$105,0)),0))+SUMIFS($F$7:$F$506,$C$7:$C$506,C455,$E$7:$E$506,"In",$M$7:$M$506,"&lt;="&amp;M455)-SUMIFS($F$7:$F$506,$C$7:$C$506,C455,$E$7:$E$506,"Out",$M$7:$M$506,"&lt;="&amp;M455))</f>
        <v/>
      </c>
      <c r="L455" s="44" t="str">
        <f aca="false">IF(AND(B455="",C455="",F455=""),"",IF(C455="","⚠ Pick item",IF(D455="?","⚠ Code not in Item Master",IF(B455="","⚠ Enter date",IF(OR(E455="",N(F455)&lt;=0),"⚠ Type / quantity missing",IF(AND(E455="In",G455=""),"⚠ Enter purchase rate",IF(OR(B455&lt;Setup!$C$6,B455&gt;Setup!$C$7),"Outside period",IF(K455&lt;0,"⚠ Stock goes negative","✔ OK"))))))))</f>
        <v/>
      </c>
      <c r="M455" s="9" t="str">
        <f aca="false">IF(OR(C455="",B455=""),"",B455+ROW()/1000000)</f>
        <v/>
      </c>
      <c r="N455" s="9" t="str">
        <f aca="false">IF(AND(E455="In",M455&lt;&gt;""),SUMIFS($F$7:$F$506,$C$7:$C$506,C455,$E$7:$E$506,"In",$M$7:$M$506,"&gt;"&amp;M455),"")</f>
        <v/>
      </c>
      <c r="O455" s="9" t="str">
        <f aca="false">IF(N455="","",IFERROR(INDEX('Item Master'!$K$6:$K$105,MATCH(C455,'Item Master'!$A$6:$A$105,0)),0))</f>
        <v/>
      </c>
      <c r="P455" s="9" t="n">
        <f aca="false">IF(N455="",0,MAX(0,MIN(N(F455),O455-N455))*N(G455))</f>
        <v>0</v>
      </c>
      <c r="Q455" s="9" t="str">
        <f aca="false">IF(AND(C455&lt;&gt;"",C455='Stock Ledger'!$C$4),M455,"")</f>
        <v/>
      </c>
    </row>
    <row r="456" customFormat="false" ht="15" hidden="false" customHeight="false" outlineLevel="0" collapsed="false">
      <c r="A456" s="45" t="str">
        <f aca="false">IF(C456="","",ROW()-6)</f>
        <v/>
      </c>
      <c r="B456" s="85"/>
      <c r="C456" s="80"/>
      <c r="D456" s="47" t="str">
        <f aca="false">IF(C456="","",IFERROR(INDEX('Item Master'!$B$6:$B$105,MATCH(C456,'Item Master'!$A$6:$A$105,0)),"?"))</f>
        <v/>
      </c>
      <c r="E456" s="82"/>
      <c r="F456" s="83"/>
      <c r="G456" s="84"/>
      <c r="H456" s="81"/>
      <c r="I456" s="80"/>
      <c r="J456" s="41" t="str">
        <f aca="false">IF(OR(C456="",G456=""),"",N(F456)*N(G456))</f>
        <v/>
      </c>
      <c r="K456" s="48" t="str">
        <f aca="false">IF(M456="","",N(IFERROR(INDEX('Item Master'!$E$6:$E$105,MATCH(C456,'Item Master'!$A$6:$A$105,0)),0))+SUMIFS($F$7:$F$506,$C$7:$C$506,C456,$E$7:$E$506,"In",$M$7:$M$506,"&lt;="&amp;M456)-SUMIFS($F$7:$F$506,$C$7:$C$506,C456,$E$7:$E$506,"Out",$M$7:$M$506,"&lt;="&amp;M456))</f>
        <v/>
      </c>
      <c r="L456" s="44" t="str">
        <f aca="false">IF(AND(B456="",C456="",F456=""),"",IF(C456="","⚠ Pick item",IF(D456="?","⚠ Code not in Item Master",IF(B456="","⚠ Enter date",IF(OR(E456="",N(F456)&lt;=0),"⚠ Type / quantity missing",IF(AND(E456="In",G456=""),"⚠ Enter purchase rate",IF(OR(B456&lt;Setup!$C$6,B456&gt;Setup!$C$7),"Outside period",IF(K456&lt;0,"⚠ Stock goes negative","✔ OK"))))))))</f>
        <v/>
      </c>
      <c r="M456" s="9" t="str">
        <f aca="false">IF(OR(C456="",B456=""),"",B456+ROW()/1000000)</f>
        <v/>
      </c>
      <c r="N456" s="9" t="str">
        <f aca="false">IF(AND(E456="In",M456&lt;&gt;""),SUMIFS($F$7:$F$506,$C$7:$C$506,C456,$E$7:$E$506,"In",$M$7:$M$506,"&gt;"&amp;M456),"")</f>
        <v/>
      </c>
      <c r="O456" s="9" t="str">
        <f aca="false">IF(N456="","",IFERROR(INDEX('Item Master'!$K$6:$K$105,MATCH(C456,'Item Master'!$A$6:$A$105,0)),0))</f>
        <v/>
      </c>
      <c r="P456" s="9" t="n">
        <f aca="false">IF(N456="",0,MAX(0,MIN(N(F456),O456-N456))*N(G456))</f>
        <v>0</v>
      </c>
      <c r="Q456" s="9" t="str">
        <f aca="false">IF(AND(C456&lt;&gt;"",C456='Stock Ledger'!$C$4),M456,"")</f>
        <v/>
      </c>
    </row>
    <row r="457" customFormat="false" ht="15" hidden="false" customHeight="false" outlineLevel="0" collapsed="false">
      <c r="A457" s="45" t="str">
        <f aca="false">IF(C457="","",ROW()-6)</f>
        <v/>
      </c>
      <c r="B457" s="85"/>
      <c r="C457" s="80"/>
      <c r="D457" s="47" t="str">
        <f aca="false">IF(C457="","",IFERROR(INDEX('Item Master'!$B$6:$B$105,MATCH(C457,'Item Master'!$A$6:$A$105,0)),"?"))</f>
        <v/>
      </c>
      <c r="E457" s="82"/>
      <c r="F457" s="83"/>
      <c r="G457" s="84"/>
      <c r="H457" s="81"/>
      <c r="I457" s="80"/>
      <c r="J457" s="41" t="str">
        <f aca="false">IF(OR(C457="",G457=""),"",N(F457)*N(G457))</f>
        <v/>
      </c>
      <c r="K457" s="48" t="str">
        <f aca="false">IF(M457="","",N(IFERROR(INDEX('Item Master'!$E$6:$E$105,MATCH(C457,'Item Master'!$A$6:$A$105,0)),0))+SUMIFS($F$7:$F$506,$C$7:$C$506,C457,$E$7:$E$506,"In",$M$7:$M$506,"&lt;="&amp;M457)-SUMIFS($F$7:$F$506,$C$7:$C$506,C457,$E$7:$E$506,"Out",$M$7:$M$506,"&lt;="&amp;M457))</f>
        <v/>
      </c>
      <c r="L457" s="44" t="str">
        <f aca="false">IF(AND(B457="",C457="",F457=""),"",IF(C457="","⚠ Pick item",IF(D457="?","⚠ Code not in Item Master",IF(B457="","⚠ Enter date",IF(OR(E457="",N(F457)&lt;=0),"⚠ Type / quantity missing",IF(AND(E457="In",G457=""),"⚠ Enter purchase rate",IF(OR(B457&lt;Setup!$C$6,B457&gt;Setup!$C$7),"Outside period",IF(K457&lt;0,"⚠ Stock goes negative","✔ OK"))))))))</f>
        <v/>
      </c>
      <c r="M457" s="9" t="str">
        <f aca="false">IF(OR(C457="",B457=""),"",B457+ROW()/1000000)</f>
        <v/>
      </c>
      <c r="N457" s="9" t="str">
        <f aca="false">IF(AND(E457="In",M457&lt;&gt;""),SUMIFS($F$7:$F$506,$C$7:$C$506,C457,$E$7:$E$506,"In",$M$7:$M$506,"&gt;"&amp;M457),"")</f>
        <v/>
      </c>
      <c r="O457" s="9" t="str">
        <f aca="false">IF(N457="","",IFERROR(INDEX('Item Master'!$K$6:$K$105,MATCH(C457,'Item Master'!$A$6:$A$105,0)),0))</f>
        <v/>
      </c>
      <c r="P457" s="9" t="n">
        <f aca="false">IF(N457="",0,MAX(0,MIN(N(F457),O457-N457))*N(G457))</f>
        <v>0</v>
      </c>
      <c r="Q457" s="9" t="str">
        <f aca="false">IF(AND(C457&lt;&gt;"",C457='Stock Ledger'!$C$4),M457,"")</f>
        <v/>
      </c>
    </row>
    <row r="458" customFormat="false" ht="15" hidden="false" customHeight="false" outlineLevel="0" collapsed="false">
      <c r="A458" s="45" t="str">
        <f aca="false">IF(C458="","",ROW()-6)</f>
        <v/>
      </c>
      <c r="B458" s="85"/>
      <c r="C458" s="80"/>
      <c r="D458" s="47" t="str">
        <f aca="false">IF(C458="","",IFERROR(INDEX('Item Master'!$B$6:$B$105,MATCH(C458,'Item Master'!$A$6:$A$105,0)),"?"))</f>
        <v/>
      </c>
      <c r="E458" s="82"/>
      <c r="F458" s="83"/>
      <c r="G458" s="84"/>
      <c r="H458" s="81"/>
      <c r="I458" s="80"/>
      <c r="J458" s="41" t="str">
        <f aca="false">IF(OR(C458="",G458=""),"",N(F458)*N(G458))</f>
        <v/>
      </c>
      <c r="K458" s="48" t="str">
        <f aca="false">IF(M458="","",N(IFERROR(INDEX('Item Master'!$E$6:$E$105,MATCH(C458,'Item Master'!$A$6:$A$105,0)),0))+SUMIFS($F$7:$F$506,$C$7:$C$506,C458,$E$7:$E$506,"In",$M$7:$M$506,"&lt;="&amp;M458)-SUMIFS($F$7:$F$506,$C$7:$C$506,C458,$E$7:$E$506,"Out",$M$7:$M$506,"&lt;="&amp;M458))</f>
        <v/>
      </c>
      <c r="L458" s="44" t="str">
        <f aca="false">IF(AND(B458="",C458="",F458=""),"",IF(C458="","⚠ Pick item",IF(D458="?","⚠ Code not in Item Master",IF(B458="","⚠ Enter date",IF(OR(E458="",N(F458)&lt;=0),"⚠ Type / quantity missing",IF(AND(E458="In",G458=""),"⚠ Enter purchase rate",IF(OR(B458&lt;Setup!$C$6,B458&gt;Setup!$C$7),"Outside period",IF(K458&lt;0,"⚠ Stock goes negative","✔ OK"))))))))</f>
        <v/>
      </c>
      <c r="M458" s="9" t="str">
        <f aca="false">IF(OR(C458="",B458=""),"",B458+ROW()/1000000)</f>
        <v/>
      </c>
      <c r="N458" s="9" t="str">
        <f aca="false">IF(AND(E458="In",M458&lt;&gt;""),SUMIFS($F$7:$F$506,$C$7:$C$506,C458,$E$7:$E$506,"In",$M$7:$M$506,"&gt;"&amp;M458),"")</f>
        <v/>
      </c>
      <c r="O458" s="9" t="str">
        <f aca="false">IF(N458="","",IFERROR(INDEX('Item Master'!$K$6:$K$105,MATCH(C458,'Item Master'!$A$6:$A$105,0)),0))</f>
        <v/>
      </c>
      <c r="P458" s="9" t="n">
        <f aca="false">IF(N458="",0,MAX(0,MIN(N(F458),O458-N458))*N(G458))</f>
        <v>0</v>
      </c>
      <c r="Q458" s="9" t="str">
        <f aca="false">IF(AND(C458&lt;&gt;"",C458='Stock Ledger'!$C$4),M458,"")</f>
        <v/>
      </c>
    </row>
    <row r="459" customFormat="false" ht="15" hidden="false" customHeight="false" outlineLevel="0" collapsed="false">
      <c r="A459" s="45" t="str">
        <f aca="false">IF(C459="","",ROW()-6)</f>
        <v/>
      </c>
      <c r="B459" s="85"/>
      <c r="C459" s="80"/>
      <c r="D459" s="47" t="str">
        <f aca="false">IF(C459="","",IFERROR(INDEX('Item Master'!$B$6:$B$105,MATCH(C459,'Item Master'!$A$6:$A$105,0)),"?"))</f>
        <v/>
      </c>
      <c r="E459" s="82"/>
      <c r="F459" s="83"/>
      <c r="G459" s="84"/>
      <c r="H459" s="81"/>
      <c r="I459" s="80"/>
      <c r="J459" s="41" t="str">
        <f aca="false">IF(OR(C459="",G459=""),"",N(F459)*N(G459))</f>
        <v/>
      </c>
      <c r="K459" s="48" t="str">
        <f aca="false">IF(M459="","",N(IFERROR(INDEX('Item Master'!$E$6:$E$105,MATCH(C459,'Item Master'!$A$6:$A$105,0)),0))+SUMIFS($F$7:$F$506,$C$7:$C$506,C459,$E$7:$E$506,"In",$M$7:$M$506,"&lt;="&amp;M459)-SUMIFS($F$7:$F$506,$C$7:$C$506,C459,$E$7:$E$506,"Out",$M$7:$M$506,"&lt;="&amp;M459))</f>
        <v/>
      </c>
      <c r="L459" s="44" t="str">
        <f aca="false">IF(AND(B459="",C459="",F459=""),"",IF(C459="","⚠ Pick item",IF(D459="?","⚠ Code not in Item Master",IF(B459="","⚠ Enter date",IF(OR(E459="",N(F459)&lt;=0),"⚠ Type / quantity missing",IF(AND(E459="In",G459=""),"⚠ Enter purchase rate",IF(OR(B459&lt;Setup!$C$6,B459&gt;Setup!$C$7),"Outside period",IF(K459&lt;0,"⚠ Stock goes negative","✔ OK"))))))))</f>
        <v/>
      </c>
      <c r="M459" s="9" t="str">
        <f aca="false">IF(OR(C459="",B459=""),"",B459+ROW()/1000000)</f>
        <v/>
      </c>
      <c r="N459" s="9" t="str">
        <f aca="false">IF(AND(E459="In",M459&lt;&gt;""),SUMIFS($F$7:$F$506,$C$7:$C$506,C459,$E$7:$E$506,"In",$M$7:$M$506,"&gt;"&amp;M459),"")</f>
        <v/>
      </c>
      <c r="O459" s="9" t="str">
        <f aca="false">IF(N459="","",IFERROR(INDEX('Item Master'!$K$6:$K$105,MATCH(C459,'Item Master'!$A$6:$A$105,0)),0))</f>
        <v/>
      </c>
      <c r="P459" s="9" t="n">
        <f aca="false">IF(N459="",0,MAX(0,MIN(N(F459),O459-N459))*N(G459))</f>
        <v>0</v>
      </c>
      <c r="Q459" s="9" t="str">
        <f aca="false">IF(AND(C459&lt;&gt;"",C459='Stock Ledger'!$C$4),M459,"")</f>
        <v/>
      </c>
    </row>
    <row r="460" customFormat="false" ht="15" hidden="false" customHeight="false" outlineLevel="0" collapsed="false">
      <c r="A460" s="45" t="str">
        <f aca="false">IF(C460="","",ROW()-6)</f>
        <v/>
      </c>
      <c r="B460" s="85"/>
      <c r="C460" s="80"/>
      <c r="D460" s="47" t="str">
        <f aca="false">IF(C460="","",IFERROR(INDEX('Item Master'!$B$6:$B$105,MATCH(C460,'Item Master'!$A$6:$A$105,0)),"?"))</f>
        <v/>
      </c>
      <c r="E460" s="82"/>
      <c r="F460" s="83"/>
      <c r="G460" s="84"/>
      <c r="H460" s="81"/>
      <c r="I460" s="80"/>
      <c r="J460" s="41" t="str">
        <f aca="false">IF(OR(C460="",G460=""),"",N(F460)*N(G460))</f>
        <v/>
      </c>
      <c r="K460" s="48" t="str">
        <f aca="false">IF(M460="","",N(IFERROR(INDEX('Item Master'!$E$6:$E$105,MATCH(C460,'Item Master'!$A$6:$A$105,0)),0))+SUMIFS($F$7:$F$506,$C$7:$C$506,C460,$E$7:$E$506,"In",$M$7:$M$506,"&lt;="&amp;M460)-SUMIFS($F$7:$F$506,$C$7:$C$506,C460,$E$7:$E$506,"Out",$M$7:$M$506,"&lt;="&amp;M460))</f>
        <v/>
      </c>
      <c r="L460" s="44" t="str">
        <f aca="false">IF(AND(B460="",C460="",F460=""),"",IF(C460="","⚠ Pick item",IF(D460="?","⚠ Code not in Item Master",IF(B460="","⚠ Enter date",IF(OR(E460="",N(F460)&lt;=0),"⚠ Type / quantity missing",IF(AND(E460="In",G460=""),"⚠ Enter purchase rate",IF(OR(B460&lt;Setup!$C$6,B460&gt;Setup!$C$7),"Outside period",IF(K460&lt;0,"⚠ Stock goes negative","✔ OK"))))))))</f>
        <v/>
      </c>
      <c r="M460" s="9" t="str">
        <f aca="false">IF(OR(C460="",B460=""),"",B460+ROW()/1000000)</f>
        <v/>
      </c>
      <c r="N460" s="9" t="str">
        <f aca="false">IF(AND(E460="In",M460&lt;&gt;""),SUMIFS($F$7:$F$506,$C$7:$C$506,C460,$E$7:$E$506,"In",$M$7:$M$506,"&gt;"&amp;M460),"")</f>
        <v/>
      </c>
      <c r="O460" s="9" t="str">
        <f aca="false">IF(N460="","",IFERROR(INDEX('Item Master'!$K$6:$K$105,MATCH(C460,'Item Master'!$A$6:$A$105,0)),0))</f>
        <v/>
      </c>
      <c r="P460" s="9" t="n">
        <f aca="false">IF(N460="",0,MAX(0,MIN(N(F460),O460-N460))*N(G460))</f>
        <v>0</v>
      </c>
      <c r="Q460" s="9" t="str">
        <f aca="false">IF(AND(C460&lt;&gt;"",C460='Stock Ledger'!$C$4),M460,"")</f>
        <v/>
      </c>
    </row>
    <row r="461" customFormat="false" ht="15" hidden="false" customHeight="false" outlineLevel="0" collapsed="false">
      <c r="A461" s="45" t="str">
        <f aca="false">IF(C461="","",ROW()-6)</f>
        <v/>
      </c>
      <c r="B461" s="85"/>
      <c r="C461" s="80"/>
      <c r="D461" s="47" t="str">
        <f aca="false">IF(C461="","",IFERROR(INDEX('Item Master'!$B$6:$B$105,MATCH(C461,'Item Master'!$A$6:$A$105,0)),"?"))</f>
        <v/>
      </c>
      <c r="E461" s="82"/>
      <c r="F461" s="83"/>
      <c r="G461" s="84"/>
      <c r="H461" s="81"/>
      <c r="I461" s="80"/>
      <c r="J461" s="41" t="str">
        <f aca="false">IF(OR(C461="",G461=""),"",N(F461)*N(G461))</f>
        <v/>
      </c>
      <c r="K461" s="48" t="str">
        <f aca="false">IF(M461="","",N(IFERROR(INDEX('Item Master'!$E$6:$E$105,MATCH(C461,'Item Master'!$A$6:$A$105,0)),0))+SUMIFS($F$7:$F$506,$C$7:$C$506,C461,$E$7:$E$506,"In",$M$7:$M$506,"&lt;="&amp;M461)-SUMIFS($F$7:$F$506,$C$7:$C$506,C461,$E$7:$E$506,"Out",$M$7:$M$506,"&lt;="&amp;M461))</f>
        <v/>
      </c>
      <c r="L461" s="44" t="str">
        <f aca="false">IF(AND(B461="",C461="",F461=""),"",IF(C461="","⚠ Pick item",IF(D461="?","⚠ Code not in Item Master",IF(B461="","⚠ Enter date",IF(OR(E461="",N(F461)&lt;=0),"⚠ Type / quantity missing",IF(AND(E461="In",G461=""),"⚠ Enter purchase rate",IF(OR(B461&lt;Setup!$C$6,B461&gt;Setup!$C$7),"Outside period",IF(K461&lt;0,"⚠ Stock goes negative","✔ OK"))))))))</f>
        <v/>
      </c>
      <c r="M461" s="9" t="str">
        <f aca="false">IF(OR(C461="",B461=""),"",B461+ROW()/1000000)</f>
        <v/>
      </c>
      <c r="N461" s="9" t="str">
        <f aca="false">IF(AND(E461="In",M461&lt;&gt;""),SUMIFS($F$7:$F$506,$C$7:$C$506,C461,$E$7:$E$506,"In",$M$7:$M$506,"&gt;"&amp;M461),"")</f>
        <v/>
      </c>
      <c r="O461" s="9" t="str">
        <f aca="false">IF(N461="","",IFERROR(INDEX('Item Master'!$K$6:$K$105,MATCH(C461,'Item Master'!$A$6:$A$105,0)),0))</f>
        <v/>
      </c>
      <c r="P461" s="9" t="n">
        <f aca="false">IF(N461="",0,MAX(0,MIN(N(F461),O461-N461))*N(G461))</f>
        <v>0</v>
      </c>
      <c r="Q461" s="9" t="str">
        <f aca="false">IF(AND(C461&lt;&gt;"",C461='Stock Ledger'!$C$4),M461,"")</f>
        <v/>
      </c>
    </row>
    <row r="462" customFormat="false" ht="15" hidden="false" customHeight="false" outlineLevel="0" collapsed="false">
      <c r="A462" s="45" t="str">
        <f aca="false">IF(C462="","",ROW()-6)</f>
        <v/>
      </c>
      <c r="B462" s="85"/>
      <c r="C462" s="80"/>
      <c r="D462" s="47" t="str">
        <f aca="false">IF(C462="","",IFERROR(INDEX('Item Master'!$B$6:$B$105,MATCH(C462,'Item Master'!$A$6:$A$105,0)),"?"))</f>
        <v/>
      </c>
      <c r="E462" s="82"/>
      <c r="F462" s="83"/>
      <c r="G462" s="84"/>
      <c r="H462" s="81"/>
      <c r="I462" s="80"/>
      <c r="J462" s="41" t="str">
        <f aca="false">IF(OR(C462="",G462=""),"",N(F462)*N(G462))</f>
        <v/>
      </c>
      <c r="K462" s="48" t="str">
        <f aca="false">IF(M462="","",N(IFERROR(INDEX('Item Master'!$E$6:$E$105,MATCH(C462,'Item Master'!$A$6:$A$105,0)),0))+SUMIFS($F$7:$F$506,$C$7:$C$506,C462,$E$7:$E$506,"In",$M$7:$M$506,"&lt;="&amp;M462)-SUMIFS($F$7:$F$506,$C$7:$C$506,C462,$E$7:$E$506,"Out",$M$7:$M$506,"&lt;="&amp;M462))</f>
        <v/>
      </c>
      <c r="L462" s="44" t="str">
        <f aca="false">IF(AND(B462="",C462="",F462=""),"",IF(C462="","⚠ Pick item",IF(D462="?","⚠ Code not in Item Master",IF(B462="","⚠ Enter date",IF(OR(E462="",N(F462)&lt;=0),"⚠ Type / quantity missing",IF(AND(E462="In",G462=""),"⚠ Enter purchase rate",IF(OR(B462&lt;Setup!$C$6,B462&gt;Setup!$C$7),"Outside period",IF(K462&lt;0,"⚠ Stock goes negative","✔ OK"))))))))</f>
        <v/>
      </c>
      <c r="M462" s="9" t="str">
        <f aca="false">IF(OR(C462="",B462=""),"",B462+ROW()/1000000)</f>
        <v/>
      </c>
      <c r="N462" s="9" t="str">
        <f aca="false">IF(AND(E462="In",M462&lt;&gt;""),SUMIFS($F$7:$F$506,$C$7:$C$506,C462,$E$7:$E$506,"In",$M$7:$M$506,"&gt;"&amp;M462),"")</f>
        <v/>
      </c>
      <c r="O462" s="9" t="str">
        <f aca="false">IF(N462="","",IFERROR(INDEX('Item Master'!$K$6:$K$105,MATCH(C462,'Item Master'!$A$6:$A$105,0)),0))</f>
        <v/>
      </c>
      <c r="P462" s="9" t="n">
        <f aca="false">IF(N462="",0,MAX(0,MIN(N(F462),O462-N462))*N(G462))</f>
        <v>0</v>
      </c>
      <c r="Q462" s="9" t="str">
        <f aca="false">IF(AND(C462&lt;&gt;"",C462='Stock Ledger'!$C$4),M462,"")</f>
        <v/>
      </c>
    </row>
    <row r="463" customFormat="false" ht="15" hidden="false" customHeight="false" outlineLevel="0" collapsed="false">
      <c r="A463" s="45" t="str">
        <f aca="false">IF(C463="","",ROW()-6)</f>
        <v/>
      </c>
      <c r="B463" s="85"/>
      <c r="C463" s="80"/>
      <c r="D463" s="47" t="str">
        <f aca="false">IF(C463="","",IFERROR(INDEX('Item Master'!$B$6:$B$105,MATCH(C463,'Item Master'!$A$6:$A$105,0)),"?"))</f>
        <v/>
      </c>
      <c r="E463" s="82"/>
      <c r="F463" s="83"/>
      <c r="G463" s="84"/>
      <c r="H463" s="81"/>
      <c r="I463" s="80"/>
      <c r="J463" s="41" t="str">
        <f aca="false">IF(OR(C463="",G463=""),"",N(F463)*N(G463))</f>
        <v/>
      </c>
      <c r="K463" s="48" t="str">
        <f aca="false">IF(M463="","",N(IFERROR(INDEX('Item Master'!$E$6:$E$105,MATCH(C463,'Item Master'!$A$6:$A$105,0)),0))+SUMIFS($F$7:$F$506,$C$7:$C$506,C463,$E$7:$E$506,"In",$M$7:$M$506,"&lt;="&amp;M463)-SUMIFS($F$7:$F$506,$C$7:$C$506,C463,$E$7:$E$506,"Out",$M$7:$M$506,"&lt;="&amp;M463))</f>
        <v/>
      </c>
      <c r="L463" s="44" t="str">
        <f aca="false">IF(AND(B463="",C463="",F463=""),"",IF(C463="","⚠ Pick item",IF(D463="?","⚠ Code not in Item Master",IF(B463="","⚠ Enter date",IF(OR(E463="",N(F463)&lt;=0),"⚠ Type / quantity missing",IF(AND(E463="In",G463=""),"⚠ Enter purchase rate",IF(OR(B463&lt;Setup!$C$6,B463&gt;Setup!$C$7),"Outside period",IF(K463&lt;0,"⚠ Stock goes negative","✔ OK"))))))))</f>
        <v/>
      </c>
      <c r="M463" s="9" t="str">
        <f aca="false">IF(OR(C463="",B463=""),"",B463+ROW()/1000000)</f>
        <v/>
      </c>
      <c r="N463" s="9" t="str">
        <f aca="false">IF(AND(E463="In",M463&lt;&gt;""),SUMIFS($F$7:$F$506,$C$7:$C$506,C463,$E$7:$E$506,"In",$M$7:$M$506,"&gt;"&amp;M463),"")</f>
        <v/>
      </c>
      <c r="O463" s="9" t="str">
        <f aca="false">IF(N463="","",IFERROR(INDEX('Item Master'!$K$6:$K$105,MATCH(C463,'Item Master'!$A$6:$A$105,0)),0))</f>
        <v/>
      </c>
      <c r="P463" s="9" t="n">
        <f aca="false">IF(N463="",0,MAX(0,MIN(N(F463),O463-N463))*N(G463))</f>
        <v>0</v>
      </c>
      <c r="Q463" s="9" t="str">
        <f aca="false">IF(AND(C463&lt;&gt;"",C463='Stock Ledger'!$C$4),M463,"")</f>
        <v/>
      </c>
    </row>
    <row r="464" customFormat="false" ht="15" hidden="false" customHeight="false" outlineLevel="0" collapsed="false">
      <c r="A464" s="45" t="str">
        <f aca="false">IF(C464="","",ROW()-6)</f>
        <v/>
      </c>
      <c r="B464" s="85"/>
      <c r="C464" s="80"/>
      <c r="D464" s="47" t="str">
        <f aca="false">IF(C464="","",IFERROR(INDEX('Item Master'!$B$6:$B$105,MATCH(C464,'Item Master'!$A$6:$A$105,0)),"?"))</f>
        <v/>
      </c>
      <c r="E464" s="82"/>
      <c r="F464" s="83"/>
      <c r="G464" s="84"/>
      <c r="H464" s="81"/>
      <c r="I464" s="80"/>
      <c r="J464" s="41" t="str">
        <f aca="false">IF(OR(C464="",G464=""),"",N(F464)*N(G464))</f>
        <v/>
      </c>
      <c r="K464" s="48" t="str">
        <f aca="false">IF(M464="","",N(IFERROR(INDEX('Item Master'!$E$6:$E$105,MATCH(C464,'Item Master'!$A$6:$A$105,0)),0))+SUMIFS($F$7:$F$506,$C$7:$C$506,C464,$E$7:$E$506,"In",$M$7:$M$506,"&lt;="&amp;M464)-SUMIFS($F$7:$F$506,$C$7:$C$506,C464,$E$7:$E$506,"Out",$M$7:$M$506,"&lt;="&amp;M464))</f>
        <v/>
      </c>
      <c r="L464" s="44" t="str">
        <f aca="false">IF(AND(B464="",C464="",F464=""),"",IF(C464="","⚠ Pick item",IF(D464="?","⚠ Code not in Item Master",IF(B464="","⚠ Enter date",IF(OR(E464="",N(F464)&lt;=0),"⚠ Type / quantity missing",IF(AND(E464="In",G464=""),"⚠ Enter purchase rate",IF(OR(B464&lt;Setup!$C$6,B464&gt;Setup!$C$7),"Outside period",IF(K464&lt;0,"⚠ Stock goes negative","✔ OK"))))))))</f>
        <v/>
      </c>
      <c r="M464" s="9" t="str">
        <f aca="false">IF(OR(C464="",B464=""),"",B464+ROW()/1000000)</f>
        <v/>
      </c>
      <c r="N464" s="9" t="str">
        <f aca="false">IF(AND(E464="In",M464&lt;&gt;""),SUMIFS($F$7:$F$506,$C$7:$C$506,C464,$E$7:$E$506,"In",$M$7:$M$506,"&gt;"&amp;M464),"")</f>
        <v/>
      </c>
      <c r="O464" s="9" t="str">
        <f aca="false">IF(N464="","",IFERROR(INDEX('Item Master'!$K$6:$K$105,MATCH(C464,'Item Master'!$A$6:$A$105,0)),0))</f>
        <v/>
      </c>
      <c r="P464" s="9" t="n">
        <f aca="false">IF(N464="",0,MAX(0,MIN(N(F464),O464-N464))*N(G464))</f>
        <v>0</v>
      </c>
      <c r="Q464" s="9" t="str">
        <f aca="false">IF(AND(C464&lt;&gt;"",C464='Stock Ledger'!$C$4),M464,"")</f>
        <v/>
      </c>
    </row>
    <row r="465" customFormat="false" ht="15" hidden="false" customHeight="false" outlineLevel="0" collapsed="false">
      <c r="A465" s="45" t="str">
        <f aca="false">IF(C465="","",ROW()-6)</f>
        <v/>
      </c>
      <c r="B465" s="85"/>
      <c r="C465" s="80"/>
      <c r="D465" s="47" t="str">
        <f aca="false">IF(C465="","",IFERROR(INDEX('Item Master'!$B$6:$B$105,MATCH(C465,'Item Master'!$A$6:$A$105,0)),"?"))</f>
        <v/>
      </c>
      <c r="E465" s="82"/>
      <c r="F465" s="83"/>
      <c r="G465" s="84"/>
      <c r="H465" s="81"/>
      <c r="I465" s="80"/>
      <c r="J465" s="41" t="str">
        <f aca="false">IF(OR(C465="",G465=""),"",N(F465)*N(G465))</f>
        <v/>
      </c>
      <c r="K465" s="48" t="str">
        <f aca="false">IF(M465="","",N(IFERROR(INDEX('Item Master'!$E$6:$E$105,MATCH(C465,'Item Master'!$A$6:$A$105,0)),0))+SUMIFS($F$7:$F$506,$C$7:$C$506,C465,$E$7:$E$506,"In",$M$7:$M$506,"&lt;="&amp;M465)-SUMIFS($F$7:$F$506,$C$7:$C$506,C465,$E$7:$E$506,"Out",$M$7:$M$506,"&lt;="&amp;M465))</f>
        <v/>
      </c>
      <c r="L465" s="44" t="str">
        <f aca="false">IF(AND(B465="",C465="",F465=""),"",IF(C465="","⚠ Pick item",IF(D465="?","⚠ Code not in Item Master",IF(B465="","⚠ Enter date",IF(OR(E465="",N(F465)&lt;=0),"⚠ Type / quantity missing",IF(AND(E465="In",G465=""),"⚠ Enter purchase rate",IF(OR(B465&lt;Setup!$C$6,B465&gt;Setup!$C$7),"Outside period",IF(K465&lt;0,"⚠ Stock goes negative","✔ OK"))))))))</f>
        <v/>
      </c>
      <c r="M465" s="9" t="str">
        <f aca="false">IF(OR(C465="",B465=""),"",B465+ROW()/1000000)</f>
        <v/>
      </c>
      <c r="N465" s="9" t="str">
        <f aca="false">IF(AND(E465="In",M465&lt;&gt;""),SUMIFS($F$7:$F$506,$C$7:$C$506,C465,$E$7:$E$506,"In",$M$7:$M$506,"&gt;"&amp;M465),"")</f>
        <v/>
      </c>
      <c r="O465" s="9" t="str">
        <f aca="false">IF(N465="","",IFERROR(INDEX('Item Master'!$K$6:$K$105,MATCH(C465,'Item Master'!$A$6:$A$105,0)),0))</f>
        <v/>
      </c>
      <c r="P465" s="9" t="n">
        <f aca="false">IF(N465="",0,MAX(0,MIN(N(F465),O465-N465))*N(G465))</f>
        <v>0</v>
      </c>
      <c r="Q465" s="9" t="str">
        <f aca="false">IF(AND(C465&lt;&gt;"",C465='Stock Ledger'!$C$4),M465,"")</f>
        <v/>
      </c>
    </row>
    <row r="466" customFormat="false" ht="15" hidden="false" customHeight="false" outlineLevel="0" collapsed="false">
      <c r="A466" s="45" t="str">
        <f aca="false">IF(C466="","",ROW()-6)</f>
        <v/>
      </c>
      <c r="B466" s="85"/>
      <c r="C466" s="80"/>
      <c r="D466" s="47" t="str">
        <f aca="false">IF(C466="","",IFERROR(INDEX('Item Master'!$B$6:$B$105,MATCH(C466,'Item Master'!$A$6:$A$105,0)),"?"))</f>
        <v/>
      </c>
      <c r="E466" s="82"/>
      <c r="F466" s="83"/>
      <c r="G466" s="84"/>
      <c r="H466" s="81"/>
      <c r="I466" s="80"/>
      <c r="J466" s="41" t="str">
        <f aca="false">IF(OR(C466="",G466=""),"",N(F466)*N(G466))</f>
        <v/>
      </c>
      <c r="K466" s="48" t="str">
        <f aca="false">IF(M466="","",N(IFERROR(INDEX('Item Master'!$E$6:$E$105,MATCH(C466,'Item Master'!$A$6:$A$105,0)),0))+SUMIFS($F$7:$F$506,$C$7:$C$506,C466,$E$7:$E$506,"In",$M$7:$M$506,"&lt;="&amp;M466)-SUMIFS($F$7:$F$506,$C$7:$C$506,C466,$E$7:$E$506,"Out",$M$7:$M$506,"&lt;="&amp;M466))</f>
        <v/>
      </c>
      <c r="L466" s="44" t="str">
        <f aca="false">IF(AND(B466="",C466="",F466=""),"",IF(C466="","⚠ Pick item",IF(D466="?","⚠ Code not in Item Master",IF(B466="","⚠ Enter date",IF(OR(E466="",N(F466)&lt;=0),"⚠ Type / quantity missing",IF(AND(E466="In",G466=""),"⚠ Enter purchase rate",IF(OR(B466&lt;Setup!$C$6,B466&gt;Setup!$C$7),"Outside period",IF(K466&lt;0,"⚠ Stock goes negative","✔ OK"))))))))</f>
        <v/>
      </c>
      <c r="M466" s="9" t="str">
        <f aca="false">IF(OR(C466="",B466=""),"",B466+ROW()/1000000)</f>
        <v/>
      </c>
      <c r="N466" s="9" t="str">
        <f aca="false">IF(AND(E466="In",M466&lt;&gt;""),SUMIFS($F$7:$F$506,$C$7:$C$506,C466,$E$7:$E$506,"In",$M$7:$M$506,"&gt;"&amp;M466),"")</f>
        <v/>
      </c>
      <c r="O466" s="9" t="str">
        <f aca="false">IF(N466="","",IFERROR(INDEX('Item Master'!$K$6:$K$105,MATCH(C466,'Item Master'!$A$6:$A$105,0)),0))</f>
        <v/>
      </c>
      <c r="P466" s="9" t="n">
        <f aca="false">IF(N466="",0,MAX(0,MIN(N(F466),O466-N466))*N(G466))</f>
        <v>0</v>
      </c>
      <c r="Q466" s="9" t="str">
        <f aca="false">IF(AND(C466&lt;&gt;"",C466='Stock Ledger'!$C$4),M466,"")</f>
        <v/>
      </c>
    </row>
    <row r="467" customFormat="false" ht="15" hidden="false" customHeight="false" outlineLevel="0" collapsed="false">
      <c r="A467" s="45" t="str">
        <f aca="false">IF(C467="","",ROW()-6)</f>
        <v/>
      </c>
      <c r="B467" s="85"/>
      <c r="C467" s="80"/>
      <c r="D467" s="47" t="str">
        <f aca="false">IF(C467="","",IFERROR(INDEX('Item Master'!$B$6:$B$105,MATCH(C467,'Item Master'!$A$6:$A$105,0)),"?"))</f>
        <v/>
      </c>
      <c r="E467" s="82"/>
      <c r="F467" s="83"/>
      <c r="G467" s="84"/>
      <c r="H467" s="81"/>
      <c r="I467" s="80"/>
      <c r="J467" s="41" t="str">
        <f aca="false">IF(OR(C467="",G467=""),"",N(F467)*N(G467))</f>
        <v/>
      </c>
      <c r="K467" s="48" t="str">
        <f aca="false">IF(M467="","",N(IFERROR(INDEX('Item Master'!$E$6:$E$105,MATCH(C467,'Item Master'!$A$6:$A$105,0)),0))+SUMIFS($F$7:$F$506,$C$7:$C$506,C467,$E$7:$E$506,"In",$M$7:$M$506,"&lt;="&amp;M467)-SUMIFS($F$7:$F$506,$C$7:$C$506,C467,$E$7:$E$506,"Out",$M$7:$M$506,"&lt;="&amp;M467))</f>
        <v/>
      </c>
      <c r="L467" s="44" t="str">
        <f aca="false">IF(AND(B467="",C467="",F467=""),"",IF(C467="","⚠ Pick item",IF(D467="?","⚠ Code not in Item Master",IF(B467="","⚠ Enter date",IF(OR(E467="",N(F467)&lt;=0),"⚠ Type / quantity missing",IF(AND(E467="In",G467=""),"⚠ Enter purchase rate",IF(OR(B467&lt;Setup!$C$6,B467&gt;Setup!$C$7),"Outside period",IF(K467&lt;0,"⚠ Stock goes negative","✔ OK"))))))))</f>
        <v/>
      </c>
      <c r="M467" s="9" t="str">
        <f aca="false">IF(OR(C467="",B467=""),"",B467+ROW()/1000000)</f>
        <v/>
      </c>
      <c r="N467" s="9" t="str">
        <f aca="false">IF(AND(E467="In",M467&lt;&gt;""),SUMIFS($F$7:$F$506,$C$7:$C$506,C467,$E$7:$E$506,"In",$M$7:$M$506,"&gt;"&amp;M467),"")</f>
        <v/>
      </c>
      <c r="O467" s="9" t="str">
        <f aca="false">IF(N467="","",IFERROR(INDEX('Item Master'!$K$6:$K$105,MATCH(C467,'Item Master'!$A$6:$A$105,0)),0))</f>
        <v/>
      </c>
      <c r="P467" s="9" t="n">
        <f aca="false">IF(N467="",0,MAX(0,MIN(N(F467),O467-N467))*N(G467))</f>
        <v>0</v>
      </c>
      <c r="Q467" s="9" t="str">
        <f aca="false">IF(AND(C467&lt;&gt;"",C467='Stock Ledger'!$C$4),M467,"")</f>
        <v/>
      </c>
    </row>
    <row r="468" customFormat="false" ht="15" hidden="false" customHeight="false" outlineLevel="0" collapsed="false">
      <c r="A468" s="45" t="str">
        <f aca="false">IF(C468="","",ROW()-6)</f>
        <v/>
      </c>
      <c r="B468" s="85"/>
      <c r="C468" s="80"/>
      <c r="D468" s="47" t="str">
        <f aca="false">IF(C468="","",IFERROR(INDEX('Item Master'!$B$6:$B$105,MATCH(C468,'Item Master'!$A$6:$A$105,0)),"?"))</f>
        <v/>
      </c>
      <c r="E468" s="82"/>
      <c r="F468" s="83"/>
      <c r="G468" s="84"/>
      <c r="H468" s="81"/>
      <c r="I468" s="80"/>
      <c r="J468" s="41" t="str">
        <f aca="false">IF(OR(C468="",G468=""),"",N(F468)*N(G468))</f>
        <v/>
      </c>
      <c r="K468" s="48" t="str">
        <f aca="false">IF(M468="","",N(IFERROR(INDEX('Item Master'!$E$6:$E$105,MATCH(C468,'Item Master'!$A$6:$A$105,0)),0))+SUMIFS($F$7:$F$506,$C$7:$C$506,C468,$E$7:$E$506,"In",$M$7:$M$506,"&lt;="&amp;M468)-SUMIFS($F$7:$F$506,$C$7:$C$506,C468,$E$7:$E$506,"Out",$M$7:$M$506,"&lt;="&amp;M468))</f>
        <v/>
      </c>
      <c r="L468" s="44" t="str">
        <f aca="false">IF(AND(B468="",C468="",F468=""),"",IF(C468="","⚠ Pick item",IF(D468="?","⚠ Code not in Item Master",IF(B468="","⚠ Enter date",IF(OR(E468="",N(F468)&lt;=0),"⚠ Type / quantity missing",IF(AND(E468="In",G468=""),"⚠ Enter purchase rate",IF(OR(B468&lt;Setup!$C$6,B468&gt;Setup!$C$7),"Outside period",IF(K468&lt;0,"⚠ Stock goes negative","✔ OK"))))))))</f>
        <v/>
      </c>
      <c r="M468" s="9" t="str">
        <f aca="false">IF(OR(C468="",B468=""),"",B468+ROW()/1000000)</f>
        <v/>
      </c>
      <c r="N468" s="9" t="str">
        <f aca="false">IF(AND(E468="In",M468&lt;&gt;""),SUMIFS($F$7:$F$506,$C$7:$C$506,C468,$E$7:$E$506,"In",$M$7:$M$506,"&gt;"&amp;M468),"")</f>
        <v/>
      </c>
      <c r="O468" s="9" t="str">
        <f aca="false">IF(N468="","",IFERROR(INDEX('Item Master'!$K$6:$K$105,MATCH(C468,'Item Master'!$A$6:$A$105,0)),0))</f>
        <v/>
      </c>
      <c r="P468" s="9" t="n">
        <f aca="false">IF(N468="",0,MAX(0,MIN(N(F468),O468-N468))*N(G468))</f>
        <v>0</v>
      </c>
      <c r="Q468" s="9" t="str">
        <f aca="false">IF(AND(C468&lt;&gt;"",C468='Stock Ledger'!$C$4),M468,"")</f>
        <v/>
      </c>
    </row>
    <row r="469" customFormat="false" ht="15" hidden="false" customHeight="false" outlineLevel="0" collapsed="false">
      <c r="A469" s="45" t="str">
        <f aca="false">IF(C469="","",ROW()-6)</f>
        <v/>
      </c>
      <c r="B469" s="85"/>
      <c r="C469" s="80"/>
      <c r="D469" s="47" t="str">
        <f aca="false">IF(C469="","",IFERROR(INDEX('Item Master'!$B$6:$B$105,MATCH(C469,'Item Master'!$A$6:$A$105,0)),"?"))</f>
        <v/>
      </c>
      <c r="E469" s="82"/>
      <c r="F469" s="83"/>
      <c r="G469" s="84"/>
      <c r="H469" s="81"/>
      <c r="I469" s="80"/>
      <c r="J469" s="41" t="str">
        <f aca="false">IF(OR(C469="",G469=""),"",N(F469)*N(G469))</f>
        <v/>
      </c>
      <c r="K469" s="48" t="str">
        <f aca="false">IF(M469="","",N(IFERROR(INDEX('Item Master'!$E$6:$E$105,MATCH(C469,'Item Master'!$A$6:$A$105,0)),0))+SUMIFS($F$7:$F$506,$C$7:$C$506,C469,$E$7:$E$506,"In",$M$7:$M$506,"&lt;="&amp;M469)-SUMIFS($F$7:$F$506,$C$7:$C$506,C469,$E$7:$E$506,"Out",$M$7:$M$506,"&lt;="&amp;M469))</f>
        <v/>
      </c>
      <c r="L469" s="44" t="str">
        <f aca="false">IF(AND(B469="",C469="",F469=""),"",IF(C469="","⚠ Pick item",IF(D469="?","⚠ Code not in Item Master",IF(B469="","⚠ Enter date",IF(OR(E469="",N(F469)&lt;=0),"⚠ Type / quantity missing",IF(AND(E469="In",G469=""),"⚠ Enter purchase rate",IF(OR(B469&lt;Setup!$C$6,B469&gt;Setup!$C$7),"Outside period",IF(K469&lt;0,"⚠ Stock goes negative","✔ OK"))))))))</f>
        <v/>
      </c>
      <c r="M469" s="9" t="str">
        <f aca="false">IF(OR(C469="",B469=""),"",B469+ROW()/1000000)</f>
        <v/>
      </c>
      <c r="N469" s="9" t="str">
        <f aca="false">IF(AND(E469="In",M469&lt;&gt;""),SUMIFS($F$7:$F$506,$C$7:$C$506,C469,$E$7:$E$506,"In",$M$7:$M$506,"&gt;"&amp;M469),"")</f>
        <v/>
      </c>
      <c r="O469" s="9" t="str">
        <f aca="false">IF(N469="","",IFERROR(INDEX('Item Master'!$K$6:$K$105,MATCH(C469,'Item Master'!$A$6:$A$105,0)),0))</f>
        <v/>
      </c>
      <c r="P469" s="9" t="n">
        <f aca="false">IF(N469="",0,MAX(0,MIN(N(F469),O469-N469))*N(G469))</f>
        <v>0</v>
      </c>
      <c r="Q469" s="9" t="str">
        <f aca="false">IF(AND(C469&lt;&gt;"",C469='Stock Ledger'!$C$4),M469,"")</f>
        <v/>
      </c>
    </row>
    <row r="470" customFormat="false" ht="15" hidden="false" customHeight="false" outlineLevel="0" collapsed="false">
      <c r="A470" s="45" t="str">
        <f aca="false">IF(C470="","",ROW()-6)</f>
        <v/>
      </c>
      <c r="B470" s="85"/>
      <c r="C470" s="80"/>
      <c r="D470" s="47" t="str">
        <f aca="false">IF(C470="","",IFERROR(INDEX('Item Master'!$B$6:$B$105,MATCH(C470,'Item Master'!$A$6:$A$105,0)),"?"))</f>
        <v/>
      </c>
      <c r="E470" s="82"/>
      <c r="F470" s="83"/>
      <c r="G470" s="84"/>
      <c r="H470" s="81"/>
      <c r="I470" s="80"/>
      <c r="J470" s="41" t="str">
        <f aca="false">IF(OR(C470="",G470=""),"",N(F470)*N(G470))</f>
        <v/>
      </c>
      <c r="K470" s="48" t="str">
        <f aca="false">IF(M470="","",N(IFERROR(INDEX('Item Master'!$E$6:$E$105,MATCH(C470,'Item Master'!$A$6:$A$105,0)),0))+SUMIFS($F$7:$F$506,$C$7:$C$506,C470,$E$7:$E$506,"In",$M$7:$M$506,"&lt;="&amp;M470)-SUMIFS($F$7:$F$506,$C$7:$C$506,C470,$E$7:$E$506,"Out",$M$7:$M$506,"&lt;="&amp;M470))</f>
        <v/>
      </c>
      <c r="L470" s="44" t="str">
        <f aca="false">IF(AND(B470="",C470="",F470=""),"",IF(C470="","⚠ Pick item",IF(D470="?","⚠ Code not in Item Master",IF(B470="","⚠ Enter date",IF(OR(E470="",N(F470)&lt;=0),"⚠ Type / quantity missing",IF(AND(E470="In",G470=""),"⚠ Enter purchase rate",IF(OR(B470&lt;Setup!$C$6,B470&gt;Setup!$C$7),"Outside period",IF(K470&lt;0,"⚠ Stock goes negative","✔ OK"))))))))</f>
        <v/>
      </c>
      <c r="M470" s="9" t="str">
        <f aca="false">IF(OR(C470="",B470=""),"",B470+ROW()/1000000)</f>
        <v/>
      </c>
      <c r="N470" s="9" t="str">
        <f aca="false">IF(AND(E470="In",M470&lt;&gt;""),SUMIFS($F$7:$F$506,$C$7:$C$506,C470,$E$7:$E$506,"In",$M$7:$M$506,"&gt;"&amp;M470),"")</f>
        <v/>
      </c>
      <c r="O470" s="9" t="str">
        <f aca="false">IF(N470="","",IFERROR(INDEX('Item Master'!$K$6:$K$105,MATCH(C470,'Item Master'!$A$6:$A$105,0)),0))</f>
        <v/>
      </c>
      <c r="P470" s="9" t="n">
        <f aca="false">IF(N470="",0,MAX(0,MIN(N(F470),O470-N470))*N(G470))</f>
        <v>0</v>
      </c>
      <c r="Q470" s="9" t="str">
        <f aca="false">IF(AND(C470&lt;&gt;"",C470='Stock Ledger'!$C$4),M470,"")</f>
        <v/>
      </c>
    </row>
    <row r="471" customFormat="false" ht="15" hidden="false" customHeight="false" outlineLevel="0" collapsed="false">
      <c r="A471" s="45" t="str">
        <f aca="false">IF(C471="","",ROW()-6)</f>
        <v/>
      </c>
      <c r="B471" s="85"/>
      <c r="C471" s="80"/>
      <c r="D471" s="47" t="str">
        <f aca="false">IF(C471="","",IFERROR(INDEX('Item Master'!$B$6:$B$105,MATCH(C471,'Item Master'!$A$6:$A$105,0)),"?"))</f>
        <v/>
      </c>
      <c r="E471" s="82"/>
      <c r="F471" s="83"/>
      <c r="G471" s="84"/>
      <c r="H471" s="81"/>
      <c r="I471" s="80"/>
      <c r="J471" s="41" t="str">
        <f aca="false">IF(OR(C471="",G471=""),"",N(F471)*N(G471))</f>
        <v/>
      </c>
      <c r="K471" s="48" t="str">
        <f aca="false">IF(M471="","",N(IFERROR(INDEX('Item Master'!$E$6:$E$105,MATCH(C471,'Item Master'!$A$6:$A$105,0)),0))+SUMIFS($F$7:$F$506,$C$7:$C$506,C471,$E$7:$E$506,"In",$M$7:$M$506,"&lt;="&amp;M471)-SUMIFS($F$7:$F$506,$C$7:$C$506,C471,$E$7:$E$506,"Out",$M$7:$M$506,"&lt;="&amp;M471))</f>
        <v/>
      </c>
      <c r="L471" s="44" t="str">
        <f aca="false">IF(AND(B471="",C471="",F471=""),"",IF(C471="","⚠ Pick item",IF(D471="?","⚠ Code not in Item Master",IF(B471="","⚠ Enter date",IF(OR(E471="",N(F471)&lt;=0),"⚠ Type / quantity missing",IF(AND(E471="In",G471=""),"⚠ Enter purchase rate",IF(OR(B471&lt;Setup!$C$6,B471&gt;Setup!$C$7),"Outside period",IF(K471&lt;0,"⚠ Stock goes negative","✔ OK"))))))))</f>
        <v/>
      </c>
      <c r="M471" s="9" t="str">
        <f aca="false">IF(OR(C471="",B471=""),"",B471+ROW()/1000000)</f>
        <v/>
      </c>
      <c r="N471" s="9" t="str">
        <f aca="false">IF(AND(E471="In",M471&lt;&gt;""),SUMIFS($F$7:$F$506,$C$7:$C$506,C471,$E$7:$E$506,"In",$M$7:$M$506,"&gt;"&amp;M471),"")</f>
        <v/>
      </c>
      <c r="O471" s="9" t="str">
        <f aca="false">IF(N471="","",IFERROR(INDEX('Item Master'!$K$6:$K$105,MATCH(C471,'Item Master'!$A$6:$A$105,0)),0))</f>
        <v/>
      </c>
      <c r="P471" s="9" t="n">
        <f aca="false">IF(N471="",0,MAX(0,MIN(N(F471),O471-N471))*N(G471))</f>
        <v>0</v>
      </c>
      <c r="Q471" s="9" t="str">
        <f aca="false">IF(AND(C471&lt;&gt;"",C471='Stock Ledger'!$C$4),M471,"")</f>
        <v/>
      </c>
    </row>
    <row r="472" customFormat="false" ht="15" hidden="false" customHeight="false" outlineLevel="0" collapsed="false">
      <c r="A472" s="45" t="str">
        <f aca="false">IF(C472="","",ROW()-6)</f>
        <v/>
      </c>
      <c r="B472" s="85"/>
      <c r="C472" s="80"/>
      <c r="D472" s="47" t="str">
        <f aca="false">IF(C472="","",IFERROR(INDEX('Item Master'!$B$6:$B$105,MATCH(C472,'Item Master'!$A$6:$A$105,0)),"?"))</f>
        <v/>
      </c>
      <c r="E472" s="82"/>
      <c r="F472" s="83"/>
      <c r="G472" s="84"/>
      <c r="H472" s="81"/>
      <c r="I472" s="80"/>
      <c r="J472" s="41" t="str">
        <f aca="false">IF(OR(C472="",G472=""),"",N(F472)*N(G472))</f>
        <v/>
      </c>
      <c r="K472" s="48" t="str">
        <f aca="false">IF(M472="","",N(IFERROR(INDEX('Item Master'!$E$6:$E$105,MATCH(C472,'Item Master'!$A$6:$A$105,0)),0))+SUMIFS($F$7:$F$506,$C$7:$C$506,C472,$E$7:$E$506,"In",$M$7:$M$506,"&lt;="&amp;M472)-SUMIFS($F$7:$F$506,$C$7:$C$506,C472,$E$7:$E$506,"Out",$M$7:$M$506,"&lt;="&amp;M472))</f>
        <v/>
      </c>
      <c r="L472" s="44" t="str">
        <f aca="false">IF(AND(B472="",C472="",F472=""),"",IF(C472="","⚠ Pick item",IF(D472="?","⚠ Code not in Item Master",IF(B472="","⚠ Enter date",IF(OR(E472="",N(F472)&lt;=0),"⚠ Type / quantity missing",IF(AND(E472="In",G472=""),"⚠ Enter purchase rate",IF(OR(B472&lt;Setup!$C$6,B472&gt;Setup!$C$7),"Outside period",IF(K472&lt;0,"⚠ Stock goes negative","✔ OK"))))))))</f>
        <v/>
      </c>
      <c r="M472" s="9" t="str">
        <f aca="false">IF(OR(C472="",B472=""),"",B472+ROW()/1000000)</f>
        <v/>
      </c>
      <c r="N472" s="9" t="str">
        <f aca="false">IF(AND(E472="In",M472&lt;&gt;""),SUMIFS($F$7:$F$506,$C$7:$C$506,C472,$E$7:$E$506,"In",$M$7:$M$506,"&gt;"&amp;M472),"")</f>
        <v/>
      </c>
      <c r="O472" s="9" t="str">
        <f aca="false">IF(N472="","",IFERROR(INDEX('Item Master'!$K$6:$K$105,MATCH(C472,'Item Master'!$A$6:$A$105,0)),0))</f>
        <v/>
      </c>
      <c r="P472" s="9" t="n">
        <f aca="false">IF(N472="",0,MAX(0,MIN(N(F472),O472-N472))*N(G472))</f>
        <v>0</v>
      </c>
      <c r="Q472" s="9" t="str">
        <f aca="false">IF(AND(C472&lt;&gt;"",C472='Stock Ledger'!$C$4),M472,"")</f>
        <v/>
      </c>
    </row>
    <row r="473" customFormat="false" ht="15" hidden="false" customHeight="false" outlineLevel="0" collapsed="false">
      <c r="A473" s="45" t="str">
        <f aca="false">IF(C473="","",ROW()-6)</f>
        <v/>
      </c>
      <c r="B473" s="85"/>
      <c r="C473" s="80"/>
      <c r="D473" s="47" t="str">
        <f aca="false">IF(C473="","",IFERROR(INDEX('Item Master'!$B$6:$B$105,MATCH(C473,'Item Master'!$A$6:$A$105,0)),"?"))</f>
        <v/>
      </c>
      <c r="E473" s="82"/>
      <c r="F473" s="83"/>
      <c r="G473" s="84"/>
      <c r="H473" s="81"/>
      <c r="I473" s="80"/>
      <c r="J473" s="41" t="str">
        <f aca="false">IF(OR(C473="",G473=""),"",N(F473)*N(G473))</f>
        <v/>
      </c>
      <c r="K473" s="48" t="str">
        <f aca="false">IF(M473="","",N(IFERROR(INDEX('Item Master'!$E$6:$E$105,MATCH(C473,'Item Master'!$A$6:$A$105,0)),0))+SUMIFS($F$7:$F$506,$C$7:$C$506,C473,$E$7:$E$506,"In",$M$7:$M$506,"&lt;="&amp;M473)-SUMIFS($F$7:$F$506,$C$7:$C$506,C473,$E$7:$E$506,"Out",$M$7:$M$506,"&lt;="&amp;M473))</f>
        <v/>
      </c>
      <c r="L473" s="44" t="str">
        <f aca="false">IF(AND(B473="",C473="",F473=""),"",IF(C473="","⚠ Pick item",IF(D473="?","⚠ Code not in Item Master",IF(B473="","⚠ Enter date",IF(OR(E473="",N(F473)&lt;=0),"⚠ Type / quantity missing",IF(AND(E473="In",G473=""),"⚠ Enter purchase rate",IF(OR(B473&lt;Setup!$C$6,B473&gt;Setup!$C$7),"Outside period",IF(K473&lt;0,"⚠ Stock goes negative","✔ OK"))))))))</f>
        <v/>
      </c>
      <c r="M473" s="9" t="str">
        <f aca="false">IF(OR(C473="",B473=""),"",B473+ROW()/1000000)</f>
        <v/>
      </c>
      <c r="N473" s="9" t="str">
        <f aca="false">IF(AND(E473="In",M473&lt;&gt;""),SUMIFS($F$7:$F$506,$C$7:$C$506,C473,$E$7:$E$506,"In",$M$7:$M$506,"&gt;"&amp;M473),"")</f>
        <v/>
      </c>
      <c r="O473" s="9" t="str">
        <f aca="false">IF(N473="","",IFERROR(INDEX('Item Master'!$K$6:$K$105,MATCH(C473,'Item Master'!$A$6:$A$105,0)),0))</f>
        <v/>
      </c>
      <c r="P473" s="9" t="n">
        <f aca="false">IF(N473="",0,MAX(0,MIN(N(F473),O473-N473))*N(G473))</f>
        <v>0</v>
      </c>
      <c r="Q473" s="9" t="str">
        <f aca="false">IF(AND(C473&lt;&gt;"",C473='Stock Ledger'!$C$4),M473,"")</f>
        <v/>
      </c>
    </row>
    <row r="474" customFormat="false" ht="15" hidden="false" customHeight="false" outlineLevel="0" collapsed="false">
      <c r="A474" s="45" t="str">
        <f aca="false">IF(C474="","",ROW()-6)</f>
        <v/>
      </c>
      <c r="B474" s="85"/>
      <c r="C474" s="80"/>
      <c r="D474" s="47" t="str">
        <f aca="false">IF(C474="","",IFERROR(INDEX('Item Master'!$B$6:$B$105,MATCH(C474,'Item Master'!$A$6:$A$105,0)),"?"))</f>
        <v/>
      </c>
      <c r="E474" s="82"/>
      <c r="F474" s="83"/>
      <c r="G474" s="84"/>
      <c r="H474" s="81"/>
      <c r="I474" s="80"/>
      <c r="J474" s="41" t="str">
        <f aca="false">IF(OR(C474="",G474=""),"",N(F474)*N(G474))</f>
        <v/>
      </c>
      <c r="K474" s="48" t="str">
        <f aca="false">IF(M474="","",N(IFERROR(INDEX('Item Master'!$E$6:$E$105,MATCH(C474,'Item Master'!$A$6:$A$105,0)),0))+SUMIFS($F$7:$F$506,$C$7:$C$506,C474,$E$7:$E$506,"In",$M$7:$M$506,"&lt;="&amp;M474)-SUMIFS($F$7:$F$506,$C$7:$C$506,C474,$E$7:$E$506,"Out",$M$7:$M$506,"&lt;="&amp;M474))</f>
        <v/>
      </c>
      <c r="L474" s="44" t="str">
        <f aca="false">IF(AND(B474="",C474="",F474=""),"",IF(C474="","⚠ Pick item",IF(D474="?","⚠ Code not in Item Master",IF(B474="","⚠ Enter date",IF(OR(E474="",N(F474)&lt;=0),"⚠ Type / quantity missing",IF(AND(E474="In",G474=""),"⚠ Enter purchase rate",IF(OR(B474&lt;Setup!$C$6,B474&gt;Setup!$C$7),"Outside period",IF(K474&lt;0,"⚠ Stock goes negative","✔ OK"))))))))</f>
        <v/>
      </c>
      <c r="M474" s="9" t="str">
        <f aca="false">IF(OR(C474="",B474=""),"",B474+ROW()/1000000)</f>
        <v/>
      </c>
      <c r="N474" s="9" t="str">
        <f aca="false">IF(AND(E474="In",M474&lt;&gt;""),SUMIFS($F$7:$F$506,$C$7:$C$506,C474,$E$7:$E$506,"In",$M$7:$M$506,"&gt;"&amp;M474),"")</f>
        <v/>
      </c>
      <c r="O474" s="9" t="str">
        <f aca="false">IF(N474="","",IFERROR(INDEX('Item Master'!$K$6:$K$105,MATCH(C474,'Item Master'!$A$6:$A$105,0)),0))</f>
        <v/>
      </c>
      <c r="P474" s="9" t="n">
        <f aca="false">IF(N474="",0,MAX(0,MIN(N(F474),O474-N474))*N(G474))</f>
        <v>0</v>
      </c>
      <c r="Q474" s="9" t="str">
        <f aca="false">IF(AND(C474&lt;&gt;"",C474='Stock Ledger'!$C$4),M474,"")</f>
        <v/>
      </c>
    </row>
    <row r="475" customFormat="false" ht="15" hidden="false" customHeight="false" outlineLevel="0" collapsed="false">
      <c r="A475" s="45" t="str">
        <f aca="false">IF(C475="","",ROW()-6)</f>
        <v/>
      </c>
      <c r="B475" s="85"/>
      <c r="C475" s="80"/>
      <c r="D475" s="47" t="str">
        <f aca="false">IF(C475="","",IFERROR(INDEX('Item Master'!$B$6:$B$105,MATCH(C475,'Item Master'!$A$6:$A$105,0)),"?"))</f>
        <v/>
      </c>
      <c r="E475" s="82"/>
      <c r="F475" s="83"/>
      <c r="G475" s="84"/>
      <c r="H475" s="81"/>
      <c r="I475" s="80"/>
      <c r="J475" s="41" t="str">
        <f aca="false">IF(OR(C475="",G475=""),"",N(F475)*N(G475))</f>
        <v/>
      </c>
      <c r="K475" s="48" t="str">
        <f aca="false">IF(M475="","",N(IFERROR(INDEX('Item Master'!$E$6:$E$105,MATCH(C475,'Item Master'!$A$6:$A$105,0)),0))+SUMIFS($F$7:$F$506,$C$7:$C$506,C475,$E$7:$E$506,"In",$M$7:$M$506,"&lt;="&amp;M475)-SUMIFS($F$7:$F$506,$C$7:$C$506,C475,$E$7:$E$506,"Out",$M$7:$M$506,"&lt;="&amp;M475))</f>
        <v/>
      </c>
      <c r="L475" s="44" t="str">
        <f aca="false">IF(AND(B475="",C475="",F475=""),"",IF(C475="","⚠ Pick item",IF(D475="?","⚠ Code not in Item Master",IF(B475="","⚠ Enter date",IF(OR(E475="",N(F475)&lt;=0),"⚠ Type / quantity missing",IF(AND(E475="In",G475=""),"⚠ Enter purchase rate",IF(OR(B475&lt;Setup!$C$6,B475&gt;Setup!$C$7),"Outside period",IF(K475&lt;0,"⚠ Stock goes negative","✔ OK"))))))))</f>
        <v/>
      </c>
      <c r="M475" s="9" t="str">
        <f aca="false">IF(OR(C475="",B475=""),"",B475+ROW()/1000000)</f>
        <v/>
      </c>
      <c r="N475" s="9" t="str">
        <f aca="false">IF(AND(E475="In",M475&lt;&gt;""),SUMIFS($F$7:$F$506,$C$7:$C$506,C475,$E$7:$E$506,"In",$M$7:$M$506,"&gt;"&amp;M475),"")</f>
        <v/>
      </c>
      <c r="O475" s="9" t="str">
        <f aca="false">IF(N475="","",IFERROR(INDEX('Item Master'!$K$6:$K$105,MATCH(C475,'Item Master'!$A$6:$A$105,0)),0))</f>
        <v/>
      </c>
      <c r="P475" s="9" t="n">
        <f aca="false">IF(N475="",0,MAX(0,MIN(N(F475),O475-N475))*N(G475))</f>
        <v>0</v>
      </c>
      <c r="Q475" s="9" t="str">
        <f aca="false">IF(AND(C475&lt;&gt;"",C475='Stock Ledger'!$C$4),M475,"")</f>
        <v/>
      </c>
    </row>
    <row r="476" customFormat="false" ht="15" hidden="false" customHeight="false" outlineLevel="0" collapsed="false">
      <c r="A476" s="45" t="str">
        <f aca="false">IF(C476="","",ROW()-6)</f>
        <v/>
      </c>
      <c r="B476" s="85"/>
      <c r="C476" s="80"/>
      <c r="D476" s="47" t="str">
        <f aca="false">IF(C476="","",IFERROR(INDEX('Item Master'!$B$6:$B$105,MATCH(C476,'Item Master'!$A$6:$A$105,0)),"?"))</f>
        <v/>
      </c>
      <c r="E476" s="82"/>
      <c r="F476" s="83"/>
      <c r="G476" s="84"/>
      <c r="H476" s="81"/>
      <c r="I476" s="80"/>
      <c r="J476" s="41" t="str">
        <f aca="false">IF(OR(C476="",G476=""),"",N(F476)*N(G476))</f>
        <v/>
      </c>
      <c r="K476" s="48" t="str">
        <f aca="false">IF(M476="","",N(IFERROR(INDEX('Item Master'!$E$6:$E$105,MATCH(C476,'Item Master'!$A$6:$A$105,0)),0))+SUMIFS($F$7:$F$506,$C$7:$C$506,C476,$E$7:$E$506,"In",$M$7:$M$506,"&lt;="&amp;M476)-SUMIFS($F$7:$F$506,$C$7:$C$506,C476,$E$7:$E$506,"Out",$M$7:$M$506,"&lt;="&amp;M476))</f>
        <v/>
      </c>
      <c r="L476" s="44" t="str">
        <f aca="false">IF(AND(B476="",C476="",F476=""),"",IF(C476="","⚠ Pick item",IF(D476="?","⚠ Code not in Item Master",IF(B476="","⚠ Enter date",IF(OR(E476="",N(F476)&lt;=0),"⚠ Type / quantity missing",IF(AND(E476="In",G476=""),"⚠ Enter purchase rate",IF(OR(B476&lt;Setup!$C$6,B476&gt;Setup!$C$7),"Outside period",IF(K476&lt;0,"⚠ Stock goes negative","✔ OK"))))))))</f>
        <v/>
      </c>
      <c r="M476" s="9" t="str">
        <f aca="false">IF(OR(C476="",B476=""),"",B476+ROW()/1000000)</f>
        <v/>
      </c>
      <c r="N476" s="9" t="str">
        <f aca="false">IF(AND(E476="In",M476&lt;&gt;""),SUMIFS($F$7:$F$506,$C$7:$C$506,C476,$E$7:$E$506,"In",$M$7:$M$506,"&gt;"&amp;M476),"")</f>
        <v/>
      </c>
      <c r="O476" s="9" t="str">
        <f aca="false">IF(N476="","",IFERROR(INDEX('Item Master'!$K$6:$K$105,MATCH(C476,'Item Master'!$A$6:$A$105,0)),0))</f>
        <v/>
      </c>
      <c r="P476" s="9" t="n">
        <f aca="false">IF(N476="",0,MAX(0,MIN(N(F476),O476-N476))*N(G476))</f>
        <v>0</v>
      </c>
      <c r="Q476" s="9" t="str">
        <f aca="false">IF(AND(C476&lt;&gt;"",C476='Stock Ledger'!$C$4),M476,"")</f>
        <v/>
      </c>
    </row>
    <row r="477" customFormat="false" ht="15" hidden="false" customHeight="false" outlineLevel="0" collapsed="false">
      <c r="A477" s="45" t="str">
        <f aca="false">IF(C477="","",ROW()-6)</f>
        <v/>
      </c>
      <c r="B477" s="85"/>
      <c r="C477" s="80"/>
      <c r="D477" s="47" t="str">
        <f aca="false">IF(C477="","",IFERROR(INDEX('Item Master'!$B$6:$B$105,MATCH(C477,'Item Master'!$A$6:$A$105,0)),"?"))</f>
        <v/>
      </c>
      <c r="E477" s="82"/>
      <c r="F477" s="83"/>
      <c r="G477" s="84"/>
      <c r="H477" s="81"/>
      <c r="I477" s="80"/>
      <c r="J477" s="41" t="str">
        <f aca="false">IF(OR(C477="",G477=""),"",N(F477)*N(G477))</f>
        <v/>
      </c>
      <c r="K477" s="48" t="str">
        <f aca="false">IF(M477="","",N(IFERROR(INDEX('Item Master'!$E$6:$E$105,MATCH(C477,'Item Master'!$A$6:$A$105,0)),0))+SUMIFS($F$7:$F$506,$C$7:$C$506,C477,$E$7:$E$506,"In",$M$7:$M$506,"&lt;="&amp;M477)-SUMIFS($F$7:$F$506,$C$7:$C$506,C477,$E$7:$E$506,"Out",$M$7:$M$506,"&lt;="&amp;M477))</f>
        <v/>
      </c>
      <c r="L477" s="44" t="str">
        <f aca="false">IF(AND(B477="",C477="",F477=""),"",IF(C477="","⚠ Pick item",IF(D477="?","⚠ Code not in Item Master",IF(B477="","⚠ Enter date",IF(OR(E477="",N(F477)&lt;=0),"⚠ Type / quantity missing",IF(AND(E477="In",G477=""),"⚠ Enter purchase rate",IF(OR(B477&lt;Setup!$C$6,B477&gt;Setup!$C$7),"Outside period",IF(K477&lt;0,"⚠ Stock goes negative","✔ OK"))))))))</f>
        <v/>
      </c>
      <c r="M477" s="9" t="str">
        <f aca="false">IF(OR(C477="",B477=""),"",B477+ROW()/1000000)</f>
        <v/>
      </c>
      <c r="N477" s="9" t="str">
        <f aca="false">IF(AND(E477="In",M477&lt;&gt;""),SUMIFS($F$7:$F$506,$C$7:$C$506,C477,$E$7:$E$506,"In",$M$7:$M$506,"&gt;"&amp;M477),"")</f>
        <v/>
      </c>
      <c r="O477" s="9" t="str">
        <f aca="false">IF(N477="","",IFERROR(INDEX('Item Master'!$K$6:$K$105,MATCH(C477,'Item Master'!$A$6:$A$105,0)),0))</f>
        <v/>
      </c>
      <c r="P477" s="9" t="n">
        <f aca="false">IF(N477="",0,MAX(0,MIN(N(F477),O477-N477))*N(G477))</f>
        <v>0</v>
      </c>
      <c r="Q477" s="9" t="str">
        <f aca="false">IF(AND(C477&lt;&gt;"",C477='Stock Ledger'!$C$4),M477,"")</f>
        <v/>
      </c>
    </row>
    <row r="478" customFormat="false" ht="15" hidden="false" customHeight="false" outlineLevel="0" collapsed="false">
      <c r="A478" s="45" t="str">
        <f aca="false">IF(C478="","",ROW()-6)</f>
        <v/>
      </c>
      <c r="B478" s="85"/>
      <c r="C478" s="80"/>
      <c r="D478" s="47" t="str">
        <f aca="false">IF(C478="","",IFERROR(INDEX('Item Master'!$B$6:$B$105,MATCH(C478,'Item Master'!$A$6:$A$105,0)),"?"))</f>
        <v/>
      </c>
      <c r="E478" s="82"/>
      <c r="F478" s="83"/>
      <c r="G478" s="84"/>
      <c r="H478" s="81"/>
      <c r="I478" s="80"/>
      <c r="J478" s="41" t="str">
        <f aca="false">IF(OR(C478="",G478=""),"",N(F478)*N(G478))</f>
        <v/>
      </c>
      <c r="K478" s="48" t="str">
        <f aca="false">IF(M478="","",N(IFERROR(INDEX('Item Master'!$E$6:$E$105,MATCH(C478,'Item Master'!$A$6:$A$105,0)),0))+SUMIFS($F$7:$F$506,$C$7:$C$506,C478,$E$7:$E$506,"In",$M$7:$M$506,"&lt;="&amp;M478)-SUMIFS($F$7:$F$506,$C$7:$C$506,C478,$E$7:$E$506,"Out",$M$7:$M$506,"&lt;="&amp;M478))</f>
        <v/>
      </c>
      <c r="L478" s="44" t="str">
        <f aca="false">IF(AND(B478="",C478="",F478=""),"",IF(C478="","⚠ Pick item",IF(D478="?","⚠ Code not in Item Master",IF(B478="","⚠ Enter date",IF(OR(E478="",N(F478)&lt;=0),"⚠ Type / quantity missing",IF(AND(E478="In",G478=""),"⚠ Enter purchase rate",IF(OR(B478&lt;Setup!$C$6,B478&gt;Setup!$C$7),"Outside period",IF(K478&lt;0,"⚠ Stock goes negative","✔ OK"))))))))</f>
        <v/>
      </c>
      <c r="M478" s="9" t="str">
        <f aca="false">IF(OR(C478="",B478=""),"",B478+ROW()/1000000)</f>
        <v/>
      </c>
      <c r="N478" s="9" t="str">
        <f aca="false">IF(AND(E478="In",M478&lt;&gt;""),SUMIFS($F$7:$F$506,$C$7:$C$506,C478,$E$7:$E$506,"In",$M$7:$M$506,"&gt;"&amp;M478),"")</f>
        <v/>
      </c>
      <c r="O478" s="9" t="str">
        <f aca="false">IF(N478="","",IFERROR(INDEX('Item Master'!$K$6:$K$105,MATCH(C478,'Item Master'!$A$6:$A$105,0)),0))</f>
        <v/>
      </c>
      <c r="P478" s="9" t="n">
        <f aca="false">IF(N478="",0,MAX(0,MIN(N(F478),O478-N478))*N(G478))</f>
        <v>0</v>
      </c>
      <c r="Q478" s="9" t="str">
        <f aca="false">IF(AND(C478&lt;&gt;"",C478='Stock Ledger'!$C$4),M478,"")</f>
        <v/>
      </c>
    </row>
    <row r="479" customFormat="false" ht="15" hidden="false" customHeight="false" outlineLevel="0" collapsed="false">
      <c r="A479" s="45" t="str">
        <f aca="false">IF(C479="","",ROW()-6)</f>
        <v/>
      </c>
      <c r="B479" s="85"/>
      <c r="C479" s="80"/>
      <c r="D479" s="47" t="str">
        <f aca="false">IF(C479="","",IFERROR(INDEX('Item Master'!$B$6:$B$105,MATCH(C479,'Item Master'!$A$6:$A$105,0)),"?"))</f>
        <v/>
      </c>
      <c r="E479" s="82"/>
      <c r="F479" s="83"/>
      <c r="G479" s="84"/>
      <c r="H479" s="81"/>
      <c r="I479" s="80"/>
      <c r="J479" s="41" t="str">
        <f aca="false">IF(OR(C479="",G479=""),"",N(F479)*N(G479))</f>
        <v/>
      </c>
      <c r="K479" s="48" t="str">
        <f aca="false">IF(M479="","",N(IFERROR(INDEX('Item Master'!$E$6:$E$105,MATCH(C479,'Item Master'!$A$6:$A$105,0)),0))+SUMIFS($F$7:$F$506,$C$7:$C$506,C479,$E$7:$E$506,"In",$M$7:$M$506,"&lt;="&amp;M479)-SUMIFS($F$7:$F$506,$C$7:$C$506,C479,$E$7:$E$506,"Out",$M$7:$M$506,"&lt;="&amp;M479))</f>
        <v/>
      </c>
      <c r="L479" s="44" t="str">
        <f aca="false">IF(AND(B479="",C479="",F479=""),"",IF(C479="","⚠ Pick item",IF(D479="?","⚠ Code not in Item Master",IF(B479="","⚠ Enter date",IF(OR(E479="",N(F479)&lt;=0),"⚠ Type / quantity missing",IF(AND(E479="In",G479=""),"⚠ Enter purchase rate",IF(OR(B479&lt;Setup!$C$6,B479&gt;Setup!$C$7),"Outside period",IF(K479&lt;0,"⚠ Stock goes negative","✔ OK"))))))))</f>
        <v/>
      </c>
      <c r="M479" s="9" t="str">
        <f aca="false">IF(OR(C479="",B479=""),"",B479+ROW()/1000000)</f>
        <v/>
      </c>
      <c r="N479" s="9" t="str">
        <f aca="false">IF(AND(E479="In",M479&lt;&gt;""),SUMIFS($F$7:$F$506,$C$7:$C$506,C479,$E$7:$E$506,"In",$M$7:$M$506,"&gt;"&amp;M479),"")</f>
        <v/>
      </c>
      <c r="O479" s="9" t="str">
        <f aca="false">IF(N479="","",IFERROR(INDEX('Item Master'!$K$6:$K$105,MATCH(C479,'Item Master'!$A$6:$A$105,0)),0))</f>
        <v/>
      </c>
      <c r="P479" s="9" t="n">
        <f aca="false">IF(N479="",0,MAX(0,MIN(N(F479),O479-N479))*N(G479))</f>
        <v>0</v>
      </c>
      <c r="Q479" s="9" t="str">
        <f aca="false">IF(AND(C479&lt;&gt;"",C479='Stock Ledger'!$C$4),M479,"")</f>
        <v/>
      </c>
    </row>
    <row r="480" customFormat="false" ht="15" hidden="false" customHeight="false" outlineLevel="0" collapsed="false">
      <c r="A480" s="45" t="str">
        <f aca="false">IF(C480="","",ROW()-6)</f>
        <v/>
      </c>
      <c r="B480" s="85"/>
      <c r="C480" s="80"/>
      <c r="D480" s="47" t="str">
        <f aca="false">IF(C480="","",IFERROR(INDEX('Item Master'!$B$6:$B$105,MATCH(C480,'Item Master'!$A$6:$A$105,0)),"?"))</f>
        <v/>
      </c>
      <c r="E480" s="82"/>
      <c r="F480" s="83"/>
      <c r="G480" s="84"/>
      <c r="H480" s="81"/>
      <c r="I480" s="80"/>
      <c r="J480" s="41" t="str">
        <f aca="false">IF(OR(C480="",G480=""),"",N(F480)*N(G480))</f>
        <v/>
      </c>
      <c r="K480" s="48" t="str">
        <f aca="false">IF(M480="","",N(IFERROR(INDEX('Item Master'!$E$6:$E$105,MATCH(C480,'Item Master'!$A$6:$A$105,0)),0))+SUMIFS($F$7:$F$506,$C$7:$C$506,C480,$E$7:$E$506,"In",$M$7:$M$506,"&lt;="&amp;M480)-SUMIFS($F$7:$F$506,$C$7:$C$506,C480,$E$7:$E$506,"Out",$M$7:$M$506,"&lt;="&amp;M480))</f>
        <v/>
      </c>
      <c r="L480" s="44" t="str">
        <f aca="false">IF(AND(B480="",C480="",F480=""),"",IF(C480="","⚠ Pick item",IF(D480="?","⚠ Code not in Item Master",IF(B480="","⚠ Enter date",IF(OR(E480="",N(F480)&lt;=0),"⚠ Type / quantity missing",IF(AND(E480="In",G480=""),"⚠ Enter purchase rate",IF(OR(B480&lt;Setup!$C$6,B480&gt;Setup!$C$7),"Outside period",IF(K480&lt;0,"⚠ Stock goes negative","✔ OK"))))))))</f>
        <v/>
      </c>
      <c r="M480" s="9" t="str">
        <f aca="false">IF(OR(C480="",B480=""),"",B480+ROW()/1000000)</f>
        <v/>
      </c>
      <c r="N480" s="9" t="str">
        <f aca="false">IF(AND(E480="In",M480&lt;&gt;""),SUMIFS($F$7:$F$506,$C$7:$C$506,C480,$E$7:$E$506,"In",$M$7:$M$506,"&gt;"&amp;M480),"")</f>
        <v/>
      </c>
      <c r="O480" s="9" t="str">
        <f aca="false">IF(N480="","",IFERROR(INDEX('Item Master'!$K$6:$K$105,MATCH(C480,'Item Master'!$A$6:$A$105,0)),0))</f>
        <v/>
      </c>
      <c r="P480" s="9" t="n">
        <f aca="false">IF(N480="",0,MAX(0,MIN(N(F480),O480-N480))*N(G480))</f>
        <v>0</v>
      </c>
      <c r="Q480" s="9" t="str">
        <f aca="false">IF(AND(C480&lt;&gt;"",C480='Stock Ledger'!$C$4),M480,"")</f>
        <v/>
      </c>
    </row>
    <row r="481" customFormat="false" ht="15" hidden="false" customHeight="false" outlineLevel="0" collapsed="false">
      <c r="A481" s="45" t="str">
        <f aca="false">IF(C481="","",ROW()-6)</f>
        <v/>
      </c>
      <c r="B481" s="85"/>
      <c r="C481" s="80"/>
      <c r="D481" s="47" t="str">
        <f aca="false">IF(C481="","",IFERROR(INDEX('Item Master'!$B$6:$B$105,MATCH(C481,'Item Master'!$A$6:$A$105,0)),"?"))</f>
        <v/>
      </c>
      <c r="E481" s="82"/>
      <c r="F481" s="83"/>
      <c r="G481" s="84"/>
      <c r="H481" s="81"/>
      <c r="I481" s="80"/>
      <c r="J481" s="41" t="str">
        <f aca="false">IF(OR(C481="",G481=""),"",N(F481)*N(G481))</f>
        <v/>
      </c>
      <c r="K481" s="48" t="str">
        <f aca="false">IF(M481="","",N(IFERROR(INDEX('Item Master'!$E$6:$E$105,MATCH(C481,'Item Master'!$A$6:$A$105,0)),0))+SUMIFS($F$7:$F$506,$C$7:$C$506,C481,$E$7:$E$506,"In",$M$7:$M$506,"&lt;="&amp;M481)-SUMIFS($F$7:$F$506,$C$7:$C$506,C481,$E$7:$E$506,"Out",$M$7:$M$506,"&lt;="&amp;M481))</f>
        <v/>
      </c>
      <c r="L481" s="44" t="str">
        <f aca="false">IF(AND(B481="",C481="",F481=""),"",IF(C481="","⚠ Pick item",IF(D481="?","⚠ Code not in Item Master",IF(B481="","⚠ Enter date",IF(OR(E481="",N(F481)&lt;=0),"⚠ Type / quantity missing",IF(AND(E481="In",G481=""),"⚠ Enter purchase rate",IF(OR(B481&lt;Setup!$C$6,B481&gt;Setup!$C$7),"Outside period",IF(K481&lt;0,"⚠ Stock goes negative","✔ OK"))))))))</f>
        <v/>
      </c>
      <c r="M481" s="9" t="str">
        <f aca="false">IF(OR(C481="",B481=""),"",B481+ROW()/1000000)</f>
        <v/>
      </c>
      <c r="N481" s="9" t="str">
        <f aca="false">IF(AND(E481="In",M481&lt;&gt;""),SUMIFS($F$7:$F$506,$C$7:$C$506,C481,$E$7:$E$506,"In",$M$7:$M$506,"&gt;"&amp;M481),"")</f>
        <v/>
      </c>
      <c r="O481" s="9" t="str">
        <f aca="false">IF(N481="","",IFERROR(INDEX('Item Master'!$K$6:$K$105,MATCH(C481,'Item Master'!$A$6:$A$105,0)),0))</f>
        <v/>
      </c>
      <c r="P481" s="9" t="n">
        <f aca="false">IF(N481="",0,MAX(0,MIN(N(F481),O481-N481))*N(G481))</f>
        <v>0</v>
      </c>
      <c r="Q481" s="9" t="str">
        <f aca="false">IF(AND(C481&lt;&gt;"",C481='Stock Ledger'!$C$4),M481,"")</f>
        <v/>
      </c>
    </row>
    <row r="482" customFormat="false" ht="15" hidden="false" customHeight="false" outlineLevel="0" collapsed="false">
      <c r="A482" s="45" t="str">
        <f aca="false">IF(C482="","",ROW()-6)</f>
        <v/>
      </c>
      <c r="B482" s="85"/>
      <c r="C482" s="80"/>
      <c r="D482" s="47" t="str">
        <f aca="false">IF(C482="","",IFERROR(INDEX('Item Master'!$B$6:$B$105,MATCH(C482,'Item Master'!$A$6:$A$105,0)),"?"))</f>
        <v/>
      </c>
      <c r="E482" s="82"/>
      <c r="F482" s="83"/>
      <c r="G482" s="84"/>
      <c r="H482" s="81"/>
      <c r="I482" s="80"/>
      <c r="J482" s="41" t="str">
        <f aca="false">IF(OR(C482="",G482=""),"",N(F482)*N(G482))</f>
        <v/>
      </c>
      <c r="K482" s="48" t="str">
        <f aca="false">IF(M482="","",N(IFERROR(INDEX('Item Master'!$E$6:$E$105,MATCH(C482,'Item Master'!$A$6:$A$105,0)),0))+SUMIFS($F$7:$F$506,$C$7:$C$506,C482,$E$7:$E$506,"In",$M$7:$M$506,"&lt;="&amp;M482)-SUMIFS($F$7:$F$506,$C$7:$C$506,C482,$E$7:$E$506,"Out",$M$7:$M$506,"&lt;="&amp;M482))</f>
        <v/>
      </c>
      <c r="L482" s="44" t="str">
        <f aca="false">IF(AND(B482="",C482="",F482=""),"",IF(C482="","⚠ Pick item",IF(D482="?","⚠ Code not in Item Master",IF(B482="","⚠ Enter date",IF(OR(E482="",N(F482)&lt;=0),"⚠ Type / quantity missing",IF(AND(E482="In",G482=""),"⚠ Enter purchase rate",IF(OR(B482&lt;Setup!$C$6,B482&gt;Setup!$C$7),"Outside period",IF(K482&lt;0,"⚠ Stock goes negative","✔ OK"))))))))</f>
        <v/>
      </c>
      <c r="M482" s="9" t="str">
        <f aca="false">IF(OR(C482="",B482=""),"",B482+ROW()/1000000)</f>
        <v/>
      </c>
      <c r="N482" s="9" t="str">
        <f aca="false">IF(AND(E482="In",M482&lt;&gt;""),SUMIFS($F$7:$F$506,$C$7:$C$506,C482,$E$7:$E$506,"In",$M$7:$M$506,"&gt;"&amp;M482),"")</f>
        <v/>
      </c>
      <c r="O482" s="9" t="str">
        <f aca="false">IF(N482="","",IFERROR(INDEX('Item Master'!$K$6:$K$105,MATCH(C482,'Item Master'!$A$6:$A$105,0)),0))</f>
        <v/>
      </c>
      <c r="P482" s="9" t="n">
        <f aca="false">IF(N482="",0,MAX(0,MIN(N(F482),O482-N482))*N(G482))</f>
        <v>0</v>
      </c>
      <c r="Q482" s="9" t="str">
        <f aca="false">IF(AND(C482&lt;&gt;"",C482='Stock Ledger'!$C$4),M482,"")</f>
        <v/>
      </c>
    </row>
    <row r="483" customFormat="false" ht="15" hidden="false" customHeight="false" outlineLevel="0" collapsed="false">
      <c r="A483" s="45" t="str">
        <f aca="false">IF(C483="","",ROW()-6)</f>
        <v/>
      </c>
      <c r="B483" s="85"/>
      <c r="C483" s="80"/>
      <c r="D483" s="47" t="str">
        <f aca="false">IF(C483="","",IFERROR(INDEX('Item Master'!$B$6:$B$105,MATCH(C483,'Item Master'!$A$6:$A$105,0)),"?"))</f>
        <v/>
      </c>
      <c r="E483" s="82"/>
      <c r="F483" s="83"/>
      <c r="G483" s="84"/>
      <c r="H483" s="81"/>
      <c r="I483" s="80"/>
      <c r="J483" s="41" t="str">
        <f aca="false">IF(OR(C483="",G483=""),"",N(F483)*N(G483))</f>
        <v/>
      </c>
      <c r="K483" s="48" t="str">
        <f aca="false">IF(M483="","",N(IFERROR(INDEX('Item Master'!$E$6:$E$105,MATCH(C483,'Item Master'!$A$6:$A$105,0)),0))+SUMIFS($F$7:$F$506,$C$7:$C$506,C483,$E$7:$E$506,"In",$M$7:$M$506,"&lt;="&amp;M483)-SUMIFS($F$7:$F$506,$C$7:$C$506,C483,$E$7:$E$506,"Out",$M$7:$M$506,"&lt;="&amp;M483))</f>
        <v/>
      </c>
      <c r="L483" s="44" t="str">
        <f aca="false">IF(AND(B483="",C483="",F483=""),"",IF(C483="","⚠ Pick item",IF(D483="?","⚠ Code not in Item Master",IF(B483="","⚠ Enter date",IF(OR(E483="",N(F483)&lt;=0),"⚠ Type / quantity missing",IF(AND(E483="In",G483=""),"⚠ Enter purchase rate",IF(OR(B483&lt;Setup!$C$6,B483&gt;Setup!$C$7),"Outside period",IF(K483&lt;0,"⚠ Stock goes negative","✔ OK"))))))))</f>
        <v/>
      </c>
      <c r="M483" s="9" t="str">
        <f aca="false">IF(OR(C483="",B483=""),"",B483+ROW()/1000000)</f>
        <v/>
      </c>
      <c r="N483" s="9" t="str">
        <f aca="false">IF(AND(E483="In",M483&lt;&gt;""),SUMIFS($F$7:$F$506,$C$7:$C$506,C483,$E$7:$E$506,"In",$M$7:$M$506,"&gt;"&amp;M483),"")</f>
        <v/>
      </c>
      <c r="O483" s="9" t="str">
        <f aca="false">IF(N483="","",IFERROR(INDEX('Item Master'!$K$6:$K$105,MATCH(C483,'Item Master'!$A$6:$A$105,0)),0))</f>
        <v/>
      </c>
      <c r="P483" s="9" t="n">
        <f aca="false">IF(N483="",0,MAX(0,MIN(N(F483),O483-N483))*N(G483))</f>
        <v>0</v>
      </c>
      <c r="Q483" s="9" t="str">
        <f aca="false">IF(AND(C483&lt;&gt;"",C483='Stock Ledger'!$C$4),M483,"")</f>
        <v/>
      </c>
    </row>
    <row r="484" customFormat="false" ht="15" hidden="false" customHeight="false" outlineLevel="0" collapsed="false">
      <c r="A484" s="45" t="str">
        <f aca="false">IF(C484="","",ROW()-6)</f>
        <v/>
      </c>
      <c r="B484" s="85"/>
      <c r="C484" s="80"/>
      <c r="D484" s="47" t="str">
        <f aca="false">IF(C484="","",IFERROR(INDEX('Item Master'!$B$6:$B$105,MATCH(C484,'Item Master'!$A$6:$A$105,0)),"?"))</f>
        <v/>
      </c>
      <c r="E484" s="82"/>
      <c r="F484" s="83"/>
      <c r="G484" s="84"/>
      <c r="H484" s="81"/>
      <c r="I484" s="80"/>
      <c r="J484" s="41" t="str">
        <f aca="false">IF(OR(C484="",G484=""),"",N(F484)*N(G484))</f>
        <v/>
      </c>
      <c r="K484" s="48" t="str">
        <f aca="false">IF(M484="","",N(IFERROR(INDEX('Item Master'!$E$6:$E$105,MATCH(C484,'Item Master'!$A$6:$A$105,0)),0))+SUMIFS($F$7:$F$506,$C$7:$C$506,C484,$E$7:$E$506,"In",$M$7:$M$506,"&lt;="&amp;M484)-SUMIFS($F$7:$F$506,$C$7:$C$506,C484,$E$7:$E$506,"Out",$M$7:$M$506,"&lt;="&amp;M484))</f>
        <v/>
      </c>
      <c r="L484" s="44" t="str">
        <f aca="false">IF(AND(B484="",C484="",F484=""),"",IF(C484="","⚠ Pick item",IF(D484="?","⚠ Code not in Item Master",IF(B484="","⚠ Enter date",IF(OR(E484="",N(F484)&lt;=0),"⚠ Type / quantity missing",IF(AND(E484="In",G484=""),"⚠ Enter purchase rate",IF(OR(B484&lt;Setup!$C$6,B484&gt;Setup!$C$7),"Outside period",IF(K484&lt;0,"⚠ Stock goes negative","✔ OK"))))))))</f>
        <v/>
      </c>
      <c r="M484" s="9" t="str">
        <f aca="false">IF(OR(C484="",B484=""),"",B484+ROW()/1000000)</f>
        <v/>
      </c>
      <c r="N484" s="9" t="str">
        <f aca="false">IF(AND(E484="In",M484&lt;&gt;""),SUMIFS($F$7:$F$506,$C$7:$C$506,C484,$E$7:$E$506,"In",$M$7:$M$506,"&gt;"&amp;M484),"")</f>
        <v/>
      </c>
      <c r="O484" s="9" t="str">
        <f aca="false">IF(N484="","",IFERROR(INDEX('Item Master'!$K$6:$K$105,MATCH(C484,'Item Master'!$A$6:$A$105,0)),0))</f>
        <v/>
      </c>
      <c r="P484" s="9" t="n">
        <f aca="false">IF(N484="",0,MAX(0,MIN(N(F484),O484-N484))*N(G484))</f>
        <v>0</v>
      </c>
      <c r="Q484" s="9" t="str">
        <f aca="false">IF(AND(C484&lt;&gt;"",C484='Stock Ledger'!$C$4),M484,"")</f>
        <v/>
      </c>
    </row>
    <row r="485" customFormat="false" ht="15" hidden="false" customHeight="false" outlineLevel="0" collapsed="false">
      <c r="A485" s="45" t="str">
        <f aca="false">IF(C485="","",ROW()-6)</f>
        <v/>
      </c>
      <c r="B485" s="85"/>
      <c r="C485" s="80"/>
      <c r="D485" s="47" t="str">
        <f aca="false">IF(C485="","",IFERROR(INDEX('Item Master'!$B$6:$B$105,MATCH(C485,'Item Master'!$A$6:$A$105,0)),"?"))</f>
        <v/>
      </c>
      <c r="E485" s="82"/>
      <c r="F485" s="83"/>
      <c r="G485" s="84"/>
      <c r="H485" s="81"/>
      <c r="I485" s="80"/>
      <c r="J485" s="41" t="str">
        <f aca="false">IF(OR(C485="",G485=""),"",N(F485)*N(G485))</f>
        <v/>
      </c>
      <c r="K485" s="48" t="str">
        <f aca="false">IF(M485="","",N(IFERROR(INDEX('Item Master'!$E$6:$E$105,MATCH(C485,'Item Master'!$A$6:$A$105,0)),0))+SUMIFS($F$7:$F$506,$C$7:$C$506,C485,$E$7:$E$506,"In",$M$7:$M$506,"&lt;="&amp;M485)-SUMIFS($F$7:$F$506,$C$7:$C$506,C485,$E$7:$E$506,"Out",$M$7:$M$506,"&lt;="&amp;M485))</f>
        <v/>
      </c>
      <c r="L485" s="44" t="str">
        <f aca="false">IF(AND(B485="",C485="",F485=""),"",IF(C485="","⚠ Pick item",IF(D485="?","⚠ Code not in Item Master",IF(B485="","⚠ Enter date",IF(OR(E485="",N(F485)&lt;=0),"⚠ Type / quantity missing",IF(AND(E485="In",G485=""),"⚠ Enter purchase rate",IF(OR(B485&lt;Setup!$C$6,B485&gt;Setup!$C$7),"Outside period",IF(K485&lt;0,"⚠ Stock goes negative","✔ OK"))))))))</f>
        <v/>
      </c>
      <c r="M485" s="9" t="str">
        <f aca="false">IF(OR(C485="",B485=""),"",B485+ROW()/1000000)</f>
        <v/>
      </c>
      <c r="N485" s="9" t="str">
        <f aca="false">IF(AND(E485="In",M485&lt;&gt;""),SUMIFS($F$7:$F$506,$C$7:$C$506,C485,$E$7:$E$506,"In",$M$7:$M$506,"&gt;"&amp;M485),"")</f>
        <v/>
      </c>
      <c r="O485" s="9" t="str">
        <f aca="false">IF(N485="","",IFERROR(INDEX('Item Master'!$K$6:$K$105,MATCH(C485,'Item Master'!$A$6:$A$105,0)),0))</f>
        <v/>
      </c>
      <c r="P485" s="9" t="n">
        <f aca="false">IF(N485="",0,MAX(0,MIN(N(F485),O485-N485))*N(G485))</f>
        <v>0</v>
      </c>
      <c r="Q485" s="9" t="str">
        <f aca="false">IF(AND(C485&lt;&gt;"",C485='Stock Ledger'!$C$4),M485,"")</f>
        <v/>
      </c>
    </row>
    <row r="486" customFormat="false" ht="15" hidden="false" customHeight="false" outlineLevel="0" collapsed="false">
      <c r="A486" s="45" t="str">
        <f aca="false">IF(C486="","",ROW()-6)</f>
        <v/>
      </c>
      <c r="B486" s="85"/>
      <c r="C486" s="80"/>
      <c r="D486" s="47" t="str">
        <f aca="false">IF(C486="","",IFERROR(INDEX('Item Master'!$B$6:$B$105,MATCH(C486,'Item Master'!$A$6:$A$105,0)),"?"))</f>
        <v/>
      </c>
      <c r="E486" s="82"/>
      <c r="F486" s="83"/>
      <c r="G486" s="84"/>
      <c r="H486" s="81"/>
      <c r="I486" s="80"/>
      <c r="J486" s="41" t="str">
        <f aca="false">IF(OR(C486="",G486=""),"",N(F486)*N(G486))</f>
        <v/>
      </c>
      <c r="K486" s="48" t="str">
        <f aca="false">IF(M486="","",N(IFERROR(INDEX('Item Master'!$E$6:$E$105,MATCH(C486,'Item Master'!$A$6:$A$105,0)),0))+SUMIFS($F$7:$F$506,$C$7:$C$506,C486,$E$7:$E$506,"In",$M$7:$M$506,"&lt;="&amp;M486)-SUMIFS($F$7:$F$506,$C$7:$C$506,C486,$E$7:$E$506,"Out",$M$7:$M$506,"&lt;="&amp;M486))</f>
        <v/>
      </c>
      <c r="L486" s="44" t="str">
        <f aca="false">IF(AND(B486="",C486="",F486=""),"",IF(C486="","⚠ Pick item",IF(D486="?","⚠ Code not in Item Master",IF(B486="","⚠ Enter date",IF(OR(E486="",N(F486)&lt;=0),"⚠ Type / quantity missing",IF(AND(E486="In",G486=""),"⚠ Enter purchase rate",IF(OR(B486&lt;Setup!$C$6,B486&gt;Setup!$C$7),"Outside period",IF(K486&lt;0,"⚠ Stock goes negative","✔ OK"))))))))</f>
        <v/>
      </c>
      <c r="M486" s="9" t="str">
        <f aca="false">IF(OR(C486="",B486=""),"",B486+ROW()/1000000)</f>
        <v/>
      </c>
      <c r="N486" s="9" t="str">
        <f aca="false">IF(AND(E486="In",M486&lt;&gt;""),SUMIFS($F$7:$F$506,$C$7:$C$506,C486,$E$7:$E$506,"In",$M$7:$M$506,"&gt;"&amp;M486),"")</f>
        <v/>
      </c>
      <c r="O486" s="9" t="str">
        <f aca="false">IF(N486="","",IFERROR(INDEX('Item Master'!$K$6:$K$105,MATCH(C486,'Item Master'!$A$6:$A$105,0)),0))</f>
        <v/>
      </c>
      <c r="P486" s="9" t="n">
        <f aca="false">IF(N486="",0,MAX(0,MIN(N(F486),O486-N486))*N(G486))</f>
        <v>0</v>
      </c>
      <c r="Q486" s="9" t="str">
        <f aca="false">IF(AND(C486&lt;&gt;"",C486='Stock Ledger'!$C$4),M486,"")</f>
        <v/>
      </c>
    </row>
    <row r="487" customFormat="false" ht="15" hidden="false" customHeight="false" outlineLevel="0" collapsed="false">
      <c r="A487" s="45" t="str">
        <f aca="false">IF(C487="","",ROW()-6)</f>
        <v/>
      </c>
      <c r="B487" s="85"/>
      <c r="C487" s="80"/>
      <c r="D487" s="47" t="str">
        <f aca="false">IF(C487="","",IFERROR(INDEX('Item Master'!$B$6:$B$105,MATCH(C487,'Item Master'!$A$6:$A$105,0)),"?"))</f>
        <v/>
      </c>
      <c r="E487" s="82"/>
      <c r="F487" s="83"/>
      <c r="G487" s="84"/>
      <c r="H487" s="81"/>
      <c r="I487" s="80"/>
      <c r="J487" s="41" t="str">
        <f aca="false">IF(OR(C487="",G487=""),"",N(F487)*N(G487))</f>
        <v/>
      </c>
      <c r="K487" s="48" t="str">
        <f aca="false">IF(M487="","",N(IFERROR(INDEX('Item Master'!$E$6:$E$105,MATCH(C487,'Item Master'!$A$6:$A$105,0)),0))+SUMIFS($F$7:$F$506,$C$7:$C$506,C487,$E$7:$E$506,"In",$M$7:$M$506,"&lt;="&amp;M487)-SUMIFS($F$7:$F$506,$C$7:$C$506,C487,$E$7:$E$506,"Out",$M$7:$M$506,"&lt;="&amp;M487))</f>
        <v/>
      </c>
      <c r="L487" s="44" t="str">
        <f aca="false">IF(AND(B487="",C487="",F487=""),"",IF(C487="","⚠ Pick item",IF(D487="?","⚠ Code not in Item Master",IF(B487="","⚠ Enter date",IF(OR(E487="",N(F487)&lt;=0),"⚠ Type / quantity missing",IF(AND(E487="In",G487=""),"⚠ Enter purchase rate",IF(OR(B487&lt;Setup!$C$6,B487&gt;Setup!$C$7),"Outside period",IF(K487&lt;0,"⚠ Stock goes negative","✔ OK"))))))))</f>
        <v/>
      </c>
      <c r="M487" s="9" t="str">
        <f aca="false">IF(OR(C487="",B487=""),"",B487+ROW()/1000000)</f>
        <v/>
      </c>
      <c r="N487" s="9" t="str">
        <f aca="false">IF(AND(E487="In",M487&lt;&gt;""),SUMIFS($F$7:$F$506,$C$7:$C$506,C487,$E$7:$E$506,"In",$M$7:$M$506,"&gt;"&amp;M487),"")</f>
        <v/>
      </c>
      <c r="O487" s="9" t="str">
        <f aca="false">IF(N487="","",IFERROR(INDEX('Item Master'!$K$6:$K$105,MATCH(C487,'Item Master'!$A$6:$A$105,0)),0))</f>
        <v/>
      </c>
      <c r="P487" s="9" t="n">
        <f aca="false">IF(N487="",0,MAX(0,MIN(N(F487),O487-N487))*N(G487))</f>
        <v>0</v>
      </c>
      <c r="Q487" s="9" t="str">
        <f aca="false">IF(AND(C487&lt;&gt;"",C487='Stock Ledger'!$C$4),M487,"")</f>
        <v/>
      </c>
    </row>
    <row r="488" customFormat="false" ht="15" hidden="false" customHeight="false" outlineLevel="0" collapsed="false">
      <c r="A488" s="45" t="str">
        <f aca="false">IF(C488="","",ROW()-6)</f>
        <v/>
      </c>
      <c r="B488" s="85"/>
      <c r="C488" s="80"/>
      <c r="D488" s="47" t="str">
        <f aca="false">IF(C488="","",IFERROR(INDEX('Item Master'!$B$6:$B$105,MATCH(C488,'Item Master'!$A$6:$A$105,0)),"?"))</f>
        <v/>
      </c>
      <c r="E488" s="82"/>
      <c r="F488" s="83"/>
      <c r="G488" s="84"/>
      <c r="H488" s="81"/>
      <c r="I488" s="80"/>
      <c r="J488" s="41" t="str">
        <f aca="false">IF(OR(C488="",G488=""),"",N(F488)*N(G488))</f>
        <v/>
      </c>
      <c r="K488" s="48" t="str">
        <f aca="false">IF(M488="","",N(IFERROR(INDEX('Item Master'!$E$6:$E$105,MATCH(C488,'Item Master'!$A$6:$A$105,0)),0))+SUMIFS($F$7:$F$506,$C$7:$C$506,C488,$E$7:$E$506,"In",$M$7:$M$506,"&lt;="&amp;M488)-SUMIFS($F$7:$F$506,$C$7:$C$506,C488,$E$7:$E$506,"Out",$M$7:$M$506,"&lt;="&amp;M488))</f>
        <v/>
      </c>
      <c r="L488" s="44" t="str">
        <f aca="false">IF(AND(B488="",C488="",F488=""),"",IF(C488="","⚠ Pick item",IF(D488="?","⚠ Code not in Item Master",IF(B488="","⚠ Enter date",IF(OR(E488="",N(F488)&lt;=0),"⚠ Type / quantity missing",IF(AND(E488="In",G488=""),"⚠ Enter purchase rate",IF(OR(B488&lt;Setup!$C$6,B488&gt;Setup!$C$7),"Outside period",IF(K488&lt;0,"⚠ Stock goes negative","✔ OK"))))))))</f>
        <v/>
      </c>
      <c r="M488" s="9" t="str">
        <f aca="false">IF(OR(C488="",B488=""),"",B488+ROW()/1000000)</f>
        <v/>
      </c>
      <c r="N488" s="9" t="str">
        <f aca="false">IF(AND(E488="In",M488&lt;&gt;""),SUMIFS($F$7:$F$506,$C$7:$C$506,C488,$E$7:$E$506,"In",$M$7:$M$506,"&gt;"&amp;M488),"")</f>
        <v/>
      </c>
      <c r="O488" s="9" t="str">
        <f aca="false">IF(N488="","",IFERROR(INDEX('Item Master'!$K$6:$K$105,MATCH(C488,'Item Master'!$A$6:$A$105,0)),0))</f>
        <v/>
      </c>
      <c r="P488" s="9" t="n">
        <f aca="false">IF(N488="",0,MAX(0,MIN(N(F488),O488-N488))*N(G488))</f>
        <v>0</v>
      </c>
      <c r="Q488" s="9" t="str">
        <f aca="false">IF(AND(C488&lt;&gt;"",C488='Stock Ledger'!$C$4),M488,"")</f>
        <v/>
      </c>
    </row>
    <row r="489" customFormat="false" ht="15" hidden="false" customHeight="false" outlineLevel="0" collapsed="false">
      <c r="A489" s="45" t="str">
        <f aca="false">IF(C489="","",ROW()-6)</f>
        <v/>
      </c>
      <c r="B489" s="85"/>
      <c r="C489" s="80"/>
      <c r="D489" s="47" t="str">
        <f aca="false">IF(C489="","",IFERROR(INDEX('Item Master'!$B$6:$B$105,MATCH(C489,'Item Master'!$A$6:$A$105,0)),"?"))</f>
        <v/>
      </c>
      <c r="E489" s="82"/>
      <c r="F489" s="83"/>
      <c r="G489" s="84"/>
      <c r="H489" s="81"/>
      <c r="I489" s="80"/>
      <c r="J489" s="41" t="str">
        <f aca="false">IF(OR(C489="",G489=""),"",N(F489)*N(G489))</f>
        <v/>
      </c>
      <c r="K489" s="48" t="str">
        <f aca="false">IF(M489="","",N(IFERROR(INDEX('Item Master'!$E$6:$E$105,MATCH(C489,'Item Master'!$A$6:$A$105,0)),0))+SUMIFS($F$7:$F$506,$C$7:$C$506,C489,$E$7:$E$506,"In",$M$7:$M$506,"&lt;="&amp;M489)-SUMIFS($F$7:$F$506,$C$7:$C$506,C489,$E$7:$E$506,"Out",$M$7:$M$506,"&lt;="&amp;M489))</f>
        <v/>
      </c>
      <c r="L489" s="44" t="str">
        <f aca="false">IF(AND(B489="",C489="",F489=""),"",IF(C489="","⚠ Pick item",IF(D489="?","⚠ Code not in Item Master",IF(B489="","⚠ Enter date",IF(OR(E489="",N(F489)&lt;=0),"⚠ Type / quantity missing",IF(AND(E489="In",G489=""),"⚠ Enter purchase rate",IF(OR(B489&lt;Setup!$C$6,B489&gt;Setup!$C$7),"Outside period",IF(K489&lt;0,"⚠ Stock goes negative","✔ OK"))))))))</f>
        <v/>
      </c>
      <c r="M489" s="9" t="str">
        <f aca="false">IF(OR(C489="",B489=""),"",B489+ROW()/1000000)</f>
        <v/>
      </c>
      <c r="N489" s="9" t="str">
        <f aca="false">IF(AND(E489="In",M489&lt;&gt;""),SUMIFS($F$7:$F$506,$C$7:$C$506,C489,$E$7:$E$506,"In",$M$7:$M$506,"&gt;"&amp;M489),"")</f>
        <v/>
      </c>
      <c r="O489" s="9" t="str">
        <f aca="false">IF(N489="","",IFERROR(INDEX('Item Master'!$K$6:$K$105,MATCH(C489,'Item Master'!$A$6:$A$105,0)),0))</f>
        <v/>
      </c>
      <c r="P489" s="9" t="n">
        <f aca="false">IF(N489="",0,MAX(0,MIN(N(F489),O489-N489))*N(G489))</f>
        <v>0</v>
      </c>
      <c r="Q489" s="9" t="str">
        <f aca="false">IF(AND(C489&lt;&gt;"",C489='Stock Ledger'!$C$4),M489,"")</f>
        <v/>
      </c>
    </row>
    <row r="490" customFormat="false" ht="15" hidden="false" customHeight="false" outlineLevel="0" collapsed="false">
      <c r="A490" s="45" t="str">
        <f aca="false">IF(C490="","",ROW()-6)</f>
        <v/>
      </c>
      <c r="B490" s="85"/>
      <c r="C490" s="80"/>
      <c r="D490" s="47" t="str">
        <f aca="false">IF(C490="","",IFERROR(INDEX('Item Master'!$B$6:$B$105,MATCH(C490,'Item Master'!$A$6:$A$105,0)),"?"))</f>
        <v/>
      </c>
      <c r="E490" s="82"/>
      <c r="F490" s="83"/>
      <c r="G490" s="84"/>
      <c r="H490" s="81"/>
      <c r="I490" s="80"/>
      <c r="J490" s="41" t="str">
        <f aca="false">IF(OR(C490="",G490=""),"",N(F490)*N(G490))</f>
        <v/>
      </c>
      <c r="K490" s="48" t="str">
        <f aca="false">IF(M490="","",N(IFERROR(INDEX('Item Master'!$E$6:$E$105,MATCH(C490,'Item Master'!$A$6:$A$105,0)),0))+SUMIFS($F$7:$F$506,$C$7:$C$506,C490,$E$7:$E$506,"In",$M$7:$M$506,"&lt;="&amp;M490)-SUMIFS($F$7:$F$506,$C$7:$C$506,C490,$E$7:$E$506,"Out",$M$7:$M$506,"&lt;="&amp;M490))</f>
        <v/>
      </c>
      <c r="L490" s="44" t="str">
        <f aca="false">IF(AND(B490="",C490="",F490=""),"",IF(C490="","⚠ Pick item",IF(D490="?","⚠ Code not in Item Master",IF(B490="","⚠ Enter date",IF(OR(E490="",N(F490)&lt;=0),"⚠ Type / quantity missing",IF(AND(E490="In",G490=""),"⚠ Enter purchase rate",IF(OR(B490&lt;Setup!$C$6,B490&gt;Setup!$C$7),"Outside period",IF(K490&lt;0,"⚠ Stock goes negative","✔ OK"))))))))</f>
        <v/>
      </c>
      <c r="M490" s="9" t="str">
        <f aca="false">IF(OR(C490="",B490=""),"",B490+ROW()/1000000)</f>
        <v/>
      </c>
      <c r="N490" s="9" t="str">
        <f aca="false">IF(AND(E490="In",M490&lt;&gt;""),SUMIFS($F$7:$F$506,$C$7:$C$506,C490,$E$7:$E$506,"In",$M$7:$M$506,"&gt;"&amp;M490),"")</f>
        <v/>
      </c>
      <c r="O490" s="9" t="str">
        <f aca="false">IF(N490="","",IFERROR(INDEX('Item Master'!$K$6:$K$105,MATCH(C490,'Item Master'!$A$6:$A$105,0)),0))</f>
        <v/>
      </c>
      <c r="P490" s="9" t="n">
        <f aca="false">IF(N490="",0,MAX(0,MIN(N(F490),O490-N490))*N(G490))</f>
        <v>0</v>
      </c>
      <c r="Q490" s="9" t="str">
        <f aca="false">IF(AND(C490&lt;&gt;"",C490='Stock Ledger'!$C$4),M490,"")</f>
        <v/>
      </c>
    </row>
    <row r="491" customFormat="false" ht="15" hidden="false" customHeight="false" outlineLevel="0" collapsed="false">
      <c r="A491" s="45" t="str">
        <f aca="false">IF(C491="","",ROW()-6)</f>
        <v/>
      </c>
      <c r="B491" s="85"/>
      <c r="C491" s="80"/>
      <c r="D491" s="47" t="str">
        <f aca="false">IF(C491="","",IFERROR(INDEX('Item Master'!$B$6:$B$105,MATCH(C491,'Item Master'!$A$6:$A$105,0)),"?"))</f>
        <v/>
      </c>
      <c r="E491" s="82"/>
      <c r="F491" s="83"/>
      <c r="G491" s="84"/>
      <c r="H491" s="81"/>
      <c r="I491" s="80"/>
      <c r="J491" s="41" t="str">
        <f aca="false">IF(OR(C491="",G491=""),"",N(F491)*N(G491))</f>
        <v/>
      </c>
      <c r="K491" s="48" t="str">
        <f aca="false">IF(M491="","",N(IFERROR(INDEX('Item Master'!$E$6:$E$105,MATCH(C491,'Item Master'!$A$6:$A$105,0)),0))+SUMIFS($F$7:$F$506,$C$7:$C$506,C491,$E$7:$E$506,"In",$M$7:$M$506,"&lt;="&amp;M491)-SUMIFS($F$7:$F$506,$C$7:$C$506,C491,$E$7:$E$506,"Out",$M$7:$M$506,"&lt;="&amp;M491))</f>
        <v/>
      </c>
      <c r="L491" s="44" t="str">
        <f aca="false">IF(AND(B491="",C491="",F491=""),"",IF(C491="","⚠ Pick item",IF(D491="?","⚠ Code not in Item Master",IF(B491="","⚠ Enter date",IF(OR(E491="",N(F491)&lt;=0),"⚠ Type / quantity missing",IF(AND(E491="In",G491=""),"⚠ Enter purchase rate",IF(OR(B491&lt;Setup!$C$6,B491&gt;Setup!$C$7),"Outside period",IF(K491&lt;0,"⚠ Stock goes negative","✔ OK"))))))))</f>
        <v/>
      </c>
      <c r="M491" s="9" t="str">
        <f aca="false">IF(OR(C491="",B491=""),"",B491+ROW()/1000000)</f>
        <v/>
      </c>
      <c r="N491" s="9" t="str">
        <f aca="false">IF(AND(E491="In",M491&lt;&gt;""),SUMIFS($F$7:$F$506,$C$7:$C$506,C491,$E$7:$E$506,"In",$M$7:$M$506,"&gt;"&amp;M491),"")</f>
        <v/>
      </c>
      <c r="O491" s="9" t="str">
        <f aca="false">IF(N491="","",IFERROR(INDEX('Item Master'!$K$6:$K$105,MATCH(C491,'Item Master'!$A$6:$A$105,0)),0))</f>
        <v/>
      </c>
      <c r="P491" s="9" t="n">
        <f aca="false">IF(N491="",0,MAX(0,MIN(N(F491),O491-N491))*N(G491))</f>
        <v>0</v>
      </c>
      <c r="Q491" s="9" t="str">
        <f aca="false">IF(AND(C491&lt;&gt;"",C491='Stock Ledger'!$C$4),M491,"")</f>
        <v/>
      </c>
    </row>
    <row r="492" customFormat="false" ht="15" hidden="false" customHeight="false" outlineLevel="0" collapsed="false">
      <c r="A492" s="45" t="str">
        <f aca="false">IF(C492="","",ROW()-6)</f>
        <v/>
      </c>
      <c r="B492" s="85"/>
      <c r="C492" s="80"/>
      <c r="D492" s="47" t="str">
        <f aca="false">IF(C492="","",IFERROR(INDEX('Item Master'!$B$6:$B$105,MATCH(C492,'Item Master'!$A$6:$A$105,0)),"?"))</f>
        <v/>
      </c>
      <c r="E492" s="82"/>
      <c r="F492" s="83"/>
      <c r="G492" s="84"/>
      <c r="H492" s="81"/>
      <c r="I492" s="80"/>
      <c r="J492" s="41" t="str">
        <f aca="false">IF(OR(C492="",G492=""),"",N(F492)*N(G492))</f>
        <v/>
      </c>
      <c r="K492" s="48" t="str">
        <f aca="false">IF(M492="","",N(IFERROR(INDEX('Item Master'!$E$6:$E$105,MATCH(C492,'Item Master'!$A$6:$A$105,0)),0))+SUMIFS($F$7:$F$506,$C$7:$C$506,C492,$E$7:$E$506,"In",$M$7:$M$506,"&lt;="&amp;M492)-SUMIFS($F$7:$F$506,$C$7:$C$506,C492,$E$7:$E$506,"Out",$M$7:$M$506,"&lt;="&amp;M492))</f>
        <v/>
      </c>
      <c r="L492" s="44" t="str">
        <f aca="false">IF(AND(B492="",C492="",F492=""),"",IF(C492="","⚠ Pick item",IF(D492="?","⚠ Code not in Item Master",IF(B492="","⚠ Enter date",IF(OR(E492="",N(F492)&lt;=0),"⚠ Type / quantity missing",IF(AND(E492="In",G492=""),"⚠ Enter purchase rate",IF(OR(B492&lt;Setup!$C$6,B492&gt;Setup!$C$7),"Outside period",IF(K492&lt;0,"⚠ Stock goes negative","✔ OK"))))))))</f>
        <v/>
      </c>
      <c r="M492" s="9" t="str">
        <f aca="false">IF(OR(C492="",B492=""),"",B492+ROW()/1000000)</f>
        <v/>
      </c>
      <c r="N492" s="9" t="str">
        <f aca="false">IF(AND(E492="In",M492&lt;&gt;""),SUMIFS($F$7:$F$506,$C$7:$C$506,C492,$E$7:$E$506,"In",$M$7:$M$506,"&gt;"&amp;M492),"")</f>
        <v/>
      </c>
      <c r="O492" s="9" t="str">
        <f aca="false">IF(N492="","",IFERROR(INDEX('Item Master'!$K$6:$K$105,MATCH(C492,'Item Master'!$A$6:$A$105,0)),0))</f>
        <v/>
      </c>
      <c r="P492" s="9" t="n">
        <f aca="false">IF(N492="",0,MAX(0,MIN(N(F492),O492-N492))*N(G492))</f>
        <v>0</v>
      </c>
      <c r="Q492" s="9" t="str">
        <f aca="false">IF(AND(C492&lt;&gt;"",C492='Stock Ledger'!$C$4),M492,"")</f>
        <v/>
      </c>
    </row>
    <row r="493" customFormat="false" ht="15" hidden="false" customHeight="false" outlineLevel="0" collapsed="false">
      <c r="A493" s="45" t="str">
        <f aca="false">IF(C493="","",ROW()-6)</f>
        <v/>
      </c>
      <c r="B493" s="85"/>
      <c r="C493" s="80"/>
      <c r="D493" s="47" t="str">
        <f aca="false">IF(C493="","",IFERROR(INDEX('Item Master'!$B$6:$B$105,MATCH(C493,'Item Master'!$A$6:$A$105,0)),"?"))</f>
        <v/>
      </c>
      <c r="E493" s="82"/>
      <c r="F493" s="83"/>
      <c r="G493" s="84"/>
      <c r="H493" s="81"/>
      <c r="I493" s="80"/>
      <c r="J493" s="41" t="str">
        <f aca="false">IF(OR(C493="",G493=""),"",N(F493)*N(G493))</f>
        <v/>
      </c>
      <c r="K493" s="48" t="str">
        <f aca="false">IF(M493="","",N(IFERROR(INDEX('Item Master'!$E$6:$E$105,MATCH(C493,'Item Master'!$A$6:$A$105,0)),0))+SUMIFS($F$7:$F$506,$C$7:$C$506,C493,$E$7:$E$506,"In",$M$7:$M$506,"&lt;="&amp;M493)-SUMIFS($F$7:$F$506,$C$7:$C$506,C493,$E$7:$E$506,"Out",$M$7:$M$506,"&lt;="&amp;M493))</f>
        <v/>
      </c>
      <c r="L493" s="44" t="str">
        <f aca="false">IF(AND(B493="",C493="",F493=""),"",IF(C493="","⚠ Pick item",IF(D493="?","⚠ Code not in Item Master",IF(B493="","⚠ Enter date",IF(OR(E493="",N(F493)&lt;=0),"⚠ Type / quantity missing",IF(AND(E493="In",G493=""),"⚠ Enter purchase rate",IF(OR(B493&lt;Setup!$C$6,B493&gt;Setup!$C$7),"Outside period",IF(K493&lt;0,"⚠ Stock goes negative","✔ OK"))))))))</f>
        <v/>
      </c>
      <c r="M493" s="9" t="str">
        <f aca="false">IF(OR(C493="",B493=""),"",B493+ROW()/1000000)</f>
        <v/>
      </c>
      <c r="N493" s="9" t="str">
        <f aca="false">IF(AND(E493="In",M493&lt;&gt;""),SUMIFS($F$7:$F$506,$C$7:$C$506,C493,$E$7:$E$506,"In",$M$7:$M$506,"&gt;"&amp;M493),"")</f>
        <v/>
      </c>
      <c r="O493" s="9" t="str">
        <f aca="false">IF(N493="","",IFERROR(INDEX('Item Master'!$K$6:$K$105,MATCH(C493,'Item Master'!$A$6:$A$105,0)),0))</f>
        <v/>
      </c>
      <c r="P493" s="9" t="n">
        <f aca="false">IF(N493="",0,MAX(0,MIN(N(F493),O493-N493))*N(G493))</f>
        <v>0</v>
      </c>
      <c r="Q493" s="9" t="str">
        <f aca="false">IF(AND(C493&lt;&gt;"",C493='Stock Ledger'!$C$4),M493,"")</f>
        <v/>
      </c>
    </row>
    <row r="494" customFormat="false" ht="15" hidden="false" customHeight="false" outlineLevel="0" collapsed="false">
      <c r="A494" s="45" t="str">
        <f aca="false">IF(C494="","",ROW()-6)</f>
        <v/>
      </c>
      <c r="B494" s="85"/>
      <c r="C494" s="80"/>
      <c r="D494" s="47" t="str">
        <f aca="false">IF(C494="","",IFERROR(INDEX('Item Master'!$B$6:$B$105,MATCH(C494,'Item Master'!$A$6:$A$105,0)),"?"))</f>
        <v/>
      </c>
      <c r="E494" s="82"/>
      <c r="F494" s="83"/>
      <c r="G494" s="84"/>
      <c r="H494" s="81"/>
      <c r="I494" s="80"/>
      <c r="J494" s="41" t="str">
        <f aca="false">IF(OR(C494="",G494=""),"",N(F494)*N(G494))</f>
        <v/>
      </c>
      <c r="K494" s="48" t="str">
        <f aca="false">IF(M494="","",N(IFERROR(INDEX('Item Master'!$E$6:$E$105,MATCH(C494,'Item Master'!$A$6:$A$105,0)),0))+SUMIFS($F$7:$F$506,$C$7:$C$506,C494,$E$7:$E$506,"In",$M$7:$M$506,"&lt;="&amp;M494)-SUMIFS($F$7:$F$506,$C$7:$C$506,C494,$E$7:$E$506,"Out",$M$7:$M$506,"&lt;="&amp;M494))</f>
        <v/>
      </c>
      <c r="L494" s="44" t="str">
        <f aca="false">IF(AND(B494="",C494="",F494=""),"",IF(C494="","⚠ Pick item",IF(D494="?","⚠ Code not in Item Master",IF(B494="","⚠ Enter date",IF(OR(E494="",N(F494)&lt;=0),"⚠ Type / quantity missing",IF(AND(E494="In",G494=""),"⚠ Enter purchase rate",IF(OR(B494&lt;Setup!$C$6,B494&gt;Setup!$C$7),"Outside period",IF(K494&lt;0,"⚠ Stock goes negative","✔ OK"))))))))</f>
        <v/>
      </c>
      <c r="M494" s="9" t="str">
        <f aca="false">IF(OR(C494="",B494=""),"",B494+ROW()/1000000)</f>
        <v/>
      </c>
      <c r="N494" s="9" t="str">
        <f aca="false">IF(AND(E494="In",M494&lt;&gt;""),SUMIFS($F$7:$F$506,$C$7:$C$506,C494,$E$7:$E$506,"In",$M$7:$M$506,"&gt;"&amp;M494),"")</f>
        <v/>
      </c>
      <c r="O494" s="9" t="str">
        <f aca="false">IF(N494="","",IFERROR(INDEX('Item Master'!$K$6:$K$105,MATCH(C494,'Item Master'!$A$6:$A$105,0)),0))</f>
        <v/>
      </c>
      <c r="P494" s="9" t="n">
        <f aca="false">IF(N494="",0,MAX(0,MIN(N(F494),O494-N494))*N(G494))</f>
        <v>0</v>
      </c>
      <c r="Q494" s="9" t="str">
        <f aca="false">IF(AND(C494&lt;&gt;"",C494='Stock Ledger'!$C$4),M494,"")</f>
        <v/>
      </c>
    </row>
    <row r="495" customFormat="false" ht="15" hidden="false" customHeight="false" outlineLevel="0" collapsed="false">
      <c r="A495" s="45" t="str">
        <f aca="false">IF(C495="","",ROW()-6)</f>
        <v/>
      </c>
      <c r="B495" s="85"/>
      <c r="C495" s="80"/>
      <c r="D495" s="47" t="str">
        <f aca="false">IF(C495="","",IFERROR(INDEX('Item Master'!$B$6:$B$105,MATCH(C495,'Item Master'!$A$6:$A$105,0)),"?"))</f>
        <v/>
      </c>
      <c r="E495" s="82"/>
      <c r="F495" s="83"/>
      <c r="G495" s="84"/>
      <c r="H495" s="81"/>
      <c r="I495" s="80"/>
      <c r="J495" s="41" t="str">
        <f aca="false">IF(OR(C495="",G495=""),"",N(F495)*N(G495))</f>
        <v/>
      </c>
      <c r="K495" s="48" t="str">
        <f aca="false">IF(M495="","",N(IFERROR(INDEX('Item Master'!$E$6:$E$105,MATCH(C495,'Item Master'!$A$6:$A$105,0)),0))+SUMIFS($F$7:$F$506,$C$7:$C$506,C495,$E$7:$E$506,"In",$M$7:$M$506,"&lt;="&amp;M495)-SUMIFS($F$7:$F$506,$C$7:$C$506,C495,$E$7:$E$506,"Out",$M$7:$M$506,"&lt;="&amp;M495))</f>
        <v/>
      </c>
      <c r="L495" s="44" t="str">
        <f aca="false">IF(AND(B495="",C495="",F495=""),"",IF(C495="","⚠ Pick item",IF(D495="?","⚠ Code not in Item Master",IF(B495="","⚠ Enter date",IF(OR(E495="",N(F495)&lt;=0),"⚠ Type / quantity missing",IF(AND(E495="In",G495=""),"⚠ Enter purchase rate",IF(OR(B495&lt;Setup!$C$6,B495&gt;Setup!$C$7),"Outside period",IF(K495&lt;0,"⚠ Stock goes negative","✔ OK"))))))))</f>
        <v/>
      </c>
      <c r="M495" s="9" t="str">
        <f aca="false">IF(OR(C495="",B495=""),"",B495+ROW()/1000000)</f>
        <v/>
      </c>
      <c r="N495" s="9" t="str">
        <f aca="false">IF(AND(E495="In",M495&lt;&gt;""),SUMIFS($F$7:$F$506,$C$7:$C$506,C495,$E$7:$E$506,"In",$M$7:$M$506,"&gt;"&amp;M495),"")</f>
        <v/>
      </c>
      <c r="O495" s="9" t="str">
        <f aca="false">IF(N495="","",IFERROR(INDEX('Item Master'!$K$6:$K$105,MATCH(C495,'Item Master'!$A$6:$A$105,0)),0))</f>
        <v/>
      </c>
      <c r="P495" s="9" t="n">
        <f aca="false">IF(N495="",0,MAX(0,MIN(N(F495),O495-N495))*N(G495))</f>
        <v>0</v>
      </c>
      <c r="Q495" s="9" t="str">
        <f aca="false">IF(AND(C495&lt;&gt;"",C495='Stock Ledger'!$C$4),M495,"")</f>
        <v/>
      </c>
    </row>
    <row r="496" customFormat="false" ht="15" hidden="false" customHeight="false" outlineLevel="0" collapsed="false">
      <c r="A496" s="45" t="str">
        <f aca="false">IF(C496="","",ROW()-6)</f>
        <v/>
      </c>
      <c r="B496" s="85"/>
      <c r="C496" s="80"/>
      <c r="D496" s="47" t="str">
        <f aca="false">IF(C496="","",IFERROR(INDEX('Item Master'!$B$6:$B$105,MATCH(C496,'Item Master'!$A$6:$A$105,0)),"?"))</f>
        <v/>
      </c>
      <c r="E496" s="82"/>
      <c r="F496" s="83"/>
      <c r="G496" s="84"/>
      <c r="H496" s="81"/>
      <c r="I496" s="80"/>
      <c r="J496" s="41" t="str">
        <f aca="false">IF(OR(C496="",G496=""),"",N(F496)*N(G496))</f>
        <v/>
      </c>
      <c r="K496" s="48" t="str">
        <f aca="false">IF(M496="","",N(IFERROR(INDEX('Item Master'!$E$6:$E$105,MATCH(C496,'Item Master'!$A$6:$A$105,0)),0))+SUMIFS($F$7:$F$506,$C$7:$C$506,C496,$E$7:$E$506,"In",$M$7:$M$506,"&lt;="&amp;M496)-SUMIFS($F$7:$F$506,$C$7:$C$506,C496,$E$7:$E$506,"Out",$M$7:$M$506,"&lt;="&amp;M496))</f>
        <v/>
      </c>
      <c r="L496" s="44" t="str">
        <f aca="false">IF(AND(B496="",C496="",F496=""),"",IF(C496="","⚠ Pick item",IF(D496="?","⚠ Code not in Item Master",IF(B496="","⚠ Enter date",IF(OR(E496="",N(F496)&lt;=0),"⚠ Type / quantity missing",IF(AND(E496="In",G496=""),"⚠ Enter purchase rate",IF(OR(B496&lt;Setup!$C$6,B496&gt;Setup!$C$7),"Outside period",IF(K496&lt;0,"⚠ Stock goes negative","✔ OK"))))))))</f>
        <v/>
      </c>
      <c r="M496" s="9" t="str">
        <f aca="false">IF(OR(C496="",B496=""),"",B496+ROW()/1000000)</f>
        <v/>
      </c>
      <c r="N496" s="9" t="str">
        <f aca="false">IF(AND(E496="In",M496&lt;&gt;""),SUMIFS($F$7:$F$506,$C$7:$C$506,C496,$E$7:$E$506,"In",$M$7:$M$506,"&gt;"&amp;M496),"")</f>
        <v/>
      </c>
      <c r="O496" s="9" t="str">
        <f aca="false">IF(N496="","",IFERROR(INDEX('Item Master'!$K$6:$K$105,MATCH(C496,'Item Master'!$A$6:$A$105,0)),0))</f>
        <v/>
      </c>
      <c r="P496" s="9" t="n">
        <f aca="false">IF(N496="",0,MAX(0,MIN(N(F496),O496-N496))*N(G496))</f>
        <v>0</v>
      </c>
      <c r="Q496" s="9" t="str">
        <f aca="false">IF(AND(C496&lt;&gt;"",C496='Stock Ledger'!$C$4),M496,"")</f>
        <v/>
      </c>
    </row>
    <row r="497" customFormat="false" ht="15" hidden="false" customHeight="false" outlineLevel="0" collapsed="false">
      <c r="A497" s="45" t="str">
        <f aca="false">IF(C497="","",ROW()-6)</f>
        <v/>
      </c>
      <c r="B497" s="85"/>
      <c r="C497" s="80"/>
      <c r="D497" s="47" t="str">
        <f aca="false">IF(C497="","",IFERROR(INDEX('Item Master'!$B$6:$B$105,MATCH(C497,'Item Master'!$A$6:$A$105,0)),"?"))</f>
        <v/>
      </c>
      <c r="E497" s="82"/>
      <c r="F497" s="83"/>
      <c r="G497" s="84"/>
      <c r="H497" s="81"/>
      <c r="I497" s="80"/>
      <c r="J497" s="41" t="str">
        <f aca="false">IF(OR(C497="",G497=""),"",N(F497)*N(G497))</f>
        <v/>
      </c>
      <c r="K497" s="48" t="str">
        <f aca="false">IF(M497="","",N(IFERROR(INDEX('Item Master'!$E$6:$E$105,MATCH(C497,'Item Master'!$A$6:$A$105,0)),0))+SUMIFS($F$7:$F$506,$C$7:$C$506,C497,$E$7:$E$506,"In",$M$7:$M$506,"&lt;="&amp;M497)-SUMIFS($F$7:$F$506,$C$7:$C$506,C497,$E$7:$E$506,"Out",$M$7:$M$506,"&lt;="&amp;M497))</f>
        <v/>
      </c>
      <c r="L497" s="44" t="str">
        <f aca="false">IF(AND(B497="",C497="",F497=""),"",IF(C497="","⚠ Pick item",IF(D497="?","⚠ Code not in Item Master",IF(B497="","⚠ Enter date",IF(OR(E497="",N(F497)&lt;=0),"⚠ Type / quantity missing",IF(AND(E497="In",G497=""),"⚠ Enter purchase rate",IF(OR(B497&lt;Setup!$C$6,B497&gt;Setup!$C$7),"Outside period",IF(K497&lt;0,"⚠ Stock goes negative","✔ OK"))))))))</f>
        <v/>
      </c>
      <c r="M497" s="9" t="str">
        <f aca="false">IF(OR(C497="",B497=""),"",B497+ROW()/1000000)</f>
        <v/>
      </c>
      <c r="N497" s="9" t="str">
        <f aca="false">IF(AND(E497="In",M497&lt;&gt;""),SUMIFS($F$7:$F$506,$C$7:$C$506,C497,$E$7:$E$506,"In",$M$7:$M$506,"&gt;"&amp;M497),"")</f>
        <v/>
      </c>
      <c r="O497" s="9" t="str">
        <f aca="false">IF(N497="","",IFERROR(INDEX('Item Master'!$K$6:$K$105,MATCH(C497,'Item Master'!$A$6:$A$105,0)),0))</f>
        <v/>
      </c>
      <c r="P497" s="9" t="n">
        <f aca="false">IF(N497="",0,MAX(0,MIN(N(F497),O497-N497))*N(G497))</f>
        <v>0</v>
      </c>
      <c r="Q497" s="9" t="str">
        <f aca="false">IF(AND(C497&lt;&gt;"",C497='Stock Ledger'!$C$4),M497,"")</f>
        <v/>
      </c>
    </row>
    <row r="498" customFormat="false" ht="15" hidden="false" customHeight="false" outlineLevel="0" collapsed="false">
      <c r="A498" s="45" t="str">
        <f aca="false">IF(C498="","",ROW()-6)</f>
        <v/>
      </c>
      <c r="B498" s="85"/>
      <c r="C498" s="80"/>
      <c r="D498" s="47" t="str">
        <f aca="false">IF(C498="","",IFERROR(INDEX('Item Master'!$B$6:$B$105,MATCH(C498,'Item Master'!$A$6:$A$105,0)),"?"))</f>
        <v/>
      </c>
      <c r="E498" s="82"/>
      <c r="F498" s="83"/>
      <c r="G498" s="84"/>
      <c r="H498" s="81"/>
      <c r="I498" s="80"/>
      <c r="J498" s="41" t="str">
        <f aca="false">IF(OR(C498="",G498=""),"",N(F498)*N(G498))</f>
        <v/>
      </c>
      <c r="K498" s="48" t="str">
        <f aca="false">IF(M498="","",N(IFERROR(INDEX('Item Master'!$E$6:$E$105,MATCH(C498,'Item Master'!$A$6:$A$105,0)),0))+SUMIFS($F$7:$F$506,$C$7:$C$506,C498,$E$7:$E$506,"In",$M$7:$M$506,"&lt;="&amp;M498)-SUMIFS($F$7:$F$506,$C$7:$C$506,C498,$E$7:$E$506,"Out",$M$7:$M$506,"&lt;="&amp;M498))</f>
        <v/>
      </c>
      <c r="L498" s="44" t="str">
        <f aca="false">IF(AND(B498="",C498="",F498=""),"",IF(C498="","⚠ Pick item",IF(D498="?","⚠ Code not in Item Master",IF(B498="","⚠ Enter date",IF(OR(E498="",N(F498)&lt;=0),"⚠ Type / quantity missing",IF(AND(E498="In",G498=""),"⚠ Enter purchase rate",IF(OR(B498&lt;Setup!$C$6,B498&gt;Setup!$C$7),"Outside period",IF(K498&lt;0,"⚠ Stock goes negative","✔ OK"))))))))</f>
        <v/>
      </c>
      <c r="M498" s="9" t="str">
        <f aca="false">IF(OR(C498="",B498=""),"",B498+ROW()/1000000)</f>
        <v/>
      </c>
      <c r="N498" s="9" t="str">
        <f aca="false">IF(AND(E498="In",M498&lt;&gt;""),SUMIFS($F$7:$F$506,$C$7:$C$506,C498,$E$7:$E$506,"In",$M$7:$M$506,"&gt;"&amp;M498),"")</f>
        <v/>
      </c>
      <c r="O498" s="9" t="str">
        <f aca="false">IF(N498="","",IFERROR(INDEX('Item Master'!$K$6:$K$105,MATCH(C498,'Item Master'!$A$6:$A$105,0)),0))</f>
        <v/>
      </c>
      <c r="P498" s="9" t="n">
        <f aca="false">IF(N498="",0,MAX(0,MIN(N(F498),O498-N498))*N(G498))</f>
        <v>0</v>
      </c>
      <c r="Q498" s="9" t="str">
        <f aca="false">IF(AND(C498&lt;&gt;"",C498='Stock Ledger'!$C$4),M498,"")</f>
        <v/>
      </c>
    </row>
    <row r="499" customFormat="false" ht="15" hidden="false" customHeight="false" outlineLevel="0" collapsed="false">
      <c r="A499" s="45" t="str">
        <f aca="false">IF(C499="","",ROW()-6)</f>
        <v/>
      </c>
      <c r="B499" s="85"/>
      <c r="C499" s="80"/>
      <c r="D499" s="47" t="str">
        <f aca="false">IF(C499="","",IFERROR(INDEX('Item Master'!$B$6:$B$105,MATCH(C499,'Item Master'!$A$6:$A$105,0)),"?"))</f>
        <v/>
      </c>
      <c r="E499" s="82"/>
      <c r="F499" s="83"/>
      <c r="G499" s="84"/>
      <c r="H499" s="81"/>
      <c r="I499" s="80"/>
      <c r="J499" s="41" t="str">
        <f aca="false">IF(OR(C499="",G499=""),"",N(F499)*N(G499))</f>
        <v/>
      </c>
      <c r="K499" s="48" t="str">
        <f aca="false">IF(M499="","",N(IFERROR(INDEX('Item Master'!$E$6:$E$105,MATCH(C499,'Item Master'!$A$6:$A$105,0)),0))+SUMIFS($F$7:$F$506,$C$7:$C$506,C499,$E$7:$E$506,"In",$M$7:$M$506,"&lt;="&amp;M499)-SUMIFS($F$7:$F$506,$C$7:$C$506,C499,$E$7:$E$506,"Out",$M$7:$M$506,"&lt;="&amp;M499))</f>
        <v/>
      </c>
      <c r="L499" s="44" t="str">
        <f aca="false">IF(AND(B499="",C499="",F499=""),"",IF(C499="","⚠ Pick item",IF(D499="?","⚠ Code not in Item Master",IF(B499="","⚠ Enter date",IF(OR(E499="",N(F499)&lt;=0),"⚠ Type / quantity missing",IF(AND(E499="In",G499=""),"⚠ Enter purchase rate",IF(OR(B499&lt;Setup!$C$6,B499&gt;Setup!$C$7),"Outside period",IF(K499&lt;0,"⚠ Stock goes negative","✔ OK"))))))))</f>
        <v/>
      </c>
      <c r="M499" s="9" t="str">
        <f aca="false">IF(OR(C499="",B499=""),"",B499+ROW()/1000000)</f>
        <v/>
      </c>
      <c r="N499" s="9" t="str">
        <f aca="false">IF(AND(E499="In",M499&lt;&gt;""),SUMIFS($F$7:$F$506,$C$7:$C$506,C499,$E$7:$E$506,"In",$M$7:$M$506,"&gt;"&amp;M499),"")</f>
        <v/>
      </c>
      <c r="O499" s="9" t="str">
        <f aca="false">IF(N499="","",IFERROR(INDEX('Item Master'!$K$6:$K$105,MATCH(C499,'Item Master'!$A$6:$A$105,0)),0))</f>
        <v/>
      </c>
      <c r="P499" s="9" t="n">
        <f aca="false">IF(N499="",0,MAX(0,MIN(N(F499),O499-N499))*N(G499))</f>
        <v>0</v>
      </c>
      <c r="Q499" s="9" t="str">
        <f aca="false">IF(AND(C499&lt;&gt;"",C499='Stock Ledger'!$C$4),M499,"")</f>
        <v/>
      </c>
    </row>
    <row r="500" customFormat="false" ht="15" hidden="false" customHeight="false" outlineLevel="0" collapsed="false">
      <c r="A500" s="45" t="str">
        <f aca="false">IF(C500="","",ROW()-6)</f>
        <v/>
      </c>
      <c r="B500" s="85"/>
      <c r="C500" s="80"/>
      <c r="D500" s="47" t="str">
        <f aca="false">IF(C500="","",IFERROR(INDEX('Item Master'!$B$6:$B$105,MATCH(C500,'Item Master'!$A$6:$A$105,0)),"?"))</f>
        <v/>
      </c>
      <c r="E500" s="82"/>
      <c r="F500" s="83"/>
      <c r="G500" s="84"/>
      <c r="H500" s="81"/>
      <c r="I500" s="80"/>
      <c r="J500" s="41" t="str">
        <f aca="false">IF(OR(C500="",G500=""),"",N(F500)*N(G500))</f>
        <v/>
      </c>
      <c r="K500" s="48" t="str">
        <f aca="false">IF(M500="","",N(IFERROR(INDEX('Item Master'!$E$6:$E$105,MATCH(C500,'Item Master'!$A$6:$A$105,0)),0))+SUMIFS($F$7:$F$506,$C$7:$C$506,C500,$E$7:$E$506,"In",$M$7:$M$506,"&lt;="&amp;M500)-SUMIFS($F$7:$F$506,$C$7:$C$506,C500,$E$7:$E$506,"Out",$M$7:$M$506,"&lt;="&amp;M500))</f>
        <v/>
      </c>
      <c r="L500" s="44" t="str">
        <f aca="false">IF(AND(B500="",C500="",F500=""),"",IF(C500="","⚠ Pick item",IF(D500="?","⚠ Code not in Item Master",IF(B500="","⚠ Enter date",IF(OR(E500="",N(F500)&lt;=0),"⚠ Type / quantity missing",IF(AND(E500="In",G500=""),"⚠ Enter purchase rate",IF(OR(B500&lt;Setup!$C$6,B500&gt;Setup!$C$7),"Outside period",IF(K500&lt;0,"⚠ Stock goes negative","✔ OK"))))))))</f>
        <v/>
      </c>
      <c r="M500" s="9" t="str">
        <f aca="false">IF(OR(C500="",B500=""),"",B500+ROW()/1000000)</f>
        <v/>
      </c>
      <c r="N500" s="9" t="str">
        <f aca="false">IF(AND(E500="In",M500&lt;&gt;""),SUMIFS($F$7:$F$506,$C$7:$C$506,C500,$E$7:$E$506,"In",$M$7:$M$506,"&gt;"&amp;M500),"")</f>
        <v/>
      </c>
      <c r="O500" s="9" t="str">
        <f aca="false">IF(N500="","",IFERROR(INDEX('Item Master'!$K$6:$K$105,MATCH(C500,'Item Master'!$A$6:$A$105,0)),0))</f>
        <v/>
      </c>
      <c r="P500" s="9" t="n">
        <f aca="false">IF(N500="",0,MAX(0,MIN(N(F500),O500-N500))*N(G500))</f>
        <v>0</v>
      </c>
      <c r="Q500" s="9" t="str">
        <f aca="false">IF(AND(C500&lt;&gt;"",C500='Stock Ledger'!$C$4),M500,"")</f>
        <v/>
      </c>
    </row>
    <row r="501" customFormat="false" ht="15" hidden="false" customHeight="false" outlineLevel="0" collapsed="false">
      <c r="A501" s="45" t="str">
        <f aca="false">IF(C501="","",ROW()-6)</f>
        <v/>
      </c>
      <c r="B501" s="85"/>
      <c r="C501" s="80"/>
      <c r="D501" s="47" t="str">
        <f aca="false">IF(C501="","",IFERROR(INDEX('Item Master'!$B$6:$B$105,MATCH(C501,'Item Master'!$A$6:$A$105,0)),"?"))</f>
        <v/>
      </c>
      <c r="E501" s="82"/>
      <c r="F501" s="83"/>
      <c r="G501" s="84"/>
      <c r="H501" s="81"/>
      <c r="I501" s="80"/>
      <c r="J501" s="41" t="str">
        <f aca="false">IF(OR(C501="",G501=""),"",N(F501)*N(G501))</f>
        <v/>
      </c>
      <c r="K501" s="48" t="str">
        <f aca="false">IF(M501="","",N(IFERROR(INDEX('Item Master'!$E$6:$E$105,MATCH(C501,'Item Master'!$A$6:$A$105,0)),0))+SUMIFS($F$7:$F$506,$C$7:$C$506,C501,$E$7:$E$506,"In",$M$7:$M$506,"&lt;="&amp;M501)-SUMIFS($F$7:$F$506,$C$7:$C$506,C501,$E$7:$E$506,"Out",$M$7:$M$506,"&lt;="&amp;M501))</f>
        <v/>
      </c>
      <c r="L501" s="44" t="str">
        <f aca="false">IF(AND(B501="",C501="",F501=""),"",IF(C501="","⚠ Pick item",IF(D501="?","⚠ Code not in Item Master",IF(B501="","⚠ Enter date",IF(OR(E501="",N(F501)&lt;=0),"⚠ Type / quantity missing",IF(AND(E501="In",G501=""),"⚠ Enter purchase rate",IF(OR(B501&lt;Setup!$C$6,B501&gt;Setup!$C$7),"Outside period",IF(K501&lt;0,"⚠ Stock goes negative","✔ OK"))))))))</f>
        <v/>
      </c>
      <c r="M501" s="9" t="str">
        <f aca="false">IF(OR(C501="",B501=""),"",B501+ROW()/1000000)</f>
        <v/>
      </c>
      <c r="N501" s="9" t="str">
        <f aca="false">IF(AND(E501="In",M501&lt;&gt;""),SUMIFS($F$7:$F$506,$C$7:$C$506,C501,$E$7:$E$506,"In",$M$7:$M$506,"&gt;"&amp;M501),"")</f>
        <v/>
      </c>
      <c r="O501" s="9" t="str">
        <f aca="false">IF(N501="","",IFERROR(INDEX('Item Master'!$K$6:$K$105,MATCH(C501,'Item Master'!$A$6:$A$105,0)),0))</f>
        <v/>
      </c>
      <c r="P501" s="9" t="n">
        <f aca="false">IF(N501="",0,MAX(0,MIN(N(F501),O501-N501))*N(G501))</f>
        <v>0</v>
      </c>
      <c r="Q501" s="9" t="str">
        <f aca="false">IF(AND(C501&lt;&gt;"",C501='Stock Ledger'!$C$4),M501,"")</f>
        <v/>
      </c>
    </row>
    <row r="502" customFormat="false" ht="15" hidden="false" customHeight="false" outlineLevel="0" collapsed="false">
      <c r="A502" s="45" t="str">
        <f aca="false">IF(C502="","",ROW()-6)</f>
        <v/>
      </c>
      <c r="B502" s="85"/>
      <c r="C502" s="80"/>
      <c r="D502" s="47" t="str">
        <f aca="false">IF(C502="","",IFERROR(INDEX('Item Master'!$B$6:$B$105,MATCH(C502,'Item Master'!$A$6:$A$105,0)),"?"))</f>
        <v/>
      </c>
      <c r="E502" s="82"/>
      <c r="F502" s="83"/>
      <c r="G502" s="84"/>
      <c r="H502" s="81"/>
      <c r="I502" s="80"/>
      <c r="J502" s="41" t="str">
        <f aca="false">IF(OR(C502="",G502=""),"",N(F502)*N(G502))</f>
        <v/>
      </c>
      <c r="K502" s="48" t="str">
        <f aca="false">IF(M502="","",N(IFERROR(INDEX('Item Master'!$E$6:$E$105,MATCH(C502,'Item Master'!$A$6:$A$105,0)),0))+SUMIFS($F$7:$F$506,$C$7:$C$506,C502,$E$7:$E$506,"In",$M$7:$M$506,"&lt;="&amp;M502)-SUMIFS($F$7:$F$506,$C$7:$C$506,C502,$E$7:$E$506,"Out",$M$7:$M$506,"&lt;="&amp;M502))</f>
        <v/>
      </c>
      <c r="L502" s="44" t="str">
        <f aca="false">IF(AND(B502="",C502="",F502=""),"",IF(C502="","⚠ Pick item",IF(D502="?","⚠ Code not in Item Master",IF(B502="","⚠ Enter date",IF(OR(E502="",N(F502)&lt;=0),"⚠ Type / quantity missing",IF(AND(E502="In",G502=""),"⚠ Enter purchase rate",IF(OR(B502&lt;Setup!$C$6,B502&gt;Setup!$C$7),"Outside period",IF(K502&lt;0,"⚠ Stock goes negative","✔ OK"))))))))</f>
        <v/>
      </c>
      <c r="M502" s="9" t="str">
        <f aca="false">IF(OR(C502="",B502=""),"",B502+ROW()/1000000)</f>
        <v/>
      </c>
      <c r="N502" s="9" t="str">
        <f aca="false">IF(AND(E502="In",M502&lt;&gt;""),SUMIFS($F$7:$F$506,$C$7:$C$506,C502,$E$7:$E$506,"In",$M$7:$M$506,"&gt;"&amp;M502),"")</f>
        <v/>
      </c>
      <c r="O502" s="9" t="str">
        <f aca="false">IF(N502="","",IFERROR(INDEX('Item Master'!$K$6:$K$105,MATCH(C502,'Item Master'!$A$6:$A$105,0)),0))</f>
        <v/>
      </c>
      <c r="P502" s="9" t="n">
        <f aca="false">IF(N502="",0,MAX(0,MIN(N(F502),O502-N502))*N(G502))</f>
        <v>0</v>
      </c>
      <c r="Q502" s="9" t="str">
        <f aca="false">IF(AND(C502&lt;&gt;"",C502='Stock Ledger'!$C$4),M502,"")</f>
        <v/>
      </c>
    </row>
    <row r="503" customFormat="false" ht="15" hidden="false" customHeight="false" outlineLevel="0" collapsed="false">
      <c r="A503" s="45" t="str">
        <f aca="false">IF(C503="","",ROW()-6)</f>
        <v/>
      </c>
      <c r="B503" s="85"/>
      <c r="C503" s="80"/>
      <c r="D503" s="47" t="str">
        <f aca="false">IF(C503="","",IFERROR(INDEX('Item Master'!$B$6:$B$105,MATCH(C503,'Item Master'!$A$6:$A$105,0)),"?"))</f>
        <v/>
      </c>
      <c r="E503" s="82"/>
      <c r="F503" s="83"/>
      <c r="G503" s="84"/>
      <c r="H503" s="81"/>
      <c r="I503" s="80"/>
      <c r="J503" s="41" t="str">
        <f aca="false">IF(OR(C503="",G503=""),"",N(F503)*N(G503))</f>
        <v/>
      </c>
      <c r="K503" s="48" t="str">
        <f aca="false">IF(M503="","",N(IFERROR(INDEX('Item Master'!$E$6:$E$105,MATCH(C503,'Item Master'!$A$6:$A$105,0)),0))+SUMIFS($F$7:$F$506,$C$7:$C$506,C503,$E$7:$E$506,"In",$M$7:$M$506,"&lt;="&amp;M503)-SUMIFS($F$7:$F$506,$C$7:$C$506,C503,$E$7:$E$506,"Out",$M$7:$M$506,"&lt;="&amp;M503))</f>
        <v/>
      </c>
      <c r="L503" s="44" t="str">
        <f aca="false">IF(AND(B503="",C503="",F503=""),"",IF(C503="","⚠ Pick item",IF(D503="?","⚠ Code not in Item Master",IF(B503="","⚠ Enter date",IF(OR(E503="",N(F503)&lt;=0),"⚠ Type / quantity missing",IF(AND(E503="In",G503=""),"⚠ Enter purchase rate",IF(OR(B503&lt;Setup!$C$6,B503&gt;Setup!$C$7),"Outside period",IF(K503&lt;0,"⚠ Stock goes negative","✔ OK"))))))))</f>
        <v/>
      </c>
      <c r="M503" s="9" t="str">
        <f aca="false">IF(OR(C503="",B503=""),"",B503+ROW()/1000000)</f>
        <v/>
      </c>
      <c r="N503" s="9" t="str">
        <f aca="false">IF(AND(E503="In",M503&lt;&gt;""),SUMIFS($F$7:$F$506,$C$7:$C$506,C503,$E$7:$E$506,"In",$M$7:$M$506,"&gt;"&amp;M503),"")</f>
        <v/>
      </c>
      <c r="O503" s="9" t="str">
        <f aca="false">IF(N503="","",IFERROR(INDEX('Item Master'!$K$6:$K$105,MATCH(C503,'Item Master'!$A$6:$A$105,0)),0))</f>
        <v/>
      </c>
      <c r="P503" s="9" t="n">
        <f aca="false">IF(N503="",0,MAX(0,MIN(N(F503),O503-N503))*N(G503))</f>
        <v>0</v>
      </c>
      <c r="Q503" s="9" t="str">
        <f aca="false">IF(AND(C503&lt;&gt;"",C503='Stock Ledger'!$C$4),M503,"")</f>
        <v/>
      </c>
    </row>
    <row r="504" customFormat="false" ht="15" hidden="false" customHeight="false" outlineLevel="0" collapsed="false">
      <c r="A504" s="45" t="str">
        <f aca="false">IF(C504="","",ROW()-6)</f>
        <v/>
      </c>
      <c r="B504" s="85"/>
      <c r="C504" s="80"/>
      <c r="D504" s="47" t="str">
        <f aca="false">IF(C504="","",IFERROR(INDEX('Item Master'!$B$6:$B$105,MATCH(C504,'Item Master'!$A$6:$A$105,0)),"?"))</f>
        <v/>
      </c>
      <c r="E504" s="82"/>
      <c r="F504" s="83"/>
      <c r="G504" s="84"/>
      <c r="H504" s="81"/>
      <c r="I504" s="80"/>
      <c r="J504" s="41" t="str">
        <f aca="false">IF(OR(C504="",G504=""),"",N(F504)*N(G504))</f>
        <v/>
      </c>
      <c r="K504" s="48" t="str">
        <f aca="false">IF(M504="","",N(IFERROR(INDEX('Item Master'!$E$6:$E$105,MATCH(C504,'Item Master'!$A$6:$A$105,0)),0))+SUMIFS($F$7:$F$506,$C$7:$C$506,C504,$E$7:$E$506,"In",$M$7:$M$506,"&lt;="&amp;M504)-SUMIFS($F$7:$F$506,$C$7:$C$506,C504,$E$7:$E$506,"Out",$M$7:$M$506,"&lt;="&amp;M504))</f>
        <v/>
      </c>
      <c r="L504" s="44" t="str">
        <f aca="false">IF(AND(B504="",C504="",F504=""),"",IF(C504="","⚠ Pick item",IF(D504="?","⚠ Code not in Item Master",IF(B504="","⚠ Enter date",IF(OR(E504="",N(F504)&lt;=0),"⚠ Type / quantity missing",IF(AND(E504="In",G504=""),"⚠ Enter purchase rate",IF(OR(B504&lt;Setup!$C$6,B504&gt;Setup!$C$7),"Outside period",IF(K504&lt;0,"⚠ Stock goes negative","✔ OK"))))))))</f>
        <v/>
      </c>
      <c r="M504" s="9" t="str">
        <f aca="false">IF(OR(C504="",B504=""),"",B504+ROW()/1000000)</f>
        <v/>
      </c>
      <c r="N504" s="9" t="str">
        <f aca="false">IF(AND(E504="In",M504&lt;&gt;""),SUMIFS($F$7:$F$506,$C$7:$C$506,C504,$E$7:$E$506,"In",$M$7:$M$506,"&gt;"&amp;M504),"")</f>
        <v/>
      </c>
      <c r="O504" s="9" t="str">
        <f aca="false">IF(N504="","",IFERROR(INDEX('Item Master'!$K$6:$K$105,MATCH(C504,'Item Master'!$A$6:$A$105,0)),0))</f>
        <v/>
      </c>
      <c r="P504" s="9" t="n">
        <f aca="false">IF(N504="",0,MAX(0,MIN(N(F504),O504-N504))*N(G504))</f>
        <v>0</v>
      </c>
      <c r="Q504" s="9" t="str">
        <f aca="false">IF(AND(C504&lt;&gt;"",C504='Stock Ledger'!$C$4),M504,"")</f>
        <v/>
      </c>
    </row>
    <row r="505" customFormat="false" ht="15" hidden="false" customHeight="false" outlineLevel="0" collapsed="false">
      <c r="A505" s="45" t="str">
        <f aca="false">IF(C505="","",ROW()-6)</f>
        <v/>
      </c>
      <c r="B505" s="85"/>
      <c r="C505" s="80"/>
      <c r="D505" s="47" t="str">
        <f aca="false">IF(C505="","",IFERROR(INDEX('Item Master'!$B$6:$B$105,MATCH(C505,'Item Master'!$A$6:$A$105,0)),"?"))</f>
        <v/>
      </c>
      <c r="E505" s="82"/>
      <c r="F505" s="83"/>
      <c r="G505" s="84"/>
      <c r="H505" s="81"/>
      <c r="I505" s="80"/>
      <c r="J505" s="41" t="str">
        <f aca="false">IF(OR(C505="",G505=""),"",N(F505)*N(G505))</f>
        <v/>
      </c>
      <c r="K505" s="48" t="str">
        <f aca="false">IF(M505="","",N(IFERROR(INDEX('Item Master'!$E$6:$E$105,MATCH(C505,'Item Master'!$A$6:$A$105,0)),0))+SUMIFS($F$7:$F$506,$C$7:$C$506,C505,$E$7:$E$506,"In",$M$7:$M$506,"&lt;="&amp;M505)-SUMIFS($F$7:$F$506,$C$7:$C$506,C505,$E$7:$E$506,"Out",$M$7:$M$506,"&lt;="&amp;M505))</f>
        <v/>
      </c>
      <c r="L505" s="44" t="str">
        <f aca="false">IF(AND(B505="",C505="",F505=""),"",IF(C505="","⚠ Pick item",IF(D505="?","⚠ Code not in Item Master",IF(B505="","⚠ Enter date",IF(OR(E505="",N(F505)&lt;=0),"⚠ Type / quantity missing",IF(AND(E505="In",G505=""),"⚠ Enter purchase rate",IF(OR(B505&lt;Setup!$C$6,B505&gt;Setup!$C$7),"Outside period",IF(K505&lt;0,"⚠ Stock goes negative","✔ OK"))))))))</f>
        <v/>
      </c>
      <c r="M505" s="9" t="str">
        <f aca="false">IF(OR(C505="",B505=""),"",B505+ROW()/1000000)</f>
        <v/>
      </c>
      <c r="N505" s="9" t="str">
        <f aca="false">IF(AND(E505="In",M505&lt;&gt;""),SUMIFS($F$7:$F$506,$C$7:$C$506,C505,$E$7:$E$506,"In",$M$7:$M$506,"&gt;"&amp;M505),"")</f>
        <v/>
      </c>
      <c r="O505" s="9" t="str">
        <f aca="false">IF(N505="","",IFERROR(INDEX('Item Master'!$K$6:$K$105,MATCH(C505,'Item Master'!$A$6:$A$105,0)),0))</f>
        <v/>
      </c>
      <c r="P505" s="9" t="n">
        <f aca="false">IF(N505="",0,MAX(0,MIN(N(F505),O505-N505))*N(G505))</f>
        <v>0</v>
      </c>
      <c r="Q505" s="9" t="str">
        <f aca="false">IF(AND(C505&lt;&gt;"",C505='Stock Ledger'!$C$4),M505,"")</f>
        <v/>
      </c>
    </row>
    <row r="506" customFormat="false" ht="15" hidden="false" customHeight="false" outlineLevel="0" collapsed="false">
      <c r="A506" s="45" t="str">
        <f aca="false">IF(C506="","",ROW()-6)</f>
        <v/>
      </c>
      <c r="B506" s="85"/>
      <c r="C506" s="80"/>
      <c r="D506" s="47" t="str">
        <f aca="false">IF(C506="","",IFERROR(INDEX('Item Master'!$B$6:$B$105,MATCH(C506,'Item Master'!$A$6:$A$105,0)),"?"))</f>
        <v/>
      </c>
      <c r="E506" s="82"/>
      <c r="F506" s="83"/>
      <c r="G506" s="84"/>
      <c r="H506" s="81"/>
      <c r="I506" s="80"/>
      <c r="J506" s="41" t="str">
        <f aca="false">IF(OR(C506="",G506=""),"",N(F506)*N(G506))</f>
        <v/>
      </c>
      <c r="K506" s="48" t="str">
        <f aca="false">IF(M506="","",N(IFERROR(INDEX('Item Master'!$E$6:$E$105,MATCH(C506,'Item Master'!$A$6:$A$105,0)),0))+SUMIFS($F$7:$F$506,$C$7:$C$506,C506,$E$7:$E$506,"In",$M$7:$M$506,"&lt;="&amp;M506)-SUMIFS($F$7:$F$506,$C$7:$C$506,C506,$E$7:$E$506,"Out",$M$7:$M$506,"&lt;="&amp;M506))</f>
        <v/>
      </c>
      <c r="L506" s="44" t="str">
        <f aca="false">IF(AND(B506="",C506="",F506=""),"",IF(C506="","⚠ Pick item",IF(D506="?","⚠ Code not in Item Master",IF(B506="","⚠ Enter date",IF(OR(E506="",N(F506)&lt;=0),"⚠ Type / quantity missing",IF(AND(E506="In",G506=""),"⚠ Enter purchase rate",IF(OR(B506&lt;Setup!$C$6,B506&gt;Setup!$C$7),"Outside period",IF(K506&lt;0,"⚠ Stock goes negative","✔ OK"))))))))</f>
        <v/>
      </c>
      <c r="M506" s="9" t="str">
        <f aca="false">IF(OR(C506="",B506=""),"",B506+ROW()/1000000)</f>
        <v/>
      </c>
      <c r="N506" s="9" t="str">
        <f aca="false">IF(AND(E506="In",M506&lt;&gt;""),SUMIFS($F$7:$F$506,$C$7:$C$506,C506,$E$7:$E$506,"In",$M$7:$M$506,"&gt;"&amp;M506),"")</f>
        <v/>
      </c>
      <c r="O506" s="9" t="str">
        <f aca="false">IF(N506="","",IFERROR(INDEX('Item Master'!$K$6:$K$105,MATCH(C506,'Item Master'!$A$6:$A$105,0)),0))</f>
        <v/>
      </c>
      <c r="P506" s="9" t="n">
        <f aca="false">IF(N506="",0,MAX(0,MIN(N(F506),O506-N506))*N(G506))</f>
        <v>0</v>
      </c>
      <c r="Q506" s="9" t="str">
        <f aca="false">IF(AND(C506&lt;&gt;"",C506='Stock Ledger'!$C$4),M506,"")</f>
        <v/>
      </c>
    </row>
  </sheetData>
  <sheetProtection sheet="1" objects="1" scenarios="1" formatColumns="0" formatRows="0" algorithmName="SHA-512" hashValue="T212jbwjXhdjo/uoD+Ry/1/Ud2QdXVRd96GMUCLGaCPQlEHk97x0acPbqHmscJnRDfQwnTQ5AHI6ouk6ReQzrw==" saltValue="yHXLoNOahnskq4GgCzDV4Q==" spinCount="100000"/>
  <mergeCells count="2">
    <mergeCell ref="A2:L2"/>
    <mergeCell ref="A3:L3"/>
  </mergeCells>
  <conditionalFormatting sqref="L7:L506">
    <cfRule type="expression" priority="2" aboveAverage="0" equalAverage="0" bottom="0" percent="0" rank="0" text="" dxfId="0">
      <formula>$L7="✔ OK"</formula>
    </cfRule>
    <cfRule type="expression" priority="3" aboveAverage="0" equalAverage="0" bottom="0" percent="0" rank="0" text="" dxfId="2">
      <formula>LEFT($L7,1)="⚠"</formula>
    </cfRule>
    <cfRule type="expression" priority="4" aboveAverage="0" equalAverage="0" bottom="0" percent="0" rank="0" text="" dxfId="1">
      <formula>$L7="Outside period"</formula>
    </cfRule>
  </conditionalFormatting>
  <conditionalFormatting sqref="E7:E506">
    <cfRule type="expression" priority="5" aboveAverage="0" equalAverage="0" bottom="0" percent="0" rank="0" text="" dxfId="0">
      <formula>$E7="In"</formula>
    </cfRule>
    <cfRule type="expression" priority="6" aboveAverage="0" equalAverage="0" bottom="0" percent="0" rank="0" text="" dxfId="3">
      <formula>$E7="Out"</formula>
    </cfRule>
  </conditionalFormatting>
  <dataValidations count="2">
    <dataValidation allowBlank="true" errorStyle="stop" operator="between" showDropDown="false" showErrorMessage="false" showInputMessage="false" sqref="C7:C506" type="list">
      <formula1>'Item Master'!$A$6:$A$105</formula1>
      <formula2>0</formula2>
    </dataValidation>
    <dataValidation allowBlank="true" errorStyle="stop" operator="between" showDropDown="false" showErrorMessage="false" showInputMessage="false" sqref="E7:E506" type="list">
      <formula1>Lists!$A$2:$A$3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Q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3" min="3" style="0" width="8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8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13"/>
    <col collapsed="false" customWidth="true" hidden="false" outlineLevel="0" max="11" min="11" style="0" width="10"/>
    <col collapsed="false" customWidth="true" hidden="false" outlineLevel="0" max="14" min="12" style="0" width="13"/>
    <col collapsed="false" customWidth="true" hidden="false" outlineLevel="0" max="16" min="15" style="0" width="12"/>
    <col collapsed="false" customWidth="true" hidden="true" outlineLevel="0" max="17" min="17" style="0" width="13"/>
  </cols>
  <sheetData>
    <row r="1" customFormat="false" ht="15" hidden="false" customHeight="false" outlineLevel="0" collapsed="false">
      <c r="A1" s="18" t="s">
        <v>22</v>
      </c>
    </row>
    <row r="2" customFormat="false" ht="27.75" hidden="false" customHeight="true" outlineLevel="0" collapsed="false">
      <c r="A2" s="32" t="str">
        <f aca="false">"Closing Stock Valuation – FIFO vs Weighted Average – "&amp;Setup!$C$4&amp;" – as on "&amp;TEXT(Setup!$C$7,"dd mmm yyyy")</f>
        <v>Closing Stock Valuation – FIFO vs Weighted Average – M/s Xplore Electricals – as on 31 Oct 2026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customFormat="false" ht="15" hidden="false" customHeight="false" outlineLevel="0" collapsed="false">
      <c r="A3" s="33" t="s">
        <v>126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customFormat="false" ht="15" hidden="false" customHeight="true" outlineLevel="0" collapsed="false">
      <c r="C4" s="51" t="s">
        <v>127</v>
      </c>
      <c r="D4" s="51"/>
      <c r="E4" s="51" t="s">
        <v>128</v>
      </c>
      <c r="F4" s="51"/>
      <c r="G4" s="51" t="s">
        <v>129</v>
      </c>
      <c r="H4" s="51"/>
      <c r="J4" s="51" t="s">
        <v>130</v>
      </c>
      <c r="K4" s="51"/>
      <c r="L4" s="51"/>
      <c r="M4" s="51" t="s">
        <v>131</v>
      </c>
      <c r="N4" s="51"/>
      <c r="O4" s="51" t="s">
        <v>132</v>
      </c>
      <c r="P4" s="51"/>
    </row>
    <row r="5" customFormat="false" ht="36" hidden="false" customHeight="true" outlineLevel="0" collapsed="false">
      <c r="A5" s="35" t="s">
        <v>133</v>
      </c>
      <c r="B5" s="35" t="s">
        <v>55</v>
      </c>
      <c r="C5" s="35" t="s">
        <v>134</v>
      </c>
      <c r="D5" s="35" t="s">
        <v>135</v>
      </c>
      <c r="E5" s="35" t="s">
        <v>134</v>
      </c>
      <c r="F5" s="35" t="s">
        <v>135</v>
      </c>
      <c r="G5" s="35" t="s">
        <v>134</v>
      </c>
      <c r="H5" s="35" t="s">
        <v>136</v>
      </c>
      <c r="I5" s="35" t="s">
        <v>64</v>
      </c>
      <c r="J5" s="35" t="s">
        <v>137</v>
      </c>
      <c r="K5" s="35" t="s">
        <v>138</v>
      </c>
      <c r="L5" s="35" t="s">
        <v>139</v>
      </c>
      <c r="M5" s="35" t="s">
        <v>137</v>
      </c>
      <c r="N5" s="35" t="s">
        <v>139</v>
      </c>
      <c r="O5" s="35" t="s">
        <v>137</v>
      </c>
      <c r="P5" s="35" t="s">
        <v>139</v>
      </c>
    </row>
    <row r="6" customFormat="false" ht="15" hidden="false" customHeight="false" outlineLevel="0" collapsed="false">
      <c r="A6" s="52" t="str">
        <f aca="false">IF('Item Master'!A6="","",'Item Master'!A6)</f>
        <v>E01</v>
      </c>
      <c r="B6" s="53" t="str">
        <f aca="false">IF(A6="","",'Item Master'!B6)</f>
        <v>LED Bulb 9W</v>
      </c>
      <c r="C6" s="42" t="n">
        <f aca="false">IF(A6="","",N('Item Master'!E6))</f>
        <v>200</v>
      </c>
      <c r="D6" s="41" t="n">
        <f aca="false">IF(A6="","",N('Item Master'!H6))</f>
        <v>11000</v>
      </c>
      <c r="E6" s="42" t="n">
        <f aca="false">IF(A6="","",'Item Master'!I6)</f>
        <v>500</v>
      </c>
      <c r="F6" s="41" t="n">
        <f aca="false">IF(A6="","",SUMIFS('Stock Register'!$J$7:$J$506,'Stock Register'!$C$7:$C$506,A6,'Stock Register'!$E$7:$E$506,"In"))</f>
        <v>29400</v>
      </c>
      <c r="G6" s="42" t="n">
        <f aca="false">IF(A6="","",'Item Master'!J6)</f>
        <v>550</v>
      </c>
      <c r="H6" s="41" t="n">
        <f aca="false">IF(A6="","",SUMIFS('Stock Register'!$J$7:$J$506,'Stock Register'!$C$7:$C$506,A6,'Stock Register'!$E$7:$E$506,"Out"))</f>
        <v>46750</v>
      </c>
      <c r="I6" s="42" t="n">
        <f aca="false">IF(A6="","",'Item Master'!K6)</f>
        <v>150</v>
      </c>
      <c r="J6" s="54" t="n">
        <f aca="false">IF(A6="","",ROUND(MAX(0,MIN(C6,I6-E6))*N('Item Master'!F6)+SUMIFS('Stock Register'!$P$7:$P$506,'Stock Register'!$C$7:$C$506,A6),0))</f>
        <v>9000</v>
      </c>
      <c r="K6" s="55" t="n">
        <f aca="false">IF(A6="","",IFERROR((D6+F6)/(C6+E6),0))</f>
        <v>57.7142857142857</v>
      </c>
      <c r="L6" s="54" t="n">
        <f aca="false">IF(A6="","",ROUND(MAX(0,I6)*K6,0))</f>
        <v>8657</v>
      </c>
      <c r="M6" s="41" t="n">
        <f aca="false">IF(A6="","",D6+F6-J6)</f>
        <v>31400</v>
      </c>
      <c r="N6" s="41" t="n">
        <f aca="false">IF(A6="","",D6+F6-L6)</f>
        <v>31743</v>
      </c>
      <c r="O6" s="41" t="n">
        <f aca="false">IF(A6="","",H6-M6)</f>
        <v>15350</v>
      </c>
      <c r="P6" s="41" t="n">
        <f aca="false">IF(A6="","",H6-N6)</f>
        <v>15007</v>
      </c>
      <c r="Q6" s="9" t="n">
        <f aca="false">IF(AND(A6&lt;&gt;"",N(J6)&gt;0),COUNTIF($J$6:J6,"&gt;0"),"")</f>
        <v>1</v>
      </c>
    </row>
    <row r="7" customFormat="false" ht="15" hidden="false" customHeight="false" outlineLevel="0" collapsed="false">
      <c r="A7" s="52" t="str">
        <f aca="false">IF('Item Master'!A7="","",'Item Master'!A7)</f>
        <v>E02</v>
      </c>
      <c r="B7" s="53" t="str">
        <f aca="false">IF(A7="","",'Item Master'!B7)</f>
        <v>Ceiling Fan 1200 mm</v>
      </c>
      <c r="C7" s="42" t="n">
        <f aca="false">IF(A7="","",N('Item Master'!E7))</f>
        <v>20</v>
      </c>
      <c r="D7" s="41" t="n">
        <f aca="false">IF(A7="","",N('Item Master'!H7))</f>
        <v>29000</v>
      </c>
      <c r="E7" s="42" t="n">
        <f aca="false">IF(A7="","",'Item Master'!I7)</f>
        <v>15</v>
      </c>
      <c r="F7" s="41" t="n">
        <f aca="false">IF(A7="","",SUMIFS('Stock Register'!$J$7:$J$506,'Stock Register'!$C$7:$C$506,A7,'Stock Register'!$E$7:$E$506,"In"))</f>
        <v>22500</v>
      </c>
      <c r="G7" s="42" t="n">
        <f aca="false">IF(A7="","",'Item Master'!J7)</f>
        <v>26</v>
      </c>
      <c r="H7" s="41" t="n">
        <f aca="false">IF(A7="","",SUMIFS('Stock Register'!$J$7:$J$506,'Stock Register'!$C$7:$C$506,A7,'Stock Register'!$E$7:$E$506,"Out"))</f>
        <v>50700</v>
      </c>
      <c r="I7" s="42" t="n">
        <f aca="false">IF(A7="","",'Item Master'!K7)</f>
        <v>9</v>
      </c>
      <c r="J7" s="54" t="n">
        <f aca="false">IF(A7="","",ROUND(MAX(0,MIN(C7,I7-E7))*N('Item Master'!F7)+SUMIFS('Stock Register'!$P$7:$P$506,'Stock Register'!$C$7:$C$506,A7),0))</f>
        <v>13500</v>
      </c>
      <c r="K7" s="55" t="n">
        <f aca="false">IF(A7="","",IFERROR((D7+F7)/(C7+E7),0))</f>
        <v>1471.42857142857</v>
      </c>
      <c r="L7" s="54" t="n">
        <f aca="false">IF(A7="","",ROUND(MAX(0,I7)*K7,0))</f>
        <v>13243</v>
      </c>
      <c r="M7" s="41" t="n">
        <f aca="false">IF(A7="","",D7+F7-J7)</f>
        <v>38000</v>
      </c>
      <c r="N7" s="41" t="n">
        <f aca="false">IF(A7="","",D7+F7-L7)</f>
        <v>38257</v>
      </c>
      <c r="O7" s="41" t="n">
        <f aca="false">IF(A7="","",H7-M7)</f>
        <v>12700</v>
      </c>
      <c r="P7" s="41" t="n">
        <f aca="false">IF(A7="","",H7-N7)</f>
        <v>12443</v>
      </c>
      <c r="Q7" s="9" t="n">
        <f aca="false">IF(AND(A7&lt;&gt;"",N(J7)&gt;0),COUNTIF($J$6:J7,"&gt;0"),"")</f>
        <v>2</v>
      </c>
    </row>
    <row r="8" customFormat="false" ht="15" hidden="false" customHeight="false" outlineLevel="0" collapsed="false">
      <c r="A8" s="52" t="str">
        <f aca="false">IF('Item Master'!A8="","",'Item Master'!A8)</f>
        <v>E03</v>
      </c>
      <c r="B8" s="53" t="str">
        <f aca="false">IF(A8="","",'Item Master'!B8)</f>
        <v>Copper Wire 1.5 sq mm (90 m)</v>
      </c>
      <c r="C8" s="42" t="n">
        <f aca="false">IF(A8="","",N('Item Master'!E8))</f>
        <v>30</v>
      </c>
      <c r="D8" s="41" t="n">
        <f aca="false">IF(A8="","",N('Item Master'!H8))</f>
        <v>37500</v>
      </c>
      <c r="E8" s="42" t="n">
        <f aca="false">IF(A8="","",'Item Master'!I8)</f>
        <v>35</v>
      </c>
      <c r="F8" s="41" t="n">
        <f aca="false">IF(A8="","",SUMIFS('Stock Register'!$J$7:$J$506,'Stock Register'!$C$7:$C$506,A8,'Stock Register'!$E$7:$E$506,"In"))</f>
        <v>46300</v>
      </c>
      <c r="G8" s="42" t="n">
        <f aca="false">IF(A8="","",'Item Master'!J8)</f>
        <v>37</v>
      </c>
      <c r="H8" s="41" t="n">
        <f aca="false">IF(A8="","",SUMIFS('Stock Register'!$J$7:$J$506,'Stock Register'!$C$7:$C$506,A8,'Stock Register'!$E$7:$E$506,"Out"))</f>
        <v>60450</v>
      </c>
      <c r="I8" s="42" t="n">
        <f aca="false">IF(A8="","",'Item Master'!K8)</f>
        <v>28</v>
      </c>
      <c r="J8" s="54" t="n">
        <f aca="false">IF(A8="","",ROUND(MAX(0,MIN(C8,I8-E8))*N('Item Master'!F8)+SUMIFS('Stock Register'!$P$7:$P$506,'Stock Register'!$C$7:$C$506,A8),0))</f>
        <v>37130</v>
      </c>
      <c r="K8" s="55" t="n">
        <f aca="false">IF(A8="","",IFERROR((D8+F8)/(C8+E8),0))</f>
        <v>1289.23076923077</v>
      </c>
      <c r="L8" s="54" t="n">
        <f aca="false">IF(A8="","",ROUND(MAX(0,I8)*K8,0))</f>
        <v>36098</v>
      </c>
      <c r="M8" s="41" t="n">
        <f aca="false">IF(A8="","",D8+F8-J8)</f>
        <v>46670</v>
      </c>
      <c r="N8" s="41" t="n">
        <f aca="false">IF(A8="","",D8+F8-L8)</f>
        <v>47702</v>
      </c>
      <c r="O8" s="41" t="n">
        <f aca="false">IF(A8="","",H8-M8)</f>
        <v>13780</v>
      </c>
      <c r="P8" s="41" t="n">
        <f aca="false">IF(A8="","",H8-N8)</f>
        <v>12748</v>
      </c>
      <c r="Q8" s="9" t="n">
        <f aca="false">IF(AND(A8&lt;&gt;"",N(J8)&gt;0),COUNTIF($J$6:J8,"&gt;0"),"")</f>
        <v>3</v>
      </c>
    </row>
    <row r="9" customFormat="false" ht="15" hidden="false" customHeight="false" outlineLevel="0" collapsed="false">
      <c r="A9" s="52" t="str">
        <f aca="false">IF('Item Master'!A9="","",'Item Master'!A9)</f>
        <v>E04</v>
      </c>
      <c r="B9" s="53" t="str">
        <f aca="false">IF(A9="","",'Item Master'!B9)</f>
        <v>MCB 32A Single Pole</v>
      </c>
      <c r="C9" s="42" t="n">
        <f aca="false">IF(A9="","",N('Item Master'!E9))</f>
        <v>50</v>
      </c>
      <c r="D9" s="41" t="n">
        <f aca="false">IF(A9="","",N('Item Master'!H9))</f>
        <v>9000</v>
      </c>
      <c r="E9" s="42" t="n">
        <f aca="false">IF(A9="","",'Item Master'!I9)</f>
        <v>60</v>
      </c>
      <c r="F9" s="41" t="n">
        <f aca="false">IF(A9="","",SUMIFS('Stock Register'!$J$7:$J$506,'Stock Register'!$C$7:$C$506,A9,'Stock Register'!$E$7:$E$506,"In"))</f>
        <v>11100</v>
      </c>
      <c r="G9" s="42" t="n">
        <f aca="false">IF(A9="","",'Item Master'!J9)</f>
        <v>75</v>
      </c>
      <c r="H9" s="41" t="n">
        <f aca="false">IF(A9="","",SUMIFS('Stock Register'!$J$7:$J$506,'Stock Register'!$C$7:$C$506,A9,'Stock Register'!$E$7:$E$506,"Out"))</f>
        <v>19500</v>
      </c>
      <c r="I9" s="42" t="n">
        <f aca="false">IF(A9="","",'Item Master'!K9)</f>
        <v>35</v>
      </c>
      <c r="J9" s="54" t="n">
        <f aca="false">IF(A9="","",ROUND(MAX(0,MIN(C9,I9-E9))*N('Item Master'!F9)+SUMIFS('Stock Register'!$P$7:$P$506,'Stock Register'!$C$7:$C$506,A9),0))</f>
        <v>6475</v>
      </c>
      <c r="K9" s="55" t="n">
        <f aca="false">IF(A9="","",IFERROR((D9+F9)/(C9+E9),0))</f>
        <v>182.727272727273</v>
      </c>
      <c r="L9" s="54" t="n">
        <f aca="false">IF(A9="","",ROUND(MAX(0,I9)*K9,0))</f>
        <v>6395</v>
      </c>
      <c r="M9" s="41" t="n">
        <f aca="false">IF(A9="","",D9+F9-J9)</f>
        <v>13625</v>
      </c>
      <c r="N9" s="41" t="n">
        <f aca="false">IF(A9="","",D9+F9-L9)</f>
        <v>13705</v>
      </c>
      <c r="O9" s="41" t="n">
        <f aca="false">IF(A9="","",H9-M9)</f>
        <v>5875</v>
      </c>
      <c r="P9" s="41" t="n">
        <f aca="false">IF(A9="","",H9-N9)</f>
        <v>5795</v>
      </c>
      <c r="Q9" s="9" t="n">
        <f aca="false">IF(AND(A9&lt;&gt;"",N(J9)&gt;0),COUNTIF($J$6:J9,"&gt;0"),"")</f>
        <v>4</v>
      </c>
    </row>
    <row r="10" customFormat="false" ht="15" hidden="false" customHeight="false" outlineLevel="0" collapsed="false">
      <c r="A10" s="52" t="str">
        <f aca="false">IF('Item Master'!A10="","",'Item Master'!A10)</f>
        <v>E05</v>
      </c>
      <c r="B10" s="53" t="str">
        <f aca="false">IF(A10="","",'Item Master'!B10)</f>
        <v>Extension Board 4-way</v>
      </c>
      <c r="C10" s="42" t="n">
        <f aca="false">IF(A10="","",N('Item Master'!E10))</f>
        <v>40</v>
      </c>
      <c r="D10" s="41" t="n">
        <f aca="false">IF(A10="","",N('Item Master'!H10))</f>
        <v>8400</v>
      </c>
      <c r="E10" s="42" t="n">
        <f aca="false">IF(A10="","",'Item Master'!I10)</f>
        <v>0</v>
      </c>
      <c r="F10" s="41" t="n">
        <f aca="false">IF(A10="","",SUMIFS('Stock Register'!$J$7:$J$506,'Stock Register'!$C$7:$C$506,A10,'Stock Register'!$E$7:$E$506,"In"))</f>
        <v>0</v>
      </c>
      <c r="G10" s="42" t="n">
        <f aca="false">IF(A10="","",'Item Master'!J10)</f>
        <v>34</v>
      </c>
      <c r="H10" s="41" t="n">
        <f aca="false">IF(A10="","",SUMIFS('Stock Register'!$J$7:$J$506,'Stock Register'!$C$7:$C$506,A10,'Stock Register'!$E$7:$E$506,"Out"))</f>
        <v>10166</v>
      </c>
      <c r="I10" s="42" t="n">
        <f aca="false">IF(A10="","",'Item Master'!K10)</f>
        <v>6</v>
      </c>
      <c r="J10" s="54" t="n">
        <f aca="false">IF(A10="","",ROUND(MAX(0,MIN(C10,I10-E10))*N('Item Master'!F10)+SUMIFS('Stock Register'!$P$7:$P$506,'Stock Register'!$C$7:$C$506,A10),0))</f>
        <v>1260</v>
      </c>
      <c r="K10" s="55" t="n">
        <f aca="false">IF(A10="","",IFERROR((D10+F10)/(C10+E10),0))</f>
        <v>210</v>
      </c>
      <c r="L10" s="54" t="n">
        <f aca="false">IF(A10="","",ROUND(MAX(0,I10)*K10,0))</f>
        <v>1260</v>
      </c>
      <c r="M10" s="41" t="n">
        <f aca="false">IF(A10="","",D10+F10-J10)</f>
        <v>7140</v>
      </c>
      <c r="N10" s="41" t="n">
        <f aca="false">IF(A10="","",D10+F10-L10)</f>
        <v>7140</v>
      </c>
      <c r="O10" s="41" t="n">
        <f aca="false">IF(A10="","",H10-M10)</f>
        <v>3026</v>
      </c>
      <c r="P10" s="41" t="n">
        <f aca="false">IF(A10="","",H10-N10)</f>
        <v>3026</v>
      </c>
      <c r="Q10" s="9" t="n">
        <f aca="false">IF(AND(A10&lt;&gt;"",N(J10)&gt;0),COUNTIF($J$6:J10,"&gt;0"),"")</f>
        <v>5</v>
      </c>
    </row>
    <row r="11" customFormat="false" ht="15" hidden="false" customHeight="false" outlineLevel="0" collapsed="false">
      <c r="A11" s="52" t="str">
        <f aca="false">IF('Item Master'!A11="","",'Item Master'!A11)</f>
        <v>E06</v>
      </c>
      <c r="B11" s="53" t="str">
        <f aca="false">IF(A11="","",'Item Master'!B11)</f>
        <v>LED Tube Light 20W</v>
      </c>
      <c r="C11" s="42" t="n">
        <f aca="false">IF(A11="","",N('Item Master'!E11))</f>
        <v>60</v>
      </c>
      <c r="D11" s="41" t="n">
        <f aca="false">IF(A11="","",N('Item Master'!H11))</f>
        <v>9600</v>
      </c>
      <c r="E11" s="42" t="n">
        <f aca="false">IF(A11="","",'Item Master'!I11)</f>
        <v>40</v>
      </c>
      <c r="F11" s="41" t="n">
        <f aca="false">IF(A11="","",SUMIFS('Stock Register'!$J$7:$J$506,'Stock Register'!$C$7:$C$506,A11,'Stock Register'!$E$7:$E$506,"In"))</f>
        <v>6800</v>
      </c>
      <c r="G11" s="42" t="n">
        <f aca="false">IF(A11="","",'Item Master'!J11)</f>
        <v>55</v>
      </c>
      <c r="H11" s="41" t="n">
        <f aca="false">IF(A11="","",SUMIFS('Stock Register'!$J$7:$J$506,'Stock Register'!$C$7:$C$506,A11,'Stock Register'!$E$7:$E$506,"Out"))</f>
        <v>12650</v>
      </c>
      <c r="I11" s="42" t="n">
        <f aca="false">IF(A11="","",'Item Master'!K11)</f>
        <v>45</v>
      </c>
      <c r="J11" s="54" t="n">
        <f aca="false">IF(A11="","",ROUND(MAX(0,MIN(C11,I11-E11))*N('Item Master'!F11)+SUMIFS('Stock Register'!$P$7:$P$506,'Stock Register'!$C$7:$C$506,A11),0))</f>
        <v>7600</v>
      </c>
      <c r="K11" s="55" t="n">
        <f aca="false">IF(A11="","",IFERROR((D11+F11)/(C11+E11),0))</f>
        <v>164</v>
      </c>
      <c r="L11" s="54" t="n">
        <f aca="false">IF(A11="","",ROUND(MAX(0,I11)*K11,0))</f>
        <v>7380</v>
      </c>
      <c r="M11" s="41" t="n">
        <f aca="false">IF(A11="","",D11+F11-J11)</f>
        <v>8800</v>
      </c>
      <c r="N11" s="41" t="n">
        <f aca="false">IF(A11="","",D11+F11-L11)</f>
        <v>9020</v>
      </c>
      <c r="O11" s="41" t="n">
        <f aca="false">IF(A11="","",H11-M11)</f>
        <v>3850</v>
      </c>
      <c r="P11" s="41" t="n">
        <f aca="false">IF(A11="","",H11-N11)</f>
        <v>3630</v>
      </c>
      <c r="Q11" s="9" t="n">
        <f aca="false">IF(AND(A11&lt;&gt;"",N(J11)&gt;0),COUNTIF($J$6:J11,"&gt;0"),"")</f>
        <v>6</v>
      </c>
    </row>
    <row r="12" customFormat="false" ht="15" hidden="false" customHeight="false" outlineLevel="0" collapsed="false">
      <c r="A12" s="52" t="str">
        <f aca="false">IF('Item Master'!A12="","",'Item Master'!A12)</f>
        <v/>
      </c>
      <c r="B12" s="53" t="str">
        <f aca="false">IF(A12="","",'Item Master'!B12)</f>
        <v/>
      </c>
      <c r="C12" s="42" t="str">
        <f aca="false">IF(A12="","",N('Item Master'!E12))</f>
        <v/>
      </c>
      <c r="D12" s="41" t="str">
        <f aca="false">IF(A12="","",N('Item Master'!H12))</f>
        <v/>
      </c>
      <c r="E12" s="42" t="str">
        <f aca="false">IF(A12="","",'Item Master'!I12)</f>
        <v/>
      </c>
      <c r="F12" s="41" t="str">
        <f aca="false">IF(A12="","",SUMIFS('Stock Register'!$J$7:$J$506,'Stock Register'!$C$7:$C$506,A12,'Stock Register'!$E$7:$E$506,"In"))</f>
        <v/>
      </c>
      <c r="G12" s="42" t="str">
        <f aca="false">IF(A12="","",'Item Master'!J12)</f>
        <v/>
      </c>
      <c r="H12" s="41" t="str">
        <f aca="false">IF(A12="","",SUMIFS('Stock Register'!$J$7:$J$506,'Stock Register'!$C$7:$C$506,A12,'Stock Register'!$E$7:$E$506,"Out"))</f>
        <v/>
      </c>
      <c r="I12" s="42" t="str">
        <f aca="false">IF(A12="","",'Item Master'!K12)</f>
        <v/>
      </c>
      <c r="J12" s="54" t="str">
        <f aca="false">IF(A12="","",ROUND(MAX(0,MIN(C12,I12-E12))*N('Item Master'!F12)+SUMIFS('Stock Register'!$P$7:$P$506,'Stock Register'!$C$7:$C$506,A12),0))</f>
        <v/>
      </c>
      <c r="K12" s="55" t="str">
        <f aca="false">IF(A12="","",IFERROR((D12+F12)/(C12+E12),0))</f>
        <v/>
      </c>
      <c r="L12" s="54" t="str">
        <f aca="false">IF(A12="","",ROUND(MAX(0,I12)*K12,0))</f>
        <v/>
      </c>
      <c r="M12" s="41" t="str">
        <f aca="false">IF(A12="","",D12+F12-J12)</f>
        <v/>
      </c>
      <c r="N12" s="41" t="str">
        <f aca="false">IF(A12="","",D12+F12-L12)</f>
        <v/>
      </c>
      <c r="O12" s="41" t="str">
        <f aca="false">IF(A12="","",H12-M12)</f>
        <v/>
      </c>
      <c r="P12" s="41" t="str">
        <f aca="false">IF(A12="","",H12-N12)</f>
        <v/>
      </c>
      <c r="Q12" s="9" t="str">
        <f aca="false">IF(AND(A12&lt;&gt;"",N(J12)&gt;0),COUNTIF($J$6:J12,"&gt;0"),"")</f>
        <v/>
      </c>
    </row>
    <row r="13" customFormat="false" ht="15" hidden="false" customHeight="false" outlineLevel="0" collapsed="false">
      <c r="A13" s="52" t="str">
        <f aca="false">IF('Item Master'!A13="","",'Item Master'!A13)</f>
        <v/>
      </c>
      <c r="B13" s="53" t="str">
        <f aca="false">IF(A13="","",'Item Master'!B13)</f>
        <v/>
      </c>
      <c r="C13" s="42" t="str">
        <f aca="false">IF(A13="","",N('Item Master'!E13))</f>
        <v/>
      </c>
      <c r="D13" s="41" t="str">
        <f aca="false">IF(A13="","",N('Item Master'!H13))</f>
        <v/>
      </c>
      <c r="E13" s="42" t="str">
        <f aca="false">IF(A13="","",'Item Master'!I13)</f>
        <v/>
      </c>
      <c r="F13" s="41" t="str">
        <f aca="false">IF(A13="","",SUMIFS('Stock Register'!$J$7:$J$506,'Stock Register'!$C$7:$C$506,A13,'Stock Register'!$E$7:$E$506,"In"))</f>
        <v/>
      </c>
      <c r="G13" s="42" t="str">
        <f aca="false">IF(A13="","",'Item Master'!J13)</f>
        <v/>
      </c>
      <c r="H13" s="41" t="str">
        <f aca="false">IF(A13="","",SUMIFS('Stock Register'!$J$7:$J$506,'Stock Register'!$C$7:$C$506,A13,'Stock Register'!$E$7:$E$506,"Out"))</f>
        <v/>
      </c>
      <c r="I13" s="42" t="str">
        <f aca="false">IF(A13="","",'Item Master'!K13)</f>
        <v/>
      </c>
      <c r="J13" s="54" t="str">
        <f aca="false">IF(A13="","",ROUND(MAX(0,MIN(C13,I13-E13))*N('Item Master'!F13)+SUMIFS('Stock Register'!$P$7:$P$506,'Stock Register'!$C$7:$C$506,A13),0))</f>
        <v/>
      </c>
      <c r="K13" s="55" t="str">
        <f aca="false">IF(A13="","",IFERROR((D13+F13)/(C13+E13),0))</f>
        <v/>
      </c>
      <c r="L13" s="54" t="str">
        <f aca="false">IF(A13="","",ROUND(MAX(0,I13)*K13,0))</f>
        <v/>
      </c>
      <c r="M13" s="41" t="str">
        <f aca="false">IF(A13="","",D13+F13-J13)</f>
        <v/>
      </c>
      <c r="N13" s="41" t="str">
        <f aca="false">IF(A13="","",D13+F13-L13)</f>
        <v/>
      </c>
      <c r="O13" s="41" t="str">
        <f aca="false">IF(A13="","",H13-M13)</f>
        <v/>
      </c>
      <c r="P13" s="41" t="str">
        <f aca="false">IF(A13="","",H13-N13)</f>
        <v/>
      </c>
      <c r="Q13" s="9" t="str">
        <f aca="false">IF(AND(A13&lt;&gt;"",N(J13)&gt;0),COUNTIF($J$6:J13,"&gt;0"),"")</f>
        <v/>
      </c>
    </row>
    <row r="14" customFormat="false" ht="15" hidden="false" customHeight="false" outlineLevel="0" collapsed="false">
      <c r="A14" s="52" t="str">
        <f aca="false">IF('Item Master'!A14="","",'Item Master'!A14)</f>
        <v/>
      </c>
      <c r="B14" s="53" t="str">
        <f aca="false">IF(A14="","",'Item Master'!B14)</f>
        <v/>
      </c>
      <c r="C14" s="42" t="str">
        <f aca="false">IF(A14="","",N('Item Master'!E14))</f>
        <v/>
      </c>
      <c r="D14" s="41" t="str">
        <f aca="false">IF(A14="","",N('Item Master'!H14))</f>
        <v/>
      </c>
      <c r="E14" s="42" t="str">
        <f aca="false">IF(A14="","",'Item Master'!I14)</f>
        <v/>
      </c>
      <c r="F14" s="41" t="str">
        <f aca="false">IF(A14="","",SUMIFS('Stock Register'!$J$7:$J$506,'Stock Register'!$C$7:$C$506,A14,'Stock Register'!$E$7:$E$506,"In"))</f>
        <v/>
      </c>
      <c r="G14" s="42" t="str">
        <f aca="false">IF(A14="","",'Item Master'!J14)</f>
        <v/>
      </c>
      <c r="H14" s="41" t="str">
        <f aca="false">IF(A14="","",SUMIFS('Stock Register'!$J$7:$J$506,'Stock Register'!$C$7:$C$506,A14,'Stock Register'!$E$7:$E$506,"Out"))</f>
        <v/>
      </c>
      <c r="I14" s="42" t="str">
        <f aca="false">IF(A14="","",'Item Master'!K14)</f>
        <v/>
      </c>
      <c r="J14" s="54" t="str">
        <f aca="false">IF(A14="","",ROUND(MAX(0,MIN(C14,I14-E14))*N('Item Master'!F14)+SUMIFS('Stock Register'!$P$7:$P$506,'Stock Register'!$C$7:$C$506,A14),0))</f>
        <v/>
      </c>
      <c r="K14" s="55" t="str">
        <f aca="false">IF(A14="","",IFERROR((D14+F14)/(C14+E14),0))</f>
        <v/>
      </c>
      <c r="L14" s="54" t="str">
        <f aca="false">IF(A14="","",ROUND(MAX(0,I14)*K14,0))</f>
        <v/>
      </c>
      <c r="M14" s="41" t="str">
        <f aca="false">IF(A14="","",D14+F14-J14)</f>
        <v/>
      </c>
      <c r="N14" s="41" t="str">
        <f aca="false">IF(A14="","",D14+F14-L14)</f>
        <v/>
      </c>
      <c r="O14" s="41" t="str">
        <f aca="false">IF(A14="","",H14-M14)</f>
        <v/>
      </c>
      <c r="P14" s="41" t="str">
        <f aca="false">IF(A14="","",H14-N14)</f>
        <v/>
      </c>
      <c r="Q14" s="9" t="str">
        <f aca="false">IF(AND(A14&lt;&gt;"",N(J14)&gt;0),COUNTIF($J$6:J14,"&gt;0"),"")</f>
        <v/>
      </c>
    </row>
    <row r="15" customFormat="false" ht="15" hidden="false" customHeight="false" outlineLevel="0" collapsed="false">
      <c r="A15" s="52" t="str">
        <f aca="false">IF('Item Master'!A15="","",'Item Master'!A15)</f>
        <v/>
      </c>
      <c r="B15" s="53" t="str">
        <f aca="false">IF(A15="","",'Item Master'!B15)</f>
        <v/>
      </c>
      <c r="C15" s="42" t="str">
        <f aca="false">IF(A15="","",N('Item Master'!E15))</f>
        <v/>
      </c>
      <c r="D15" s="41" t="str">
        <f aca="false">IF(A15="","",N('Item Master'!H15))</f>
        <v/>
      </c>
      <c r="E15" s="42" t="str">
        <f aca="false">IF(A15="","",'Item Master'!I15)</f>
        <v/>
      </c>
      <c r="F15" s="41" t="str">
        <f aca="false">IF(A15="","",SUMIFS('Stock Register'!$J$7:$J$506,'Stock Register'!$C$7:$C$506,A15,'Stock Register'!$E$7:$E$506,"In"))</f>
        <v/>
      </c>
      <c r="G15" s="42" t="str">
        <f aca="false">IF(A15="","",'Item Master'!J15)</f>
        <v/>
      </c>
      <c r="H15" s="41" t="str">
        <f aca="false">IF(A15="","",SUMIFS('Stock Register'!$J$7:$J$506,'Stock Register'!$C$7:$C$506,A15,'Stock Register'!$E$7:$E$506,"Out"))</f>
        <v/>
      </c>
      <c r="I15" s="42" t="str">
        <f aca="false">IF(A15="","",'Item Master'!K15)</f>
        <v/>
      </c>
      <c r="J15" s="54" t="str">
        <f aca="false">IF(A15="","",ROUND(MAX(0,MIN(C15,I15-E15))*N('Item Master'!F15)+SUMIFS('Stock Register'!$P$7:$P$506,'Stock Register'!$C$7:$C$506,A15),0))</f>
        <v/>
      </c>
      <c r="K15" s="55" t="str">
        <f aca="false">IF(A15="","",IFERROR((D15+F15)/(C15+E15),0))</f>
        <v/>
      </c>
      <c r="L15" s="54" t="str">
        <f aca="false">IF(A15="","",ROUND(MAX(0,I15)*K15,0))</f>
        <v/>
      </c>
      <c r="M15" s="41" t="str">
        <f aca="false">IF(A15="","",D15+F15-J15)</f>
        <v/>
      </c>
      <c r="N15" s="41" t="str">
        <f aca="false">IF(A15="","",D15+F15-L15)</f>
        <v/>
      </c>
      <c r="O15" s="41" t="str">
        <f aca="false">IF(A15="","",H15-M15)</f>
        <v/>
      </c>
      <c r="P15" s="41" t="str">
        <f aca="false">IF(A15="","",H15-N15)</f>
        <v/>
      </c>
      <c r="Q15" s="9" t="str">
        <f aca="false">IF(AND(A15&lt;&gt;"",N(J15)&gt;0),COUNTIF($J$6:J15,"&gt;0"),"")</f>
        <v/>
      </c>
    </row>
    <row r="16" customFormat="false" ht="15" hidden="false" customHeight="false" outlineLevel="0" collapsed="false">
      <c r="A16" s="52" t="str">
        <f aca="false">IF('Item Master'!A16="","",'Item Master'!A16)</f>
        <v/>
      </c>
      <c r="B16" s="53" t="str">
        <f aca="false">IF(A16="","",'Item Master'!B16)</f>
        <v/>
      </c>
      <c r="C16" s="42" t="str">
        <f aca="false">IF(A16="","",N('Item Master'!E16))</f>
        <v/>
      </c>
      <c r="D16" s="41" t="str">
        <f aca="false">IF(A16="","",N('Item Master'!H16))</f>
        <v/>
      </c>
      <c r="E16" s="42" t="str">
        <f aca="false">IF(A16="","",'Item Master'!I16)</f>
        <v/>
      </c>
      <c r="F16" s="41" t="str">
        <f aca="false">IF(A16="","",SUMIFS('Stock Register'!$J$7:$J$506,'Stock Register'!$C$7:$C$506,A16,'Stock Register'!$E$7:$E$506,"In"))</f>
        <v/>
      </c>
      <c r="G16" s="42" t="str">
        <f aca="false">IF(A16="","",'Item Master'!J16)</f>
        <v/>
      </c>
      <c r="H16" s="41" t="str">
        <f aca="false">IF(A16="","",SUMIFS('Stock Register'!$J$7:$J$506,'Stock Register'!$C$7:$C$506,A16,'Stock Register'!$E$7:$E$506,"Out"))</f>
        <v/>
      </c>
      <c r="I16" s="42" t="str">
        <f aca="false">IF(A16="","",'Item Master'!K16)</f>
        <v/>
      </c>
      <c r="J16" s="54" t="str">
        <f aca="false">IF(A16="","",ROUND(MAX(0,MIN(C16,I16-E16))*N('Item Master'!F16)+SUMIFS('Stock Register'!$P$7:$P$506,'Stock Register'!$C$7:$C$506,A16),0))</f>
        <v/>
      </c>
      <c r="K16" s="55" t="str">
        <f aca="false">IF(A16="","",IFERROR((D16+F16)/(C16+E16),0))</f>
        <v/>
      </c>
      <c r="L16" s="54" t="str">
        <f aca="false">IF(A16="","",ROUND(MAX(0,I16)*K16,0))</f>
        <v/>
      </c>
      <c r="M16" s="41" t="str">
        <f aca="false">IF(A16="","",D16+F16-J16)</f>
        <v/>
      </c>
      <c r="N16" s="41" t="str">
        <f aca="false">IF(A16="","",D16+F16-L16)</f>
        <v/>
      </c>
      <c r="O16" s="41" t="str">
        <f aca="false">IF(A16="","",H16-M16)</f>
        <v/>
      </c>
      <c r="P16" s="41" t="str">
        <f aca="false">IF(A16="","",H16-N16)</f>
        <v/>
      </c>
      <c r="Q16" s="9" t="str">
        <f aca="false">IF(AND(A16&lt;&gt;"",N(J16)&gt;0),COUNTIF($J$6:J16,"&gt;0"),"")</f>
        <v/>
      </c>
    </row>
    <row r="17" customFormat="false" ht="15" hidden="false" customHeight="false" outlineLevel="0" collapsed="false">
      <c r="A17" s="52" t="str">
        <f aca="false">IF('Item Master'!A17="","",'Item Master'!A17)</f>
        <v/>
      </c>
      <c r="B17" s="53" t="str">
        <f aca="false">IF(A17="","",'Item Master'!B17)</f>
        <v/>
      </c>
      <c r="C17" s="42" t="str">
        <f aca="false">IF(A17="","",N('Item Master'!E17))</f>
        <v/>
      </c>
      <c r="D17" s="41" t="str">
        <f aca="false">IF(A17="","",N('Item Master'!H17))</f>
        <v/>
      </c>
      <c r="E17" s="42" t="str">
        <f aca="false">IF(A17="","",'Item Master'!I17)</f>
        <v/>
      </c>
      <c r="F17" s="41" t="str">
        <f aca="false">IF(A17="","",SUMIFS('Stock Register'!$J$7:$J$506,'Stock Register'!$C$7:$C$506,A17,'Stock Register'!$E$7:$E$506,"In"))</f>
        <v/>
      </c>
      <c r="G17" s="42" t="str">
        <f aca="false">IF(A17="","",'Item Master'!J17)</f>
        <v/>
      </c>
      <c r="H17" s="41" t="str">
        <f aca="false">IF(A17="","",SUMIFS('Stock Register'!$J$7:$J$506,'Stock Register'!$C$7:$C$506,A17,'Stock Register'!$E$7:$E$506,"Out"))</f>
        <v/>
      </c>
      <c r="I17" s="42" t="str">
        <f aca="false">IF(A17="","",'Item Master'!K17)</f>
        <v/>
      </c>
      <c r="J17" s="54" t="str">
        <f aca="false">IF(A17="","",ROUND(MAX(0,MIN(C17,I17-E17))*N('Item Master'!F17)+SUMIFS('Stock Register'!$P$7:$P$506,'Stock Register'!$C$7:$C$506,A17),0))</f>
        <v/>
      </c>
      <c r="K17" s="55" t="str">
        <f aca="false">IF(A17="","",IFERROR((D17+F17)/(C17+E17),0))</f>
        <v/>
      </c>
      <c r="L17" s="54" t="str">
        <f aca="false">IF(A17="","",ROUND(MAX(0,I17)*K17,0))</f>
        <v/>
      </c>
      <c r="M17" s="41" t="str">
        <f aca="false">IF(A17="","",D17+F17-J17)</f>
        <v/>
      </c>
      <c r="N17" s="41" t="str">
        <f aca="false">IF(A17="","",D17+F17-L17)</f>
        <v/>
      </c>
      <c r="O17" s="41" t="str">
        <f aca="false">IF(A17="","",H17-M17)</f>
        <v/>
      </c>
      <c r="P17" s="41" t="str">
        <f aca="false">IF(A17="","",H17-N17)</f>
        <v/>
      </c>
      <c r="Q17" s="9" t="str">
        <f aca="false">IF(AND(A17&lt;&gt;"",N(J17)&gt;0),COUNTIF($J$6:J17,"&gt;0"),"")</f>
        <v/>
      </c>
    </row>
    <row r="18" customFormat="false" ht="15" hidden="false" customHeight="false" outlineLevel="0" collapsed="false">
      <c r="A18" s="52" t="str">
        <f aca="false">IF('Item Master'!A18="","",'Item Master'!A18)</f>
        <v/>
      </c>
      <c r="B18" s="53" t="str">
        <f aca="false">IF(A18="","",'Item Master'!B18)</f>
        <v/>
      </c>
      <c r="C18" s="42" t="str">
        <f aca="false">IF(A18="","",N('Item Master'!E18))</f>
        <v/>
      </c>
      <c r="D18" s="41" t="str">
        <f aca="false">IF(A18="","",N('Item Master'!H18))</f>
        <v/>
      </c>
      <c r="E18" s="42" t="str">
        <f aca="false">IF(A18="","",'Item Master'!I18)</f>
        <v/>
      </c>
      <c r="F18" s="41" t="str">
        <f aca="false">IF(A18="","",SUMIFS('Stock Register'!$J$7:$J$506,'Stock Register'!$C$7:$C$506,A18,'Stock Register'!$E$7:$E$506,"In"))</f>
        <v/>
      </c>
      <c r="G18" s="42" t="str">
        <f aca="false">IF(A18="","",'Item Master'!J18)</f>
        <v/>
      </c>
      <c r="H18" s="41" t="str">
        <f aca="false">IF(A18="","",SUMIFS('Stock Register'!$J$7:$J$506,'Stock Register'!$C$7:$C$506,A18,'Stock Register'!$E$7:$E$506,"Out"))</f>
        <v/>
      </c>
      <c r="I18" s="42" t="str">
        <f aca="false">IF(A18="","",'Item Master'!K18)</f>
        <v/>
      </c>
      <c r="J18" s="54" t="str">
        <f aca="false">IF(A18="","",ROUND(MAX(0,MIN(C18,I18-E18))*N('Item Master'!F18)+SUMIFS('Stock Register'!$P$7:$P$506,'Stock Register'!$C$7:$C$506,A18),0))</f>
        <v/>
      </c>
      <c r="K18" s="55" t="str">
        <f aca="false">IF(A18="","",IFERROR((D18+F18)/(C18+E18),0))</f>
        <v/>
      </c>
      <c r="L18" s="54" t="str">
        <f aca="false">IF(A18="","",ROUND(MAX(0,I18)*K18,0))</f>
        <v/>
      </c>
      <c r="M18" s="41" t="str">
        <f aca="false">IF(A18="","",D18+F18-J18)</f>
        <v/>
      </c>
      <c r="N18" s="41" t="str">
        <f aca="false">IF(A18="","",D18+F18-L18)</f>
        <v/>
      </c>
      <c r="O18" s="41" t="str">
        <f aca="false">IF(A18="","",H18-M18)</f>
        <v/>
      </c>
      <c r="P18" s="41" t="str">
        <f aca="false">IF(A18="","",H18-N18)</f>
        <v/>
      </c>
      <c r="Q18" s="9" t="str">
        <f aca="false">IF(AND(A18&lt;&gt;"",N(J18)&gt;0),COUNTIF($J$6:J18,"&gt;0"),"")</f>
        <v/>
      </c>
    </row>
    <row r="19" customFormat="false" ht="15" hidden="false" customHeight="false" outlineLevel="0" collapsed="false">
      <c r="A19" s="52" t="str">
        <f aca="false">IF('Item Master'!A19="","",'Item Master'!A19)</f>
        <v/>
      </c>
      <c r="B19" s="53" t="str">
        <f aca="false">IF(A19="","",'Item Master'!B19)</f>
        <v/>
      </c>
      <c r="C19" s="42" t="str">
        <f aca="false">IF(A19="","",N('Item Master'!E19))</f>
        <v/>
      </c>
      <c r="D19" s="41" t="str">
        <f aca="false">IF(A19="","",N('Item Master'!H19))</f>
        <v/>
      </c>
      <c r="E19" s="42" t="str">
        <f aca="false">IF(A19="","",'Item Master'!I19)</f>
        <v/>
      </c>
      <c r="F19" s="41" t="str">
        <f aca="false">IF(A19="","",SUMIFS('Stock Register'!$J$7:$J$506,'Stock Register'!$C$7:$C$506,A19,'Stock Register'!$E$7:$E$506,"In"))</f>
        <v/>
      </c>
      <c r="G19" s="42" t="str">
        <f aca="false">IF(A19="","",'Item Master'!J19)</f>
        <v/>
      </c>
      <c r="H19" s="41" t="str">
        <f aca="false">IF(A19="","",SUMIFS('Stock Register'!$J$7:$J$506,'Stock Register'!$C$7:$C$506,A19,'Stock Register'!$E$7:$E$506,"Out"))</f>
        <v/>
      </c>
      <c r="I19" s="42" t="str">
        <f aca="false">IF(A19="","",'Item Master'!K19)</f>
        <v/>
      </c>
      <c r="J19" s="54" t="str">
        <f aca="false">IF(A19="","",ROUND(MAX(0,MIN(C19,I19-E19))*N('Item Master'!F19)+SUMIFS('Stock Register'!$P$7:$P$506,'Stock Register'!$C$7:$C$506,A19),0))</f>
        <v/>
      </c>
      <c r="K19" s="55" t="str">
        <f aca="false">IF(A19="","",IFERROR((D19+F19)/(C19+E19),0))</f>
        <v/>
      </c>
      <c r="L19" s="54" t="str">
        <f aca="false">IF(A19="","",ROUND(MAX(0,I19)*K19,0))</f>
        <v/>
      </c>
      <c r="M19" s="41" t="str">
        <f aca="false">IF(A19="","",D19+F19-J19)</f>
        <v/>
      </c>
      <c r="N19" s="41" t="str">
        <f aca="false">IF(A19="","",D19+F19-L19)</f>
        <v/>
      </c>
      <c r="O19" s="41" t="str">
        <f aca="false">IF(A19="","",H19-M19)</f>
        <v/>
      </c>
      <c r="P19" s="41" t="str">
        <f aca="false">IF(A19="","",H19-N19)</f>
        <v/>
      </c>
      <c r="Q19" s="9" t="str">
        <f aca="false">IF(AND(A19&lt;&gt;"",N(J19)&gt;0),COUNTIF($J$6:J19,"&gt;0"),"")</f>
        <v/>
      </c>
    </row>
    <row r="20" customFormat="false" ht="15" hidden="false" customHeight="false" outlineLevel="0" collapsed="false">
      <c r="A20" s="52" t="str">
        <f aca="false">IF('Item Master'!A20="","",'Item Master'!A20)</f>
        <v/>
      </c>
      <c r="B20" s="53" t="str">
        <f aca="false">IF(A20="","",'Item Master'!B20)</f>
        <v/>
      </c>
      <c r="C20" s="42" t="str">
        <f aca="false">IF(A20="","",N('Item Master'!E20))</f>
        <v/>
      </c>
      <c r="D20" s="41" t="str">
        <f aca="false">IF(A20="","",N('Item Master'!H20))</f>
        <v/>
      </c>
      <c r="E20" s="42" t="str">
        <f aca="false">IF(A20="","",'Item Master'!I20)</f>
        <v/>
      </c>
      <c r="F20" s="41" t="str">
        <f aca="false">IF(A20="","",SUMIFS('Stock Register'!$J$7:$J$506,'Stock Register'!$C$7:$C$506,A20,'Stock Register'!$E$7:$E$506,"In"))</f>
        <v/>
      </c>
      <c r="G20" s="42" t="str">
        <f aca="false">IF(A20="","",'Item Master'!J20)</f>
        <v/>
      </c>
      <c r="H20" s="41" t="str">
        <f aca="false">IF(A20="","",SUMIFS('Stock Register'!$J$7:$J$506,'Stock Register'!$C$7:$C$506,A20,'Stock Register'!$E$7:$E$506,"Out"))</f>
        <v/>
      </c>
      <c r="I20" s="42" t="str">
        <f aca="false">IF(A20="","",'Item Master'!K20)</f>
        <v/>
      </c>
      <c r="J20" s="54" t="str">
        <f aca="false">IF(A20="","",ROUND(MAX(0,MIN(C20,I20-E20))*N('Item Master'!F20)+SUMIFS('Stock Register'!$P$7:$P$506,'Stock Register'!$C$7:$C$506,A20),0))</f>
        <v/>
      </c>
      <c r="K20" s="55" t="str">
        <f aca="false">IF(A20="","",IFERROR((D20+F20)/(C20+E20),0))</f>
        <v/>
      </c>
      <c r="L20" s="54" t="str">
        <f aca="false">IF(A20="","",ROUND(MAX(0,I20)*K20,0))</f>
        <v/>
      </c>
      <c r="M20" s="41" t="str">
        <f aca="false">IF(A20="","",D20+F20-J20)</f>
        <v/>
      </c>
      <c r="N20" s="41" t="str">
        <f aca="false">IF(A20="","",D20+F20-L20)</f>
        <v/>
      </c>
      <c r="O20" s="41" t="str">
        <f aca="false">IF(A20="","",H20-M20)</f>
        <v/>
      </c>
      <c r="P20" s="41" t="str">
        <f aca="false">IF(A20="","",H20-N20)</f>
        <v/>
      </c>
      <c r="Q20" s="9" t="str">
        <f aca="false">IF(AND(A20&lt;&gt;"",N(J20)&gt;0),COUNTIF($J$6:J20,"&gt;0"),"")</f>
        <v/>
      </c>
    </row>
    <row r="21" customFormat="false" ht="15" hidden="false" customHeight="false" outlineLevel="0" collapsed="false">
      <c r="A21" s="52" t="str">
        <f aca="false">IF('Item Master'!A21="","",'Item Master'!A21)</f>
        <v/>
      </c>
      <c r="B21" s="53" t="str">
        <f aca="false">IF(A21="","",'Item Master'!B21)</f>
        <v/>
      </c>
      <c r="C21" s="42" t="str">
        <f aca="false">IF(A21="","",N('Item Master'!E21))</f>
        <v/>
      </c>
      <c r="D21" s="41" t="str">
        <f aca="false">IF(A21="","",N('Item Master'!H21))</f>
        <v/>
      </c>
      <c r="E21" s="42" t="str">
        <f aca="false">IF(A21="","",'Item Master'!I21)</f>
        <v/>
      </c>
      <c r="F21" s="41" t="str">
        <f aca="false">IF(A21="","",SUMIFS('Stock Register'!$J$7:$J$506,'Stock Register'!$C$7:$C$506,A21,'Stock Register'!$E$7:$E$506,"In"))</f>
        <v/>
      </c>
      <c r="G21" s="42" t="str">
        <f aca="false">IF(A21="","",'Item Master'!J21)</f>
        <v/>
      </c>
      <c r="H21" s="41" t="str">
        <f aca="false">IF(A21="","",SUMIFS('Stock Register'!$J$7:$J$506,'Stock Register'!$C$7:$C$506,A21,'Stock Register'!$E$7:$E$506,"Out"))</f>
        <v/>
      </c>
      <c r="I21" s="42" t="str">
        <f aca="false">IF(A21="","",'Item Master'!K21)</f>
        <v/>
      </c>
      <c r="J21" s="54" t="str">
        <f aca="false">IF(A21="","",ROUND(MAX(0,MIN(C21,I21-E21))*N('Item Master'!F21)+SUMIFS('Stock Register'!$P$7:$P$506,'Stock Register'!$C$7:$C$506,A21),0))</f>
        <v/>
      </c>
      <c r="K21" s="55" t="str">
        <f aca="false">IF(A21="","",IFERROR((D21+F21)/(C21+E21),0))</f>
        <v/>
      </c>
      <c r="L21" s="54" t="str">
        <f aca="false">IF(A21="","",ROUND(MAX(0,I21)*K21,0))</f>
        <v/>
      </c>
      <c r="M21" s="41" t="str">
        <f aca="false">IF(A21="","",D21+F21-J21)</f>
        <v/>
      </c>
      <c r="N21" s="41" t="str">
        <f aca="false">IF(A21="","",D21+F21-L21)</f>
        <v/>
      </c>
      <c r="O21" s="41" t="str">
        <f aca="false">IF(A21="","",H21-M21)</f>
        <v/>
      </c>
      <c r="P21" s="41" t="str">
        <f aca="false">IF(A21="","",H21-N21)</f>
        <v/>
      </c>
      <c r="Q21" s="9" t="str">
        <f aca="false">IF(AND(A21&lt;&gt;"",N(J21)&gt;0),COUNTIF($J$6:J21,"&gt;0"),"")</f>
        <v/>
      </c>
    </row>
    <row r="22" customFormat="false" ht="15" hidden="false" customHeight="false" outlineLevel="0" collapsed="false">
      <c r="A22" s="52" t="str">
        <f aca="false">IF('Item Master'!A22="","",'Item Master'!A22)</f>
        <v/>
      </c>
      <c r="B22" s="53" t="str">
        <f aca="false">IF(A22="","",'Item Master'!B22)</f>
        <v/>
      </c>
      <c r="C22" s="42" t="str">
        <f aca="false">IF(A22="","",N('Item Master'!E22))</f>
        <v/>
      </c>
      <c r="D22" s="41" t="str">
        <f aca="false">IF(A22="","",N('Item Master'!H22))</f>
        <v/>
      </c>
      <c r="E22" s="42" t="str">
        <f aca="false">IF(A22="","",'Item Master'!I22)</f>
        <v/>
      </c>
      <c r="F22" s="41" t="str">
        <f aca="false">IF(A22="","",SUMIFS('Stock Register'!$J$7:$J$506,'Stock Register'!$C$7:$C$506,A22,'Stock Register'!$E$7:$E$506,"In"))</f>
        <v/>
      </c>
      <c r="G22" s="42" t="str">
        <f aca="false">IF(A22="","",'Item Master'!J22)</f>
        <v/>
      </c>
      <c r="H22" s="41" t="str">
        <f aca="false">IF(A22="","",SUMIFS('Stock Register'!$J$7:$J$506,'Stock Register'!$C$7:$C$506,A22,'Stock Register'!$E$7:$E$506,"Out"))</f>
        <v/>
      </c>
      <c r="I22" s="42" t="str">
        <f aca="false">IF(A22="","",'Item Master'!K22)</f>
        <v/>
      </c>
      <c r="J22" s="54" t="str">
        <f aca="false">IF(A22="","",ROUND(MAX(0,MIN(C22,I22-E22))*N('Item Master'!F22)+SUMIFS('Stock Register'!$P$7:$P$506,'Stock Register'!$C$7:$C$506,A22),0))</f>
        <v/>
      </c>
      <c r="K22" s="55" t="str">
        <f aca="false">IF(A22="","",IFERROR((D22+F22)/(C22+E22),0))</f>
        <v/>
      </c>
      <c r="L22" s="54" t="str">
        <f aca="false">IF(A22="","",ROUND(MAX(0,I22)*K22,0))</f>
        <v/>
      </c>
      <c r="M22" s="41" t="str">
        <f aca="false">IF(A22="","",D22+F22-J22)</f>
        <v/>
      </c>
      <c r="N22" s="41" t="str">
        <f aca="false">IF(A22="","",D22+F22-L22)</f>
        <v/>
      </c>
      <c r="O22" s="41" t="str">
        <f aca="false">IF(A22="","",H22-M22)</f>
        <v/>
      </c>
      <c r="P22" s="41" t="str">
        <f aca="false">IF(A22="","",H22-N22)</f>
        <v/>
      </c>
      <c r="Q22" s="9" t="str">
        <f aca="false">IF(AND(A22&lt;&gt;"",N(J22)&gt;0),COUNTIF($J$6:J22,"&gt;0"),"")</f>
        <v/>
      </c>
    </row>
    <row r="23" customFormat="false" ht="15" hidden="false" customHeight="false" outlineLevel="0" collapsed="false">
      <c r="A23" s="52" t="str">
        <f aca="false">IF('Item Master'!A23="","",'Item Master'!A23)</f>
        <v/>
      </c>
      <c r="B23" s="53" t="str">
        <f aca="false">IF(A23="","",'Item Master'!B23)</f>
        <v/>
      </c>
      <c r="C23" s="42" t="str">
        <f aca="false">IF(A23="","",N('Item Master'!E23))</f>
        <v/>
      </c>
      <c r="D23" s="41" t="str">
        <f aca="false">IF(A23="","",N('Item Master'!H23))</f>
        <v/>
      </c>
      <c r="E23" s="42" t="str">
        <f aca="false">IF(A23="","",'Item Master'!I23)</f>
        <v/>
      </c>
      <c r="F23" s="41" t="str">
        <f aca="false">IF(A23="","",SUMIFS('Stock Register'!$J$7:$J$506,'Stock Register'!$C$7:$C$506,A23,'Stock Register'!$E$7:$E$506,"In"))</f>
        <v/>
      </c>
      <c r="G23" s="42" t="str">
        <f aca="false">IF(A23="","",'Item Master'!J23)</f>
        <v/>
      </c>
      <c r="H23" s="41" t="str">
        <f aca="false">IF(A23="","",SUMIFS('Stock Register'!$J$7:$J$506,'Stock Register'!$C$7:$C$506,A23,'Stock Register'!$E$7:$E$506,"Out"))</f>
        <v/>
      </c>
      <c r="I23" s="42" t="str">
        <f aca="false">IF(A23="","",'Item Master'!K23)</f>
        <v/>
      </c>
      <c r="J23" s="54" t="str">
        <f aca="false">IF(A23="","",ROUND(MAX(0,MIN(C23,I23-E23))*N('Item Master'!F23)+SUMIFS('Stock Register'!$P$7:$P$506,'Stock Register'!$C$7:$C$506,A23),0))</f>
        <v/>
      </c>
      <c r="K23" s="55" t="str">
        <f aca="false">IF(A23="","",IFERROR((D23+F23)/(C23+E23),0))</f>
        <v/>
      </c>
      <c r="L23" s="54" t="str">
        <f aca="false">IF(A23="","",ROUND(MAX(0,I23)*K23,0))</f>
        <v/>
      </c>
      <c r="M23" s="41" t="str">
        <f aca="false">IF(A23="","",D23+F23-J23)</f>
        <v/>
      </c>
      <c r="N23" s="41" t="str">
        <f aca="false">IF(A23="","",D23+F23-L23)</f>
        <v/>
      </c>
      <c r="O23" s="41" t="str">
        <f aca="false">IF(A23="","",H23-M23)</f>
        <v/>
      </c>
      <c r="P23" s="41" t="str">
        <f aca="false">IF(A23="","",H23-N23)</f>
        <v/>
      </c>
      <c r="Q23" s="9" t="str">
        <f aca="false">IF(AND(A23&lt;&gt;"",N(J23)&gt;0),COUNTIF($J$6:J23,"&gt;0"),"")</f>
        <v/>
      </c>
    </row>
    <row r="24" customFormat="false" ht="15" hidden="false" customHeight="false" outlineLevel="0" collapsed="false">
      <c r="A24" s="52" t="str">
        <f aca="false">IF('Item Master'!A24="","",'Item Master'!A24)</f>
        <v/>
      </c>
      <c r="B24" s="53" t="str">
        <f aca="false">IF(A24="","",'Item Master'!B24)</f>
        <v/>
      </c>
      <c r="C24" s="42" t="str">
        <f aca="false">IF(A24="","",N('Item Master'!E24))</f>
        <v/>
      </c>
      <c r="D24" s="41" t="str">
        <f aca="false">IF(A24="","",N('Item Master'!H24))</f>
        <v/>
      </c>
      <c r="E24" s="42" t="str">
        <f aca="false">IF(A24="","",'Item Master'!I24)</f>
        <v/>
      </c>
      <c r="F24" s="41" t="str">
        <f aca="false">IF(A24="","",SUMIFS('Stock Register'!$J$7:$J$506,'Stock Register'!$C$7:$C$506,A24,'Stock Register'!$E$7:$E$506,"In"))</f>
        <v/>
      </c>
      <c r="G24" s="42" t="str">
        <f aca="false">IF(A24="","",'Item Master'!J24)</f>
        <v/>
      </c>
      <c r="H24" s="41" t="str">
        <f aca="false">IF(A24="","",SUMIFS('Stock Register'!$J$7:$J$506,'Stock Register'!$C$7:$C$506,A24,'Stock Register'!$E$7:$E$506,"Out"))</f>
        <v/>
      </c>
      <c r="I24" s="42" t="str">
        <f aca="false">IF(A24="","",'Item Master'!K24)</f>
        <v/>
      </c>
      <c r="J24" s="54" t="str">
        <f aca="false">IF(A24="","",ROUND(MAX(0,MIN(C24,I24-E24))*N('Item Master'!F24)+SUMIFS('Stock Register'!$P$7:$P$506,'Stock Register'!$C$7:$C$506,A24),0))</f>
        <v/>
      </c>
      <c r="K24" s="55" t="str">
        <f aca="false">IF(A24="","",IFERROR((D24+F24)/(C24+E24),0))</f>
        <v/>
      </c>
      <c r="L24" s="54" t="str">
        <f aca="false">IF(A24="","",ROUND(MAX(0,I24)*K24,0))</f>
        <v/>
      </c>
      <c r="M24" s="41" t="str">
        <f aca="false">IF(A24="","",D24+F24-J24)</f>
        <v/>
      </c>
      <c r="N24" s="41" t="str">
        <f aca="false">IF(A24="","",D24+F24-L24)</f>
        <v/>
      </c>
      <c r="O24" s="41" t="str">
        <f aca="false">IF(A24="","",H24-M24)</f>
        <v/>
      </c>
      <c r="P24" s="41" t="str">
        <f aca="false">IF(A24="","",H24-N24)</f>
        <v/>
      </c>
      <c r="Q24" s="9" t="str">
        <f aca="false">IF(AND(A24&lt;&gt;"",N(J24)&gt;0),COUNTIF($J$6:J24,"&gt;0"),"")</f>
        <v/>
      </c>
    </row>
    <row r="25" customFormat="false" ht="15" hidden="false" customHeight="false" outlineLevel="0" collapsed="false">
      <c r="A25" s="52" t="str">
        <f aca="false">IF('Item Master'!A25="","",'Item Master'!A25)</f>
        <v/>
      </c>
      <c r="B25" s="53" t="str">
        <f aca="false">IF(A25="","",'Item Master'!B25)</f>
        <v/>
      </c>
      <c r="C25" s="42" t="str">
        <f aca="false">IF(A25="","",N('Item Master'!E25))</f>
        <v/>
      </c>
      <c r="D25" s="41" t="str">
        <f aca="false">IF(A25="","",N('Item Master'!H25))</f>
        <v/>
      </c>
      <c r="E25" s="42" t="str">
        <f aca="false">IF(A25="","",'Item Master'!I25)</f>
        <v/>
      </c>
      <c r="F25" s="41" t="str">
        <f aca="false">IF(A25="","",SUMIFS('Stock Register'!$J$7:$J$506,'Stock Register'!$C$7:$C$506,A25,'Stock Register'!$E$7:$E$506,"In"))</f>
        <v/>
      </c>
      <c r="G25" s="42" t="str">
        <f aca="false">IF(A25="","",'Item Master'!J25)</f>
        <v/>
      </c>
      <c r="H25" s="41" t="str">
        <f aca="false">IF(A25="","",SUMIFS('Stock Register'!$J$7:$J$506,'Stock Register'!$C$7:$C$506,A25,'Stock Register'!$E$7:$E$506,"Out"))</f>
        <v/>
      </c>
      <c r="I25" s="42" t="str">
        <f aca="false">IF(A25="","",'Item Master'!K25)</f>
        <v/>
      </c>
      <c r="J25" s="54" t="str">
        <f aca="false">IF(A25="","",ROUND(MAX(0,MIN(C25,I25-E25))*N('Item Master'!F25)+SUMIFS('Stock Register'!$P$7:$P$506,'Stock Register'!$C$7:$C$506,A25),0))</f>
        <v/>
      </c>
      <c r="K25" s="55" t="str">
        <f aca="false">IF(A25="","",IFERROR((D25+F25)/(C25+E25),0))</f>
        <v/>
      </c>
      <c r="L25" s="54" t="str">
        <f aca="false">IF(A25="","",ROUND(MAX(0,I25)*K25,0))</f>
        <v/>
      </c>
      <c r="M25" s="41" t="str">
        <f aca="false">IF(A25="","",D25+F25-J25)</f>
        <v/>
      </c>
      <c r="N25" s="41" t="str">
        <f aca="false">IF(A25="","",D25+F25-L25)</f>
        <v/>
      </c>
      <c r="O25" s="41" t="str">
        <f aca="false">IF(A25="","",H25-M25)</f>
        <v/>
      </c>
      <c r="P25" s="41" t="str">
        <f aca="false">IF(A25="","",H25-N25)</f>
        <v/>
      </c>
      <c r="Q25" s="9" t="str">
        <f aca="false">IF(AND(A25&lt;&gt;"",N(J25)&gt;0),COUNTIF($J$6:J25,"&gt;0"),"")</f>
        <v/>
      </c>
    </row>
    <row r="26" customFormat="false" ht="15" hidden="false" customHeight="false" outlineLevel="0" collapsed="false">
      <c r="A26" s="52" t="str">
        <f aca="false">IF('Item Master'!A26="","",'Item Master'!A26)</f>
        <v/>
      </c>
      <c r="B26" s="53" t="str">
        <f aca="false">IF(A26="","",'Item Master'!B26)</f>
        <v/>
      </c>
      <c r="C26" s="42" t="str">
        <f aca="false">IF(A26="","",N('Item Master'!E26))</f>
        <v/>
      </c>
      <c r="D26" s="41" t="str">
        <f aca="false">IF(A26="","",N('Item Master'!H26))</f>
        <v/>
      </c>
      <c r="E26" s="42" t="str">
        <f aca="false">IF(A26="","",'Item Master'!I26)</f>
        <v/>
      </c>
      <c r="F26" s="41" t="str">
        <f aca="false">IF(A26="","",SUMIFS('Stock Register'!$J$7:$J$506,'Stock Register'!$C$7:$C$506,A26,'Stock Register'!$E$7:$E$506,"In"))</f>
        <v/>
      </c>
      <c r="G26" s="42" t="str">
        <f aca="false">IF(A26="","",'Item Master'!J26)</f>
        <v/>
      </c>
      <c r="H26" s="41" t="str">
        <f aca="false">IF(A26="","",SUMIFS('Stock Register'!$J$7:$J$506,'Stock Register'!$C$7:$C$506,A26,'Stock Register'!$E$7:$E$506,"Out"))</f>
        <v/>
      </c>
      <c r="I26" s="42" t="str">
        <f aca="false">IF(A26="","",'Item Master'!K26)</f>
        <v/>
      </c>
      <c r="J26" s="54" t="str">
        <f aca="false">IF(A26="","",ROUND(MAX(0,MIN(C26,I26-E26))*N('Item Master'!F26)+SUMIFS('Stock Register'!$P$7:$P$506,'Stock Register'!$C$7:$C$506,A26),0))</f>
        <v/>
      </c>
      <c r="K26" s="55" t="str">
        <f aca="false">IF(A26="","",IFERROR((D26+F26)/(C26+E26),0))</f>
        <v/>
      </c>
      <c r="L26" s="54" t="str">
        <f aca="false">IF(A26="","",ROUND(MAX(0,I26)*K26,0))</f>
        <v/>
      </c>
      <c r="M26" s="41" t="str">
        <f aca="false">IF(A26="","",D26+F26-J26)</f>
        <v/>
      </c>
      <c r="N26" s="41" t="str">
        <f aca="false">IF(A26="","",D26+F26-L26)</f>
        <v/>
      </c>
      <c r="O26" s="41" t="str">
        <f aca="false">IF(A26="","",H26-M26)</f>
        <v/>
      </c>
      <c r="P26" s="41" t="str">
        <f aca="false">IF(A26="","",H26-N26)</f>
        <v/>
      </c>
      <c r="Q26" s="9" t="str">
        <f aca="false">IF(AND(A26&lt;&gt;"",N(J26)&gt;0),COUNTIF($J$6:J26,"&gt;0"),"")</f>
        <v/>
      </c>
    </row>
    <row r="27" customFormat="false" ht="15" hidden="false" customHeight="false" outlineLevel="0" collapsed="false">
      <c r="A27" s="52" t="str">
        <f aca="false">IF('Item Master'!A27="","",'Item Master'!A27)</f>
        <v/>
      </c>
      <c r="B27" s="53" t="str">
        <f aca="false">IF(A27="","",'Item Master'!B27)</f>
        <v/>
      </c>
      <c r="C27" s="42" t="str">
        <f aca="false">IF(A27="","",N('Item Master'!E27))</f>
        <v/>
      </c>
      <c r="D27" s="41" t="str">
        <f aca="false">IF(A27="","",N('Item Master'!H27))</f>
        <v/>
      </c>
      <c r="E27" s="42" t="str">
        <f aca="false">IF(A27="","",'Item Master'!I27)</f>
        <v/>
      </c>
      <c r="F27" s="41" t="str">
        <f aca="false">IF(A27="","",SUMIFS('Stock Register'!$J$7:$J$506,'Stock Register'!$C$7:$C$506,A27,'Stock Register'!$E$7:$E$506,"In"))</f>
        <v/>
      </c>
      <c r="G27" s="42" t="str">
        <f aca="false">IF(A27="","",'Item Master'!J27)</f>
        <v/>
      </c>
      <c r="H27" s="41" t="str">
        <f aca="false">IF(A27="","",SUMIFS('Stock Register'!$J$7:$J$506,'Stock Register'!$C$7:$C$506,A27,'Stock Register'!$E$7:$E$506,"Out"))</f>
        <v/>
      </c>
      <c r="I27" s="42" t="str">
        <f aca="false">IF(A27="","",'Item Master'!K27)</f>
        <v/>
      </c>
      <c r="J27" s="54" t="str">
        <f aca="false">IF(A27="","",ROUND(MAX(0,MIN(C27,I27-E27))*N('Item Master'!F27)+SUMIFS('Stock Register'!$P$7:$P$506,'Stock Register'!$C$7:$C$506,A27),0))</f>
        <v/>
      </c>
      <c r="K27" s="55" t="str">
        <f aca="false">IF(A27="","",IFERROR((D27+F27)/(C27+E27),0))</f>
        <v/>
      </c>
      <c r="L27" s="54" t="str">
        <f aca="false">IF(A27="","",ROUND(MAX(0,I27)*K27,0))</f>
        <v/>
      </c>
      <c r="M27" s="41" t="str">
        <f aca="false">IF(A27="","",D27+F27-J27)</f>
        <v/>
      </c>
      <c r="N27" s="41" t="str">
        <f aca="false">IF(A27="","",D27+F27-L27)</f>
        <v/>
      </c>
      <c r="O27" s="41" t="str">
        <f aca="false">IF(A27="","",H27-M27)</f>
        <v/>
      </c>
      <c r="P27" s="41" t="str">
        <f aca="false">IF(A27="","",H27-N27)</f>
        <v/>
      </c>
      <c r="Q27" s="9" t="str">
        <f aca="false">IF(AND(A27&lt;&gt;"",N(J27)&gt;0),COUNTIF($J$6:J27,"&gt;0"),"")</f>
        <v/>
      </c>
    </row>
    <row r="28" customFormat="false" ht="15" hidden="false" customHeight="false" outlineLevel="0" collapsed="false">
      <c r="A28" s="52" t="str">
        <f aca="false">IF('Item Master'!A28="","",'Item Master'!A28)</f>
        <v/>
      </c>
      <c r="B28" s="53" t="str">
        <f aca="false">IF(A28="","",'Item Master'!B28)</f>
        <v/>
      </c>
      <c r="C28" s="42" t="str">
        <f aca="false">IF(A28="","",N('Item Master'!E28))</f>
        <v/>
      </c>
      <c r="D28" s="41" t="str">
        <f aca="false">IF(A28="","",N('Item Master'!H28))</f>
        <v/>
      </c>
      <c r="E28" s="42" t="str">
        <f aca="false">IF(A28="","",'Item Master'!I28)</f>
        <v/>
      </c>
      <c r="F28" s="41" t="str">
        <f aca="false">IF(A28="","",SUMIFS('Stock Register'!$J$7:$J$506,'Stock Register'!$C$7:$C$506,A28,'Stock Register'!$E$7:$E$506,"In"))</f>
        <v/>
      </c>
      <c r="G28" s="42" t="str">
        <f aca="false">IF(A28="","",'Item Master'!J28)</f>
        <v/>
      </c>
      <c r="H28" s="41" t="str">
        <f aca="false">IF(A28="","",SUMIFS('Stock Register'!$J$7:$J$506,'Stock Register'!$C$7:$C$506,A28,'Stock Register'!$E$7:$E$506,"Out"))</f>
        <v/>
      </c>
      <c r="I28" s="42" t="str">
        <f aca="false">IF(A28="","",'Item Master'!K28)</f>
        <v/>
      </c>
      <c r="J28" s="54" t="str">
        <f aca="false">IF(A28="","",ROUND(MAX(0,MIN(C28,I28-E28))*N('Item Master'!F28)+SUMIFS('Stock Register'!$P$7:$P$506,'Stock Register'!$C$7:$C$506,A28),0))</f>
        <v/>
      </c>
      <c r="K28" s="55" t="str">
        <f aca="false">IF(A28="","",IFERROR((D28+F28)/(C28+E28),0))</f>
        <v/>
      </c>
      <c r="L28" s="54" t="str">
        <f aca="false">IF(A28="","",ROUND(MAX(0,I28)*K28,0))</f>
        <v/>
      </c>
      <c r="M28" s="41" t="str">
        <f aca="false">IF(A28="","",D28+F28-J28)</f>
        <v/>
      </c>
      <c r="N28" s="41" t="str">
        <f aca="false">IF(A28="","",D28+F28-L28)</f>
        <v/>
      </c>
      <c r="O28" s="41" t="str">
        <f aca="false">IF(A28="","",H28-M28)</f>
        <v/>
      </c>
      <c r="P28" s="41" t="str">
        <f aca="false">IF(A28="","",H28-N28)</f>
        <v/>
      </c>
      <c r="Q28" s="9" t="str">
        <f aca="false">IF(AND(A28&lt;&gt;"",N(J28)&gt;0),COUNTIF($J$6:J28,"&gt;0"),"")</f>
        <v/>
      </c>
    </row>
    <row r="29" customFormat="false" ht="15" hidden="false" customHeight="false" outlineLevel="0" collapsed="false">
      <c r="A29" s="52" t="str">
        <f aca="false">IF('Item Master'!A29="","",'Item Master'!A29)</f>
        <v/>
      </c>
      <c r="B29" s="53" t="str">
        <f aca="false">IF(A29="","",'Item Master'!B29)</f>
        <v/>
      </c>
      <c r="C29" s="42" t="str">
        <f aca="false">IF(A29="","",N('Item Master'!E29))</f>
        <v/>
      </c>
      <c r="D29" s="41" t="str">
        <f aca="false">IF(A29="","",N('Item Master'!H29))</f>
        <v/>
      </c>
      <c r="E29" s="42" t="str">
        <f aca="false">IF(A29="","",'Item Master'!I29)</f>
        <v/>
      </c>
      <c r="F29" s="41" t="str">
        <f aca="false">IF(A29="","",SUMIFS('Stock Register'!$J$7:$J$506,'Stock Register'!$C$7:$C$506,A29,'Stock Register'!$E$7:$E$506,"In"))</f>
        <v/>
      </c>
      <c r="G29" s="42" t="str">
        <f aca="false">IF(A29="","",'Item Master'!J29)</f>
        <v/>
      </c>
      <c r="H29" s="41" t="str">
        <f aca="false">IF(A29="","",SUMIFS('Stock Register'!$J$7:$J$506,'Stock Register'!$C$7:$C$506,A29,'Stock Register'!$E$7:$E$506,"Out"))</f>
        <v/>
      </c>
      <c r="I29" s="42" t="str">
        <f aca="false">IF(A29="","",'Item Master'!K29)</f>
        <v/>
      </c>
      <c r="J29" s="54" t="str">
        <f aca="false">IF(A29="","",ROUND(MAX(0,MIN(C29,I29-E29))*N('Item Master'!F29)+SUMIFS('Stock Register'!$P$7:$P$506,'Stock Register'!$C$7:$C$506,A29),0))</f>
        <v/>
      </c>
      <c r="K29" s="55" t="str">
        <f aca="false">IF(A29="","",IFERROR((D29+F29)/(C29+E29),0))</f>
        <v/>
      </c>
      <c r="L29" s="54" t="str">
        <f aca="false">IF(A29="","",ROUND(MAX(0,I29)*K29,0))</f>
        <v/>
      </c>
      <c r="M29" s="41" t="str">
        <f aca="false">IF(A29="","",D29+F29-J29)</f>
        <v/>
      </c>
      <c r="N29" s="41" t="str">
        <f aca="false">IF(A29="","",D29+F29-L29)</f>
        <v/>
      </c>
      <c r="O29" s="41" t="str">
        <f aca="false">IF(A29="","",H29-M29)</f>
        <v/>
      </c>
      <c r="P29" s="41" t="str">
        <f aca="false">IF(A29="","",H29-N29)</f>
        <v/>
      </c>
      <c r="Q29" s="9" t="str">
        <f aca="false">IF(AND(A29&lt;&gt;"",N(J29)&gt;0),COUNTIF($J$6:J29,"&gt;0"),"")</f>
        <v/>
      </c>
    </row>
    <row r="30" customFormat="false" ht="15" hidden="false" customHeight="false" outlineLevel="0" collapsed="false">
      <c r="A30" s="52" t="str">
        <f aca="false">IF('Item Master'!A30="","",'Item Master'!A30)</f>
        <v/>
      </c>
      <c r="B30" s="53" t="str">
        <f aca="false">IF(A30="","",'Item Master'!B30)</f>
        <v/>
      </c>
      <c r="C30" s="42" t="str">
        <f aca="false">IF(A30="","",N('Item Master'!E30))</f>
        <v/>
      </c>
      <c r="D30" s="41" t="str">
        <f aca="false">IF(A30="","",N('Item Master'!H30))</f>
        <v/>
      </c>
      <c r="E30" s="42" t="str">
        <f aca="false">IF(A30="","",'Item Master'!I30)</f>
        <v/>
      </c>
      <c r="F30" s="41" t="str">
        <f aca="false">IF(A30="","",SUMIFS('Stock Register'!$J$7:$J$506,'Stock Register'!$C$7:$C$506,A30,'Stock Register'!$E$7:$E$506,"In"))</f>
        <v/>
      </c>
      <c r="G30" s="42" t="str">
        <f aca="false">IF(A30="","",'Item Master'!J30)</f>
        <v/>
      </c>
      <c r="H30" s="41" t="str">
        <f aca="false">IF(A30="","",SUMIFS('Stock Register'!$J$7:$J$506,'Stock Register'!$C$7:$C$506,A30,'Stock Register'!$E$7:$E$506,"Out"))</f>
        <v/>
      </c>
      <c r="I30" s="42" t="str">
        <f aca="false">IF(A30="","",'Item Master'!K30)</f>
        <v/>
      </c>
      <c r="J30" s="54" t="str">
        <f aca="false">IF(A30="","",ROUND(MAX(0,MIN(C30,I30-E30))*N('Item Master'!F30)+SUMIFS('Stock Register'!$P$7:$P$506,'Stock Register'!$C$7:$C$506,A30),0))</f>
        <v/>
      </c>
      <c r="K30" s="55" t="str">
        <f aca="false">IF(A30="","",IFERROR((D30+F30)/(C30+E30),0))</f>
        <v/>
      </c>
      <c r="L30" s="54" t="str">
        <f aca="false">IF(A30="","",ROUND(MAX(0,I30)*K30,0))</f>
        <v/>
      </c>
      <c r="M30" s="41" t="str">
        <f aca="false">IF(A30="","",D30+F30-J30)</f>
        <v/>
      </c>
      <c r="N30" s="41" t="str">
        <f aca="false">IF(A30="","",D30+F30-L30)</f>
        <v/>
      </c>
      <c r="O30" s="41" t="str">
        <f aca="false">IF(A30="","",H30-M30)</f>
        <v/>
      </c>
      <c r="P30" s="41" t="str">
        <f aca="false">IF(A30="","",H30-N30)</f>
        <v/>
      </c>
      <c r="Q30" s="9" t="str">
        <f aca="false">IF(AND(A30&lt;&gt;"",N(J30)&gt;0),COUNTIF($J$6:J30,"&gt;0"),"")</f>
        <v/>
      </c>
    </row>
    <row r="31" customFormat="false" ht="15" hidden="false" customHeight="false" outlineLevel="0" collapsed="false">
      <c r="A31" s="52" t="str">
        <f aca="false">IF('Item Master'!A31="","",'Item Master'!A31)</f>
        <v/>
      </c>
      <c r="B31" s="53" t="str">
        <f aca="false">IF(A31="","",'Item Master'!B31)</f>
        <v/>
      </c>
      <c r="C31" s="42" t="str">
        <f aca="false">IF(A31="","",N('Item Master'!E31))</f>
        <v/>
      </c>
      <c r="D31" s="41" t="str">
        <f aca="false">IF(A31="","",N('Item Master'!H31))</f>
        <v/>
      </c>
      <c r="E31" s="42" t="str">
        <f aca="false">IF(A31="","",'Item Master'!I31)</f>
        <v/>
      </c>
      <c r="F31" s="41" t="str">
        <f aca="false">IF(A31="","",SUMIFS('Stock Register'!$J$7:$J$506,'Stock Register'!$C$7:$C$506,A31,'Stock Register'!$E$7:$E$506,"In"))</f>
        <v/>
      </c>
      <c r="G31" s="42" t="str">
        <f aca="false">IF(A31="","",'Item Master'!J31)</f>
        <v/>
      </c>
      <c r="H31" s="41" t="str">
        <f aca="false">IF(A31="","",SUMIFS('Stock Register'!$J$7:$J$506,'Stock Register'!$C$7:$C$506,A31,'Stock Register'!$E$7:$E$506,"Out"))</f>
        <v/>
      </c>
      <c r="I31" s="42" t="str">
        <f aca="false">IF(A31="","",'Item Master'!K31)</f>
        <v/>
      </c>
      <c r="J31" s="54" t="str">
        <f aca="false">IF(A31="","",ROUND(MAX(0,MIN(C31,I31-E31))*N('Item Master'!F31)+SUMIFS('Stock Register'!$P$7:$P$506,'Stock Register'!$C$7:$C$506,A31),0))</f>
        <v/>
      </c>
      <c r="K31" s="55" t="str">
        <f aca="false">IF(A31="","",IFERROR((D31+F31)/(C31+E31),0))</f>
        <v/>
      </c>
      <c r="L31" s="54" t="str">
        <f aca="false">IF(A31="","",ROUND(MAX(0,I31)*K31,0))</f>
        <v/>
      </c>
      <c r="M31" s="41" t="str">
        <f aca="false">IF(A31="","",D31+F31-J31)</f>
        <v/>
      </c>
      <c r="N31" s="41" t="str">
        <f aca="false">IF(A31="","",D31+F31-L31)</f>
        <v/>
      </c>
      <c r="O31" s="41" t="str">
        <f aca="false">IF(A31="","",H31-M31)</f>
        <v/>
      </c>
      <c r="P31" s="41" t="str">
        <f aca="false">IF(A31="","",H31-N31)</f>
        <v/>
      </c>
      <c r="Q31" s="9" t="str">
        <f aca="false">IF(AND(A31&lt;&gt;"",N(J31)&gt;0),COUNTIF($J$6:J31,"&gt;0"),"")</f>
        <v/>
      </c>
    </row>
    <row r="32" customFormat="false" ht="15" hidden="false" customHeight="false" outlineLevel="0" collapsed="false">
      <c r="A32" s="52" t="str">
        <f aca="false">IF('Item Master'!A32="","",'Item Master'!A32)</f>
        <v/>
      </c>
      <c r="B32" s="53" t="str">
        <f aca="false">IF(A32="","",'Item Master'!B32)</f>
        <v/>
      </c>
      <c r="C32" s="42" t="str">
        <f aca="false">IF(A32="","",N('Item Master'!E32))</f>
        <v/>
      </c>
      <c r="D32" s="41" t="str">
        <f aca="false">IF(A32="","",N('Item Master'!H32))</f>
        <v/>
      </c>
      <c r="E32" s="42" t="str">
        <f aca="false">IF(A32="","",'Item Master'!I32)</f>
        <v/>
      </c>
      <c r="F32" s="41" t="str">
        <f aca="false">IF(A32="","",SUMIFS('Stock Register'!$J$7:$J$506,'Stock Register'!$C$7:$C$506,A32,'Stock Register'!$E$7:$E$506,"In"))</f>
        <v/>
      </c>
      <c r="G32" s="42" t="str">
        <f aca="false">IF(A32="","",'Item Master'!J32)</f>
        <v/>
      </c>
      <c r="H32" s="41" t="str">
        <f aca="false">IF(A32="","",SUMIFS('Stock Register'!$J$7:$J$506,'Stock Register'!$C$7:$C$506,A32,'Stock Register'!$E$7:$E$506,"Out"))</f>
        <v/>
      </c>
      <c r="I32" s="42" t="str">
        <f aca="false">IF(A32="","",'Item Master'!K32)</f>
        <v/>
      </c>
      <c r="J32" s="54" t="str">
        <f aca="false">IF(A32="","",ROUND(MAX(0,MIN(C32,I32-E32))*N('Item Master'!F32)+SUMIFS('Stock Register'!$P$7:$P$506,'Stock Register'!$C$7:$C$506,A32),0))</f>
        <v/>
      </c>
      <c r="K32" s="55" t="str">
        <f aca="false">IF(A32="","",IFERROR((D32+F32)/(C32+E32),0))</f>
        <v/>
      </c>
      <c r="L32" s="54" t="str">
        <f aca="false">IF(A32="","",ROUND(MAX(0,I32)*K32,0))</f>
        <v/>
      </c>
      <c r="M32" s="41" t="str">
        <f aca="false">IF(A32="","",D32+F32-J32)</f>
        <v/>
      </c>
      <c r="N32" s="41" t="str">
        <f aca="false">IF(A32="","",D32+F32-L32)</f>
        <v/>
      </c>
      <c r="O32" s="41" t="str">
        <f aca="false">IF(A32="","",H32-M32)</f>
        <v/>
      </c>
      <c r="P32" s="41" t="str">
        <f aca="false">IF(A32="","",H32-N32)</f>
        <v/>
      </c>
      <c r="Q32" s="9" t="str">
        <f aca="false">IF(AND(A32&lt;&gt;"",N(J32)&gt;0),COUNTIF($J$6:J32,"&gt;0"),"")</f>
        <v/>
      </c>
    </row>
    <row r="33" customFormat="false" ht="15" hidden="false" customHeight="false" outlineLevel="0" collapsed="false">
      <c r="A33" s="52" t="str">
        <f aca="false">IF('Item Master'!A33="","",'Item Master'!A33)</f>
        <v/>
      </c>
      <c r="B33" s="53" t="str">
        <f aca="false">IF(A33="","",'Item Master'!B33)</f>
        <v/>
      </c>
      <c r="C33" s="42" t="str">
        <f aca="false">IF(A33="","",N('Item Master'!E33))</f>
        <v/>
      </c>
      <c r="D33" s="41" t="str">
        <f aca="false">IF(A33="","",N('Item Master'!H33))</f>
        <v/>
      </c>
      <c r="E33" s="42" t="str">
        <f aca="false">IF(A33="","",'Item Master'!I33)</f>
        <v/>
      </c>
      <c r="F33" s="41" t="str">
        <f aca="false">IF(A33="","",SUMIFS('Stock Register'!$J$7:$J$506,'Stock Register'!$C$7:$C$506,A33,'Stock Register'!$E$7:$E$506,"In"))</f>
        <v/>
      </c>
      <c r="G33" s="42" t="str">
        <f aca="false">IF(A33="","",'Item Master'!J33)</f>
        <v/>
      </c>
      <c r="H33" s="41" t="str">
        <f aca="false">IF(A33="","",SUMIFS('Stock Register'!$J$7:$J$506,'Stock Register'!$C$7:$C$506,A33,'Stock Register'!$E$7:$E$506,"Out"))</f>
        <v/>
      </c>
      <c r="I33" s="42" t="str">
        <f aca="false">IF(A33="","",'Item Master'!K33)</f>
        <v/>
      </c>
      <c r="J33" s="54" t="str">
        <f aca="false">IF(A33="","",ROUND(MAX(0,MIN(C33,I33-E33))*N('Item Master'!F33)+SUMIFS('Stock Register'!$P$7:$P$506,'Stock Register'!$C$7:$C$506,A33),0))</f>
        <v/>
      </c>
      <c r="K33" s="55" t="str">
        <f aca="false">IF(A33="","",IFERROR((D33+F33)/(C33+E33),0))</f>
        <v/>
      </c>
      <c r="L33" s="54" t="str">
        <f aca="false">IF(A33="","",ROUND(MAX(0,I33)*K33,0))</f>
        <v/>
      </c>
      <c r="M33" s="41" t="str">
        <f aca="false">IF(A33="","",D33+F33-J33)</f>
        <v/>
      </c>
      <c r="N33" s="41" t="str">
        <f aca="false">IF(A33="","",D33+F33-L33)</f>
        <v/>
      </c>
      <c r="O33" s="41" t="str">
        <f aca="false">IF(A33="","",H33-M33)</f>
        <v/>
      </c>
      <c r="P33" s="41" t="str">
        <f aca="false">IF(A33="","",H33-N33)</f>
        <v/>
      </c>
      <c r="Q33" s="9" t="str">
        <f aca="false">IF(AND(A33&lt;&gt;"",N(J33)&gt;0),COUNTIF($J$6:J33,"&gt;0"),"")</f>
        <v/>
      </c>
    </row>
    <row r="34" customFormat="false" ht="15" hidden="false" customHeight="false" outlineLevel="0" collapsed="false">
      <c r="A34" s="52" t="str">
        <f aca="false">IF('Item Master'!A34="","",'Item Master'!A34)</f>
        <v/>
      </c>
      <c r="B34" s="53" t="str">
        <f aca="false">IF(A34="","",'Item Master'!B34)</f>
        <v/>
      </c>
      <c r="C34" s="42" t="str">
        <f aca="false">IF(A34="","",N('Item Master'!E34))</f>
        <v/>
      </c>
      <c r="D34" s="41" t="str">
        <f aca="false">IF(A34="","",N('Item Master'!H34))</f>
        <v/>
      </c>
      <c r="E34" s="42" t="str">
        <f aca="false">IF(A34="","",'Item Master'!I34)</f>
        <v/>
      </c>
      <c r="F34" s="41" t="str">
        <f aca="false">IF(A34="","",SUMIFS('Stock Register'!$J$7:$J$506,'Stock Register'!$C$7:$C$506,A34,'Stock Register'!$E$7:$E$506,"In"))</f>
        <v/>
      </c>
      <c r="G34" s="42" t="str">
        <f aca="false">IF(A34="","",'Item Master'!J34)</f>
        <v/>
      </c>
      <c r="H34" s="41" t="str">
        <f aca="false">IF(A34="","",SUMIFS('Stock Register'!$J$7:$J$506,'Stock Register'!$C$7:$C$506,A34,'Stock Register'!$E$7:$E$506,"Out"))</f>
        <v/>
      </c>
      <c r="I34" s="42" t="str">
        <f aca="false">IF(A34="","",'Item Master'!K34)</f>
        <v/>
      </c>
      <c r="J34" s="54" t="str">
        <f aca="false">IF(A34="","",ROUND(MAX(0,MIN(C34,I34-E34))*N('Item Master'!F34)+SUMIFS('Stock Register'!$P$7:$P$506,'Stock Register'!$C$7:$C$506,A34),0))</f>
        <v/>
      </c>
      <c r="K34" s="55" t="str">
        <f aca="false">IF(A34="","",IFERROR((D34+F34)/(C34+E34),0))</f>
        <v/>
      </c>
      <c r="L34" s="54" t="str">
        <f aca="false">IF(A34="","",ROUND(MAX(0,I34)*K34,0))</f>
        <v/>
      </c>
      <c r="M34" s="41" t="str">
        <f aca="false">IF(A34="","",D34+F34-J34)</f>
        <v/>
      </c>
      <c r="N34" s="41" t="str">
        <f aca="false">IF(A34="","",D34+F34-L34)</f>
        <v/>
      </c>
      <c r="O34" s="41" t="str">
        <f aca="false">IF(A34="","",H34-M34)</f>
        <v/>
      </c>
      <c r="P34" s="41" t="str">
        <f aca="false">IF(A34="","",H34-N34)</f>
        <v/>
      </c>
      <c r="Q34" s="9" t="str">
        <f aca="false">IF(AND(A34&lt;&gt;"",N(J34)&gt;0),COUNTIF($J$6:J34,"&gt;0"),"")</f>
        <v/>
      </c>
    </row>
    <row r="35" customFormat="false" ht="15" hidden="false" customHeight="false" outlineLevel="0" collapsed="false">
      <c r="A35" s="52" t="str">
        <f aca="false">IF('Item Master'!A35="","",'Item Master'!A35)</f>
        <v/>
      </c>
      <c r="B35" s="53" t="str">
        <f aca="false">IF(A35="","",'Item Master'!B35)</f>
        <v/>
      </c>
      <c r="C35" s="42" t="str">
        <f aca="false">IF(A35="","",N('Item Master'!E35))</f>
        <v/>
      </c>
      <c r="D35" s="41" t="str">
        <f aca="false">IF(A35="","",N('Item Master'!H35))</f>
        <v/>
      </c>
      <c r="E35" s="42" t="str">
        <f aca="false">IF(A35="","",'Item Master'!I35)</f>
        <v/>
      </c>
      <c r="F35" s="41" t="str">
        <f aca="false">IF(A35="","",SUMIFS('Stock Register'!$J$7:$J$506,'Stock Register'!$C$7:$C$506,A35,'Stock Register'!$E$7:$E$506,"In"))</f>
        <v/>
      </c>
      <c r="G35" s="42" t="str">
        <f aca="false">IF(A35="","",'Item Master'!J35)</f>
        <v/>
      </c>
      <c r="H35" s="41" t="str">
        <f aca="false">IF(A35="","",SUMIFS('Stock Register'!$J$7:$J$506,'Stock Register'!$C$7:$C$506,A35,'Stock Register'!$E$7:$E$506,"Out"))</f>
        <v/>
      </c>
      <c r="I35" s="42" t="str">
        <f aca="false">IF(A35="","",'Item Master'!K35)</f>
        <v/>
      </c>
      <c r="J35" s="54" t="str">
        <f aca="false">IF(A35="","",ROUND(MAX(0,MIN(C35,I35-E35))*N('Item Master'!F35)+SUMIFS('Stock Register'!$P$7:$P$506,'Stock Register'!$C$7:$C$506,A35),0))</f>
        <v/>
      </c>
      <c r="K35" s="55" t="str">
        <f aca="false">IF(A35="","",IFERROR((D35+F35)/(C35+E35),0))</f>
        <v/>
      </c>
      <c r="L35" s="54" t="str">
        <f aca="false">IF(A35="","",ROUND(MAX(0,I35)*K35,0))</f>
        <v/>
      </c>
      <c r="M35" s="41" t="str">
        <f aca="false">IF(A35="","",D35+F35-J35)</f>
        <v/>
      </c>
      <c r="N35" s="41" t="str">
        <f aca="false">IF(A35="","",D35+F35-L35)</f>
        <v/>
      </c>
      <c r="O35" s="41" t="str">
        <f aca="false">IF(A35="","",H35-M35)</f>
        <v/>
      </c>
      <c r="P35" s="41" t="str">
        <f aca="false">IF(A35="","",H35-N35)</f>
        <v/>
      </c>
      <c r="Q35" s="9" t="str">
        <f aca="false">IF(AND(A35&lt;&gt;"",N(J35)&gt;0),COUNTIF($J$6:J35,"&gt;0"),"")</f>
        <v/>
      </c>
    </row>
    <row r="36" customFormat="false" ht="15" hidden="false" customHeight="false" outlineLevel="0" collapsed="false">
      <c r="A36" s="52" t="str">
        <f aca="false">IF('Item Master'!A36="","",'Item Master'!A36)</f>
        <v/>
      </c>
      <c r="B36" s="53" t="str">
        <f aca="false">IF(A36="","",'Item Master'!B36)</f>
        <v/>
      </c>
      <c r="C36" s="42" t="str">
        <f aca="false">IF(A36="","",N('Item Master'!E36))</f>
        <v/>
      </c>
      <c r="D36" s="41" t="str">
        <f aca="false">IF(A36="","",N('Item Master'!H36))</f>
        <v/>
      </c>
      <c r="E36" s="42" t="str">
        <f aca="false">IF(A36="","",'Item Master'!I36)</f>
        <v/>
      </c>
      <c r="F36" s="41" t="str">
        <f aca="false">IF(A36="","",SUMIFS('Stock Register'!$J$7:$J$506,'Stock Register'!$C$7:$C$506,A36,'Stock Register'!$E$7:$E$506,"In"))</f>
        <v/>
      </c>
      <c r="G36" s="42" t="str">
        <f aca="false">IF(A36="","",'Item Master'!J36)</f>
        <v/>
      </c>
      <c r="H36" s="41" t="str">
        <f aca="false">IF(A36="","",SUMIFS('Stock Register'!$J$7:$J$506,'Stock Register'!$C$7:$C$506,A36,'Stock Register'!$E$7:$E$506,"Out"))</f>
        <v/>
      </c>
      <c r="I36" s="42" t="str">
        <f aca="false">IF(A36="","",'Item Master'!K36)</f>
        <v/>
      </c>
      <c r="J36" s="54" t="str">
        <f aca="false">IF(A36="","",ROUND(MAX(0,MIN(C36,I36-E36))*N('Item Master'!F36)+SUMIFS('Stock Register'!$P$7:$P$506,'Stock Register'!$C$7:$C$506,A36),0))</f>
        <v/>
      </c>
      <c r="K36" s="55" t="str">
        <f aca="false">IF(A36="","",IFERROR((D36+F36)/(C36+E36),0))</f>
        <v/>
      </c>
      <c r="L36" s="54" t="str">
        <f aca="false">IF(A36="","",ROUND(MAX(0,I36)*K36,0))</f>
        <v/>
      </c>
      <c r="M36" s="41" t="str">
        <f aca="false">IF(A36="","",D36+F36-J36)</f>
        <v/>
      </c>
      <c r="N36" s="41" t="str">
        <f aca="false">IF(A36="","",D36+F36-L36)</f>
        <v/>
      </c>
      <c r="O36" s="41" t="str">
        <f aca="false">IF(A36="","",H36-M36)</f>
        <v/>
      </c>
      <c r="P36" s="41" t="str">
        <f aca="false">IF(A36="","",H36-N36)</f>
        <v/>
      </c>
      <c r="Q36" s="9" t="str">
        <f aca="false">IF(AND(A36&lt;&gt;"",N(J36)&gt;0),COUNTIF($J$6:J36,"&gt;0"),"")</f>
        <v/>
      </c>
    </row>
    <row r="37" customFormat="false" ht="15" hidden="false" customHeight="false" outlineLevel="0" collapsed="false">
      <c r="A37" s="52" t="str">
        <f aca="false">IF('Item Master'!A37="","",'Item Master'!A37)</f>
        <v/>
      </c>
      <c r="B37" s="53" t="str">
        <f aca="false">IF(A37="","",'Item Master'!B37)</f>
        <v/>
      </c>
      <c r="C37" s="42" t="str">
        <f aca="false">IF(A37="","",N('Item Master'!E37))</f>
        <v/>
      </c>
      <c r="D37" s="41" t="str">
        <f aca="false">IF(A37="","",N('Item Master'!H37))</f>
        <v/>
      </c>
      <c r="E37" s="42" t="str">
        <f aca="false">IF(A37="","",'Item Master'!I37)</f>
        <v/>
      </c>
      <c r="F37" s="41" t="str">
        <f aca="false">IF(A37="","",SUMIFS('Stock Register'!$J$7:$J$506,'Stock Register'!$C$7:$C$506,A37,'Stock Register'!$E$7:$E$506,"In"))</f>
        <v/>
      </c>
      <c r="G37" s="42" t="str">
        <f aca="false">IF(A37="","",'Item Master'!J37)</f>
        <v/>
      </c>
      <c r="H37" s="41" t="str">
        <f aca="false">IF(A37="","",SUMIFS('Stock Register'!$J$7:$J$506,'Stock Register'!$C$7:$C$506,A37,'Stock Register'!$E$7:$E$506,"Out"))</f>
        <v/>
      </c>
      <c r="I37" s="42" t="str">
        <f aca="false">IF(A37="","",'Item Master'!K37)</f>
        <v/>
      </c>
      <c r="J37" s="54" t="str">
        <f aca="false">IF(A37="","",ROUND(MAX(0,MIN(C37,I37-E37))*N('Item Master'!F37)+SUMIFS('Stock Register'!$P$7:$P$506,'Stock Register'!$C$7:$C$506,A37),0))</f>
        <v/>
      </c>
      <c r="K37" s="55" t="str">
        <f aca="false">IF(A37="","",IFERROR((D37+F37)/(C37+E37),0))</f>
        <v/>
      </c>
      <c r="L37" s="54" t="str">
        <f aca="false">IF(A37="","",ROUND(MAX(0,I37)*K37,0))</f>
        <v/>
      </c>
      <c r="M37" s="41" t="str">
        <f aca="false">IF(A37="","",D37+F37-J37)</f>
        <v/>
      </c>
      <c r="N37" s="41" t="str">
        <f aca="false">IF(A37="","",D37+F37-L37)</f>
        <v/>
      </c>
      <c r="O37" s="41" t="str">
        <f aca="false">IF(A37="","",H37-M37)</f>
        <v/>
      </c>
      <c r="P37" s="41" t="str">
        <f aca="false">IF(A37="","",H37-N37)</f>
        <v/>
      </c>
      <c r="Q37" s="9" t="str">
        <f aca="false">IF(AND(A37&lt;&gt;"",N(J37)&gt;0),COUNTIF($J$6:J37,"&gt;0"),"")</f>
        <v/>
      </c>
    </row>
    <row r="38" customFormat="false" ht="15" hidden="false" customHeight="false" outlineLevel="0" collapsed="false">
      <c r="A38" s="52" t="str">
        <f aca="false">IF('Item Master'!A38="","",'Item Master'!A38)</f>
        <v/>
      </c>
      <c r="B38" s="53" t="str">
        <f aca="false">IF(A38="","",'Item Master'!B38)</f>
        <v/>
      </c>
      <c r="C38" s="42" t="str">
        <f aca="false">IF(A38="","",N('Item Master'!E38))</f>
        <v/>
      </c>
      <c r="D38" s="41" t="str">
        <f aca="false">IF(A38="","",N('Item Master'!H38))</f>
        <v/>
      </c>
      <c r="E38" s="42" t="str">
        <f aca="false">IF(A38="","",'Item Master'!I38)</f>
        <v/>
      </c>
      <c r="F38" s="41" t="str">
        <f aca="false">IF(A38="","",SUMIFS('Stock Register'!$J$7:$J$506,'Stock Register'!$C$7:$C$506,A38,'Stock Register'!$E$7:$E$506,"In"))</f>
        <v/>
      </c>
      <c r="G38" s="42" t="str">
        <f aca="false">IF(A38="","",'Item Master'!J38)</f>
        <v/>
      </c>
      <c r="H38" s="41" t="str">
        <f aca="false">IF(A38="","",SUMIFS('Stock Register'!$J$7:$J$506,'Stock Register'!$C$7:$C$506,A38,'Stock Register'!$E$7:$E$506,"Out"))</f>
        <v/>
      </c>
      <c r="I38" s="42" t="str">
        <f aca="false">IF(A38="","",'Item Master'!K38)</f>
        <v/>
      </c>
      <c r="J38" s="54" t="str">
        <f aca="false">IF(A38="","",ROUND(MAX(0,MIN(C38,I38-E38))*N('Item Master'!F38)+SUMIFS('Stock Register'!$P$7:$P$506,'Stock Register'!$C$7:$C$506,A38),0))</f>
        <v/>
      </c>
      <c r="K38" s="55" t="str">
        <f aca="false">IF(A38="","",IFERROR((D38+F38)/(C38+E38),0))</f>
        <v/>
      </c>
      <c r="L38" s="54" t="str">
        <f aca="false">IF(A38="","",ROUND(MAX(0,I38)*K38,0))</f>
        <v/>
      </c>
      <c r="M38" s="41" t="str">
        <f aca="false">IF(A38="","",D38+F38-J38)</f>
        <v/>
      </c>
      <c r="N38" s="41" t="str">
        <f aca="false">IF(A38="","",D38+F38-L38)</f>
        <v/>
      </c>
      <c r="O38" s="41" t="str">
        <f aca="false">IF(A38="","",H38-M38)</f>
        <v/>
      </c>
      <c r="P38" s="41" t="str">
        <f aca="false">IF(A38="","",H38-N38)</f>
        <v/>
      </c>
      <c r="Q38" s="9" t="str">
        <f aca="false">IF(AND(A38&lt;&gt;"",N(J38)&gt;0),COUNTIF($J$6:J38,"&gt;0"),"")</f>
        <v/>
      </c>
    </row>
    <row r="39" customFormat="false" ht="15" hidden="false" customHeight="false" outlineLevel="0" collapsed="false">
      <c r="A39" s="52" t="str">
        <f aca="false">IF('Item Master'!A39="","",'Item Master'!A39)</f>
        <v/>
      </c>
      <c r="B39" s="53" t="str">
        <f aca="false">IF(A39="","",'Item Master'!B39)</f>
        <v/>
      </c>
      <c r="C39" s="42" t="str">
        <f aca="false">IF(A39="","",N('Item Master'!E39))</f>
        <v/>
      </c>
      <c r="D39" s="41" t="str">
        <f aca="false">IF(A39="","",N('Item Master'!H39))</f>
        <v/>
      </c>
      <c r="E39" s="42" t="str">
        <f aca="false">IF(A39="","",'Item Master'!I39)</f>
        <v/>
      </c>
      <c r="F39" s="41" t="str">
        <f aca="false">IF(A39="","",SUMIFS('Stock Register'!$J$7:$J$506,'Stock Register'!$C$7:$C$506,A39,'Stock Register'!$E$7:$E$506,"In"))</f>
        <v/>
      </c>
      <c r="G39" s="42" t="str">
        <f aca="false">IF(A39="","",'Item Master'!J39)</f>
        <v/>
      </c>
      <c r="H39" s="41" t="str">
        <f aca="false">IF(A39="","",SUMIFS('Stock Register'!$J$7:$J$506,'Stock Register'!$C$7:$C$506,A39,'Stock Register'!$E$7:$E$506,"Out"))</f>
        <v/>
      </c>
      <c r="I39" s="42" t="str">
        <f aca="false">IF(A39="","",'Item Master'!K39)</f>
        <v/>
      </c>
      <c r="J39" s="54" t="str">
        <f aca="false">IF(A39="","",ROUND(MAX(0,MIN(C39,I39-E39))*N('Item Master'!F39)+SUMIFS('Stock Register'!$P$7:$P$506,'Stock Register'!$C$7:$C$506,A39),0))</f>
        <v/>
      </c>
      <c r="K39" s="55" t="str">
        <f aca="false">IF(A39="","",IFERROR((D39+F39)/(C39+E39),0))</f>
        <v/>
      </c>
      <c r="L39" s="54" t="str">
        <f aca="false">IF(A39="","",ROUND(MAX(0,I39)*K39,0))</f>
        <v/>
      </c>
      <c r="M39" s="41" t="str">
        <f aca="false">IF(A39="","",D39+F39-J39)</f>
        <v/>
      </c>
      <c r="N39" s="41" t="str">
        <f aca="false">IF(A39="","",D39+F39-L39)</f>
        <v/>
      </c>
      <c r="O39" s="41" t="str">
        <f aca="false">IF(A39="","",H39-M39)</f>
        <v/>
      </c>
      <c r="P39" s="41" t="str">
        <f aca="false">IF(A39="","",H39-N39)</f>
        <v/>
      </c>
      <c r="Q39" s="9" t="str">
        <f aca="false">IF(AND(A39&lt;&gt;"",N(J39)&gt;0),COUNTIF($J$6:J39,"&gt;0"),"")</f>
        <v/>
      </c>
    </row>
    <row r="40" customFormat="false" ht="15" hidden="false" customHeight="false" outlineLevel="0" collapsed="false">
      <c r="A40" s="52" t="str">
        <f aca="false">IF('Item Master'!A40="","",'Item Master'!A40)</f>
        <v/>
      </c>
      <c r="B40" s="53" t="str">
        <f aca="false">IF(A40="","",'Item Master'!B40)</f>
        <v/>
      </c>
      <c r="C40" s="42" t="str">
        <f aca="false">IF(A40="","",N('Item Master'!E40))</f>
        <v/>
      </c>
      <c r="D40" s="41" t="str">
        <f aca="false">IF(A40="","",N('Item Master'!H40))</f>
        <v/>
      </c>
      <c r="E40" s="42" t="str">
        <f aca="false">IF(A40="","",'Item Master'!I40)</f>
        <v/>
      </c>
      <c r="F40" s="41" t="str">
        <f aca="false">IF(A40="","",SUMIFS('Stock Register'!$J$7:$J$506,'Stock Register'!$C$7:$C$506,A40,'Stock Register'!$E$7:$E$506,"In"))</f>
        <v/>
      </c>
      <c r="G40" s="42" t="str">
        <f aca="false">IF(A40="","",'Item Master'!J40)</f>
        <v/>
      </c>
      <c r="H40" s="41" t="str">
        <f aca="false">IF(A40="","",SUMIFS('Stock Register'!$J$7:$J$506,'Stock Register'!$C$7:$C$506,A40,'Stock Register'!$E$7:$E$506,"Out"))</f>
        <v/>
      </c>
      <c r="I40" s="42" t="str">
        <f aca="false">IF(A40="","",'Item Master'!K40)</f>
        <v/>
      </c>
      <c r="J40" s="54" t="str">
        <f aca="false">IF(A40="","",ROUND(MAX(0,MIN(C40,I40-E40))*N('Item Master'!F40)+SUMIFS('Stock Register'!$P$7:$P$506,'Stock Register'!$C$7:$C$506,A40),0))</f>
        <v/>
      </c>
      <c r="K40" s="55" t="str">
        <f aca="false">IF(A40="","",IFERROR((D40+F40)/(C40+E40),0))</f>
        <v/>
      </c>
      <c r="L40" s="54" t="str">
        <f aca="false">IF(A40="","",ROUND(MAX(0,I40)*K40,0))</f>
        <v/>
      </c>
      <c r="M40" s="41" t="str">
        <f aca="false">IF(A40="","",D40+F40-J40)</f>
        <v/>
      </c>
      <c r="N40" s="41" t="str">
        <f aca="false">IF(A40="","",D40+F40-L40)</f>
        <v/>
      </c>
      <c r="O40" s="41" t="str">
        <f aca="false">IF(A40="","",H40-M40)</f>
        <v/>
      </c>
      <c r="P40" s="41" t="str">
        <f aca="false">IF(A40="","",H40-N40)</f>
        <v/>
      </c>
      <c r="Q40" s="9" t="str">
        <f aca="false">IF(AND(A40&lt;&gt;"",N(J40)&gt;0),COUNTIF($J$6:J40,"&gt;0"),"")</f>
        <v/>
      </c>
    </row>
    <row r="41" customFormat="false" ht="15" hidden="false" customHeight="false" outlineLevel="0" collapsed="false">
      <c r="A41" s="52" t="str">
        <f aca="false">IF('Item Master'!A41="","",'Item Master'!A41)</f>
        <v/>
      </c>
      <c r="B41" s="53" t="str">
        <f aca="false">IF(A41="","",'Item Master'!B41)</f>
        <v/>
      </c>
      <c r="C41" s="42" t="str">
        <f aca="false">IF(A41="","",N('Item Master'!E41))</f>
        <v/>
      </c>
      <c r="D41" s="41" t="str">
        <f aca="false">IF(A41="","",N('Item Master'!H41))</f>
        <v/>
      </c>
      <c r="E41" s="42" t="str">
        <f aca="false">IF(A41="","",'Item Master'!I41)</f>
        <v/>
      </c>
      <c r="F41" s="41" t="str">
        <f aca="false">IF(A41="","",SUMIFS('Stock Register'!$J$7:$J$506,'Stock Register'!$C$7:$C$506,A41,'Stock Register'!$E$7:$E$506,"In"))</f>
        <v/>
      </c>
      <c r="G41" s="42" t="str">
        <f aca="false">IF(A41="","",'Item Master'!J41)</f>
        <v/>
      </c>
      <c r="H41" s="41" t="str">
        <f aca="false">IF(A41="","",SUMIFS('Stock Register'!$J$7:$J$506,'Stock Register'!$C$7:$C$506,A41,'Stock Register'!$E$7:$E$506,"Out"))</f>
        <v/>
      </c>
      <c r="I41" s="42" t="str">
        <f aca="false">IF(A41="","",'Item Master'!K41)</f>
        <v/>
      </c>
      <c r="J41" s="54" t="str">
        <f aca="false">IF(A41="","",ROUND(MAX(0,MIN(C41,I41-E41))*N('Item Master'!F41)+SUMIFS('Stock Register'!$P$7:$P$506,'Stock Register'!$C$7:$C$506,A41),0))</f>
        <v/>
      </c>
      <c r="K41" s="55" t="str">
        <f aca="false">IF(A41="","",IFERROR((D41+F41)/(C41+E41),0))</f>
        <v/>
      </c>
      <c r="L41" s="54" t="str">
        <f aca="false">IF(A41="","",ROUND(MAX(0,I41)*K41,0))</f>
        <v/>
      </c>
      <c r="M41" s="41" t="str">
        <f aca="false">IF(A41="","",D41+F41-J41)</f>
        <v/>
      </c>
      <c r="N41" s="41" t="str">
        <f aca="false">IF(A41="","",D41+F41-L41)</f>
        <v/>
      </c>
      <c r="O41" s="41" t="str">
        <f aca="false">IF(A41="","",H41-M41)</f>
        <v/>
      </c>
      <c r="P41" s="41" t="str">
        <f aca="false">IF(A41="","",H41-N41)</f>
        <v/>
      </c>
      <c r="Q41" s="9" t="str">
        <f aca="false">IF(AND(A41&lt;&gt;"",N(J41)&gt;0),COUNTIF($J$6:J41,"&gt;0"),"")</f>
        <v/>
      </c>
    </row>
    <row r="42" customFormat="false" ht="15" hidden="false" customHeight="false" outlineLevel="0" collapsed="false">
      <c r="A42" s="52" t="str">
        <f aca="false">IF('Item Master'!A42="","",'Item Master'!A42)</f>
        <v/>
      </c>
      <c r="B42" s="53" t="str">
        <f aca="false">IF(A42="","",'Item Master'!B42)</f>
        <v/>
      </c>
      <c r="C42" s="42" t="str">
        <f aca="false">IF(A42="","",N('Item Master'!E42))</f>
        <v/>
      </c>
      <c r="D42" s="41" t="str">
        <f aca="false">IF(A42="","",N('Item Master'!H42))</f>
        <v/>
      </c>
      <c r="E42" s="42" t="str">
        <f aca="false">IF(A42="","",'Item Master'!I42)</f>
        <v/>
      </c>
      <c r="F42" s="41" t="str">
        <f aca="false">IF(A42="","",SUMIFS('Stock Register'!$J$7:$J$506,'Stock Register'!$C$7:$C$506,A42,'Stock Register'!$E$7:$E$506,"In"))</f>
        <v/>
      </c>
      <c r="G42" s="42" t="str">
        <f aca="false">IF(A42="","",'Item Master'!J42)</f>
        <v/>
      </c>
      <c r="H42" s="41" t="str">
        <f aca="false">IF(A42="","",SUMIFS('Stock Register'!$J$7:$J$506,'Stock Register'!$C$7:$C$506,A42,'Stock Register'!$E$7:$E$506,"Out"))</f>
        <v/>
      </c>
      <c r="I42" s="42" t="str">
        <f aca="false">IF(A42="","",'Item Master'!K42)</f>
        <v/>
      </c>
      <c r="J42" s="54" t="str">
        <f aca="false">IF(A42="","",ROUND(MAX(0,MIN(C42,I42-E42))*N('Item Master'!F42)+SUMIFS('Stock Register'!$P$7:$P$506,'Stock Register'!$C$7:$C$506,A42),0))</f>
        <v/>
      </c>
      <c r="K42" s="55" t="str">
        <f aca="false">IF(A42="","",IFERROR((D42+F42)/(C42+E42),0))</f>
        <v/>
      </c>
      <c r="L42" s="54" t="str">
        <f aca="false">IF(A42="","",ROUND(MAX(0,I42)*K42,0))</f>
        <v/>
      </c>
      <c r="M42" s="41" t="str">
        <f aca="false">IF(A42="","",D42+F42-J42)</f>
        <v/>
      </c>
      <c r="N42" s="41" t="str">
        <f aca="false">IF(A42="","",D42+F42-L42)</f>
        <v/>
      </c>
      <c r="O42" s="41" t="str">
        <f aca="false">IF(A42="","",H42-M42)</f>
        <v/>
      </c>
      <c r="P42" s="41" t="str">
        <f aca="false">IF(A42="","",H42-N42)</f>
        <v/>
      </c>
      <c r="Q42" s="9" t="str">
        <f aca="false">IF(AND(A42&lt;&gt;"",N(J42)&gt;0),COUNTIF($J$6:J42,"&gt;0"),"")</f>
        <v/>
      </c>
    </row>
    <row r="43" customFormat="false" ht="15" hidden="false" customHeight="false" outlineLevel="0" collapsed="false">
      <c r="A43" s="52" t="str">
        <f aca="false">IF('Item Master'!A43="","",'Item Master'!A43)</f>
        <v/>
      </c>
      <c r="B43" s="53" t="str">
        <f aca="false">IF(A43="","",'Item Master'!B43)</f>
        <v/>
      </c>
      <c r="C43" s="42" t="str">
        <f aca="false">IF(A43="","",N('Item Master'!E43))</f>
        <v/>
      </c>
      <c r="D43" s="41" t="str">
        <f aca="false">IF(A43="","",N('Item Master'!H43))</f>
        <v/>
      </c>
      <c r="E43" s="42" t="str">
        <f aca="false">IF(A43="","",'Item Master'!I43)</f>
        <v/>
      </c>
      <c r="F43" s="41" t="str">
        <f aca="false">IF(A43="","",SUMIFS('Stock Register'!$J$7:$J$506,'Stock Register'!$C$7:$C$506,A43,'Stock Register'!$E$7:$E$506,"In"))</f>
        <v/>
      </c>
      <c r="G43" s="42" t="str">
        <f aca="false">IF(A43="","",'Item Master'!J43)</f>
        <v/>
      </c>
      <c r="H43" s="41" t="str">
        <f aca="false">IF(A43="","",SUMIFS('Stock Register'!$J$7:$J$506,'Stock Register'!$C$7:$C$506,A43,'Stock Register'!$E$7:$E$506,"Out"))</f>
        <v/>
      </c>
      <c r="I43" s="42" t="str">
        <f aca="false">IF(A43="","",'Item Master'!K43)</f>
        <v/>
      </c>
      <c r="J43" s="54" t="str">
        <f aca="false">IF(A43="","",ROUND(MAX(0,MIN(C43,I43-E43))*N('Item Master'!F43)+SUMIFS('Stock Register'!$P$7:$P$506,'Stock Register'!$C$7:$C$506,A43),0))</f>
        <v/>
      </c>
      <c r="K43" s="55" t="str">
        <f aca="false">IF(A43="","",IFERROR((D43+F43)/(C43+E43),0))</f>
        <v/>
      </c>
      <c r="L43" s="54" t="str">
        <f aca="false">IF(A43="","",ROUND(MAX(0,I43)*K43,0))</f>
        <v/>
      </c>
      <c r="M43" s="41" t="str">
        <f aca="false">IF(A43="","",D43+F43-J43)</f>
        <v/>
      </c>
      <c r="N43" s="41" t="str">
        <f aca="false">IF(A43="","",D43+F43-L43)</f>
        <v/>
      </c>
      <c r="O43" s="41" t="str">
        <f aca="false">IF(A43="","",H43-M43)</f>
        <v/>
      </c>
      <c r="P43" s="41" t="str">
        <f aca="false">IF(A43="","",H43-N43)</f>
        <v/>
      </c>
      <c r="Q43" s="9" t="str">
        <f aca="false">IF(AND(A43&lt;&gt;"",N(J43)&gt;0),COUNTIF($J$6:J43,"&gt;0"),"")</f>
        <v/>
      </c>
    </row>
    <row r="44" customFormat="false" ht="15" hidden="false" customHeight="false" outlineLevel="0" collapsed="false">
      <c r="A44" s="52" t="str">
        <f aca="false">IF('Item Master'!A44="","",'Item Master'!A44)</f>
        <v/>
      </c>
      <c r="B44" s="53" t="str">
        <f aca="false">IF(A44="","",'Item Master'!B44)</f>
        <v/>
      </c>
      <c r="C44" s="42" t="str">
        <f aca="false">IF(A44="","",N('Item Master'!E44))</f>
        <v/>
      </c>
      <c r="D44" s="41" t="str">
        <f aca="false">IF(A44="","",N('Item Master'!H44))</f>
        <v/>
      </c>
      <c r="E44" s="42" t="str">
        <f aca="false">IF(A44="","",'Item Master'!I44)</f>
        <v/>
      </c>
      <c r="F44" s="41" t="str">
        <f aca="false">IF(A44="","",SUMIFS('Stock Register'!$J$7:$J$506,'Stock Register'!$C$7:$C$506,A44,'Stock Register'!$E$7:$E$506,"In"))</f>
        <v/>
      </c>
      <c r="G44" s="42" t="str">
        <f aca="false">IF(A44="","",'Item Master'!J44)</f>
        <v/>
      </c>
      <c r="H44" s="41" t="str">
        <f aca="false">IF(A44="","",SUMIFS('Stock Register'!$J$7:$J$506,'Stock Register'!$C$7:$C$506,A44,'Stock Register'!$E$7:$E$506,"Out"))</f>
        <v/>
      </c>
      <c r="I44" s="42" t="str">
        <f aca="false">IF(A44="","",'Item Master'!K44)</f>
        <v/>
      </c>
      <c r="J44" s="54" t="str">
        <f aca="false">IF(A44="","",ROUND(MAX(0,MIN(C44,I44-E44))*N('Item Master'!F44)+SUMIFS('Stock Register'!$P$7:$P$506,'Stock Register'!$C$7:$C$506,A44),0))</f>
        <v/>
      </c>
      <c r="K44" s="55" t="str">
        <f aca="false">IF(A44="","",IFERROR((D44+F44)/(C44+E44),0))</f>
        <v/>
      </c>
      <c r="L44" s="54" t="str">
        <f aca="false">IF(A44="","",ROUND(MAX(0,I44)*K44,0))</f>
        <v/>
      </c>
      <c r="M44" s="41" t="str">
        <f aca="false">IF(A44="","",D44+F44-J44)</f>
        <v/>
      </c>
      <c r="N44" s="41" t="str">
        <f aca="false">IF(A44="","",D44+F44-L44)</f>
        <v/>
      </c>
      <c r="O44" s="41" t="str">
        <f aca="false">IF(A44="","",H44-M44)</f>
        <v/>
      </c>
      <c r="P44" s="41" t="str">
        <f aca="false">IF(A44="","",H44-N44)</f>
        <v/>
      </c>
      <c r="Q44" s="9" t="str">
        <f aca="false">IF(AND(A44&lt;&gt;"",N(J44)&gt;0),COUNTIF($J$6:J44,"&gt;0"),"")</f>
        <v/>
      </c>
    </row>
    <row r="45" customFormat="false" ht="15" hidden="false" customHeight="false" outlineLevel="0" collapsed="false">
      <c r="A45" s="52" t="str">
        <f aca="false">IF('Item Master'!A45="","",'Item Master'!A45)</f>
        <v/>
      </c>
      <c r="B45" s="53" t="str">
        <f aca="false">IF(A45="","",'Item Master'!B45)</f>
        <v/>
      </c>
      <c r="C45" s="42" t="str">
        <f aca="false">IF(A45="","",N('Item Master'!E45))</f>
        <v/>
      </c>
      <c r="D45" s="41" t="str">
        <f aca="false">IF(A45="","",N('Item Master'!H45))</f>
        <v/>
      </c>
      <c r="E45" s="42" t="str">
        <f aca="false">IF(A45="","",'Item Master'!I45)</f>
        <v/>
      </c>
      <c r="F45" s="41" t="str">
        <f aca="false">IF(A45="","",SUMIFS('Stock Register'!$J$7:$J$506,'Stock Register'!$C$7:$C$506,A45,'Stock Register'!$E$7:$E$506,"In"))</f>
        <v/>
      </c>
      <c r="G45" s="42" t="str">
        <f aca="false">IF(A45="","",'Item Master'!J45)</f>
        <v/>
      </c>
      <c r="H45" s="41" t="str">
        <f aca="false">IF(A45="","",SUMIFS('Stock Register'!$J$7:$J$506,'Stock Register'!$C$7:$C$506,A45,'Stock Register'!$E$7:$E$506,"Out"))</f>
        <v/>
      </c>
      <c r="I45" s="42" t="str">
        <f aca="false">IF(A45="","",'Item Master'!K45)</f>
        <v/>
      </c>
      <c r="J45" s="54" t="str">
        <f aca="false">IF(A45="","",ROUND(MAX(0,MIN(C45,I45-E45))*N('Item Master'!F45)+SUMIFS('Stock Register'!$P$7:$P$506,'Stock Register'!$C$7:$C$506,A45),0))</f>
        <v/>
      </c>
      <c r="K45" s="55" t="str">
        <f aca="false">IF(A45="","",IFERROR((D45+F45)/(C45+E45),0))</f>
        <v/>
      </c>
      <c r="L45" s="54" t="str">
        <f aca="false">IF(A45="","",ROUND(MAX(0,I45)*K45,0))</f>
        <v/>
      </c>
      <c r="M45" s="41" t="str">
        <f aca="false">IF(A45="","",D45+F45-J45)</f>
        <v/>
      </c>
      <c r="N45" s="41" t="str">
        <f aca="false">IF(A45="","",D45+F45-L45)</f>
        <v/>
      </c>
      <c r="O45" s="41" t="str">
        <f aca="false">IF(A45="","",H45-M45)</f>
        <v/>
      </c>
      <c r="P45" s="41" t="str">
        <f aca="false">IF(A45="","",H45-N45)</f>
        <v/>
      </c>
      <c r="Q45" s="9" t="str">
        <f aca="false">IF(AND(A45&lt;&gt;"",N(J45)&gt;0),COUNTIF($J$6:J45,"&gt;0"),"")</f>
        <v/>
      </c>
    </row>
    <row r="46" customFormat="false" ht="15" hidden="false" customHeight="false" outlineLevel="0" collapsed="false">
      <c r="A46" s="52" t="str">
        <f aca="false">IF('Item Master'!A46="","",'Item Master'!A46)</f>
        <v/>
      </c>
      <c r="B46" s="53" t="str">
        <f aca="false">IF(A46="","",'Item Master'!B46)</f>
        <v/>
      </c>
      <c r="C46" s="42" t="str">
        <f aca="false">IF(A46="","",N('Item Master'!E46))</f>
        <v/>
      </c>
      <c r="D46" s="41" t="str">
        <f aca="false">IF(A46="","",N('Item Master'!H46))</f>
        <v/>
      </c>
      <c r="E46" s="42" t="str">
        <f aca="false">IF(A46="","",'Item Master'!I46)</f>
        <v/>
      </c>
      <c r="F46" s="41" t="str">
        <f aca="false">IF(A46="","",SUMIFS('Stock Register'!$J$7:$J$506,'Stock Register'!$C$7:$C$506,A46,'Stock Register'!$E$7:$E$506,"In"))</f>
        <v/>
      </c>
      <c r="G46" s="42" t="str">
        <f aca="false">IF(A46="","",'Item Master'!J46)</f>
        <v/>
      </c>
      <c r="H46" s="41" t="str">
        <f aca="false">IF(A46="","",SUMIFS('Stock Register'!$J$7:$J$506,'Stock Register'!$C$7:$C$506,A46,'Stock Register'!$E$7:$E$506,"Out"))</f>
        <v/>
      </c>
      <c r="I46" s="42" t="str">
        <f aca="false">IF(A46="","",'Item Master'!K46)</f>
        <v/>
      </c>
      <c r="J46" s="54" t="str">
        <f aca="false">IF(A46="","",ROUND(MAX(0,MIN(C46,I46-E46))*N('Item Master'!F46)+SUMIFS('Stock Register'!$P$7:$P$506,'Stock Register'!$C$7:$C$506,A46),0))</f>
        <v/>
      </c>
      <c r="K46" s="55" t="str">
        <f aca="false">IF(A46="","",IFERROR((D46+F46)/(C46+E46),0))</f>
        <v/>
      </c>
      <c r="L46" s="54" t="str">
        <f aca="false">IF(A46="","",ROUND(MAX(0,I46)*K46,0))</f>
        <v/>
      </c>
      <c r="M46" s="41" t="str">
        <f aca="false">IF(A46="","",D46+F46-J46)</f>
        <v/>
      </c>
      <c r="N46" s="41" t="str">
        <f aca="false">IF(A46="","",D46+F46-L46)</f>
        <v/>
      </c>
      <c r="O46" s="41" t="str">
        <f aca="false">IF(A46="","",H46-M46)</f>
        <v/>
      </c>
      <c r="P46" s="41" t="str">
        <f aca="false">IF(A46="","",H46-N46)</f>
        <v/>
      </c>
      <c r="Q46" s="9" t="str">
        <f aca="false">IF(AND(A46&lt;&gt;"",N(J46)&gt;0),COUNTIF($J$6:J46,"&gt;0"),"")</f>
        <v/>
      </c>
    </row>
    <row r="47" customFormat="false" ht="15" hidden="false" customHeight="false" outlineLevel="0" collapsed="false">
      <c r="A47" s="52" t="str">
        <f aca="false">IF('Item Master'!A47="","",'Item Master'!A47)</f>
        <v/>
      </c>
      <c r="B47" s="53" t="str">
        <f aca="false">IF(A47="","",'Item Master'!B47)</f>
        <v/>
      </c>
      <c r="C47" s="42" t="str">
        <f aca="false">IF(A47="","",N('Item Master'!E47))</f>
        <v/>
      </c>
      <c r="D47" s="41" t="str">
        <f aca="false">IF(A47="","",N('Item Master'!H47))</f>
        <v/>
      </c>
      <c r="E47" s="42" t="str">
        <f aca="false">IF(A47="","",'Item Master'!I47)</f>
        <v/>
      </c>
      <c r="F47" s="41" t="str">
        <f aca="false">IF(A47="","",SUMIFS('Stock Register'!$J$7:$J$506,'Stock Register'!$C$7:$C$506,A47,'Stock Register'!$E$7:$E$506,"In"))</f>
        <v/>
      </c>
      <c r="G47" s="42" t="str">
        <f aca="false">IF(A47="","",'Item Master'!J47)</f>
        <v/>
      </c>
      <c r="H47" s="41" t="str">
        <f aca="false">IF(A47="","",SUMIFS('Stock Register'!$J$7:$J$506,'Stock Register'!$C$7:$C$506,A47,'Stock Register'!$E$7:$E$506,"Out"))</f>
        <v/>
      </c>
      <c r="I47" s="42" t="str">
        <f aca="false">IF(A47="","",'Item Master'!K47)</f>
        <v/>
      </c>
      <c r="J47" s="54" t="str">
        <f aca="false">IF(A47="","",ROUND(MAX(0,MIN(C47,I47-E47))*N('Item Master'!F47)+SUMIFS('Stock Register'!$P$7:$P$506,'Stock Register'!$C$7:$C$506,A47),0))</f>
        <v/>
      </c>
      <c r="K47" s="55" t="str">
        <f aca="false">IF(A47="","",IFERROR((D47+F47)/(C47+E47),0))</f>
        <v/>
      </c>
      <c r="L47" s="54" t="str">
        <f aca="false">IF(A47="","",ROUND(MAX(0,I47)*K47,0))</f>
        <v/>
      </c>
      <c r="M47" s="41" t="str">
        <f aca="false">IF(A47="","",D47+F47-J47)</f>
        <v/>
      </c>
      <c r="N47" s="41" t="str">
        <f aca="false">IF(A47="","",D47+F47-L47)</f>
        <v/>
      </c>
      <c r="O47" s="41" t="str">
        <f aca="false">IF(A47="","",H47-M47)</f>
        <v/>
      </c>
      <c r="P47" s="41" t="str">
        <f aca="false">IF(A47="","",H47-N47)</f>
        <v/>
      </c>
      <c r="Q47" s="9" t="str">
        <f aca="false">IF(AND(A47&lt;&gt;"",N(J47)&gt;0),COUNTIF($J$6:J47,"&gt;0"),"")</f>
        <v/>
      </c>
    </row>
    <row r="48" customFormat="false" ht="15" hidden="false" customHeight="false" outlineLevel="0" collapsed="false">
      <c r="A48" s="52" t="str">
        <f aca="false">IF('Item Master'!A48="","",'Item Master'!A48)</f>
        <v/>
      </c>
      <c r="B48" s="53" t="str">
        <f aca="false">IF(A48="","",'Item Master'!B48)</f>
        <v/>
      </c>
      <c r="C48" s="42" t="str">
        <f aca="false">IF(A48="","",N('Item Master'!E48))</f>
        <v/>
      </c>
      <c r="D48" s="41" t="str">
        <f aca="false">IF(A48="","",N('Item Master'!H48))</f>
        <v/>
      </c>
      <c r="E48" s="42" t="str">
        <f aca="false">IF(A48="","",'Item Master'!I48)</f>
        <v/>
      </c>
      <c r="F48" s="41" t="str">
        <f aca="false">IF(A48="","",SUMIFS('Stock Register'!$J$7:$J$506,'Stock Register'!$C$7:$C$506,A48,'Stock Register'!$E$7:$E$506,"In"))</f>
        <v/>
      </c>
      <c r="G48" s="42" t="str">
        <f aca="false">IF(A48="","",'Item Master'!J48)</f>
        <v/>
      </c>
      <c r="H48" s="41" t="str">
        <f aca="false">IF(A48="","",SUMIFS('Stock Register'!$J$7:$J$506,'Stock Register'!$C$7:$C$506,A48,'Stock Register'!$E$7:$E$506,"Out"))</f>
        <v/>
      </c>
      <c r="I48" s="42" t="str">
        <f aca="false">IF(A48="","",'Item Master'!K48)</f>
        <v/>
      </c>
      <c r="J48" s="54" t="str">
        <f aca="false">IF(A48="","",ROUND(MAX(0,MIN(C48,I48-E48))*N('Item Master'!F48)+SUMIFS('Stock Register'!$P$7:$P$506,'Stock Register'!$C$7:$C$506,A48),0))</f>
        <v/>
      </c>
      <c r="K48" s="55" t="str">
        <f aca="false">IF(A48="","",IFERROR((D48+F48)/(C48+E48),0))</f>
        <v/>
      </c>
      <c r="L48" s="54" t="str">
        <f aca="false">IF(A48="","",ROUND(MAX(0,I48)*K48,0))</f>
        <v/>
      </c>
      <c r="M48" s="41" t="str">
        <f aca="false">IF(A48="","",D48+F48-J48)</f>
        <v/>
      </c>
      <c r="N48" s="41" t="str">
        <f aca="false">IF(A48="","",D48+F48-L48)</f>
        <v/>
      </c>
      <c r="O48" s="41" t="str">
        <f aca="false">IF(A48="","",H48-M48)</f>
        <v/>
      </c>
      <c r="P48" s="41" t="str">
        <f aca="false">IF(A48="","",H48-N48)</f>
        <v/>
      </c>
      <c r="Q48" s="9" t="str">
        <f aca="false">IF(AND(A48&lt;&gt;"",N(J48)&gt;0),COUNTIF($J$6:J48,"&gt;0"),"")</f>
        <v/>
      </c>
    </row>
    <row r="49" customFormat="false" ht="15" hidden="false" customHeight="false" outlineLevel="0" collapsed="false">
      <c r="A49" s="52" t="str">
        <f aca="false">IF('Item Master'!A49="","",'Item Master'!A49)</f>
        <v/>
      </c>
      <c r="B49" s="53" t="str">
        <f aca="false">IF(A49="","",'Item Master'!B49)</f>
        <v/>
      </c>
      <c r="C49" s="42" t="str">
        <f aca="false">IF(A49="","",N('Item Master'!E49))</f>
        <v/>
      </c>
      <c r="D49" s="41" t="str">
        <f aca="false">IF(A49="","",N('Item Master'!H49))</f>
        <v/>
      </c>
      <c r="E49" s="42" t="str">
        <f aca="false">IF(A49="","",'Item Master'!I49)</f>
        <v/>
      </c>
      <c r="F49" s="41" t="str">
        <f aca="false">IF(A49="","",SUMIFS('Stock Register'!$J$7:$J$506,'Stock Register'!$C$7:$C$506,A49,'Stock Register'!$E$7:$E$506,"In"))</f>
        <v/>
      </c>
      <c r="G49" s="42" t="str">
        <f aca="false">IF(A49="","",'Item Master'!J49)</f>
        <v/>
      </c>
      <c r="H49" s="41" t="str">
        <f aca="false">IF(A49="","",SUMIFS('Stock Register'!$J$7:$J$506,'Stock Register'!$C$7:$C$506,A49,'Stock Register'!$E$7:$E$506,"Out"))</f>
        <v/>
      </c>
      <c r="I49" s="42" t="str">
        <f aca="false">IF(A49="","",'Item Master'!K49)</f>
        <v/>
      </c>
      <c r="J49" s="54" t="str">
        <f aca="false">IF(A49="","",ROUND(MAX(0,MIN(C49,I49-E49))*N('Item Master'!F49)+SUMIFS('Stock Register'!$P$7:$P$506,'Stock Register'!$C$7:$C$506,A49),0))</f>
        <v/>
      </c>
      <c r="K49" s="55" t="str">
        <f aca="false">IF(A49="","",IFERROR((D49+F49)/(C49+E49),0))</f>
        <v/>
      </c>
      <c r="L49" s="54" t="str">
        <f aca="false">IF(A49="","",ROUND(MAX(0,I49)*K49,0))</f>
        <v/>
      </c>
      <c r="M49" s="41" t="str">
        <f aca="false">IF(A49="","",D49+F49-J49)</f>
        <v/>
      </c>
      <c r="N49" s="41" t="str">
        <f aca="false">IF(A49="","",D49+F49-L49)</f>
        <v/>
      </c>
      <c r="O49" s="41" t="str">
        <f aca="false">IF(A49="","",H49-M49)</f>
        <v/>
      </c>
      <c r="P49" s="41" t="str">
        <f aca="false">IF(A49="","",H49-N49)</f>
        <v/>
      </c>
      <c r="Q49" s="9" t="str">
        <f aca="false">IF(AND(A49&lt;&gt;"",N(J49)&gt;0),COUNTIF($J$6:J49,"&gt;0"),"")</f>
        <v/>
      </c>
    </row>
    <row r="50" customFormat="false" ht="15" hidden="false" customHeight="false" outlineLevel="0" collapsed="false">
      <c r="A50" s="52" t="str">
        <f aca="false">IF('Item Master'!A50="","",'Item Master'!A50)</f>
        <v/>
      </c>
      <c r="B50" s="53" t="str">
        <f aca="false">IF(A50="","",'Item Master'!B50)</f>
        <v/>
      </c>
      <c r="C50" s="42" t="str">
        <f aca="false">IF(A50="","",N('Item Master'!E50))</f>
        <v/>
      </c>
      <c r="D50" s="41" t="str">
        <f aca="false">IF(A50="","",N('Item Master'!H50))</f>
        <v/>
      </c>
      <c r="E50" s="42" t="str">
        <f aca="false">IF(A50="","",'Item Master'!I50)</f>
        <v/>
      </c>
      <c r="F50" s="41" t="str">
        <f aca="false">IF(A50="","",SUMIFS('Stock Register'!$J$7:$J$506,'Stock Register'!$C$7:$C$506,A50,'Stock Register'!$E$7:$E$506,"In"))</f>
        <v/>
      </c>
      <c r="G50" s="42" t="str">
        <f aca="false">IF(A50="","",'Item Master'!J50)</f>
        <v/>
      </c>
      <c r="H50" s="41" t="str">
        <f aca="false">IF(A50="","",SUMIFS('Stock Register'!$J$7:$J$506,'Stock Register'!$C$7:$C$506,A50,'Stock Register'!$E$7:$E$506,"Out"))</f>
        <v/>
      </c>
      <c r="I50" s="42" t="str">
        <f aca="false">IF(A50="","",'Item Master'!K50)</f>
        <v/>
      </c>
      <c r="J50" s="54" t="str">
        <f aca="false">IF(A50="","",ROUND(MAX(0,MIN(C50,I50-E50))*N('Item Master'!F50)+SUMIFS('Stock Register'!$P$7:$P$506,'Stock Register'!$C$7:$C$506,A50),0))</f>
        <v/>
      </c>
      <c r="K50" s="55" t="str">
        <f aca="false">IF(A50="","",IFERROR((D50+F50)/(C50+E50),0))</f>
        <v/>
      </c>
      <c r="L50" s="54" t="str">
        <f aca="false">IF(A50="","",ROUND(MAX(0,I50)*K50,0))</f>
        <v/>
      </c>
      <c r="M50" s="41" t="str">
        <f aca="false">IF(A50="","",D50+F50-J50)</f>
        <v/>
      </c>
      <c r="N50" s="41" t="str">
        <f aca="false">IF(A50="","",D50+F50-L50)</f>
        <v/>
      </c>
      <c r="O50" s="41" t="str">
        <f aca="false">IF(A50="","",H50-M50)</f>
        <v/>
      </c>
      <c r="P50" s="41" t="str">
        <f aca="false">IF(A50="","",H50-N50)</f>
        <v/>
      </c>
      <c r="Q50" s="9" t="str">
        <f aca="false">IF(AND(A50&lt;&gt;"",N(J50)&gt;0),COUNTIF($J$6:J50,"&gt;0"),"")</f>
        <v/>
      </c>
    </row>
    <row r="51" customFormat="false" ht="15" hidden="false" customHeight="false" outlineLevel="0" collapsed="false">
      <c r="A51" s="52" t="str">
        <f aca="false">IF('Item Master'!A51="","",'Item Master'!A51)</f>
        <v/>
      </c>
      <c r="B51" s="53" t="str">
        <f aca="false">IF(A51="","",'Item Master'!B51)</f>
        <v/>
      </c>
      <c r="C51" s="42" t="str">
        <f aca="false">IF(A51="","",N('Item Master'!E51))</f>
        <v/>
      </c>
      <c r="D51" s="41" t="str">
        <f aca="false">IF(A51="","",N('Item Master'!H51))</f>
        <v/>
      </c>
      <c r="E51" s="42" t="str">
        <f aca="false">IF(A51="","",'Item Master'!I51)</f>
        <v/>
      </c>
      <c r="F51" s="41" t="str">
        <f aca="false">IF(A51="","",SUMIFS('Stock Register'!$J$7:$J$506,'Stock Register'!$C$7:$C$506,A51,'Stock Register'!$E$7:$E$506,"In"))</f>
        <v/>
      </c>
      <c r="G51" s="42" t="str">
        <f aca="false">IF(A51="","",'Item Master'!J51)</f>
        <v/>
      </c>
      <c r="H51" s="41" t="str">
        <f aca="false">IF(A51="","",SUMIFS('Stock Register'!$J$7:$J$506,'Stock Register'!$C$7:$C$506,A51,'Stock Register'!$E$7:$E$506,"Out"))</f>
        <v/>
      </c>
      <c r="I51" s="42" t="str">
        <f aca="false">IF(A51="","",'Item Master'!K51)</f>
        <v/>
      </c>
      <c r="J51" s="54" t="str">
        <f aca="false">IF(A51="","",ROUND(MAX(0,MIN(C51,I51-E51))*N('Item Master'!F51)+SUMIFS('Stock Register'!$P$7:$P$506,'Stock Register'!$C$7:$C$506,A51),0))</f>
        <v/>
      </c>
      <c r="K51" s="55" t="str">
        <f aca="false">IF(A51="","",IFERROR((D51+F51)/(C51+E51),0))</f>
        <v/>
      </c>
      <c r="L51" s="54" t="str">
        <f aca="false">IF(A51="","",ROUND(MAX(0,I51)*K51,0))</f>
        <v/>
      </c>
      <c r="M51" s="41" t="str">
        <f aca="false">IF(A51="","",D51+F51-J51)</f>
        <v/>
      </c>
      <c r="N51" s="41" t="str">
        <f aca="false">IF(A51="","",D51+F51-L51)</f>
        <v/>
      </c>
      <c r="O51" s="41" t="str">
        <f aca="false">IF(A51="","",H51-M51)</f>
        <v/>
      </c>
      <c r="P51" s="41" t="str">
        <f aca="false">IF(A51="","",H51-N51)</f>
        <v/>
      </c>
      <c r="Q51" s="9" t="str">
        <f aca="false">IF(AND(A51&lt;&gt;"",N(J51)&gt;0),COUNTIF($J$6:J51,"&gt;0"),"")</f>
        <v/>
      </c>
    </row>
    <row r="52" customFormat="false" ht="15" hidden="false" customHeight="false" outlineLevel="0" collapsed="false">
      <c r="A52" s="52" t="str">
        <f aca="false">IF('Item Master'!A52="","",'Item Master'!A52)</f>
        <v/>
      </c>
      <c r="B52" s="53" t="str">
        <f aca="false">IF(A52="","",'Item Master'!B52)</f>
        <v/>
      </c>
      <c r="C52" s="42" t="str">
        <f aca="false">IF(A52="","",N('Item Master'!E52))</f>
        <v/>
      </c>
      <c r="D52" s="41" t="str">
        <f aca="false">IF(A52="","",N('Item Master'!H52))</f>
        <v/>
      </c>
      <c r="E52" s="42" t="str">
        <f aca="false">IF(A52="","",'Item Master'!I52)</f>
        <v/>
      </c>
      <c r="F52" s="41" t="str">
        <f aca="false">IF(A52="","",SUMIFS('Stock Register'!$J$7:$J$506,'Stock Register'!$C$7:$C$506,A52,'Stock Register'!$E$7:$E$506,"In"))</f>
        <v/>
      </c>
      <c r="G52" s="42" t="str">
        <f aca="false">IF(A52="","",'Item Master'!J52)</f>
        <v/>
      </c>
      <c r="H52" s="41" t="str">
        <f aca="false">IF(A52="","",SUMIFS('Stock Register'!$J$7:$J$506,'Stock Register'!$C$7:$C$506,A52,'Stock Register'!$E$7:$E$506,"Out"))</f>
        <v/>
      </c>
      <c r="I52" s="42" t="str">
        <f aca="false">IF(A52="","",'Item Master'!K52)</f>
        <v/>
      </c>
      <c r="J52" s="54" t="str">
        <f aca="false">IF(A52="","",ROUND(MAX(0,MIN(C52,I52-E52))*N('Item Master'!F52)+SUMIFS('Stock Register'!$P$7:$P$506,'Stock Register'!$C$7:$C$506,A52),0))</f>
        <v/>
      </c>
      <c r="K52" s="55" t="str">
        <f aca="false">IF(A52="","",IFERROR((D52+F52)/(C52+E52),0))</f>
        <v/>
      </c>
      <c r="L52" s="54" t="str">
        <f aca="false">IF(A52="","",ROUND(MAX(0,I52)*K52,0))</f>
        <v/>
      </c>
      <c r="M52" s="41" t="str">
        <f aca="false">IF(A52="","",D52+F52-J52)</f>
        <v/>
      </c>
      <c r="N52" s="41" t="str">
        <f aca="false">IF(A52="","",D52+F52-L52)</f>
        <v/>
      </c>
      <c r="O52" s="41" t="str">
        <f aca="false">IF(A52="","",H52-M52)</f>
        <v/>
      </c>
      <c r="P52" s="41" t="str">
        <f aca="false">IF(A52="","",H52-N52)</f>
        <v/>
      </c>
      <c r="Q52" s="9" t="str">
        <f aca="false">IF(AND(A52&lt;&gt;"",N(J52)&gt;0),COUNTIF($J$6:J52,"&gt;0"),"")</f>
        <v/>
      </c>
    </row>
    <row r="53" customFormat="false" ht="15" hidden="false" customHeight="false" outlineLevel="0" collapsed="false">
      <c r="A53" s="52" t="str">
        <f aca="false">IF('Item Master'!A53="","",'Item Master'!A53)</f>
        <v/>
      </c>
      <c r="B53" s="53" t="str">
        <f aca="false">IF(A53="","",'Item Master'!B53)</f>
        <v/>
      </c>
      <c r="C53" s="42" t="str">
        <f aca="false">IF(A53="","",N('Item Master'!E53))</f>
        <v/>
      </c>
      <c r="D53" s="41" t="str">
        <f aca="false">IF(A53="","",N('Item Master'!H53))</f>
        <v/>
      </c>
      <c r="E53" s="42" t="str">
        <f aca="false">IF(A53="","",'Item Master'!I53)</f>
        <v/>
      </c>
      <c r="F53" s="41" t="str">
        <f aca="false">IF(A53="","",SUMIFS('Stock Register'!$J$7:$J$506,'Stock Register'!$C$7:$C$506,A53,'Stock Register'!$E$7:$E$506,"In"))</f>
        <v/>
      </c>
      <c r="G53" s="42" t="str">
        <f aca="false">IF(A53="","",'Item Master'!J53)</f>
        <v/>
      </c>
      <c r="H53" s="41" t="str">
        <f aca="false">IF(A53="","",SUMIFS('Stock Register'!$J$7:$J$506,'Stock Register'!$C$7:$C$506,A53,'Stock Register'!$E$7:$E$506,"Out"))</f>
        <v/>
      </c>
      <c r="I53" s="42" t="str">
        <f aca="false">IF(A53="","",'Item Master'!K53)</f>
        <v/>
      </c>
      <c r="J53" s="54" t="str">
        <f aca="false">IF(A53="","",ROUND(MAX(0,MIN(C53,I53-E53))*N('Item Master'!F53)+SUMIFS('Stock Register'!$P$7:$P$506,'Stock Register'!$C$7:$C$506,A53),0))</f>
        <v/>
      </c>
      <c r="K53" s="55" t="str">
        <f aca="false">IF(A53="","",IFERROR((D53+F53)/(C53+E53),0))</f>
        <v/>
      </c>
      <c r="L53" s="54" t="str">
        <f aca="false">IF(A53="","",ROUND(MAX(0,I53)*K53,0))</f>
        <v/>
      </c>
      <c r="M53" s="41" t="str">
        <f aca="false">IF(A53="","",D53+F53-J53)</f>
        <v/>
      </c>
      <c r="N53" s="41" t="str">
        <f aca="false">IF(A53="","",D53+F53-L53)</f>
        <v/>
      </c>
      <c r="O53" s="41" t="str">
        <f aca="false">IF(A53="","",H53-M53)</f>
        <v/>
      </c>
      <c r="P53" s="41" t="str">
        <f aca="false">IF(A53="","",H53-N53)</f>
        <v/>
      </c>
      <c r="Q53" s="9" t="str">
        <f aca="false">IF(AND(A53&lt;&gt;"",N(J53)&gt;0),COUNTIF($J$6:J53,"&gt;0"),"")</f>
        <v/>
      </c>
    </row>
    <row r="54" customFormat="false" ht="15" hidden="false" customHeight="false" outlineLevel="0" collapsed="false">
      <c r="A54" s="52" t="str">
        <f aca="false">IF('Item Master'!A54="","",'Item Master'!A54)</f>
        <v/>
      </c>
      <c r="B54" s="53" t="str">
        <f aca="false">IF(A54="","",'Item Master'!B54)</f>
        <v/>
      </c>
      <c r="C54" s="42" t="str">
        <f aca="false">IF(A54="","",N('Item Master'!E54))</f>
        <v/>
      </c>
      <c r="D54" s="41" t="str">
        <f aca="false">IF(A54="","",N('Item Master'!H54))</f>
        <v/>
      </c>
      <c r="E54" s="42" t="str">
        <f aca="false">IF(A54="","",'Item Master'!I54)</f>
        <v/>
      </c>
      <c r="F54" s="41" t="str">
        <f aca="false">IF(A54="","",SUMIFS('Stock Register'!$J$7:$J$506,'Stock Register'!$C$7:$C$506,A54,'Stock Register'!$E$7:$E$506,"In"))</f>
        <v/>
      </c>
      <c r="G54" s="42" t="str">
        <f aca="false">IF(A54="","",'Item Master'!J54)</f>
        <v/>
      </c>
      <c r="H54" s="41" t="str">
        <f aca="false">IF(A54="","",SUMIFS('Stock Register'!$J$7:$J$506,'Stock Register'!$C$7:$C$506,A54,'Stock Register'!$E$7:$E$506,"Out"))</f>
        <v/>
      </c>
      <c r="I54" s="42" t="str">
        <f aca="false">IF(A54="","",'Item Master'!K54)</f>
        <v/>
      </c>
      <c r="J54" s="54" t="str">
        <f aca="false">IF(A54="","",ROUND(MAX(0,MIN(C54,I54-E54))*N('Item Master'!F54)+SUMIFS('Stock Register'!$P$7:$P$506,'Stock Register'!$C$7:$C$506,A54),0))</f>
        <v/>
      </c>
      <c r="K54" s="55" t="str">
        <f aca="false">IF(A54="","",IFERROR((D54+F54)/(C54+E54),0))</f>
        <v/>
      </c>
      <c r="L54" s="54" t="str">
        <f aca="false">IF(A54="","",ROUND(MAX(0,I54)*K54,0))</f>
        <v/>
      </c>
      <c r="M54" s="41" t="str">
        <f aca="false">IF(A54="","",D54+F54-J54)</f>
        <v/>
      </c>
      <c r="N54" s="41" t="str">
        <f aca="false">IF(A54="","",D54+F54-L54)</f>
        <v/>
      </c>
      <c r="O54" s="41" t="str">
        <f aca="false">IF(A54="","",H54-M54)</f>
        <v/>
      </c>
      <c r="P54" s="41" t="str">
        <f aca="false">IF(A54="","",H54-N54)</f>
        <v/>
      </c>
      <c r="Q54" s="9" t="str">
        <f aca="false">IF(AND(A54&lt;&gt;"",N(J54)&gt;0),COUNTIF($J$6:J54,"&gt;0"),"")</f>
        <v/>
      </c>
    </row>
    <row r="55" customFormat="false" ht="15" hidden="false" customHeight="false" outlineLevel="0" collapsed="false">
      <c r="A55" s="52" t="str">
        <f aca="false">IF('Item Master'!A55="","",'Item Master'!A55)</f>
        <v/>
      </c>
      <c r="B55" s="53" t="str">
        <f aca="false">IF(A55="","",'Item Master'!B55)</f>
        <v/>
      </c>
      <c r="C55" s="42" t="str">
        <f aca="false">IF(A55="","",N('Item Master'!E55))</f>
        <v/>
      </c>
      <c r="D55" s="41" t="str">
        <f aca="false">IF(A55="","",N('Item Master'!H55))</f>
        <v/>
      </c>
      <c r="E55" s="42" t="str">
        <f aca="false">IF(A55="","",'Item Master'!I55)</f>
        <v/>
      </c>
      <c r="F55" s="41" t="str">
        <f aca="false">IF(A55="","",SUMIFS('Stock Register'!$J$7:$J$506,'Stock Register'!$C$7:$C$506,A55,'Stock Register'!$E$7:$E$506,"In"))</f>
        <v/>
      </c>
      <c r="G55" s="42" t="str">
        <f aca="false">IF(A55="","",'Item Master'!J55)</f>
        <v/>
      </c>
      <c r="H55" s="41" t="str">
        <f aca="false">IF(A55="","",SUMIFS('Stock Register'!$J$7:$J$506,'Stock Register'!$C$7:$C$506,A55,'Stock Register'!$E$7:$E$506,"Out"))</f>
        <v/>
      </c>
      <c r="I55" s="42" t="str">
        <f aca="false">IF(A55="","",'Item Master'!K55)</f>
        <v/>
      </c>
      <c r="J55" s="54" t="str">
        <f aca="false">IF(A55="","",ROUND(MAX(0,MIN(C55,I55-E55))*N('Item Master'!F55)+SUMIFS('Stock Register'!$P$7:$P$506,'Stock Register'!$C$7:$C$506,A55),0))</f>
        <v/>
      </c>
      <c r="K55" s="55" t="str">
        <f aca="false">IF(A55="","",IFERROR((D55+F55)/(C55+E55),0))</f>
        <v/>
      </c>
      <c r="L55" s="54" t="str">
        <f aca="false">IF(A55="","",ROUND(MAX(0,I55)*K55,0))</f>
        <v/>
      </c>
      <c r="M55" s="41" t="str">
        <f aca="false">IF(A55="","",D55+F55-J55)</f>
        <v/>
      </c>
      <c r="N55" s="41" t="str">
        <f aca="false">IF(A55="","",D55+F55-L55)</f>
        <v/>
      </c>
      <c r="O55" s="41" t="str">
        <f aca="false">IF(A55="","",H55-M55)</f>
        <v/>
      </c>
      <c r="P55" s="41" t="str">
        <f aca="false">IF(A55="","",H55-N55)</f>
        <v/>
      </c>
      <c r="Q55" s="9" t="str">
        <f aca="false">IF(AND(A55&lt;&gt;"",N(J55)&gt;0),COUNTIF($J$6:J55,"&gt;0"),"")</f>
        <v/>
      </c>
    </row>
    <row r="56" customFormat="false" ht="15" hidden="false" customHeight="false" outlineLevel="0" collapsed="false">
      <c r="A56" s="52" t="str">
        <f aca="false">IF('Item Master'!A56="","",'Item Master'!A56)</f>
        <v/>
      </c>
      <c r="B56" s="53" t="str">
        <f aca="false">IF(A56="","",'Item Master'!B56)</f>
        <v/>
      </c>
      <c r="C56" s="42" t="str">
        <f aca="false">IF(A56="","",N('Item Master'!E56))</f>
        <v/>
      </c>
      <c r="D56" s="41" t="str">
        <f aca="false">IF(A56="","",N('Item Master'!H56))</f>
        <v/>
      </c>
      <c r="E56" s="42" t="str">
        <f aca="false">IF(A56="","",'Item Master'!I56)</f>
        <v/>
      </c>
      <c r="F56" s="41" t="str">
        <f aca="false">IF(A56="","",SUMIFS('Stock Register'!$J$7:$J$506,'Stock Register'!$C$7:$C$506,A56,'Stock Register'!$E$7:$E$506,"In"))</f>
        <v/>
      </c>
      <c r="G56" s="42" t="str">
        <f aca="false">IF(A56="","",'Item Master'!J56)</f>
        <v/>
      </c>
      <c r="H56" s="41" t="str">
        <f aca="false">IF(A56="","",SUMIFS('Stock Register'!$J$7:$J$506,'Stock Register'!$C$7:$C$506,A56,'Stock Register'!$E$7:$E$506,"Out"))</f>
        <v/>
      </c>
      <c r="I56" s="42" t="str">
        <f aca="false">IF(A56="","",'Item Master'!K56)</f>
        <v/>
      </c>
      <c r="J56" s="54" t="str">
        <f aca="false">IF(A56="","",ROUND(MAX(0,MIN(C56,I56-E56))*N('Item Master'!F56)+SUMIFS('Stock Register'!$P$7:$P$506,'Stock Register'!$C$7:$C$506,A56),0))</f>
        <v/>
      </c>
      <c r="K56" s="55" t="str">
        <f aca="false">IF(A56="","",IFERROR((D56+F56)/(C56+E56),0))</f>
        <v/>
      </c>
      <c r="L56" s="54" t="str">
        <f aca="false">IF(A56="","",ROUND(MAX(0,I56)*K56,0))</f>
        <v/>
      </c>
      <c r="M56" s="41" t="str">
        <f aca="false">IF(A56="","",D56+F56-J56)</f>
        <v/>
      </c>
      <c r="N56" s="41" t="str">
        <f aca="false">IF(A56="","",D56+F56-L56)</f>
        <v/>
      </c>
      <c r="O56" s="41" t="str">
        <f aca="false">IF(A56="","",H56-M56)</f>
        <v/>
      </c>
      <c r="P56" s="41" t="str">
        <f aca="false">IF(A56="","",H56-N56)</f>
        <v/>
      </c>
      <c r="Q56" s="9" t="str">
        <f aca="false">IF(AND(A56&lt;&gt;"",N(J56)&gt;0),COUNTIF($J$6:J56,"&gt;0"),"")</f>
        <v/>
      </c>
    </row>
    <row r="57" customFormat="false" ht="15" hidden="false" customHeight="false" outlineLevel="0" collapsed="false">
      <c r="A57" s="52" t="str">
        <f aca="false">IF('Item Master'!A57="","",'Item Master'!A57)</f>
        <v/>
      </c>
      <c r="B57" s="53" t="str">
        <f aca="false">IF(A57="","",'Item Master'!B57)</f>
        <v/>
      </c>
      <c r="C57" s="42" t="str">
        <f aca="false">IF(A57="","",N('Item Master'!E57))</f>
        <v/>
      </c>
      <c r="D57" s="41" t="str">
        <f aca="false">IF(A57="","",N('Item Master'!H57))</f>
        <v/>
      </c>
      <c r="E57" s="42" t="str">
        <f aca="false">IF(A57="","",'Item Master'!I57)</f>
        <v/>
      </c>
      <c r="F57" s="41" t="str">
        <f aca="false">IF(A57="","",SUMIFS('Stock Register'!$J$7:$J$506,'Stock Register'!$C$7:$C$506,A57,'Stock Register'!$E$7:$E$506,"In"))</f>
        <v/>
      </c>
      <c r="G57" s="42" t="str">
        <f aca="false">IF(A57="","",'Item Master'!J57)</f>
        <v/>
      </c>
      <c r="H57" s="41" t="str">
        <f aca="false">IF(A57="","",SUMIFS('Stock Register'!$J$7:$J$506,'Stock Register'!$C$7:$C$506,A57,'Stock Register'!$E$7:$E$506,"Out"))</f>
        <v/>
      </c>
      <c r="I57" s="42" t="str">
        <f aca="false">IF(A57="","",'Item Master'!K57)</f>
        <v/>
      </c>
      <c r="J57" s="54" t="str">
        <f aca="false">IF(A57="","",ROUND(MAX(0,MIN(C57,I57-E57))*N('Item Master'!F57)+SUMIFS('Stock Register'!$P$7:$P$506,'Stock Register'!$C$7:$C$506,A57),0))</f>
        <v/>
      </c>
      <c r="K57" s="55" t="str">
        <f aca="false">IF(A57="","",IFERROR((D57+F57)/(C57+E57),0))</f>
        <v/>
      </c>
      <c r="L57" s="54" t="str">
        <f aca="false">IF(A57="","",ROUND(MAX(0,I57)*K57,0))</f>
        <v/>
      </c>
      <c r="M57" s="41" t="str">
        <f aca="false">IF(A57="","",D57+F57-J57)</f>
        <v/>
      </c>
      <c r="N57" s="41" t="str">
        <f aca="false">IF(A57="","",D57+F57-L57)</f>
        <v/>
      </c>
      <c r="O57" s="41" t="str">
        <f aca="false">IF(A57="","",H57-M57)</f>
        <v/>
      </c>
      <c r="P57" s="41" t="str">
        <f aca="false">IF(A57="","",H57-N57)</f>
        <v/>
      </c>
      <c r="Q57" s="9" t="str">
        <f aca="false">IF(AND(A57&lt;&gt;"",N(J57)&gt;0),COUNTIF($J$6:J57,"&gt;0"),"")</f>
        <v/>
      </c>
    </row>
    <row r="58" customFormat="false" ht="15" hidden="false" customHeight="false" outlineLevel="0" collapsed="false">
      <c r="A58" s="52" t="str">
        <f aca="false">IF('Item Master'!A58="","",'Item Master'!A58)</f>
        <v/>
      </c>
      <c r="B58" s="53" t="str">
        <f aca="false">IF(A58="","",'Item Master'!B58)</f>
        <v/>
      </c>
      <c r="C58" s="42" t="str">
        <f aca="false">IF(A58="","",N('Item Master'!E58))</f>
        <v/>
      </c>
      <c r="D58" s="41" t="str">
        <f aca="false">IF(A58="","",N('Item Master'!H58))</f>
        <v/>
      </c>
      <c r="E58" s="42" t="str">
        <f aca="false">IF(A58="","",'Item Master'!I58)</f>
        <v/>
      </c>
      <c r="F58" s="41" t="str">
        <f aca="false">IF(A58="","",SUMIFS('Stock Register'!$J$7:$J$506,'Stock Register'!$C$7:$C$506,A58,'Stock Register'!$E$7:$E$506,"In"))</f>
        <v/>
      </c>
      <c r="G58" s="42" t="str">
        <f aca="false">IF(A58="","",'Item Master'!J58)</f>
        <v/>
      </c>
      <c r="H58" s="41" t="str">
        <f aca="false">IF(A58="","",SUMIFS('Stock Register'!$J$7:$J$506,'Stock Register'!$C$7:$C$506,A58,'Stock Register'!$E$7:$E$506,"Out"))</f>
        <v/>
      </c>
      <c r="I58" s="42" t="str">
        <f aca="false">IF(A58="","",'Item Master'!K58)</f>
        <v/>
      </c>
      <c r="J58" s="54" t="str">
        <f aca="false">IF(A58="","",ROUND(MAX(0,MIN(C58,I58-E58))*N('Item Master'!F58)+SUMIFS('Stock Register'!$P$7:$P$506,'Stock Register'!$C$7:$C$506,A58),0))</f>
        <v/>
      </c>
      <c r="K58" s="55" t="str">
        <f aca="false">IF(A58="","",IFERROR((D58+F58)/(C58+E58),0))</f>
        <v/>
      </c>
      <c r="L58" s="54" t="str">
        <f aca="false">IF(A58="","",ROUND(MAX(0,I58)*K58,0))</f>
        <v/>
      </c>
      <c r="M58" s="41" t="str">
        <f aca="false">IF(A58="","",D58+F58-J58)</f>
        <v/>
      </c>
      <c r="N58" s="41" t="str">
        <f aca="false">IF(A58="","",D58+F58-L58)</f>
        <v/>
      </c>
      <c r="O58" s="41" t="str">
        <f aca="false">IF(A58="","",H58-M58)</f>
        <v/>
      </c>
      <c r="P58" s="41" t="str">
        <f aca="false">IF(A58="","",H58-N58)</f>
        <v/>
      </c>
      <c r="Q58" s="9" t="str">
        <f aca="false">IF(AND(A58&lt;&gt;"",N(J58)&gt;0),COUNTIF($J$6:J58,"&gt;0"),"")</f>
        <v/>
      </c>
    </row>
    <row r="59" customFormat="false" ht="15" hidden="false" customHeight="false" outlineLevel="0" collapsed="false">
      <c r="A59" s="52" t="str">
        <f aca="false">IF('Item Master'!A59="","",'Item Master'!A59)</f>
        <v/>
      </c>
      <c r="B59" s="53" t="str">
        <f aca="false">IF(A59="","",'Item Master'!B59)</f>
        <v/>
      </c>
      <c r="C59" s="42" t="str">
        <f aca="false">IF(A59="","",N('Item Master'!E59))</f>
        <v/>
      </c>
      <c r="D59" s="41" t="str">
        <f aca="false">IF(A59="","",N('Item Master'!H59))</f>
        <v/>
      </c>
      <c r="E59" s="42" t="str">
        <f aca="false">IF(A59="","",'Item Master'!I59)</f>
        <v/>
      </c>
      <c r="F59" s="41" t="str">
        <f aca="false">IF(A59="","",SUMIFS('Stock Register'!$J$7:$J$506,'Stock Register'!$C$7:$C$506,A59,'Stock Register'!$E$7:$E$506,"In"))</f>
        <v/>
      </c>
      <c r="G59" s="42" t="str">
        <f aca="false">IF(A59="","",'Item Master'!J59)</f>
        <v/>
      </c>
      <c r="H59" s="41" t="str">
        <f aca="false">IF(A59="","",SUMIFS('Stock Register'!$J$7:$J$506,'Stock Register'!$C$7:$C$506,A59,'Stock Register'!$E$7:$E$506,"Out"))</f>
        <v/>
      </c>
      <c r="I59" s="42" t="str">
        <f aca="false">IF(A59="","",'Item Master'!K59)</f>
        <v/>
      </c>
      <c r="J59" s="54" t="str">
        <f aca="false">IF(A59="","",ROUND(MAX(0,MIN(C59,I59-E59))*N('Item Master'!F59)+SUMIFS('Stock Register'!$P$7:$P$506,'Stock Register'!$C$7:$C$506,A59),0))</f>
        <v/>
      </c>
      <c r="K59" s="55" t="str">
        <f aca="false">IF(A59="","",IFERROR((D59+F59)/(C59+E59),0))</f>
        <v/>
      </c>
      <c r="L59" s="54" t="str">
        <f aca="false">IF(A59="","",ROUND(MAX(0,I59)*K59,0))</f>
        <v/>
      </c>
      <c r="M59" s="41" t="str">
        <f aca="false">IF(A59="","",D59+F59-J59)</f>
        <v/>
      </c>
      <c r="N59" s="41" t="str">
        <f aca="false">IF(A59="","",D59+F59-L59)</f>
        <v/>
      </c>
      <c r="O59" s="41" t="str">
        <f aca="false">IF(A59="","",H59-M59)</f>
        <v/>
      </c>
      <c r="P59" s="41" t="str">
        <f aca="false">IF(A59="","",H59-N59)</f>
        <v/>
      </c>
      <c r="Q59" s="9" t="str">
        <f aca="false">IF(AND(A59&lt;&gt;"",N(J59)&gt;0),COUNTIF($J$6:J59,"&gt;0"),"")</f>
        <v/>
      </c>
    </row>
    <row r="60" customFormat="false" ht="15" hidden="false" customHeight="false" outlineLevel="0" collapsed="false">
      <c r="A60" s="52" t="str">
        <f aca="false">IF('Item Master'!A60="","",'Item Master'!A60)</f>
        <v/>
      </c>
      <c r="B60" s="53" t="str">
        <f aca="false">IF(A60="","",'Item Master'!B60)</f>
        <v/>
      </c>
      <c r="C60" s="42" t="str">
        <f aca="false">IF(A60="","",N('Item Master'!E60))</f>
        <v/>
      </c>
      <c r="D60" s="41" t="str">
        <f aca="false">IF(A60="","",N('Item Master'!H60))</f>
        <v/>
      </c>
      <c r="E60" s="42" t="str">
        <f aca="false">IF(A60="","",'Item Master'!I60)</f>
        <v/>
      </c>
      <c r="F60" s="41" t="str">
        <f aca="false">IF(A60="","",SUMIFS('Stock Register'!$J$7:$J$506,'Stock Register'!$C$7:$C$506,A60,'Stock Register'!$E$7:$E$506,"In"))</f>
        <v/>
      </c>
      <c r="G60" s="42" t="str">
        <f aca="false">IF(A60="","",'Item Master'!J60)</f>
        <v/>
      </c>
      <c r="H60" s="41" t="str">
        <f aca="false">IF(A60="","",SUMIFS('Stock Register'!$J$7:$J$506,'Stock Register'!$C$7:$C$506,A60,'Stock Register'!$E$7:$E$506,"Out"))</f>
        <v/>
      </c>
      <c r="I60" s="42" t="str">
        <f aca="false">IF(A60="","",'Item Master'!K60)</f>
        <v/>
      </c>
      <c r="J60" s="54" t="str">
        <f aca="false">IF(A60="","",ROUND(MAX(0,MIN(C60,I60-E60))*N('Item Master'!F60)+SUMIFS('Stock Register'!$P$7:$P$506,'Stock Register'!$C$7:$C$506,A60),0))</f>
        <v/>
      </c>
      <c r="K60" s="55" t="str">
        <f aca="false">IF(A60="","",IFERROR((D60+F60)/(C60+E60),0))</f>
        <v/>
      </c>
      <c r="L60" s="54" t="str">
        <f aca="false">IF(A60="","",ROUND(MAX(0,I60)*K60,0))</f>
        <v/>
      </c>
      <c r="M60" s="41" t="str">
        <f aca="false">IF(A60="","",D60+F60-J60)</f>
        <v/>
      </c>
      <c r="N60" s="41" t="str">
        <f aca="false">IF(A60="","",D60+F60-L60)</f>
        <v/>
      </c>
      <c r="O60" s="41" t="str">
        <f aca="false">IF(A60="","",H60-M60)</f>
        <v/>
      </c>
      <c r="P60" s="41" t="str">
        <f aca="false">IF(A60="","",H60-N60)</f>
        <v/>
      </c>
      <c r="Q60" s="9" t="str">
        <f aca="false">IF(AND(A60&lt;&gt;"",N(J60)&gt;0),COUNTIF($J$6:J60,"&gt;0"),"")</f>
        <v/>
      </c>
    </row>
    <row r="61" customFormat="false" ht="15" hidden="false" customHeight="false" outlineLevel="0" collapsed="false">
      <c r="A61" s="52" t="str">
        <f aca="false">IF('Item Master'!A61="","",'Item Master'!A61)</f>
        <v/>
      </c>
      <c r="B61" s="53" t="str">
        <f aca="false">IF(A61="","",'Item Master'!B61)</f>
        <v/>
      </c>
      <c r="C61" s="42" t="str">
        <f aca="false">IF(A61="","",N('Item Master'!E61))</f>
        <v/>
      </c>
      <c r="D61" s="41" t="str">
        <f aca="false">IF(A61="","",N('Item Master'!H61))</f>
        <v/>
      </c>
      <c r="E61" s="42" t="str">
        <f aca="false">IF(A61="","",'Item Master'!I61)</f>
        <v/>
      </c>
      <c r="F61" s="41" t="str">
        <f aca="false">IF(A61="","",SUMIFS('Stock Register'!$J$7:$J$506,'Stock Register'!$C$7:$C$506,A61,'Stock Register'!$E$7:$E$506,"In"))</f>
        <v/>
      </c>
      <c r="G61" s="42" t="str">
        <f aca="false">IF(A61="","",'Item Master'!J61)</f>
        <v/>
      </c>
      <c r="H61" s="41" t="str">
        <f aca="false">IF(A61="","",SUMIFS('Stock Register'!$J$7:$J$506,'Stock Register'!$C$7:$C$506,A61,'Stock Register'!$E$7:$E$506,"Out"))</f>
        <v/>
      </c>
      <c r="I61" s="42" t="str">
        <f aca="false">IF(A61="","",'Item Master'!K61)</f>
        <v/>
      </c>
      <c r="J61" s="54" t="str">
        <f aca="false">IF(A61="","",ROUND(MAX(0,MIN(C61,I61-E61))*N('Item Master'!F61)+SUMIFS('Stock Register'!$P$7:$P$506,'Stock Register'!$C$7:$C$506,A61),0))</f>
        <v/>
      </c>
      <c r="K61" s="55" t="str">
        <f aca="false">IF(A61="","",IFERROR((D61+F61)/(C61+E61),0))</f>
        <v/>
      </c>
      <c r="L61" s="54" t="str">
        <f aca="false">IF(A61="","",ROUND(MAX(0,I61)*K61,0))</f>
        <v/>
      </c>
      <c r="M61" s="41" t="str">
        <f aca="false">IF(A61="","",D61+F61-J61)</f>
        <v/>
      </c>
      <c r="N61" s="41" t="str">
        <f aca="false">IF(A61="","",D61+F61-L61)</f>
        <v/>
      </c>
      <c r="O61" s="41" t="str">
        <f aca="false">IF(A61="","",H61-M61)</f>
        <v/>
      </c>
      <c r="P61" s="41" t="str">
        <f aca="false">IF(A61="","",H61-N61)</f>
        <v/>
      </c>
      <c r="Q61" s="9" t="str">
        <f aca="false">IF(AND(A61&lt;&gt;"",N(J61)&gt;0),COUNTIF($J$6:J61,"&gt;0"),"")</f>
        <v/>
      </c>
    </row>
    <row r="62" customFormat="false" ht="15" hidden="false" customHeight="false" outlineLevel="0" collapsed="false">
      <c r="A62" s="52" t="str">
        <f aca="false">IF('Item Master'!A62="","",'Item Master'!A62)</f>
        <v/>
      </c>
      <c r="B62" s="53" t="str">
        <f aca="false">IF(A62="","",'Item Master'!B62)</f>
        <v/>
      </c>
      <c r="C62" s="42" t="str">
        <f aca="false">IF(A62="","",N('Item Master'!E62))</f>
        <v/>
      </c>
      <c r="D62" s="41" t="str">
        <f aca="false">IF(A62="","",N('Item Master'!H62))</f>
        <v/>
      </c>
      <c r="E62" s="42" t="str">
        <f aca="false">IF(A62="","",'Item Master'!I62)</f>
        <v/>
      </c>
      <c r="F62" s="41" t="str">
        <f aca="false">IF(A62="","",SUMIFS('Stock Register'!$J$7:$J$506,'Stock Register'!$C$7:$C$506,A62,'Stock Register'!$E$7:$E$506,"In"))</f>
        <v/>
      </c>
      <c r="G62" s="42" t="str">
        <f aca="false">IF(A62="","",'Item Master'!J62)</f>
        <v/>
      </c>
      <c r="H62" s="41" t="str">
        <f aca="false">IF(A62="","",SUMIFS('Stock Register'!$J$7:$J$506,'Stock Register'!$C$7:$C$506,A62,'Stock Register'!$E$7:$E$506,"Out"))</f>
        <v/>
      </c>
      <c r="I62" s="42" t="str">
        <f aca="false">IF(A62="","",'Item Master'!K62)</f>
        <v/>
      </c>
      <c r="J62" s="54" t="str">
        <f aca="false">IF(A62="","",ROUND(MAX(0,MIN(C62,I62-E62))*N('Item Master'!F62)+SUMIFS('Stock Register'!$P$7:$P$506,'Stock Register'!$C$7:$C$506,A62),0))</f>
        <v/>
      </c>
      <c r="K62" s="55" t="str">
        <f aca="false">IF(A62="","",IFERROR((D62+F62)/(C62+E62),0))</f>
        <v/>
      </c>
      <c r="L62" s="54" t="str">
        <f aca="false">IF(A62="","",ROUND(MAX(0,I62)*K62,0))</f>
        <v/>
      </c>
      <c r="M62" s="41" t="str">
        <f aca="false">IF(A62="","",D62+F62-J62)</f>
        <v/>
      </c>
      <c r="N62" s="41" t="str">
        <f aca="false">IF(A62="","",D62+F62-L62)</f>
        <v/>
      </c>
      <c r="O62" s="41" t="str">
        <f aca="false">IF(A62="","",H62-M62)</f>
        <v/>
      </c>
      <c r="P62" s="41" t="str">
        <f aca="false">IF(A62="","",H62-N62)</f>
        <v/>
      </c>
      <c r="Q62" s="9" t="str">
        <f aca="false">IF(AND(A62&lt;&gt;"",N(J62)&gt;0),COUNTIF($J$6:J62,"&gt;0"),"")</f>
        <v/>
      </c>
    </row>
    <row r="63" customFormat="false" ht="15" hidden="false" customHeight="false" outlineLevel="0" collapsed="false">
      <c r="A63" s="52" t="str">
        <f aca="false">IF('Item Master'!A63="","",'Item Master'!A63)</f>
        <v/>
      </c>
      <c r="B63" s="53" t="str">
        <f aca="false">IF(A63="","",'Item Master'!B63)</f>
        <v/>
      </c>
      <c r="C63" s="42" t="str">
        <f aca="false">IF(A63="","",N('Item Master'!E63))</f>
        <v/>
      </c>
      <c r="D63" s="41" t="str">
        <f aca="false">IF(A63="","",N('Item Master'!H63))</f>
        <v/>
      </c>
      <c r="E63" s="42" t="str">
        <f aca="false">IF(A63="","",'Item Master'!I63)</f>
        <v/>
      </c>
      <c r="F63" s="41" t="str">
        <f aca="false">IF(A63="","",SUMIFS('Stock Register'!$J$7:$J$506,'Stock Register'!$C$7:$C$506,A63,'Stock Register'!$E$7:$E$506,"In"))</f>
        <v/>
      </c>
      <c r="G63" s="42" t="str">
        <f aca="false">IF(A63="","",'Item Master'!J63)</f>
        <v/>
      </c>
      <c r="H63" s="41" t="str">
        <f aca="false">IF(A63="","",SUMIFS('Stock Register'!$J$7:$J$506,'Stock Register'!$C$7:$C$506,A63,'Stock Register'!$E$7:$E$506,"Out"))</f>
        <v/>
      </c>
      <c r="I63" s="42" t="str">
        <f aca="false">IF(A63="","",'Item Master'!K63)</f>
        <v/>
      </c>
      <c r="J63" s="54" t="str">
        <f aca="false">IF(A63="","",ROUND(MAX(0,MIN(C63,I63-E63))*N('Item Master'!F63)+SUMIFS('Stock Register'!$P$7:$P$506,'Stock Register'!$C$7:$C$506,A63),0))</f>
        <v/>
      </c>
      <c r="K63" s="55" t="str">
        <f aca="false">IF(A63="","",IFERROR((D63+F63)/(C63+E63),0))</f>
        <v/>
      </c>
      <c r="L63" s="54" t="str">
        <f aca="false">IF(A63="","",ROUND(MAX(0,I63)*K63,0))</f>
        <v/>
      </c>
      <c r="M63" s="41" t="str">
        <f aca="false">IF(A63="","",D63+F63-J63)</f>
        <v/>
      </c>
      <c r="N63" s="41" t="str">
        <f aca="false">IF(A63="","",D63+F63-L63)</f>
        <v/>
      </c>
      <c r="O63" s="41" t="str">
        <f aca="false">IF(A63="","",H63-M63)</f>
        <v/>
      </c>
      <c r="P63" s="41" t="str">
        <f aca="false">IF(A63="","",H63-N63)</f>
        <v/>
      </c>
      <c r="Q63" s="9" t="str">
        <f aca="false">IF(AND(A63&lt;&gt;"",N(J63)&gt;0),COUNTIF($J$6:J63,"&gt;0"),"")</f>
        <v/>
      </c>
    </row>
    <row r="64" customFormat="false" ht="15" hidden="false" customHeight="false" outlineLevel="0" collapsed="false">
      <c r="A64" s="52" t="str">
        <f aca="false">IF('Item Master'!A64="","",'Item Master'!A64)</f>
        <v/>
      </c>
      <c r="B64" s="53" t="str">
        <f aca="false">IF(A64="","",'Item Master'!B64)</f>
        <v/>
      </c>
      <c r="C64" s="42" t="str">
        <f aca="false">IF(A64="","",N('Item Master'!E64))</f>
        <v/>
      </c>
      <c r="D64" s="41" t="str">
        <f aca="false">IF(A64="","",N('Item Master'!H64))</f>
        <v/>
      </c>
      <c r="E64" s="42" t="str">
        <f aca="false">IF(A64="","",'Item Master'!I64)</f>
        <v/>
      </c>
      <c r="F64" s="41" t="str">
        <f aca="false">IF(A64="","",SUMIFS('Stock Register'!$J$7:$J$506,'Stock Register'!$C$7:$C$506,A64,'Stock Register'!$E$7:$E$506,"In"))</f>
        <v/>
      </c>
      <c r="G64" s="42" t="str">
        <f aca="false">IF(A64="","",'Item Master'!J64)</f>
        <v/>
      </c>
      <c r="H64" s="41" t="str">
        <f aca="false">IF(A64="","",SUMIFS('Stock Register'!$J$7:$J$506,'Stock Register'!$C$7:$C$506,A64,'Stock Register'!$E$7:$E$506,"Out"))</f>
        <v/>
      </c>
      <c r="I64" s="42" t="str">
        <f aca="false">IF(A64="","",'Item Master'!K64)</f>
        <v/>
      </c>
      <c r="J64" s="54" t="str">
        <f aca="false">IF(A64="","",ROUND(MAX(0,MIN(C64,I64-E64))*N('Item Master'!F64)+SUMIFS('Stock Register'!$P$7:$P$506,'Stock Register'!$C$7:$C$506,A64),0))</f>
        <v/>
      </c>
      <c r="K64" s="55" t="str">
        <f aca="false">IF(A64="","",IFERROR((D64+F64)/(C64+E64),0))</f>
        <v/>
      </c>
      <c r="L64" s="54" t="str">
        <f aca="false">IF(A64="","",ROUND(MAX(0,I64)*K64,0))</f>
        <v/>
      </c>
      <c r="M64" s="41" t="str">
        <f aca="false">IF(A64="","",D64+F64-J64)</f>
        <v/>
      </c>
      <c r="N64" s="41" t="str">
        <f aca="false">IF(A64="","",D64+F64-L64)</f>
        <v/>
      </c>
      <c r="O64" s="41" t="str">
        <f aca="false">IF(A64="","",H64-M64)</f>
        <v/>
      </c>
      <c r="P64" s="41" t="str">
        <f aca="false">IF(A64="","",H64-N64)</f>
        <v/>
      </c>
      <c r="Q64" s="9" t="str">
        <f aca="false">IF(AND(A64&lt;&gt;"",N(J64)&gt;0),COUNTIF($J$6:J64,"&gt;0"),"")</f>
        <v/>
      </c>
    </row>
    <row r="65" customFormat="false" ht="15" hidden="false" customHeight="false" outlineLevel="0" collapsed="false">
      <c r="A65" s="52" t="str">
        <f aca="false">IF('Item Master'!A65="","",'Item Master'!A65)</f>
        <v/>
      </c>
      <c r="B65" s="53" t="str">
        <f aca="false">IF(A65="","",'Item Master'!B65)</f>
        <v/>
      </c>
      <c r="C65" s="42" t="str">
        <f aca="false">IF(A65="","",N('Item Master'!E65))</f>
        <v/>
      </c>
      <c r="D65" s="41" t="str">
        <f aca="false">IF(A65="","",N('Item Master'!H65))</f>
        <v/>
      </c>
      <c r="E65" s="42" t="str">
        <f aca="false">IF(A65="","",'Item Master'!I65)</f>
        <v/>
      </c>
      <c r="F65" s="41" t="str">
        <f aca="false">IF(A65="","",SUMIFS('Stock Register'!$J$7:$J$506,'Stock Register'!$C$7:$C$506,A65,'Stock Register'!$E$7:$E$506,"In"))</f>
        <v/>
      </c>
      <c r="G65" s="42" t="str">
        <f aca="false">IF(A65="","",'Item Master'!J65)</f>
        <v/>
      </c>
      <c r="H65" s="41" t="str">
        <f aca="false">IF(A65="","",SUMIFS('Stock Register'!$J$7:$J$506,'Stock Register'!$C$7:$C$506,A65,'Stock Register'!$E$7:$E$506,"Out"))</f>
        <v/>
      </c>
      <c r="I65" s="42" t="str">
        <f aca="false">IF(A65="","",'Item Master'!K65)</f>
        <v/>
      </c>
      <c r="J65" s="54" t="str">
        <f aca="false">IF(A65="","",ROUND(MAX(0,MIN(C65,I65-E65))*N('Item Master'!F65)+SUMIFS('Stock Register'!$P$7:$P$506,'Stock Register'!$C$7:$C$506,A65),0))</f>
        <v/>
      </c>
      <c r="K65" s="55" t="str">
        <f aca="false">IF(A65="","",IFERROR((D65+F65)/(C65+E65),0))</f>
        <v/>
      </c>
      <c r="L65" s="54" t="str">
        <f aca="false">IF(A65="","",ROUND(MAX(0,I65)*K65,0))</f>
        <v/>
      </c>
      <c r="M65" s="41" t="str">
        <f aca="false">IF(A65="","",D65+F65-J65)</f>
        <v/>
      </c>
      <c r="N65" s="41" t="str">
        <f aca="false">IF(A65="","",D65+F65-L65)</f>
        <v/>
      </c>
      <c r="O65" s="41" t="str">
        <f aca="false">IF(A65="","",H65-M65)</f>
        <v/>
      </c>
      <c r="P65" s="41" t="str">
        <f aca="false">IF(A65="","",H65-N65)</f>
        <v/>
      </c>
      <c r="Q65" s="9" t="str">
        <f aca="false">IF(AND(A65&lt;&gt;"",N(J65)&gt;0),COUNTIF($J$6:J65,"&gt;0"),"")</f>
        <v/>
      </c>
    </row>
    <row r="66" customFormat="false" ht="15" hidden="false" customHeight="false" outlineLevel="0" collapsed="false">
      <c r="A66" s="52" t="str">
        <f aca="false">IF('Item Master'!A66="","",'Item Master'!A66)</f>
        <v/>
      </c>
      <c r="B66" s="53" t="str">
        <f aca="false">IF(A66="","",'Item Master'!B66)</f>
        <v/>
      </c>
      <c r="C66" s="42" t="str">
        <f aca="false">IF(A66="","",N('Item Master'!E66))</f>
        <v/>
      </c>
      <c r="D66" s="41" t="str">
        <f aca="false">IF(A66="","",N('Item Master'!H66))</f>
        <v/>
      </c>
      <c r="E66" s="42" t="str">
        <f aca="false">IF(A66="","",'Item Master'!I66)</f>
        <v/>
      </c>
      <c r="F66" s="41" t="str">
        <f aca="false">IF(A66="","",SUMIFS('Stock Register'!$J$7:$J$506,'Stock Register'!$C$7:$C$506,A66,'Stock Register'!$E$7:$E$506,"In"))</f>
        <v/>
      </c>
      <c r="G66" s="42" t="str">
        <f aca="false">IF(A66="","",'Item Master'!J66)</f>
        <v/>
      </c>
      <c r="H66" s="41" t="str">
        <f aca="false">IF(A66="","",SUMIFS('Stock Register'!$J$7:$J$506,'Stock Register'!$C$7:$C$506,A66,'Stock Register'!$E$7:$E$506,"Out"))</f>
        <v/>
      </c>
      <c r="I66" s="42" t="str">
        <f aca="false">IF(A66="","",'Item Master'!K66)</f>
        <v/>
      </c>
      <c r="J66" s="54" t="str">
        <f aca="false">IF(A66="","",ROUND(MAX(0,MIN(C66,I66-E66))*N('Item Master'!F66)+SUMIFS('Stock Register'!$P$7:$P$506,'Stock Register'!$C$7:$C$506,A66),0))</f>
        <v/>
      </c>
      <c r="K66" s="55" t="str">
        <f aca="false">IF(A66="","",IFERROR((D66+F66)/(C66+E66),0))</f>
        <v/>
      </c>
      <c r="L66" s="54" t="str">
        <f aca="false">IF(A66="","",ROUND(MAX(0,I66)*K66,0))</f>
        <v/>
      </c>
      <c r="M66" s="41" t="str">
        <f aca="false">IF(A66="","",D66+F66-J66)</f>
        <v/>
      </c>
      <c r="N66" s="41" t="str">
        <f aca="false">IF(A66="","",D66+F66-L66)</f>
        <v/>
      </c>
      <c r="O66" s="41" t="str">
        <f aca="false">IF(A66="","",H66-M66)</f>
        <v/>
      </c>
      <c r="P66" s="41" t="str">
        <f aca="false">IF(A66="","",H66-N66)</f>
        <v/>
      </c>
      <c r="Q66" s="9" t="str">
        <f aca="false">IF(AND(A66&lt;&gt;"",N(J66)&gt;0),COUNTIF($J$6:J66,"&gt;0"),"")</f>
        <v/>
      </c>
    </row>
    <row r="67" customFormat="false" ht="15" hidden="false" customHeight="false" outlineLevel="0" collapsed="false">
      <c r="A67" s="52" t="str">
        <f aca="false">IF('Item Master'!A67="","",'Item Master'!A67)</f>
        <v/>
      </c>
      <c r="B67" s="53" t="str">
        <f aca="false">IF(A67="","",'Item Master'!B67)</f>
        <v/>
      </c>
      <c r="C67" s="42" t="str">
        <f aca="false">IF(A67="","",N('Item Master'!E67))</f>
        <v/>
      </c>
      <c r="D67" s="41" t="str">
        <f aca="false">IF(A67="","",N('Item Master'!H67))</f>
        <v/>
      </c>
      <c r="E67" s="42" t="str">
        <f aca="false">IF(A67="","",'Item Master'!I67)</f>
        <v/>
      </c>
      <c r="F67" s="41" t="str">
        <f aca="false">IF(A67="","",SUMIFS('Stock Register'!$J$7:$J$506,'Stock Register'!$C$7:$C$506,A67,'Stock Register'!$E$7:$E$506,"In"))</f>
        <v/>
      </c>
      <c r="G67" s="42" t="str">
        <f aca="false">IF(A67="","",'Item Master'!J67)</f>
        <v/>
      </c>
      <c r="H67" s="41" t="str">
        <f aca="false">IF(A67="","",SUMIFS('Stock Register'!$J$7:$J$506,'Stock Register'!$C$7:$C$506,A67,'Stock Register'!$E$7:$E$506,"Out"))</f>
        <v/>
      </c>
      <c r="I67" s="42" t="str">
        <f aca="false">IF(A67="","",'Item Master'!K67)</f>
        <v/>
      </c>
      <c r="J67" s="54" t="str">
        <f aca="false">IF(A67="","",ROUND(MAX(0,MIN(C67,I67-E67))*N('Item Master'!F67)+SUMIFS('Stock Register'!$P$7:$P$506,'Stock Register'!$C$7:$C$506,A67),0))</f>
        <v/>
      </c>
      <c r="K67" s="55" t="str">
        <f aca="false">IF(A67="","",IFERROR((D67+F67)/(C67+E67),0))</f>
        <v/>
      </c>
      <c r="L67" s="54" t="str">
        <f aca="false">IF(A67="","",ROUND(MAX(0,I67)*K67,0))</f>
        <v/>
      </c>
      <c r="M67" s="41" t="str">
        <f aca="false">IF(A67="","",D67+F67-J67)</f>
        <v/>
      </c>
      <c r="N67" s="41" t="str">
        <f aca="false">IF(A67="","",D67+F67-L67)</f>
        <v/>
      </c>
      <c r="O67" s="41" t="str">
        <f aca="false">IF(A67="","",H67-M67)</f>
        <v/>
      </c>
      <c r="P67" s="41" t="str">
        <f aca="false">IF(A67="","",H67-N67)</f>
        <v/>
      </c>
      <c r="Q67" s="9" t="str">
        <f aca="false">IF(AND(A67&lt;&gt;"",N(J67)&gt;0),COUNTIF($J$6:J67,"&gt;0"),"")</f>
        <v/>
      </c>
    </row>
    <row r="68" customFormat="false" ht="15" hidden="false" customHeight="false" outlineLevel="0" collapsed="false">
      <c r="A68" s="52" t="str">
        <f aca="false">IF('Item Master'!A68="","",'Item Master'!A68)</f>
        <v/>
      </c>
      <c r="B68" s="53" t="str">
        <f aca="false">IF(A68="","",'Item Master'!B68)</f>
        <v/>
      </c>
      <c r="C68" s="42" t="str">
        <f aca="false">IF(A68="","",N('Item Master'!E68))</f>
        <v/>
      </c>
      <c r="D68" s="41" t="str">
        <f aca="false">IF(A68="","",N('Item Master'!H68))</f>
        <v/>
      </c>
      <c r="E68" s="42" t="str">
        <f aca="false">IF(A68="","",'Item Master'!I68)</f>
        <v/>
      </c>
      <c r="F68" s="41" t="str">
        <f aca="false">IF(A68="","",SUMIFS('Stock Register'!$J$7:$J$506,'Stock Register'!$C$7:$C$506,A68,'Stock Register'!$E$7:$E$506,"In"))</f>
        <v/>
      </c>
      <c r="G68" s="42" t="str">
        <f aca="false">IF(A68="","",'Item Master'!J68)</f>
        <v/>
      </c>
      <c r="H68" s="41" t="str">
        <f aca="false">IF(A68="","",SUMIFS('Stock Register'!$J$7:$J$506,'Stock Register'!$C$7:$C$506,A68,'Stock Register'!$E$7:$E$506,"Out"))</f>
        <v/>
      </c>
      <c r="I68" s="42" t="str">
        <f aca="false">IF(A68="","",'Item Master'!K68)</f>
        <v/>
      </c>
      <c r="J68" s="54" t="str">
        <f aca="false">IF(A68="","",ROUND(MAX(0,MIN(C68,I68-E68))*N('Item Master'!F68)+SUMIFS('Stock Register'!$P$7:$P$506,'Stock Register'!$C$7:$C$506,A68),0))</f>
        <v/>
      </c>
      <c r="K68" s="55" t="str">
        <f aca="false">IF(A68="","",IFERROR((D68+F68)/(C68+E68),0))</f>
        <v/>
      </c>
      <c r="L68" s="54" t="str">
        <f aca="false">IF(A68="","",ROUND(MAX(0,I68)*K68,0))</f>
        <v/>
      </c>
      <c r="M68" s="41" t="str">
        <f aca="false">IF(A68="","",D68+F68-J68)</f>
        <v/>
      </c>
      <c r="N68" s="41" t="str">
        <f aca="false">IF(A68="","",D68+F68-L68)</f>
        <v/>
      </c>
      <c r="O68" s="41" t="str">
        <f aca="false">IF(A68="","",H68-M68)</f>
        <v/>
      </c>
      <c r="P68" s="41" t="str">
        <f aca="false">IF(A68="","",H68-N68)</f>
        <v/>
      </c>
      <c r="Q68" s="9" t="str">
        <f aca="false">IF(AND(A68&lt;&gt;"",N(J68)&gt;0),COUNTIF($J$6:J68,"&gt;0"),"")</f>
        <v/>
      </c>
    </row>
    <row r="69" customFormat="false" ht="15" hidden="false" customHeight="false" outlineLevel="0" collapsed="false">
      <c r="A69" s="52" t="str">
        <f aca="false">IF('Item Master'!A69="","",'Item Master'!A69)</f>
        <v/>
      </c>
      <c r="B69" s="53" t="str">
        <f aca="false">IF(A69="","",'Item Master'!B69)</f>
        <v/>
      </c>
      <c r="C69" s="42" t="str">
        <f aca="false">IF(A69="","",N('Item Master'!E69))</f>
        <v/>
      </c>
      <c r="D69" s="41" t="str">
        <f aca="false">IF(A69="","",N('Item Master'!H69))</f>
        <v/>
      </c>
      <c r="E69" s="42" t="str">
        <f aca="false">IF(A69="","",'Item Master'!I69)</f>
        <v/>
      </c>
      <c r="F69" s="41" t="str">
        <f aca="false">IF(A69="","",SUMIFS('Stock Register'!$J$7:$J$506,'Stock Register'!$C$7:$C$506,A69,'Stock Register'!$E$7:$E$506,"In"))</f>
        <v/>
      </c>
      <c r="G69" s="42" t="str">
        <f aca="false">IF(A69="","",'Item Master'!J69)</f>
        <v/>
      </c>
      <c r="H69" s="41" t="str">
        <f aca="false">IF(A69="","",SUMIFS('Stock Register'!$J$7:$J$506,'Stock Register'!$C$7:$C$506,A69,'Stock Register'!$E$7:$E$506,"Out"))</f>
        <v/>
      </c>
      <c r="I69" s="42" t="str">
        <f aca="false">IF(A69="","",'Item Master'!K69)</f>
        <v/>
      </c>
      <c r="J69" s="54" t="str">
        <f aca="false">IF(A69="","",ROUND(MAX(0,MIN(C69,I69-E69))*N('Item Master'!F69)+SUMIFS('Stock Register'!$P$7:$P$506,'Stock Register'!$C$7:$C$506,A69),0))</f>
        <v/>
      </c>
      <c r="K69" s="55" t="str">
        <f aca="false">IF(A69="","",IFERROR((D69+F69)/(C69+E69),0))</f>
        <v/>
      </c>
      <c r="L69" s="54" t="str">
        <f aca="false">IF(A69="","",ROUND(MAX(0,I69)*K69,0))</f>
        <v/>
      </c>
      <c r="M69" s="41" t="str">
        <f aca="false">IF(A69="","",D69+F69-J69)</f>
        <v/>
      </c>
      <c r="N69" s="41" t="str">
        <f aca="false">IF(A69="","",D69+F69-L69)</f>
        <v/>
      </c>
      <c r="O69" s="41" t="str">
        <f aca="false">IF(A69="","",H69-M69)</f>
        <v/>
      </c>
      <c r="P69" s="41" t="str">
        <f aca="false">IF(A69="","",H69-N69)</f>
        <v/>
      </c>
      <c r="Q69" s="9" t="str">
        <f aca="false">IF(AND(A69&lt;&gt;"",N(J69)&gt;0),COUNTIF($J$6:J69,"&gt;0"),"")</f>
        <v/>
      </c>
    </row>
    <row r="70" customFormat="false" ht="15" hidden="false" customHeight="false" outlineLevel="0" collapsed="false">
      <c r="A70" s="52" t="str">
        <f aca="false">IF('Item Master'!A70="","",'Item Master'!A70)</f>
        <v/>
      </c>
      <c r="B70" s="53" t="str">
        <f aca="false">IF(A70="","",'Item Master'!B70)</f>
        <v/>
      </c>
      <c r="C70" s="42" t="str">
        <f aca="false">IF(A70="","",N('Item Master'!E70))</f>
        <v/>
      </c>
      <c r="D70" s="41" t="str">
        <f aca="false">IF(A70="","",N('Item Master'!H70))</f>
        <v/>
      </c>
      <c r="E70" s="42" t="str">
        <f aca="false">IF(A70="","",'Item Master'!I70)</f>
        <v/>
      </c>
      <c r="F70" s="41" t="str">
        <f aca="false">IF(A70="","",SUMIFS('Stock Register'!$J$7:$J$506,'Stock Register'!$C$7:$C$506,A70,'Stock Register'!$E$7:$E$506,"In"))</f>
        <v/>
      </c>
      <c r="G70" s="42" t="str">
        <f aca="false">IF(A70="","",'Item Master'!J70)</f>
        <v/>
      </c>
      <c r="H70" s="41" t="str">
        <f aca="false">IF(A70="","",SUMIFS('Stock Register'!$J$7:$J$506,'Stock Register'!$C$7:$C$506,A70,'Stock Register'!$E$7:$E$506,"Out"))</f>
        <v/>
      </c>
      <c r="I70" s="42" t="str">
        <f aca="false">IF(A70="","",'Item Master'!K70)</f>
        <v/>
      </c>
      <c r="J70" s="54" t="str">
        <f aca="false">IF(A70="","",ROUND(MAX(0,MIN(C70,I70-E70))*N('Item Master'!F70)+SUMIFS('Stock Register'!$P$7:$P$506,'Stock Register'!$C$7:$C$506,A70),0))</f>
        <v/>
      </c>
      <c r="K70" s="55" t="str">
        <f aca="false">IF(A70="","",IFERROR((D70+F70)/(C70+E70),0))</f>
        <v/>
      </c>
      <c r="L70" s="54" t="str">
        <f aca="false">IF(A70="","",ROUND(MAX(0,I70)*K70,0))</f>
        <v/>
      </c>
      <c r="M70" s="41" t="str">
        <f aca="false">IF(A70="","",D70+F70-J70)</f>
        <v/>
      </c>
      <c r="N70" s="41" t="str">
        <f aca="false">IF(A70="","",D70+F70-L70)</f>
        <v/>
      </c>
      <c r="O70" s="41" t="str">
        <f aca="false">IF(A70="","",H70-M70)</f>
        <v/>
      </c>
      <c r="P70" s="41" t="str">
        <f aca="false">IF(A70="","",H70-N70)</f>
        <v/>
      </c>
      <c r="Q70" s="9" t="str">
        <f aca="false">IF(AND(A70&lt;&gt;"",N(J70)&gt;0),COUNTIF($J$6:J70,"&gt;0"),"")</f>
        <v/>
      </c>
    </row>
    <row r="71" customFormat="false" ht="15" hidden="false" customHeight="false" outlineLevel="0" collapsed="false">
      <c r="A71" s="52" t="str">
        <f aca="false">IF('Item Master'!A71="","",'Item Master'!A71)</f>
        <v/>
      </c>
      <c r="B71" s="53" t="str">
        <f aca="false">IF(A71="","",'Item Master'!B71)</f>
        <v/>
      </c>
      <c r="C71" s="42" t="str">
        <f aca="false">IF(A71="","",N('Item Master'!E71))</f>
        <v/>
      </c>
      <c r="D71" s="41" t="str">
        <f aca="false">IF(A71="","",N('Item Master'!H71))</f>
        <v/>
      </c>
      <c r="E71" s="42" t="str">
        <f aca="false">IF(A71="","",'Item Master'!I71)</f>
        <v/>
      </c>
      <c r="F71" s="41" t="str">
        <f aca="false">IF(A71="","",SUMIFS('Stock Register'!$J$7:$J$506,'Stock Register'!$C$7:$C$506,A71,'Stock Register'!$E$7:$E$506,"In"))</f>
        <v/>
      </c>
      <c r="G71" s="42" t="str">
        <f aca="false">IF(A71="","",'Item Master'!J71)</f>
        <v/>
      </c>
      <c r="H71" s="41" t="str">
        <f aca="false">IF(A71="","",SUMIFS('Stock Register'!$J$7:$J$506,'Stock Register'!$C$7:$C$506,A71,'Stock Register'!$E$7:$E$506,"Out"))</f>
        <v/>
      </c>
      <c r="I71" s="42" t="str">
        <f aca="false">IF(A71="","",'Item Master'!K71)</f>
        <v/>
      </c>
      <c r="J71" s="54" t="str">
        <f aca="false">IF(A71="","",ROUND(MAX(0,MIN(C71,I71-E71))*N('Item Master'!F71)+SUMIFS('Stock Register'!$P$7:$P$506,'Stock Register'!$C$7:$C$506,A71),0))</f>
        <v/>
      </c>
      <c r="K71" s="55" t="str">
        <f aca="false">IF(A71="","",IFERROR((D71+F71)/(C71+E71),0))</f>
        <v/>
      </c>
      <c r="L71" s="54" t="str">
        <f aca="false">IF(A71="","",ROUND(MAX(0,I71)*K71,0))</f>
        <v/>
      </c>
      <c r="M71" s="41" t="str">
        <f aca="false">IF(A71="","",D71+F71-J71)</f>
        <v/>
      </c>
      <c r="N71" s="41" t="str">
        <f aca="false">IF(A71="","",D71+F71-L71)</f>
        <v/>
      </c>
      <c r="O71" s="41" t="str">
        <f aca="false">IF(A71="","",H71-M71)</f>
        <v/>
      </c>
      <c r="P71" s="41" t="str">
        <f aca="false">IF(A71="","",H71-N71)</f>
        <v/>
      </c>
      <c r="Q71" s="9" t="str">
        <f aca="false">IF(AND(A71&lt;&gt;"",N(J71)&gt;0),COUNTIF($J$6:J71,"&gt;0"),"")</f>
        <v/>
      </c>
    </row>
    <row r="72" customFormat="false" ht="15" hidden="false" customHeight="false" outlineLevel="0" collapsed="false">
      <c r="A72" s="52" t="str">
        <f aca="false">IF('Item Master'!A72="","",'Item Master'!A72)</f>
        <v/>
      </c>
      <c r="B72" s="53" t="str">
        <f aca="false">IF(A72="","",'Item Master'!B72)</f>
        <v/>
      </c>
      <c r="C72" s="42" t="str">
        <f aca="false">IF(A72="","",N('Item Master'!E72))</f>
        <v/>
      </c>
      <c r="D72" s="41" t="str">
        <f aca="false">IF(A72="","",N('Item Master'!H72))</f>
        <v/>
      </c>
      <c r="E72" s="42" t="str">
        <f aca="false">IF(A72="","",'Item Master'!I72)</f>
        <v/>
      </c>
      <c r="F72" s="41" t="str">
        <f aca="false">IF(A72="","",SUMIFS('Stock Register'!$J$7:$J$506,'Stock Register'!$C$7:$C$506,A72,'Stock Register'!$E$7:$E$506,"In"))</f>
        <v/>
      </c>
      <c r="G72" s="42" t="str">
        <f aca="false">IF(A72="","",'Item Master'!J72)</f>
        <v/>
      </c>
      <c r="H72" s="41" t="str">
        <f aca="false">IF(A72="","",SUMIFS('Stock Register'!$J$7:$J$506,'Stock Register'!$C$7:$C$506,A72,'Stock Register'!$E$7:$E$506,"Out"))</f>
        <v/>
      </c>
      <c r="I72" s="42" t="str">
        <f aca="false">IF(A72="","",'Item Master'!K72)</f>
        <v/>
      </c>
      <c r="J72" s="54" t="str">
        <f aca="false">IF(A72="","",ROUND(MAX(0,MIN(C72,I72-E72))*N('Item Master'!F72)+SUMIFS('Stock Register'!$P$7:$P$506,'Stock Register'!$C$7:$C$506,A72),0))</f>
        <v/>
      </c>
      <c r="K72" s="55" t="str">
        <f aca="false">IF(A72="","",IFERROR((D72+F72)/(C72+E72),0))</f>
        <v/>
      </c>
      <c r="L72" s="54" t="str">
        <f aca="false">IF(A72="","",ROUND(MAX(0,I72)*K72,0))</f>
        <v/>
      </c>
      <c r="M72" s="41" t="str">
        <f aca="false">IF(A72="","",D72+F72-J72)</f>
        <v/>
      </c>
      <c r="N72" s="41" t="str">
        <f aca="false">IF(A72="","",D72+F72-L72)</f>
        <v/>
      </c>
      <c r="O72" s="41" t="str">
        <f aca="false">IF(A72="","",H72-M72)</f>
        <v/>
      </c>
      <c r="P72" s="41" t="str">
        <f aca="false">IF(A72="","",H72-N72)</f>
        <v/>
      </c>
      <c r="Q72" s="9" t="str">
        <f aca="false">IF(AND(A72&lt;&gt;"",N(J72)&gt;0),COUNTIF($J$6:J72,"&gt;0"),"")</f>
        <v/>
      </c>
    </row>
    <row r="73" customFormat="false" ht="15" hidden="false" customHeight="false" outlineLevel="0" collapsed="false">
      <c r="A73" s="52" t="str">
        <f aca="false">IF('Item Master'!A73="","",'Item Master'!A73)</f>
        <v/>
      </c>
      <c r="B73" s="53" t="str">
        <f aca="false">IF(A73="","",'Item Master'!B73)</f>
        <v/>
      </c>
      <c r="C73" s="42" t="str">
        <f aca="false">IF(A73="","",N('Item Master'!E73))</f>
        <v/>
      </c>
      <c r="D73" s="41" t="str">
        <f aca="false">IF(A73="","",N('Item Master'!H73))</f>
        <v/>
      </c>
      <c r="E73" s="42" t="str">
        <f aca="false">IF(A73="","",'Item Master'!I73)</f>
        <v/>
      </c>
      <c r="F73" s="41" t="str">
        <f aca="false">IF(A73="","",SUMIFS('Stock Register'!$J$7:$J$506,'Stock Register'!$C$7:$C$506,A73,'Stock Register'!$E$7:$E$506,"In"))</f>
        <v/>
      </c>
      <c r="G73" s="42" t="str">
        <f aca="false">IF(A73="","",'Item Master'!J73)</f>
        <v/>
      </c>
      <c r="H73" s="41" t="str">
        <f aca="false">IF(A73="","",SUMIFS('Stock Register'!$J$7:$J$506,'Stock Register'!$C$7:$C$506,A73,'Stock Register'!$E$7:$E$506,"Out"))</f>
        <v/>
      </c>
      <c r="I73" s="42" t="str">
        <f aca="false">IF(A73="","",'Item Master'!K73)</f>
        <v/>
      </c>
      <c r="J73" s="54" t="str">
        <f aca="false">IF(A73="","",ROUND(MAX(0,MIN(C73,I73-E73))*N('Item Master'!F73)+SUMIFS('Stock Register'!$P$7:$P$506,'Stock Register'!$C$7:$C$506,A73),0))</f>
        <v/>
      </c>
      <c r="K73" s="55" t="str">
        <f aca="false">IF(A73="","",IFERROR((D73+F73)/(C73+E73),0))</f>
        <v/>
      </c>
      <c r="L73" s="54" t="str">
        <f aca="false">IF(A73="","",ROUND(MAX(0,I73)*K73,0))</f>
        <v/>
      </c>
      <c r="M73" s="41" t="str">
        <f aca="false">IF(A73="","",D73+F73-J73)</f>
        <v/>
      </c>
      <c r="N73" s="41" t="str">
        <f aca="false">IF(A73="","",D73+F73-L73)</f>
        <v/>
      </c>
      <c r="O73" s="41" t="str">
        <f aca="false">IF(A73="","",H73-M73)</f>
        <v/>
      </c>
      <c r="P73" s="41" t="str">
        <f aca="false">IF(A73="","",H73-N73)</f>
        <v/>
      </c>
      <c r="Q73" s="9" t="str">
        <f aca="false">IF(AND(A73&lt;&gt;"",N(J73)&gt;0),COUNTIF($J$6:J73,"&gt;0"),"")</f>
        <v/>
      </c>
    </row>
    <row r="74" customFormat="false" ht="15" hidden="false" customHeight="false" outlineLevel="0" collapsed="false">
      <c r="A74" s="52" t="str">
        <f aca="false">IF('Item Master'!A74="","",'Item Master'!A74)</f>
        <v/>
      </c>
      <c r="B74" s="53" t="str">
        <f aca="false">IF(A74="","",'Item Master'!B74)</f>
        <v/>
      </c>
      <c r="C74" s="42" t="str">
        <f aca="false">IF(A74="","",N('Item Master'!E74))</f>
        <v/>
      </c>
      <c r="D74" s="41" t="str">
        <f aca="false">IF(A74="","",N('Item Master'!H74))</f>
        <v/>
      </c>
      <c r="E74" s="42" t="str">
        <f aca="false">IF(A74="","",'Item Master'!I74)</f>
        <v/>
      </c>
      <c r="F74" s="41" t="str">
        <f aca="false">IF(A74="","",SUMIFS('Stock Register'!$J$7:$J$506,'Stock Register'!$C$7:$C$506,A74,'Stock Register'!$E$7:$E$506,"In"))</f>
        <v/>
      </c>
      <c r="G74" s="42" t="str">
        <f aca="false">IF(A74="","",'Item Master'!J74)</f>
        <v/>
      </c>
      <c r="H74" s="41" t="str">
        <f aca="false">IF(A74="","",SUMIFS('Stock Register'!$J$7:$J$506,'Stock Register'!$C$7:$C$506,A74,'Stock Register'!$E$7:$E$506,"Out"))</f>
        <v/>
      </c>
      <c r="I74" s="42" t="str">
        <f aca="false">IF(A74="","",'Item Master'!K74)</f>
        <v/>
      </c>
      <c r="J74" s="54" t="str">
        <f aca="false">IF(A74="","",ROUND(MAX(0,MIN(C74,I74-E74))*N('Item Master'!F74)+SUMIFS('Stock Register'!$P$7:$P$506,'Stock Register'!$C$7:$C$506,A74),0))</f>
        <v/>
      </c>
      <c r="K74" s="55" t="str">
        <f aca="false">IF(A74="","",IFERROR((D74+F74)/(C74+E74),0))</f>
        <v/>
      </c>
      <c r="L74" s="54" t="str">
        <f aca="false">IF(A74="","",ROUND(MAX(0,I74)*K74,0))</f>
        <v/>
      </c>
      <c r="M74" s="41" t="str">
        <f aca="false">IF(A74="","",D74+F74-J74)</f>
        <v/>
      </c>
      <c r="N74" s="41" t="str">
        <f aca="false">IF(A74="","",D74+F74-L74)</f>
        <v/>
      </c>
      <c r="O74" s="41" t="str">
        <f aca="false">IF(A74="","",H74-M74)</f>
        <v/>
      </c>
      <c r="P74" s="41" t="str">
        <f aca="false">IF(A74="","",H74-N74)</f>
        <v/>
      </c>
      <c r="Q74" s="9" t="str">
        <f aca="false">IF(AND(A74&lt;&gt;"",N(J74)&gt;0),COUNTIF($J$6:J74,"&gt;0"),"")</f>
        <v/>
      </c>
    </row>
    <row r="75" customFormat="false" ht="15" hidden="false" customHeight="false" outlineLevel="0" collapsed="false">
      <c r="A75" s="52" t="str">
        <f aca="false">IF('Item Master'!A75="","",'Item Master'!A75)</f>
        <v/>
      </c>
      <c r="B75" s="53" t="str">
        <f aca="false">IF(A75="","",'Item Master'!B75)</f>
        <v/>
      </c>
      <c r="C75" s="42" t="str">
        <f aca="false">IF(A75="","",N('Item Master'!E75))</f>
        <v/>
      </c>
      <c r="D75" s="41" t="str">
        <f aca="false">IF(A75="","",N('Item Master'!H75))</f>
        <v/>
      </c>
      <c r="E75" s="42" t="str">
        <f aca="false">IF(A75="","",'Item Master'!I75)</f>
        <v/>
      </c>
      <c r="F75" s="41" t="str">
        <f aca="false">IF(A75="","",SUMIFS('Stock Register'!$J$7:$J$506,'Stock Register'!$C$7:$C$506,A75,'Stock Register'!$E$7:$E$506,"In"))</f>
        <v/>
      </c>
      <c r="G75" s="42" t="str">
        <f aca="false">IF(A75="","",'Item Master'!J75)</f>
        <v/>
      </c>
      <c r="H75" s="41" t="str">
        <f aca="false">IF(A75="","",SUMIFS('Stock Register'!$J$7:$J$506,'Stock Register'!$C$7:$C$506,A75,'Stock Register'!$E$7:$E$506,"Out"))</f>
        <v/>
      </c>
      <c r="I75" s="42" t="str">
        <f aca="false">IF(A75="","",'Item Master'!K75)</f>
        <v/>
      </c>
      <c r="J75" s="54" t="str">
        <f aca="false">IF(A75="","",ROUND(MAX(0,MIN(C75,I75-E75))*N('Item Master'!F75)+SUMIFS('Stock Register'!$P$7:$P$506,'Stock Register'!$C$7:$C$506,A75),0))</f>
        <v/>
      </c>
      <c r="K75" s="55" t="str">
        <f aca="false">IF(A75="","",IFERROR((D75+F75)/(C75+E75),0))</f>
        <v/>
      </c>
      <c r="L75" s="54" t="str">
        <f aca="false">IF(A75="","",ROUND(MAX(0,I75)*K75,0))</f>
        <v/>
      </c>
      <c r="M75" s="41" t="str">
        <f aca="false">IF(A75="","",D75+F75-J75)</f>
        <v/>
      </c>
      <c r="N75" s="41" t="str">
        <f aca="false">IF(A75="","",D75+F75-L75)</f>
        <v/>
      </c>
      <c r="O75" s="41" t="str">
        <f aca="false">IF(A75="","",H75-M75)</f>
        <v/>
      </c>
      <c r="P75" s="41" t="str">
        <f aca="false">IF(A75="","",H75-N75)</f>
        <v/>
      </c>
      <c r="Q75" s="9" t="str">
        <f aca="false">IF(AND(A75&lt;&gt;"",N(J75)&gt;0),COUNTIF($J$6:J75,"&gt;0"),"")</f>
        <v/>
      </c>
    </row>
    <row r="76" customFormat="false" ht="15" hidden="false" customHeight="false" outlineLevel="0" collapsed="false">
      <c r="A76" s="52" t="str">
        <f aca="false">IF('Item Master'!A76="","",'Item Master'!A76)</f>
        <v/>
      </c>
      <c r="B76" s="53" t="str">
        <f aca="false">IF(A76="","",'Item Master'!B76)</f>
        <v/>
      </c>
      <c r="C76" s="42" t="str">
        <f aca="false">IF(A76="","",N('Item Master'!E76))</f>
        <v/>
      </c>
      <c r="D76" s="41" t="str">
        <f aca="false">IF(A76="","",N('Item Master'!H76))</f>
        <v/>
      </c>
      <c r="E76" s="42" t="str">
        <f aca="false">IF(A76="","",'Item Master'!I76)</f>
        <v/>
      </c>
      <c r="F76" s="41" t="str">
        <f aca="false">IF(A76="","",SUMIFS('Stock Register'!$J$7:$J$506,'Stock Register'!$C$7:$C$506,A76,'Stock Register'!$E$7:$E$506,"In"))</f>
        <v/>
      </c>
      <c r="G76" s="42" t="str">
        <f aca="false">IF(A76="","",'Item Master'!J76)</f>
        <v/>
      </c>
      <c r="H76" s="41" t="str">
        <f aca="false">IF(A76="","",SUMIFS('Stock Register'!$J$7:$J$506,'Stock Register'!$C$7:$C$506,A76,'Stock Register'!$E$7:$E$506,"Out"))</f>
        <v/>
      </c>
      <c r="I76" s="42" t="str">
        <f aca="false">IF(A76="","",'Item Master'!K76)</f>
        <v/>
      </c>
      <c r="J76" s="54" t="str">
        <f aca="false">IF(A76="","",ROUND(MAX(0,MIN(C76,I76-E76))*N('Item Master'!F76)+SUMIFS('Stock Register'!$P$7:$P$506,'Stock Register'!$C$7:$C$506,A76),0))</f>
        <v/>
      </c>
      <c r="K76" s="55" t="str">
        <f aca="false">IF(A76="","",IFERROR((D76+F76)/(C76+E76),0))</f>
        <v/>
      </c>
      <c r="L76" s="54" t="str">
        <f aca="false">IF(A76="","",ROUND(MAX(0,I76)*K76,0))</f>
        <v/>
      </c>
      <c r="M76" s="41" t="str">
        <f aca="false">IF(A76="","",D76+F76-J76)</f>
        <v/>
      </c>
      <c r="N76" s="41" t="str">
        <f aca="false">IF(A76="","",D76+F76-L76)</f>
        <v/>
      </c>
      <c r="O76" s="41" t="str">
        <f aca="false">IF(A76="","",H76-M76)</f>
        <v/>
      </c>
      <c r="P76" s="41" t="str">
        <f aca="false">IF(A76="","",H76-N76)</f>
        <v/>
      </c>
      <c r="Q76" s="9" t="str">
        <f aca="false">IF(AND(A76&lt;&gt;"",N(J76)&gt;0),COUNTIF($J$6:J76,"&gt;0"),"")</f>
        <v/>
      </c>
    </row>
    <row r="77" customFormat="false" ht="15" hidden="false" customHeight="false" outlineLevel="0" collapsed="false">
      <c r="A77" s="52" t="str">
        <f aca="false">IF('Item Master'!A77="","",'Item Master'!A77)</f>
        <v/>
      </c>
      <c r="B77" s="53" t="str">
        <f aca="false">IF(A77="","",'Item Master'!B77)</f>
        <v/>
      </c>
      <c r="C77" s="42" t="str">
        <f aca="false">IF(A77="","",N('Item Master'!E77))</f>
        <v/>
      </c>
      <c r="D77" s="41" t="str">
        <f aca="false">IF(A77="","",N('Item Master'!H77))</f>
        <v/>
      </c>
      <c r="E77" s="42" t="str">
        <f aca="false">IF(A77="","",'Item Master'!I77)</f>
        <v/>
      </c>
      <c r="F77" s="41" t="str">
        <f aca="false">IF(A77="","",SUMIFS('Stock Register'!$J$7:$J$506,'Stock Register'!$C$7:$C$506,A77,'Stock Register'!$E$7:$E$506,"In"))</f>
        <v/>
      </c>
      <c r="G77" s="42" t="str">
        <f aca="false">IF(A77="","",'Item Master'!J77)</f>
        <v/>
      </c>
      <c r="H77" s="41" t="str">
        <f aca="false">IF(A77="","",SUMIFS('Stock Register'!$J$7:$J$506,'Stock Register'!$C$7:$C$506,A77,'Stock Register'!$E$7:$E$506,"Out"))</f>
        <v/>
      </c>
      <c r="I77" s="42" t="str">
        <f aca="false">IF(A77="","",'Item Master'!K77)</f>
        <v/>
      </c>
      <c r="J77" s="54" t="str">
        <f aca="false">IF(A77="","",ROUND(MAX(0,MIN(C77,I77-E77))*N('Item Master'!F77)+SUMIFS('Stock Register'!$P$7:$P$506,'Stock Register'!$C$7:$C$506,A77),0))</f>
        <v/>
      </c>
      <c r="K77" s="55" t="str">
        <f aca="false">IF(A77="","",IFERROR((D77+F77)/(C77+E77),0))</f>
        <v/>
      </c>
      <c r="L77" s="54" t="str">
        <f aca="false">IF(A77="","",ROUND(MAX(0,I77)*K77,0))</f>
        <v/>
      </c>
      <c r="M77" s="41" t="str">
        <f aca="false">IF(A77="","",D77+F77-J77)</f>
        <v/>
      </c>
      <c r="N77" s="41" t="str">
        <f aca="false">IF(A77="","",D77+F77-L77)</f>
        <v/>
      </c>
      <c r="O77" s="41" t="str">
        <f aca="false">IF(A77="","",H77-M77)</f>
        <v/>
      </c>
      <c r="P77" s="41" t="str">
        <f aca="false">IF(A77="","",H77-N77)</f>
        <v/>
      </c>
      <c r="Q77" s="9" t="str">
        <f aca="false">IF(AND(A77&lt;&gt;"",N(J77)&gt;0),COUNTIF($J$6:J77,"&gt;0"),"")</f>
        <v/>
      </c>
    </row>
    <row r="78" customFormat="false" ht="15" hidden="false" customHeight="false" outlineLevel="0" collapsed="false">
      <c r="A78" s="52" t="str">
        <f aca="false">IF('Item Master'!A78="","",'Item Master'!A78)</f>
        <v/>
      </c>
      <c r="B78" s="53" t="str">
        <f aca="false">IF(A78="","",'Item Master'!B78)</f>
        <v/>
      </c>
      <c r="C78" s="42" t="str">
        <f aca="false">IF(A78="","",N('Item Master'!E78))</f>
        <v/>
      </c>
      <c r="D78" s="41" t="str">
        <f aca="false">IF(A78="","",N('Item Master'!H78))</f>
        <v/>
      </c>
      <c r="E78" s="42" t="str">
        <f aca="false">IF(A78="","",'Item Master'!I78)</f>
        <v/>
      </c>
      <c r="F78" s="41" t="str">
        <f aca="false">IF(A78="","",SUMIFS('Stock Register'!$J$7:$J$506,'Stock Register'!$C$7:$C$506,A78,'Stock Register'!$E$7:$E$506,"In"))</f>
        <v/>
      </c>
      <c r="G78" s="42" t="str">
        <f aca="false">IF(A78="","",'Item Master'!J78)</f>
        <v/>
      </c>
      <c r="H78" s="41" t="str">
        <f aca="false">IF(A78="","",SUMIFS('Stock Register'!$J$7:$J$506,'Stock Register'!$C$7:$C$506,A78,'Stock Register'!$E$7:$E$506,"Out"))</f>
        <v/>
      </c>
      <c r="I78" s="42" t="str">
        <f aca="false">IF(A78="","",'Item Master'!K78)</f>
        <v/>
      </c>
      <c r="J78" s="54" t="str">
        <f aca="false">IF(A78="","",ROUND(MAX(0,MIN(C78,I78-E78))*N('Item Master'!F78)+SUMIFS('Stock Register'!$P$7:$P$506,'Stock Register'!$C$7:$C$506,A78),0))</f>
        <v/>
      </c>
      <c r="K78" s="55" t="str">
        <f aca="false">IF(A78="","",IFERROR((D78+F78)/(C78+E78),0))</f>
        <v/>
      </c>
      <c r="L78" s="54" t="str">
        <f aca="false">IF(A78="","",ROUND(MAX(0,I78)*K78,0))</f>
        <v/>
      </c>
      <c r="M78" s="41" t="str">
        <f aca="false">IF(A78="","",D78+F78-J78)</f>
        <v/>
      </c>
      <c r="N78" s="41" t="str">
        <f aca="false">IF(A78="","",D78+F78-L78)</f>
        <v/>
      </c>
      <c r="O78" s="41" t="str">
        <f aca="false">IF(A78="","",H78-M78)</f>
        <v/>
      </c>
      <c r="P78" s="41" t="str">
        <f aca="false">IF(A78="","",H78-N78)</f>
        <v/>
      </c>
      <c r="Q78" s="9" t="str">
        <f aca="false">IF(AND(A78&lt;&gt;"",N(J78)&gt;0),COUNTIF($J$6:J78,"&gt;0"),"")</f>
        <v/>
      </c>
    </row>
    <row r="79" customFormat="false" ht="15" hidden="false" customHeight="false" outlineLevel="0" collapsed="false">
      <c r="A79" s="52" t="str">
        <f aca="false">IF('Item Master'!A79="","",'Item Master'!A79)</f>
        <v/>
      </c>
      <c r="B79" s="53" t="str">
        <f aca="false">IF(A79="","",'Item Master'!B79)</f>
        <v/>
      </c>
      <c r="C79" s="42" t="str">
        <f aca="false">IF(A79="","",N('Item Master'!E79))</f>
        <v/>
      </c>
      <c r="D79" s="41" t="str">
        <f aca="false">IF(A79="","",N('Item Master'!H79))</f>
        <v/>
      </c>
      <c r="E79" s="42" t="str">
        <f aca="false">IF(A79="","",'Item Master'!I79)</f>
        <v/>
      </c>
      <c r="F79" s="41" t="str">
        <f aca="false">IF(A79="","",SUMIFS('Stock Register'!$J$7:$J$506,'Stock Register'!$C$7:$C$506,A79,'Stock Register'!$E$7:$E$506,"In"))</f>
        <v/>
      </c>
      <c r="G79" s="42" t="str">
        <f aca="false">IF(A79="","",'Item Master'!J79)</f>
        <v/>
      </c>
      <c r="H79" s="41" t="str">
        <f aca="false">IF(A79="","",SUMIFS('Stock Register'!$J$7:$J$506,'Stock Register'!$C$7:$C$506,A79,'Stock Register'!$E$7:$E$506,"Out"))</f>
        <v/>
      </c>
      <c r="I79" s="42" t="str">
        <f aca="false">IF(A79="","",'Item Master'!K79)</f>
        <v/>
      </c>
      <c r="J79" s="54" t="str">
        <f aca="false">IF(A79="","",ROUND(MAX(0,MIN(C79,I79-E79))*N('Item Master'!F79)+SUMIFS('Stock Register'!$P$7:$P$506,'Stock Register'!$C$7:$C$506,A79),0))</f>
        <v/>
      </c>
      <c r="K79" s="55" t="str">
        <f aca="false">IF(A79="","",IFERROR((D79+F79)/(C79+E79),0))</f>
        <v/>
      </c>
      <c r="L79" s="54" t="str">
        <f aca="false">IF(A79="","",ROUND(MAX(0,I79)*K79,0))</f>
        <v/>
      </c>
      <c r="M79" s="41" t="str">
        <f aca="false">IF(A79="","",D79+F79-J79)</f>
        <v/>
      </c>
      <c r="N79" s="41" t="str">
        <f aca="false">IF(A79="","",D79+F79-L79)</f>
        <v/>
      </c>
      <c r="O79" s="41" t="str">
        <f aca="false">IF(A79="","",H79-M79)</f>
        <v/>
      </c>
      <c r="P79" s="41" t="str">
        <f aca="false">IF(A79="","",H79-N79)</f>
        <v/>
      </c>
      <c r="Q79" s="9" t="str">
        <f aca="false">IF(AND(A79&lt;&gt;"",N(J79)&gt;0),COUNTIF($J$6:J79,"&gt;0"),"")</f>
        <v/>
      </c>
    </row>
    <row r="80" customFormat="false" ht="15" hidden="false" customHeight="false" outlineLevel="0" collapsed="false">
      <c r="A80" s="52" t="str">
        <f aca="false">IF('Item Master'!A80="","",'Item Master'!A80)</f>
        <v/>
      </c>
      <c r="B80" s="53" t="str">
        <f aca="false">IF(A80="","",'Item Master'!B80)</f>
        <v/>
      </c>
      <c r="C80" s="42" t="str">
        <f aca="false">IF(A80="","",N('Item Master'!E80))</f>
        <v/>
      </c>
      <c r="D80" s="41" t="str">
        <f aca="false">IF(A80="","",N('Item Master'!H80))</f>
        <v/>
      </c>
      <c r="E80" s="42" t="str">
        <f aca="false">IF(A80="","",'Item Master'!I80)</f>
        <v/>
      </c>
      <c r="F80" s="41" t="str">
        <f aca="false">IF(A80="","",SUMIFS('Stock Register'!$J$7:$J$506,'Stock Register'!$C$7:$C$506,A80,'Stock Register'!$E$7:$E$506,"In"))</f>
        <v/>
      </c>
      <c r="G80" s="42" t="str">
        <f aca="false">IF(A80="","",'Item Master'!J80)</f>
        <v/>
      </c>
      <c r="H80" s="41" t="str">
        <f aca="false">IF(A80="","",SUMIFS('Stock Register'!$J$7:$J$506,'Stock Register'!$C$7:$C$506,A80,'Stock Register'!$E$7:$E$506,"Out"))</f>
        <v/>
      </c>
      <c r="I80" s="42" t="str">
        <f aca="false">IF(A80="","",'Item Master'!K80)</f>
        <v/>
      </c>
      <c r="J80" s="54" t="str">
        <f aca="false">IF(A80="","",ROUND(MAX(0,MIN(C80,I80-E80))*N('Item Master'!F80)+SUMIFS('Stock Register'!$P$7:$P$506,'Stock Register'!$C$7:$C$506,A80),0))</f>
        <v/>
      </c>
      <c r="K80" s="55" t="str">
        <f aca="false">IF(A80="","",IFERROR((D80+F80)/(C80+E80),0))</f>
        <v/>
      </c>
      <c r="L80" s="54" t="str">
        <f aca="false">IF(A80="","",ROUND(MAX(0,I80)*K80,0))</f>
        <v/>
      </c>
      <c r="M80" s="41" t="str">
        <f aca="false">IF(A80="","",D80+F80-J80)</f>
        <v/>
      </c>
      <c r="N80" s="41" t="str">
        <f aca="false">IF(A80="","",D80+F80-L80)</f>
        <v/>
      </c>
      <c r="O80" s="41" t="str">
        <f aca="false">IF(A80="","",H80-M80)</f>
        <v/>
      </c>
      <c r="P80" s="41" t="str">
        <f aca="false">IF(A80="","",H80-N80)</f>
        <v/>
      </c>
      <c r="Q80" s="9" t="str">
        <f aca="false">IF(AND(A80&lt;&gt;"",N(J80)&gt;0),COUNTIF($J$6:J80,"&gt;0"),"")</f>
        <v/>
      </c>
    </row>
    <row r="81" customFormat="false" ht="15" hidden="false" customHeight="false" outlineLevel="0" collapsed="false">
      <c r="A81" s="52" t="str">
        <f aca="false">IF('Item Master'!A81="","",'Item Master'!A81)</f>
        <v/>
      </c>
      <c r="B81" s="53" t="str">
        <f aca="false">IF(A81="","",'Item Master'!B81)</f>
        <v/>
      </c>
      <c r="C81" s="42" t="str">
        <f aca="false">IF(A81="","",N('Item Master'!E81))</f>
        <v/>
      </c>
      <c r="D81" s="41" t="str">
        <f aca="false">IF(A81="","",N('Item Master'!H81))</f>
        <v/>
      </c>
      <c r="E81" s="42" t="str">
        <f aca="false">IF(A81="","",'Item Master'!I81)</f>
        <v/>
      </c>
      <c r="F81" s="41" t="str">
        <f aca="false">IF(A81="","",SUMIFS('Stock Register'!$J$7:$J$506,'Stock Register'!$C$7:$C$506,A81,'Stock Register'!$E$7:$E$506,"In"))</f>
        <v/>
      </c>
      <c r="G81" s="42" t="str">
        <f aca="false">IF(A81="","",'Item Master'!J81)</f>
        <v/>
      </c>
      <c r="H81" s="41" t="str">
        <f aca="false">IF(A81="","",SUMIFS('Stock Register'!$J$7:$J$506,'Stock Register'!$C$7:$C$506,A81,'Stock Register'!$E$7:$E$506,"Out"))</f>
        <v/>
      </c>
      <c r="I81" s="42" t="str">
        <f aca="false">IF(A81="","",'Item Master'!K81)</f>
        <v/>
      </c>
      <c r="J81" s="54" t="str">
        <f aca="false">IF(A81="","",ROUND(MAX(0,MIN(C81,I81-E81))*N('Item Master'!F81)+SUMIFS('Stock Register'!$P$7:$P$506,'Stock Register'!$C$7:$C$506,A81),0))</f>
        <v/>
      </c>
      <c r="K81" s="55" t="str">
        <f aca="false">IF(A81="","",IFERROR((D81+F81)/(C81+E81),0))</f>
        <v/>
      </c>
      <c r="L81" s="54" t="str">
        <f aca="false">IF(A81="","",ROUND(MAX(0,I81)*K81,0))</f>
        <v/>
      </c>
      <c r="M81" s="41" t="str">
        <f aca="false">IF(A81="","",D81+F81-J81)</f>
        <v/>
      </c>
      <c r="N81" s="41" t="str">
        <f aca="false">IF(A81="","",D81+F81-L81)</f>
        <v/>
      </c>
      <c r="O81" s="41" t="str">
        <f aca="false">IF(A81="","",H81-M81)</f>
        <v/>
      </c>
      <c r="P81" s="41" t="str">
        <f aca="false">IF(A81="","",H81-N81)</f>
        <v/>
      </c>
      <c r="Q81" s="9" t="str">
        <f aca="false">IF(AND(A81&lt;&gt;"",N(J81)&gt;0),COUNTIF($J$6:J81,"&gt;0"),"")</f>
        <v/>
      </c>
    </row>
    <row r="82" customFormat="false" ht="15" hidden="false" customHeight="false" outlineLevel="0" collapsed="false">
      <c r="A82" s="52" t="str">
        <f aca="false">IF('Item Master'!A82="","",'Item Master'!A82)</f>
        <v/>
      </c>
      <c r="B82" s="53" t="str">
        <f aca="false">IF(A82="","",'Item Master'!B82)</f>
        <v/>
      </c>
      <c r="C82" s="42" t="str">
        <f aca="false">IF(A82="","",N('Item Master'!E82))</f>
        <v/>
      </c>
      <c r="D82" s="41" t="str">
        <f aca="false">IF(A82="","",N('Item Master'!H82))</f>
        <v/>
      </c>
      <c r="E82" s="42" t="str">
        <f aca="false">IF(A82="","",'Item Master'!I82)</f>
        <v/>
      </c>
      <c r="F82" s="41" t="str">
        <f aca="false">IF(A82="","",SUMIFS('Stock Register'!$J$7:$J$506,'Stock Register'!$C$7:$C$506,A82,'Stock Register'!$E$7:$E$506,"In"))</f>
        <v/>
      </c>
      <c r="G82" s="42" t="str">
        <f aca="false">IF(A82="","",'Item Master'!J82)</f>
        <v/>
      </c>
      <c r="H82" s="41" t="str">
        <f aca="false">IF(A82="","",SUMIFS('Stock Register'!$J$7:$J$506,'Stock Register'!$C$7:$C$506,A82,'Stock Register'!$E$7:$E$506,"Out"))</f>
        <v/>
      </c>
      <c r="I82" s="42" t="str">
        <f aca="false">IF(A82="","",'Item Master'!K82)</f>
        <v/>
      </c>
      <c r="J82" s="54" t="str">
        <f aca="false">IF(A82="","",ROUND(MAX(0,MIN(C82,I82-E82))*N('Item Master'!F82)+SUMIFS('Stock Register'!$P$7:$P$506,'Stock Register'!$C$7:$C$506,A82),0))</f>
        <v/>
      </c>
      <c r="K82" s="55" t="str">
        <f aca="false">IF(A82="","",IFERROR((D82+F82)/(C82+E82),0))</f>
        <v/>
      </c>
      <c r="L82" s="54" t="str">
        <f aca="false">IF(A82="","",ROUND(MAX(0,I82)*K82,0))</f>
        <v/>
      </c>
      <c r="M82" s="41" t="str">
        <f aca="false">IF(A82="","",D82+F82-J82)</f>
        <v/>
      </c>
      <c r="N82" s="41" t="str">
        <f aca="false">IF(A82="","",D82+F82-L82)</f>
        <v/>
      </c>
      <c r="O82" s="41" t="str">
        <f aca="false">IF(A82="","",H82-M82)</f>
        <v/>
      </c>
      <c r="P82" s="41" t="str">
        <f aca="false">IF(A82="","",H82-N82)</f>
        <v/>
      </c>
      <c r="Q82" s="9" t="str">
        <f aca="false">IF(AND(A82&lt;&gt;"",N(J82)&gt;0),COUNTIF($J$6:J82,"&gt;0"),"")</f>
        <v/>
      </c>
    </row>
    <row r="83" customFormat="false" ht="15" hidden="false" customHeight="false" outlineLevel="0" collapsed="false">
      <c r="A83" s="52" t="str">
        <f aca="false">IF('Item Master'!A83="","",'Item Master'!A83)</f>
        <v/>
      </c>
      <c r="B83" s="53" t="str">
        <f aca="false">IF(A83="","",'Item Master'!B83)</f>
        <v/>
      </c>
      <c r="C83" s="42" t="str">
        <f aca="false">IF(A83="","",N('Item Master'!E83))</f>
        <v/>
      </c>
      <c r="D83" s="41" t="str">
        <f aca="false">IF(A83="","",N('Item Master'!H83))</f>
        <v/>
      </c>
      <c r="E83" s="42" t="str">
        <f aca="false">IF(A83="","",'Item Master'!I83)</f>
        <v/>
      </c>
      <c r="F83" s="41" t="str">
        <f aca="false">IF(A83="","",SUMIFS('Stock Register'!$J$7:$J$506,'Stock Register'!$C$7:$C$506,A83,'Stock Register'!$E$7:$E$506,"In"))</f>
        <v/>
      </c>
      <c r="G83" s="42" t="str">
        <f aca="false">IF(A83="","",'Item Master'!J83)</f>
        <v/>
      </c>
      <c r="H83" s="41" t="str">
        <f aca="false">IF(A83="","",SUMIFS('Stock Register'!$J$7:$J$506,'Stock Register'!$C$7:$C$506,A83,'Stock Register'!$E$7:$E$506,"Out"))</f>
        <v/>
      </c>
      <c r="I83" s="42" t="str">
        <f aca="false">IF(A83="","",'Item Master'!K83)</f>
        <v/>
      </c>
      <c r="J83" s="54" t="str">
        <f aca="false">IF(A83="","",ROUND(MAX(0,MIN(C83,I83-E83))*N('Item Master'!F83)+SUMIFS('Stock Register'!$P$7:$P$506,'Stock Register'!$C$7:$C$506,A83),0))</f>
        <v/>
      </c>
      <c r="K83" s="55" t="str">
        <f aca="false">IF(A83="","",IFERROR((D83+F83)/(C83+E83),0))</f>
        <v/>
      </c>
      <c r="L83" s="54" t="str">
        <f aca="false">IF(A83="","",ROUND(MAX(0,I83)*K83,0))</f>
        <v/>
      </c>
      <c r="M83" s="41" t="str">
        <f aca="false">IF(A83="","",D83+F83-J83)</f>
        <v/>
      </c>
      <c r="N83" s="41" t="str">
        <f aca="false">IF(A83="","",D83+F83-L83)</f>
        <v/>
      </c>
      <c r="O83" s="41" t="str">
        <f aca="false">IF(A83="","",H83-M83)</f>
        <v/>
      </c>
      <c r="P83" s="41" t="str">
        <f aca="false">IF(A83="","",H83-N83)</f>
        <v/>
      </c>
      <c r="Q83" s="9" t="str">
        <f aca="false">IF(AND(A83&lt;&gt;"",N(J83)&gt;0),COUNTIF($J$6:J83,"&gt;0"),"")</f>
        <v/>
      </c>
    </row>
    <row r="84" customFormat="false" ht="15" hidden="false" customHeight="false" outlineLevel="0" collapsed="false">
      <c r="A84" s="52" t="str">
        <f aca="false">IF('Item Master'!A84="","",'Item Master'!A84)</f>
        <v/>
      </c>
      <c r="B84" s="53" t="str">
        <f aca="false">IF(A84="","",'Item Master'!B84)</f>
        <v/>
      </c>
      <c r="C84" s="42" t="str">
        <f aca="false">IF(A84="","",N('Item Master'!E84))</f>
        <v/>
      </c>
      <c r="D84" s="41" t="str">
        <f aca="false">IF(A84="","",N('Item Master'!H84))</f>
        <v/>
      </c>
      <c r="E84" s="42" t="str">
        <f aca="false">IF(A84="","",'Item Master'!I84)</f>
        <v/>
      </c>
      <c r="F84" s="41" t="str">
        <f aca="false">IF(A84="","",SUMIFS('Stock Register'!$J$7:$J$506,'Stock Register'!$C$7:$C$506,A84,'Stock Register'!$E$7:$E$506,"In"))</f>
        <v/>
      </c>
      <c r="G84" s="42" t="str">
        <f aca="false">IF(A84="","",'Item Master'!J84)</f>
        <v/>
      </c>
      <c r="H84" s="41" t="str">
        <f aca="false">IF(A84="","",SUMIFS('Stock Register'!$J$7:$J$506,'Stock Register'!$C$7:$C$506,A84,'Stock Register'!$E$7:$E$506,"Out"))</f>
        <v/>
      </c>
      <c r="I84" s="42" t="str">
        <f aca="false">IF(A84="","",'Item Master'!K84)</f>
        <v/>
      </c>
      <c r="J84" s="54" t="str">
        <f aca="false">IF(A84="","",ROUND(MAX(0,MIN(C84,I84-E84))*N('Item Master'!F84)+SUMIFS('Stock Register'!$P$7:$P$506,'Stock Register'!$C$7:$C$506,A84),0))</f>
        <v/>
      </c>
      <c r="K84" s="55" t="str">
        <f aca="false">IF(A84="","",IFERROR((D84+F84)/(C84+E84),0))</f>
        <v/>
      </c>
      <c r="L84" s="54" t="str">
        <f aca="false">IF(A84="","",ROUND(MAX(0,I84)*K84,0))</f>
        <v/>
      </c>
      <c r="M84" s="41" t="str">
        <f aca="false">IF(A84="","",D84+F84-J84)</f>
        <v/>
      </c>
      <c r="N84" s="41" t="str">
        <f aca="false">IF(A84="","",D84+F84-L84)</f>
        <v/>
      </c>
      <c r="O84" s="41" t="str">
        <f aca="false">IF(A84="","",H84-M84)</f>
        <v/>
      </c>
      <c r="P84" s="41" t="str">
        <f aca="false">IF(A84="","",H84-N84)</f>
        <v/>
      </c>
      <c r="Q84" s="9" t="str">
        <f aca="false">IF(AND(A84&lt;&gt;"",N(J84)&gt;0),COUNTIF($J$6:J84,"&gt;0"),"")</f>
        <v/>
      </c>
    </row>
    <row r="85" customFormat="false" ht="15" hidden="false" customHeight="false" outlineLevel="0" collapsed="false">
      <c r="A85" s="52" t="str">
        <f aca="false">IF('Item Master'!A85="","",'Item Master'!A85)</f>
        <v/>
      </c>
      <c r="B85" s="53" t="str">
        <f aca="false">IF(A85="","",'Item Master'!B85)</f>
        <v/>
      </c>
      <c r="C85" s="42" t="str">
        <f aca="false">IF(A85="","",N('Item Master'!E85))</f>
        <v/>
      </c>
      <c r="D85" s="41" t="str">
        <f aca="false">IF(A85="","",N('Item Master'!H85))</f>
        <v/>
      </c>
      <c r="E85" s="42" t="str">
        <f aca="false">IF(A85="","",'Item Master'!I85)</f>
        <v/>
      </c>
      <c r="F85" s="41" t="str">
        <f aca="false">IF(A85="","",SUMIFS('Stock Register'!$J$7:$J$506,'Stock Register'!$C$7:$C$506,A85,'Stock Register'!$E$7:$E$506,"In"))</f>
        <v/>
      </c>
      <c r="G85" s="42" t="str">
        <f aca="false">IF(A85="","",'Item Master'!J85)</f>
        <v/>
      </c>
      <c r="H85" s="41" t="str">
        <f aca="false">IF(A85="","",SUMIFS('Stock Register'!$J$7:$J$506,'Stock Register'!$C$7:$C$506,A85,'Stock Register'!$E$7:$E$506,"Out"))</f>
        <v/>
      </c>
      <c r="I85" s="42" t="str">
        <f aca="false">IF(A85="","",'Item Master'!K85)</f>
        <v/>
      </c>
      <c r="J85" s="54" t="str">
        <f aca="false">IF(A85="","",ROUND(MAX(0,MIN(C85,I85-E85))*N('Item Master'!F85)+SUMIFS('Stock Register'!$P$7:$P$506,'Stock Register'!$C$7:$C$506,A85),0))</f>
        <v/>
      </c>
      <c r="K85" s="55" t="str">
        <f aca="false">IF(A85="","",IFERROR((D85+F85)/(C85+E85),0))</f>
        <v/>
      </c>
      <c r="L85" s="54" t="str">
        <f aca="false">IF(A85="","",ROUND(MAX(0,I85)*K85,0))</f>
        <v/>
      </c>
      <c r="M85" s="41" t="str">
        <f aca="false">IF(A85="","",D85+F85-J85)</f>
        <v/>
      </c>
      <c r="N85" s="41" t="str">
        <f aca="false">IF(A85="","",D85+F85-L85)</f>
        <v/>
      </c>
      <c r="O85" s="41" t="str">
        <f aca="false">IF(A85="","",H85-M85)</f>
        <v/>
      </c>
      <c r="P85" s="41" t="str">
        <f aca="false">IF(A85="","",H85-N85)</f>
        <v/>
      </c>
      <c r="Q85" s="9" t="str">
        <f aca="false">IF(AND(A85&lt;&gt;"",N(J85)&gt;0),COUNTIF($J$6:J85,"&gt;0"),"")</f>
        <v/>
      </c>
    </row>
    <row r="86" customFormat="false" ht="15" hidden="false" customHeight="false" outlineLevel="0" collapsed="false">
      <c r="A86" s="52" t="str">
        <f aca="false">IF('Item Master'!A86="","",'Item Master'!A86)</f>
        <v/>
      </c>
      <c r="B86" s="53" t="str">
        <f aca="false">IF(A86="","",'Item Master'!B86)</f>
        <v/>
      </c>
      <c r="C86" s="42" t="str">
        <f aca="false">IF(A86="","",N('Item Master'!E86))</f>
        <v/>
      </c>
      <c r="D86" s="41" t="str">
        <f aca="false">IF(A86="","",N('Item Master'!H86))</f>
        <v/>
      </c>
      <c r="E86" s="42" t="str">
        <f aca="false">IF(A86="","",'Item Master'!I86)</f>
        <v/>
      </c>
      <c r="F86" s="41" t="str">
        <f aca="false">IF(A86="","",SUMIFS('Stock Register'!$J$7:$J$506,'Stock Register'!$C$7:$C$506,A86,'Stock Register'!$E$7:$E$506,"In"))</f>
        <v/>
      </c>
      <c r="G86" s="42" t="str">
        <f aca="false">IF(A86="","",'Item Master'!J86)</f>
        <v/>
      </c>
      <c r="H86" s="41" t="str">
        <f aca="false">IF(A86="","",SUMIFS('Stock Register'!$J$7:$J$506,'Stock Register'!$C$7:$C$506,A86,'Stock Register'!$E$7:$E$506,"Out"))</f>
        <v/>
      </c>
      <c r="I86" s="42" t="str">
        <f aca="false">IF(A86="","",'Item Master'!K86)</f>
        <v/>
      </c>
      <c r="J86" s="54" t="str">
        <f aca="false">IF(A86="","",ROUND(MAX(0,MIN(C86,I86-E86))*N('Item Master'!F86)+SUMIFS('Stock Register'!$P$7:$P$506,'Stock Register'!$C$7:$C$506,A86),0))</f>
        <v/>
      </c>
      <c r="K86" s="55" t="str">
        <f aca="false">IF(A86="","",IFERROR((D86+F86)/(C86+E86),0))</f>
        <v/>
      </c>
      <c r="L86" s="54" t="str">
        <f aca="false">IF(A86="","",ROUND(MAX(0,I86)*K86,0))</f>
        <v/>
      </c>
      <c r="M86" s="41" t="str">
        <f aca="false">IF(A86="","",D86+F86-J86)</f>
        <v/>
      </c>
      <c r="N86" s="41" t="str">
        <f aca="false">IF(A86="","",D86+F86-L86)</f>
        <v/>
      </c>
      <c r="O86" s="41" t="str">
        <f aca="false">IF(A86="","",H86-M86)</f>
        <v/>
      </c>
      <c r="P86" s="41" t="str">
        <f aca="false">IF(A86="","",H86-N86)</f>
        <v/>
      </c>
      <c r="Q86" s="9" t="str">
        <f aca="false">IF(AND(A86&lt;&gt;"",N(J86)&gt;0),COUNTIF($J$6:J86,"&gt;0"),"")</f>
        <v/>
      </c>
    </row>
    <row r="87" customFormat="false" ht="15" hidden="false" customHeight="false" outlineLevel="0" collapsed="false">
      <c r="A87" s="52" t="str">
        <f aca="false">IF('Item Master'!A87="","",'Item Master'!A87)</f>
        <v/>
      </c>
      <c r="B87" s="53" t="str">
        <f aca="false">IF(A87="","",'Item Master'!B87)</f>
        <v/>
      </c>
      <c r="C87" s="42" t="str">
        <f aca="false">IF(A87="","",N('Item Master'!E87))</f>
        <v/>
      </c>
      <c r="D87" s="41" t="str">
        <f aca="false">IF(A87="","",N('Item Master'!H87))</f>
        <v/>
      </c>
      <c r="E87" s="42" t="str">
        <f aca="false">IF(A87="","",'Item Master'!I87)</f>
        <v/>
      </c>
      <c r="F87" s="41" t="str">
        <f aca="false">IF(A87="","",SUMIFS('Stock Register'!$J$7:$J$506,'Stock Register'!$C$7:$C$506,A87,'Stock Register'!$E$7:$E$506,"In"))</f>
        <v/>
      </c>
      <c r="G87" s="42" t="str">
        <f aca="false">IF(A87="","",'Item Master'!J87)</f>
        <v/>
      </c>
      <c r="H87" s="41" t="str">
        <f aca="false">IF(A87="","",SUMIFS('Stock Register'!$J$7:$J$506,'Stock Register'!$C$7:$C$506,A87,'Stock Register'!$E$7:$E$506,"Out"))</f>
        <v/>
      </c>
      <c r="I87" s="42" t="str">
        <f aca="false">IF(A87="","",'Item Master'!K87)</f>
        <v/>
      </c>
      <c r="J87" s="54" t="str">
        <f aca="false">IF(A87="","",ROUND(MAX(0,MIN(C87,I87-E87))*N('Item Master'!F87)+SUMIFS('Stock Register'!$P$7:$P$506,'Stock Register'!$C$7:$C$506,A87),0))</f>
        <v/>
      </c>
      <c r="K87" s="55" t="str">
        <f aca="false">IF(A87="","",IFERROR((D87+F87)/(C87+E87),0))</f>
        <v/>
      </c>
      <c r="L87" s="54" t="str">
        <f aca="false">IF(A87="","",ROUND(MAX(0,I87)*K87,0))</f>
        <v/>
      </c>
      <c r="M87" s="41" t="str">
        <f aca="false">IF(A87="","",D87+F87-J87)</f>
        <v/>
      </c>
      <c r="N87" s="41" t="str">
        <f aca="false">IF(A87="","",D87+F87-L87)</f>
        <v/>
      </c>
      <c r="O87" s="41" t="str">
        <f aca="false">IF(A87="","",H87-M87)</f>
        <v/>
      </c>
      <c r="P87" s="41" t="str">
        <f aca="false">IF(A87="","",H87-N87)</f>
        <v/>
      </c>
      <c r="Q87" s="9" t="str">
        <f aca="false">IF(AND(A87&lt;&gt;"",N(J87)&gt;0),COUNTIF($J$6:J87,"&gt;0"),"")</f>
        <v/>
      </c>
    </row>
    <row r="88" customFormat="false" ht="15" hidden="false" customHeight="false" outlineLevel="0" collapsed="false">
      <c r="A88" s="52" t="str">
        <f aca="false">IF('Item Master'!A88="","",'Item Master'!A88)</f>
        <v/>
      </c>
      <c r="B88" s="53" t="str">
        <f aca="false">IF(A88="","",'Item Master'!B88)</f>
        <v/>
      </c>
      <c r="C88" s="42" t="str">
        <f aca="false">IF(A88="","",N('Item Master'!E88))</f>
        <v/>
      </c>
      <c r="D88" s="41" t="str">
        <f aca="false">IF(A88="","",N('Item Master'!H88))</f>
        <v/>
      </c>
      <c r="E88" s="42" t="str">
        <f aca="false">IF(A88="","",'Item Master'!I88)</f>
        <v/>
      </c>
      <c r="F88" s="41" t="str">
        <f aca="false">IF(A88="","",SUMIFS('Stock Register'!$J$7:$J$506,'Stock Register'!$C$7:$C$506,A88,'Stock Register'!$E$7:$E$506,"In"))</f>
        <v/>
      </c>
      <c r="G88" s="42" t="str">
        <f aca="false">IF(A88="","",'Item Master'!J88)</f>
        <v/>
      </c>
      <c r="H88" s="41" t="str">
        <f aca="false">IF(A88="","",SUMIFS('Stock Register'!$J$7:$J$506,'Stock Register'!$C$7:$C$506,A88,'Stock Register'!$E$7:$E$506,"Out"))</f>
        <v/>
      </c>
      <c r="I88" s="42" t="str">
        <f aca="false">IF(A88="","",'Item Master'!K88)</f>
        <v/>
      </c>
      <c r="J88" s="54" t="str">
        <f aca="false">IF(A88="","",ROUND(MAX(0,MIN(C88,I88-E88))*N('Item Master'!F88)+SUMIFS('Stock Register'!$P$7:$P$506,'Stock Register'!$C$7:$C$506,A88),0))</f>
        <v/>
      </c>
      <c r="K88" s="55" t="str">
        <f aca="false">IF(A88="","",IFERROR((D88+F88)/(C88+E88),0))</f>
        <v/>
      </c>
      <c r="L88" s="54" t="str">
        <f aca="false">IF(A88="","",ROUND(MAX(0,I88)*K88,0))</f>
        <v/>
      </c>
      <c r="M88" s="41" t="str">
        <f aca="false">IF(A88="","",D88+F88-J88)</f>
        <v/>
      </c>
      <c r="N88" s="41" t="str">
        <f aca="false">IF(A88="","",D88+F88-L88)</f>
        <v/>
      </c>
      <c r="O88" s="41" t="str">
        <f aca="false">IF(A88="","",H88-M88)</f>
        <v/>
      </c>
      <c r="P88" s="41" t="str">
        <f aca="false">IF(A88="","",H88-N88)</f>
        <v/>
      </c>
      <c r="Q88" s="9" t="str">
        <f aca="false">IF(AND(A88&lt;&gt;"",N(J88)&gt;0),COUNTIF($J$6:J88,"&gt;0"),"")</f>
        <v/>
      </c>
    </row>
    <row r="89" customFormat="false" ht="15" hidden="false" customHeight="false" outlineLevel="0" collapsed="false">
      <c r="A89" s="52" t="str">
        <f aca="false">IF('Item Master'!A89="","",'Item Master'!A89)</f>
        <v/>
      </c>
      <c r="B89" s="53" t="str">
        <f aca="false">IF(A89="","",'Item Master'!B89)</f>
        <v/>
      </c>
      <c r="C89" s="42" t="str">
        <f aca="false">IF(A89="","",N('Item Master'!E89))</f>
        <v/>
      </c>
      <c r="D89" s="41" t="str">
        <f aca="false">IF(A89="","",N('Item Master'!H89))</f>
        <v/>
      </c>
      <c r="E89" s="42" t="str">
        <f aca="false">IF(A89="","",'Item Master'!I89)</f>
        <v/>
      </c>
      <c r="F89" s="41" t="str">
        <f aca="false">IF(A89="","",SUMIFS('Stock Register'!$J$7:$J$506,'Stock Register'!$C$7:$C$506,A89,'Stock Register'!$E$7:$E$506,"In"))</f>
        <v/>
      </c>
      <c r="G89" s="42" t="str">
        <f aca="false">IF(A89="","",'Item Master'!J89)</f>
        <v/>
      </c>
      <c r="H89" s="41" t="str">
        <f aca="false">IF(A89="","",SUMIFS('Stock Register'!$J$7:$J$506,'Stock Register'!$C$7:$C$506,A89,'Stock Register'!$E$7:$E$506,"Out"))</f>
        <v/>
      </c>
      <c r="I89" s="42" t="str">
        <f aca="false">IF(A89="","",'Item Master'!K89)</f>
        <v/>
      </c>
      <c r="J89" s="54" t="str">
        <f aca="false">IF(A89="","",ROUND(MAX(0,MIN(C89,I89-E89))*N('Item Master'!F89)+SUMIFS('Stock Register'!$P$7:$P$506,'Stock Register'!$C$7:$C$506,A89),0))</f>
        <v/>
      </c>
      <c r="K89" s="55" t="str">
        <f aca="false">IF(A89="","",IFERROR((D89+F89)/(C89+E89),0))</f>
        <v/>
      </c>
      <c r="L89" s="54" t="str">
        <f aca="false">IF(A89="","",ROUND(MAX(0,I89)*K89,0))</f>
        <v/>
      </c>
      <c r="M89" s="41" t="str">
        <f aca="false">IF(A89="","",D89+F89-J89)</f>
        <v/>
      </c>
      <c r="N89" s="41" t="str">
        <f aca="false">IF(A89="","",D89+F89-L89)</f>
        <v/>
      </c>
      <c r="O89" s="41" t="str">
        <f aca="false">IF(A89="","",H89-M89)</f>
        <v/>
      </c>
      <c r="P89" s="41" t="str">
        <f aca="false">IF(A89="","",H89-N89)</f>
        <v/>
      </c>
      <c r="Q89" s="9" t="str">
        <f aca="false">IF(AND(A89&lt;&gt;"",N(J89)&gt;0),COUNTIF($J$6:J89,"&gt;0"),"")</f>
        <v/>
      </c>
    </row>
    <row r="90" customFormat="false" ht="15" hidden="false" customHeight="false" outlineLevel="0" collapsed="false">
      <c r="A90" s="52" t="str">
        <f aca="false">IF('Item Master'!A90="","",'Item Master'!A90)</f>
        <v/>
      </c>
      <c r="B90" s="53" t="str">
        <f aca="false">IF(A90="","",'Item Master'!B90)</f>
        <v/>
      </c>
      <c r="C90" s="42" t="str">
        <f aca="false">IF(A90="","",N('Item Master'!E90))</f>
        <v/>
      </c>
      <c r="D90" s="41" t="str">
        <f aca="false">IF(A90="","",N('Item Master'!H90))</f>
        <v/>
      </c>
      <c r="E90" s="42" t="str">
        <f aca="false">IF(A90="","",'Item Master'!I90)</f>
        <v/>
      </c>
      <c r="F90" s="41" t="str">
        <f aca="false">IF(A90="","",SUMIFS('Stock Register'!$J$7:$J$506,'Stock Register'!$C$7:$C$506,A90,'Stock Register'!$E$7:$E$506,"In"))</f>
        <v/>
      </c>
      <c r="G90" s="42" t="str">
        <f aca="false">IF(A90="","",'Item Master'!J90)</f>
        <v/>
      </c>
      <c r="H90" s="41" t="str">
        <f aca="false">IF(A90="","",SUMIFS('Stock Register'!$J$7:$J$506,'Stock Register'!$C$7:$C$506,A90,'Stock Register'!$E$7:$E$506,"Out"))</f>
        <v/>
      </c>
      <c r="I90" s="42" t="str">
        <f aca="false">IF(A90="","",'Item Master'!K90)</f>
        <v/>
      </c>
      <c r="J90" s="54" t="str">
        <f aca="false">IF(A90="","",ROUND(MAX(0,MIN(C90,I90-E90))*N('Item Master'!F90)+SUMIFS('Stock Register'!$P$7:$P$506,'Stock Register'!$C$7:$C$506,A90),0))</f>
        <v/>
      </c>
      <c r="K90" s="55" t="str">
        <f aca="false">IF(A90="","",IFERROR((D90+F90)/(C90+E90),0))</f>
        <v/>
      </c>
      <c r="L90" s="54" t="str">
        <f aca="false">IF(A90="","",ROUND(MAX(0,I90)*K90,0))</f>
        <v/>
      </c>
      <c r="M90" s="41" t="str">
        <f aca="false">IF(A90="","",D90+F90-J90)</f>
        <v/>
      </c>
      <c r="N90" s="41" t="str">
        <f aca="false">IF(A90="","",D90+F90-L90)</f>
        <v/>
      </c>
      <c r="O90" s="41" t="str">
        <f aca="false">IF(A90="","",H90-M90)</f>
        <v/>
      </c>
      <c r="P90" s="41" t="str">
        <f aca="false">IF(A90="","",H90-N90)</f>
        <v/>
      </c>
      <c r="Q90" s="9" t="str">
        <f aca="false">IF(AND(A90&lt;&gt;"",N(J90)&gt;0),COUNTIF($J$6:J90,"&gt;0"),"")</f>
        <v/>
      </c>
    </row>
    <row r="91" customFormat="false" ht="15" hidden="false" customHeight="false" outlineLevel="0" collapsed="false">
      <c r="A91" s="52" t="str">
        <f aca="false">IF('Item Master'!A91="","",'Item Master'!A91)</f>
        <v/>
      </c>
      <c r="B91" s="53" t="str">
        <f aca="false">IF(A91="","",'Item Master'!B91)</f>
        <v/>
      </c>
      <c r="C91" s="42" t="str">
        <f aca="false">IF(A91="","",N('Item Master'!E91))</f>
        <v/>
      </c>
      <c r="D91" s="41" t="str">
        <f aca="false">IF(A91="","",N('Item Master'!H91))</f>
        <v/>
      </c>
      <c r="E91" s="42" t="str">
        <f aca="false">IF(A91="","",'Item Master'!I91)</f>
        <v/>
      </c>
      <c r="F91" s="41" t="str">
        <f aca="false">IF(A91="","",SUMIFS('Stock Register'!$J$7:$J$506,'Stock Register'!$C$7:$C$506,A91,'Stock Register'!$E$7:$E$506,"In"))</f>
        <v/>
      </c>
      <c r="G91" s="42" t="str">
        <f aca="false">IF(A91="","",'Item Master'!J91)</f>
        <v/>
      </c>
      <c r="H91" s="41" t="str">
        <f aca="false">IF(A91="","",SUMIFS('Stock Register'!$J$7:$J$506,'Stock Register'!$C$7:$C$506,A91,'Stock Register'!$E$7:$E$506,"Out"))</f>
        <v/>
      </c>
      <c r="I91" s="42" t="str">
        <f aca="false">IF(A91="","",'Item Master'!K91)</f>
        <v/>
      </c>
      <c r="J91" s="54" t="str">
        <f aca="false">IF(A91="","",ROUND(MAX(0,MIN(C91,I91-E91))*N('Item Master'!F91)+SUMIFS('Stock Register'!$P$7:$P$506,'Stock Register'!$C$7:$C$506,A91),0))</f>
        <v/>
      </c>
      <c r="K91" s="55" t="str">
        <f aca="false">IF(A91="","",IFERROR((D91+F91)/(C91+E91),0))</f>
        <v/>
      </c>
      <c r="L91" s="54" t="str">
        <f aca="false">IF(A91="","",ROUND(MAX(0,I91)*K91,0))</f>
        <v/>
      </c>
      <c r="M91" s="41" t="str">
        <f aca="false">IF(A91="","",D91+F91-J91)</f>
        <v/>
      </c>
      <c r="N91" s="41" t="str">
        <f aca="false">IF(A91="","",D91+F91-L91)</f>
        <v/>
      </c>
      <c r="O91" s="41" t="str">
        <f aca="false">IF(A91="","",H91-M91)</f>
        <v/>
      </c>
      <c r="P91" s="41" t="str">
        <f aca="false">IF(A91="","",H91-N91)</f>
        <v/>
      </c>
      <c r="Q91" s="9" t="str">
        <f aca="false">IF(AND(A91&lt;&gt;"",N(J91)&gt;0),COUNTIF($J$6:J91,"&gt;0"),"")</f>
        <v/>
      </c>
    </row>
    <row r="92" customFormat="false" ht="15" hidden="false" customHeight="false" outlineLevel="0" collapsed="false">
      <c r="A92" s="52" t="str">
        <f aca="false">IF('Item Master'!A92="","",'Item Master'!A92)</f>
        <v/>
      </c>
      <c r="B92" s="53" t="str">
        <f aca="false">IF(A92="","",'Item Master'!B92)</f>
        <v/>
      </c>
      <c r="C92" s="42" t="str">
        <f aca="false">IF(A92="","",N('Item Master'!E92))</f>
        <v/>
      </c>
      <c r="D92" s="41" t="str">
        <f aca="false">IF(A92="","",N('Item Master'!H92))</f>
        <v/>
      </c>
      <c r="E92" s="42" t="str">
        <f aca="false">IF(A92="","",'Item Master'!I92)</f>
        <v/>
      </c>
      <c r="F92" s="41" t="str">
        <f aca="false">IF(A92="","",SUMIFS('Stock Register'!$J$7:$J$506,'Stock Register'!$C$7:$C$506,A92,'Stock Register'!$E$7:$E$506,"In"))</f>
        <v/>
      </c>
      <c r="G92" s="42" t="str">
        <f aca="false">IF(A92="","",'Item Master'!J92)</f>
        <v/>
      </c>
      <c r="H92" s="41" t="str">
        <f aca="false">IF(A92="","",SUMIFS('Stock Register'!$J$7:$J$506,'Stock Register'!$C$7:$C$506,A92,'Stock Register'!$E$7:$E$506,"Out"))</f>
        <v/>
      </c>
      <c r="I92" s="42" t="str">
        <f aca="false">IF(A92="","",'Item Master'!K92)</f>
        <v/>
      </c>
      <c r="J92" s="54" t="str">
        <f aca="false">IF(A92="","",ROUND(MAX(0,MIN(C92,I92-E92))*N('Item Master'!F92)+SUMIFS('Stock Register'!$P$7:$P$506,'Stock Register'!$C$7:$C$506,A92),0))</f>
        <v/>
      </c>
      <c r="K92" s="55" t="str">
        <f aca="false">IF(A92="","",IFERROR((D92+F92)/(C92+E92),0))</f>
        <v/>
      </c>
      <c r="L92" s="54" t="str">
        <f aca="false">IF(A92="","",ROUND(MAX(0,I92)*K92,0))</f>
        <v/>
      </c>
      <c r="M92" s="41" t="str">
        <f aca="false">IF(A92="","",D92+F92-J92)</f>
        <v/>
      </c>
      <c r="N92" s="41" t="str">
        <f aca="false">IF(A92="","",D92+F92-L92)</f>
        <v/>
      </c>
      <c r="O92" s="41" t="str">
        <f aca="false">IF(A92="","",H92-M92)</f>
        <v/>
      </c>
      <c r="P92" s="41" t="str">
        <f aca="false">IF(A92="","",H92-N92)</f>
        <v/>
      </c>
      <c r="Q92" s="9" t="str">
        <f aca="false">IF(AND(A92&lt;&gt;"",N(J92)&gt;0),COUNTIF($J$6:J92,"&gt;0"),"")</f>
        <v/>
      </c>
    </row>
    <row r="93" customFormat="false" ht="15" hidden="false" customHeight="false" outlineLevel="0" collapsed="false">
      <c r="A93" s="52" t="str">
        <f aca="false">IF('Item Master'!A93="","",'Item Master'!A93)</f>
        <v/>
      </c>
      <c r="B93" s="53" t="str">
        <f aca="false">IF(A93="","",'Item Master'!B93)</f>
        <v/>
      </c>
      <c r="C93" s="42" t="str">
        <f aca="false">IF(A93="","",N('Item Master'!E93))</f>
        <v/>
      </c>
      <c r="D93" s="41" t="str">
        <f aca="false">IF(A93="","",N('Item Master'!H93))</f>
        <v/>
      </c>
      <c r="E93" s="42" t="str">
        <f aca="false">IF(A93="","",'Item Master'!I93)</f>
        <v/>
      </c>
      <c r="F93" s="41" t="str">
        <f aca="false">IF(A93="","",SUMIFS('Stock Register'!$J$7:$J$506,'Stock Register'!$C$7:$C$506,A93,'Stock Register'!$E$7:$E$506,"In"))</f>
        <v/>
      </c>
      <c r="G93" s="42" t="str">
        <f aca="false">IF(A93="","",'Item Master'!J93)</f>
        <v/>
      </c>
      <c r="H93" s="41" t="str">
        <f aca="false">IF(A93="","",SUMIFS('Stock Register'!$J$7:$J$506,'Stock Register'!$C$7:$C$506,A93,'Stock Register'!$E$7:$E$506,"Out"))</f>
        <v/>
      </c>
      <c r="I93" s="42" t="str">
        <f aca="false">IF(A93="","",'Item Master'!K93)</f>
        <v/>
      </c>
      <c r="J93" s="54" t="str">
        <f aca="false">IF(A93="","",ROUND(MAX(0,MIN(C93,I93-E93))*N('Item Master'!F93)+SUMIFS('Stock Register'!$P$7:$P$506,'Stock Register'!$C$7:$C$506,A93),0))</f>
        <v/>
      </c>
      <c r="K93" s="55" t="str">
        <f aca="false">IF(A93="","",IFERROR((D93+F93)/(C93+E93),0))</f>
        <v/>
      </c>
      <c r="L93" s="54" t="str">
        <f aca="false">IF(A93="","",ROUND(MAX(0,I93)*K93,0))</f>
        <v/>
      </c>
      <c r="M93" s="41" t="str">
        <f aca="false">IF(A93="","",D93+F93-J93)</f>
        <v/>
      </c>
      <c r="N93" s="41" t="str">
        <f aca="false">IF(A93="","",D93+F93-L93)</f>
        <v/>
      </c>
      <c r="O93" s="41" t="str">
        <f aca="false">IF(A93="","",H93-M93)</f>
        <v/>
      </c>
      <c r="P93" s="41" t="str">
        <f aca="false">IF(A93="","",H93-N93)</f>
        <v/>
      </c>
      <c r="Q93" s="9" t="str">
        <f aca="false">IF(AND(A93&lt;&gt;"",N(J93)&gt;0),COUNTIF($J$6:J93,"&gt;0"),"")</f>
        <v/>
      </c>
    </row>
    <row r="94" customFormat="false" ht="15" hidden="false" customHeight="false" outlineLevel="0" collapsed="false">
      <c r="A94" s="52" t="str">
        <f aca="false">IF('Item Master'!A94="","",'Item Master'!A94)</f>
        <v/>
      </c>
      <c r="B94" s="53" t="str">
        <f aca="false">IF(A94="","",'Item Master'!B94)</f>
        <v/>
      </c>
      <c r="C94" s="42" t="str">
        <f aca="false">IF(A94="","",N('Item Master'!E94))</f>
        <v/>
      </c>
      <c r="D94" s="41" t="str">
        <f aca="false">IF(A94="","",N('Item Master'!H94))</f>
        <v/>
      </c>
      <c r="E94" s="42" t="str">
        <f aca="false">IF(A94="","",'Item Master'!I94)</f>
        <v/>
      </c>
      <c r="F94" s="41" t="str">
        <f aca="false">IF(A94="","",SUMIFS('Stock Register'!$J$7:$J$506,'Stock Register'!$C$7:$C$506,A94,'Stock Register'!$E$7:$E$506,"In"))</f>
        <v/>
      </c>
      <c r="G94" s="42" t="str">
        <f aca="false">IF(A94="","",'Item Master'!J94)</f>
        <v/>
      </c>
      <c r="H94" s="41" t="str">
        <f aca="false">IF(A94="","",SUMIFS('Stock Register'!$J$7:$J$506,'Stock Register'!$C$7:$C$506,A94,'Stock Register'!$E$7:$E$506,"Out"))</f>
        <v/>
      </c>
      <c r="I94" s="42" t="str">
        <f aca="false">IF(A94="","",'Item Master'!K94)</f>
        <v/>
      </c>
      <c r="J94" s="54" t="str">
        <f aca="false">IF(A94="","",ROUND(MAX(0,MIN(C94,I94-E94))*N('Item Master'!F94)+SUMIFS('Stock Register'!$P$7:$P$506,'Stock Register'!$C$7:$C$506,A94),0))</f>
        <v/>
      </c>
      <c r="K94" s="55" t="str">
        <f aca="false">IF(A94="","",IFERROR((D94+F94)/(C94+E94),0))</f>
        <v/>
      </c>
      <c r="L94" s="54" t="str">
        <f aca="false">IF(A94="","",ROUND(MAX(0,I94)*K94,0))</f>
        <v/>
      </c>
      <c r="M94" s="41" t="str">
        <f aca="false">IF(A94="","",D94+F94-J94)</f>
        <v/>
      </c>
      <c r="N94" s="41" t="str">
        <f aca="false">IF(A94="","",D94+F94-L94)</f>
        <v/>
      </c>
      <c r="O94" s="41" t="str">
        <f aca="false">IF(A94="","",H94-M94)</f>
        <v/>
      </c>
      <c r="P94" s="41" t="str">
        <f aca="false">IF(A94="","",H94-N94)</f>
        <v/>
      </c>
      <c r="Q94" s="9" t="str">
        <f aca="false">IF(AND(A94&lt;&gt;"",N(J94)&gt;0),COUNTIF($J$6:J94,"&gt;0"),"")</f>
        <v/>
      </c>
    </row>
    <row r="95" customFormat="false" ht="15" hidden="false" customHeight="false" outlineLevel="0" collapsed="false">
      <c r="A95" s="52" t="str">
        <f aca="false">IF('Item Master'!A95="","",'Item Master'!A95)</f>
        <v/>
      </c>
      <c r="B95" s="53" t="str">
        <f aca="false">IF(A95="","",'Item Master'!B95)</f>
        <v/>
      </c>
      <c r="C95" s="42" t="str">
        <f aca="false">IF(A95="","",N('Item Master'!E95))</f>
        <v/>
      </c>
      <c r="D95" s="41" t="str">
        <f aca="false">IF(A95="","",N('Item Master'!H95))</f>
        <v/>
      </c>
      <c r="E95" s="42" t="str">
        <f aca="false">IF(A95="","",'Item Master'!I95)</f>
        <v/>
      </c>
      <c r="F95" s="41" t="str">
        <f aca="false">IF(A95="","",SUMIFS('Stock Register'!$J$7:$J$506,'Stock Register'!$C$7:$C$506,A95,'Stock Register'!$E$7:$E$506,"In"))</f>
        <v/>
      </c>
      <c r="G95" s="42" t="str">
        <f aca="false">IF(A95="","",'Item Master'!J95)</f>
        <v/>
      </c>
      <c r="H95" s="41" t="str">
        <f aca="false">IF(A95="","",SUMIFS('Stock Register'!$J$7:$J$506,'Stock Register'!$C$7:$C$506,A95,'Stock Register'!$E$7:$E$506,"Out"))</f>
        <v/>
      </c>
      <c r="I95" s="42" t="str">
        <f aca="false">IF(A95="","",'Item Master'!K95)</f>
        <v/>
      </c>
      <c r="J95" s="54" t="str">
        <f aca="false">IF(A95="","",ROUND(MAX(0,MIN(C95,I95-E95))*N('Item Master'!F95)+SUMIFS('Stock Register'!$P$7:$P$506,'Stock Register'!$C$7:$C$506,A95),0))</f>
        <v/>
      </c>
      <c r="K95" s="55" t="str">
        <f aca="false">IF(A95="","",IFERROR((D95+F95)/(C95+E95),0))</f>
        <v/>
      </c>
      <c r="L95" s="54" t="str">
        <f aca="false">IF(A95="","",ROUND(MAX(0,I95)*K95,0))</f>
        <v/>
      </c>
      <c r="M95" s="41" t="str">
        <f aca="false">IF(A95="","",D95+F95-J95)</f>
        <v/>
      </c>
      <c r="N95" s="41" t="str">
        <f aca="false">IF(A95="","",D95+F95-L95)</f>
        <v/>
      </c>
      <c r="O95" s="41" t="str">
        <f aca="false">IF(A95="","",H95-M95)</f>
        <v/>
      </c>
      <c r="P95" s="41" t="str">
        <f aca="false">IF(A95="","",H95-N95)</f>
        <v/>
      </c>
      <c r="Q95" s="9" t="str">
        <f aca="false">IF(AND(A95&lt;&gt;"",N(J95)&gt;0),COUNTIF($J$6:J95,"&gt;0"),"")</f>
        <v/>
      </c>
    </row>
    <row r="96" customFormat="false" ht="15" hidden="false" customHeight="false" outlineLevel="0" collapsed="false">
      <c r="A96" s="52" t="str">
        <f aca="false">IF('Item Master'!A96="","",'Item Master'!A96)</f>
        <v/>
      </c>
      <c r="B96" s="53" t="str">
        <f aca="false">IF(A96="","",'Item Master'!B96)</f>
        <v/>
      </c>
      <c r="C96" s="42" t="str">
        <f aca="false">IF(A96="","",N('Item Master'!E96))</f>
        <v/>
      </c>
      <c r="D96" s="41" t="str">
        <f aca="false">IF(A96="","",N('Item Master'!H96))</f>
        <v/>
      </c>
      <c r="E96" s="42" t="str">
        <f aca="false">IF(A96="","",'Item Master'!I96)</f>
        <v/>
      </c>
      <c r="F96" s="41" t="str">
        <f aca="false">IF(A96="","",SUMIFS('Stock Register'!$J$7:$J$506,'Stock Register'!$C$7:$C$506,A96,'Stock Register'!$E$7:$E$506,"In"))</f>
        <v/>
      </c>
      <c r="G96" s="42" t="str">
        <f aca="false">IF(A96="","",'Item Master'!J96)</f>
        <v/>
      </c>
      <c r="H96" s="41" t="str">
        <f aca="false">IF(A96="","",SUMIFS('Stock Register'!$J$7:$J$506,'Stock Register'!$C$7:$C$506,A96,'Stock Register'!$E$7:$E$506,"Out"))</f>
        <v/>
      </c>
      <c r="I96" s="42" t="str">
        <f aca="false">IF(A96="","",'Item Master'!K96)</f>
        <v/>
      </c>
      <c r="J96" s="54" t="str">
        <f aca="false">IF(A96="","",ROUND(MAX(0,MIN(C96,I96-E96))*N('Item Master'!F96)+SUMIFS('Stock Register'!$P$7:$P$506,'Stock Register'!$C$7:$C$506,A96),0))</f>
        <v/>
      </c>
      <c r="K96" s="55" t="str">
        <f aca="false">IF(A96="","",IFERROR((D96+F96)/(C96+E96),0))</f>
        <v/>
      </c>
      <c r="L96" s="54" t="str">
        <f aca="false">IF(A96="","",ROUND(MAX(0,I96)*K96,0))</f>
        <v/>
      </c>
      <c r="M96" s="41" t="str">
        <f aca="false">IF(A96="","",D96+F96-J96)</f>
        <v/>
      </c>
      <c r="N96" s="41" t="str">
        <f aca="false">IF(A96="","",D96+F96-L96)</f>
        <v/>
      </c>
      <c r="O96" s="41" t="str">
        <f aca="false">IF(A96="","",H96-M96)</f>
        <v/>
      </c>
      <c r="P96" s="41" t="str">
        <f aca="false">IF(A96="","",H96-N96)</f>
        <v/>
      </c>
      <c r="Q96" s="9" t="str">
        <f aca="false">IF(AND(A96&lt;&gt;"",N(J96)&gt;0),COUNTIF($J$6:J96,"&gt;0"),"")</f>
        <v/>
      </c>
    </row>
    <row r="97" customFormat="false" ht="15" hidden="false" customHeight="false" outlineLevel="0" collapsed="false">
      <c r="A97" s="52" t="str">
        <f aca="false">IF('Item Master'!A97="","",'Item Master'!A97)</f>
        <v/>
      </c>
      <c r="B97" s="53" t="str">
        <f aca="false">IF(A97="","",'Item Master'!B97)</f>
        <v/>
      </c>
      <c r="C97" s="42" t="str">
        <f aca="false">IF(A97="","",N('Item Master'!E97))</f>
        <v/>
      </c>
      <c r="D97" s="41" t="str">
        <f aca="false">IF(A97="","",N('Item Master'!H97))</f>
        <v/>
      </c>
      <c r="E97" s="42" t="str">
        <f aca="false">IF(A97="","",'Item Master'!I97)</f>
        <v/>
      </c>
      <c r="F97" s="41" t="str">
        <f aca="false">IF(A97="","",SUMIFS('Stock Register'!$J$7:$J$506,'Stock Register'!$C$7:$C$506,A97,'Stock Register'!$E$7:$E$506,"In"))</f>
        <v/>
      </c>
      <c r="G97" s="42" t="str">
        <f aca="false">IF(A97="","",'Item Master'!J97)</f>
        <v/>
      </c>
      <c r="H97" s="41" t="str">
        <f aca="false">IF(A97="","",SUMIFS('Stock Register'!$J$7:$J$506,'Stock Register'!$C$7:$C$506,A97,'Stock Register'!$E$7:$E$506,"Out"))</f>
        <v/>
      </c>
      <c r="I97" s="42" t="str">
        <f aca="false">IF(A97="","",'Item Master'!K97)</f>
        <v/>
      </c>
      <c r="J97" s="54" t="str">
        <f aca="false">IF(A97="","",ROUND(MAX(0,MIN(C97,I97-E97))*N('Item Master'!F97)+SUMIFS('Stock Register'!$P$7:$P$506,'Stock Register'!$C$7:$C$506,A97),0))</f>
        <v/>
      </c>
      <c r="K97" s="55" t="str">
        <f aca="false">IF(A97="","",IFERROR((D97+F97)/(C97+E97),0))</f>
        <v/>
      </c>
      <c r="L97" s="54" t="str">
        <f aca="false">IF(A97="","",ROUND(MAX(0,I97)*K97,0))</f>
        <v/>
      </c>
      <c r="M97" s="41" t="str">
        <f aca="false">IF(A97="","",D97+F97-J97)</f>
        <v/>
      </c>
      <c r="N97" s="41" t="str">
        <f aca="false">IF(A97="","",D97+F97-L97)</f>
        <v/>
      </c>
      <c r="O97" s="41" t="str">
        <f aca="false">IF(A97="","",H97-M97)</f>
        <v/>
      </c>
      <c r="P97" s="41" t="str">
        <f aca="false">IF(A97="","",H97-N97)</f>
        <v/>
      </c>
      <c r="Q97" s="9" t="str">
        <f aca="false">IF(AND(A97&lt;&gt;"",N(J97)&gt;0),COUNTIF($J$6:J97,"&gt;0"),"")</f>
        <v/>
      </c>
    </row>
    <row r="98" customFormat="false" ht="15" hidden="false" customHeight="false" outlineLevel="0" collapsed="false">
      <c r="A98" s="52" t="str">
        <f aca="false">IF('Item Master'!A98="","",'Item Master'!A98)</f>
        <v/>
      </c>
      <c r="B98" s="53" t="str">
        <f aca="false">IF(A98="","",'Item Master'!B98)</f>
        <v/>
      </c>
      <c r="C98" s="42" t="str">
        <f aca="false">IF(A98="","",N('Item Master'!E98))</f>
        <v/>
      </c>
      <c r="D98" s="41" t="str">
        <f aca="false">IF(A98="","",N('Item Master'!H98))</f>
        <v/>
      </c>
      <c r="E98" s="42" t="str">
        <f aca="false">IF(A98="","",'Item Master'!I98)</f>
        <v/>
      </c>
      <c r="F98" s="41" t="str">
        <f aca="false">IF(A98="","",SUMIFS('Stock Register'!$J$7:$J$506,'Stock Register'!$C$7:$C$506,A98,'Stock Register'!$E$7:$E$506,"In"))</f>
        <v/>
      </c>
      <c r="G98" s="42" t="str">
        <f aca="false">IF(A98="","",'Item Master'!J98)</f>
        <v/>
      </c>
      <c r="H98" s="41" t="str">
        <f aca="false">IF(A98="","",SUMIFS('Stock Register'!$J$7:$J$506,'Stock Register'!$C$7:$C$506,A98,'Stock Register'!$E$7:$E$506,"Out"))</f>
        <v/>
      </c>
      <c r="I98" s="42" t="str">
        <f aca="false">IF(A98="","",'Item Master'!K98)</f>
        <v/>
      </c>
      <c r="J98" s="54" t="str">
        <f aca="false">IF(A98="","",ROUND(MAX(0,MIN(C98,I98-E98))*N('Item Master'!F98)+SUMIFS('Stock Register'!$P$7:$P$506,'Stock Register'!$C$7:$C$506,A98),0))</f>
        <v/>
      </c>
      <c r="K98" s="55" t="str">
        <f aca="false">IF(A98="","",IFERROR((D98+F98)/(C98+E98),0))</f>
        <v/>
      </c>
      <c r="L98" s="54" t="str">
        <f aca="false">IF(A98="","",ROUND(MAX(0,I98)*K98,0))</f>
        <v/>
      </c>
      <c r="M98" s="41" t="str">
        <f aca="false">IF(A98="","",D98+F98-J98)</f>
        <v/>
      </c>
      <c r="N98" s="41" t="str">
        <f aca="false">IF(A98="","",D98+F98-L98)</f>
        <v/>
      </c>
      <c r="O98" s="41" t="str">
        <f aca="false">IF(A98="","",H98-M98)</f>
        <v/>
      </c>
      <c r="P98" s="41" t="str">
        <f aca="false">IF(A98="","",H98-N98)</f>
        <v/>
      </c>
      <c r="Q98" s="9" t="str">
        <f aca="false">IF(AND(A98&lt;&gt;"",N(J98)&gt;0),COUNTIF($J$6:J98,"&gt;0"),"")</f>
        <v/>
      </c>
    </row>
    <row r="99" customFormat="false" ht="15" hidden="false" customHeight="false" outlineLevel="0" collapsed="false">
      <c r="A99" s="52" t="str">
        <f aca="false">IF('Item Master'!A99="","",'Item Master'!A99)</f>
        <v/>
      </c>
      <c r="B99" s="53" t="str">
        <f aca="false">IF(A99="","",'Item Master'!B99)</f>
        <v/>
      </c>
      <c r="C99" s="42" t="str">
        <f aca="false">IF(A99="","",N('Item Master'!E99))</f>
        <v/>
      </c>
      <c r="D99" s="41" t="str">
        <f aca="false">IF(A99="","",N('Item Master'!H99))</f>
        <v/>
      </c>
      <c r="E99" s="42" t="str">
        <f aca="false">IF(A99="","",'Item Master'!I99)</f>
        <v/>
      </c>
      <c r="F99" s="41" t="str">
        <f aca="false">IF(A99="","",SUMIFS('Stock Register'!$J$7:$J$506,'Stock Register'!$C$7:$C$506,A99,'Stock Register'!$E$7:$E$506,"In"))</f>
        <v/>
      </c>
      <c r="G99" s="42" t="str">
        <f aca="false">IF(A99="","",'Item Master'!J99)</f>
        <v/>
      </c>
      <c r="H99" s="41" t="str">
        <f aca="false">IF(A99="","",SUMIFS('Stock Register'!$J$7:$J$506,'Stock Register'!$C$7:$C$506,A99,'Stock Register'!$E$7:$E$506,"Out"))</f>
        <v/>
      </c>
      <c r="I99" s="42" t="str">
        <f aca="false">IF(A99="","",'Item Master'!K99)</f>
        <v/>
      </c>
      <c r="J99" s="54" t="str">
        <f aca="false">IF(A99="","",ROUND(MAX(0,MIN(C99,I99-E99))*N('Item Master'!F99)+SUMIFS('Stock Register'!$P$7:$P$506,'Stock Register'!$C$7:$C$506,A99),0))</f>
        <v/>
      </c>
      <c r="K99" s="55" t="str">
        <f aca="false">IF(A99="","",IFERROR((D99+F99)/(C99+E99),0))</f>
        <v/>
      </c>
      <c r="L99" s="54" t="str">
        <f aca="false">IF(A99="","",ROUND(MAX(0,I99)*K99,0))</f>
        <v/>
      </c>
      <c r="M99" s="41" t="str">
        <f aca="false">IF(A99="","",D99+F99-J99)</f>
        <v/>
      </c>
      <c r="N99" s="41" t="str">
        <f aca="false">IF(A99="","",D99+F99-L99)</f>
        <v/>
      </c>
      <c r="O99" s="41" t="str">
        <f aca="false">IF(A99="","",H99-M99)</f>
        <v/>
      </c>
      <c r="P99" s="41" t="str">
        <f aca="false">IF(A99="","",H99-N99)</f>
        <v/>
      </c>
      <c r="Q99" s="9" t="str">
        <f aca="false">IF(AND(A99&lt;&gt;"",N(J99)&gt;0),COUNTIF($J$6:J99,"&gt;0"),"")</f>
        <v/>
      </c>
    </row>
    <row r="100" customFormat="false" ht="15" hidden="false" customHeight="false" outlineLevel="0" collapsed="false">
      <c r="A100" s="52" t="str">
        <f aca="false">IF('Item Master'!A100="","",'Item Master'!A100)</f>
        <v/>
      </c>
      <c r="B100" s="53" t="str">
        <f aca="false">IF(A100="","",'Item Master'!B100)</f>
        <v/>
      </c>
      <c r="C100" s="42" t="str">
        <f aca="false">IF(A100="","",N('Item Master'!E100))</f>
        <v/>
      </c>
      <c r="D100" s="41" t="str">
        <f aca="false">IF(A100="","",N('Item Master'!H100))</f>
        <v/>
      </c>
      <c r="E100" s="42" t="str">
        <f aca="false">IF(A100="","",'Item Master'!I100)</f>
        <v/>
      </c>
      <c r="F100" s="41" t="str">
        <f aca="false">IF(A100="","",SUMIFS('Stock Register'!$J$7:$J$506,'Stock Register'!$C$7:$C$506,A100,'Stock Register'!$E$7:$E$506,"In"))</f>
        <v/>
      </c>
      <c r="G100" s="42" t="str">
        <f aca="false">IF(A100="","",'Item Master'!J100)</f>
        <v/>
      </c>
      <c r="H100" s="41" t="str">
        <f aca="false">IF(A100="","",SUMIFS('Stock Register'!$J$7:$J$506,'Stock Register'!$C$7:$C$506,A100,'Stock Register'!$E$7:$E$506,"Out"))</f>
        <v/>
      </c>
      <c r="I100" s="42" t="str">
        <f aca="false">IF(A100="","",'Item Master'!K100)</f>
        <v/>
      </c>
      <c r="J100" s="54" t="str">
        <f aca="false">IF(A100="","",ROUND(MAX(0,MIN(C100,I100-E100))*N('Item Master'!F100)+SUMIFS('Stock Register'!$P$7:$P$506,'Stock Register'!$C$7:$C$506,A100),0))</f>
        <v/>
      </c>
      <c r="K100" s="55" t="str">
        <f aca="false">IF(A100="","",IFERROR((D100+F100)/(C100+E100),0))</f>
        <v/>
      </c>
      <c r="L100" s="54" t="str">
        <f aca="false">IF(A100="","",ROUND(MAX(0,I100)*K100,0))</f>
        <v/>
      </c>
      <c r="M100" s="41" t="str">
        <f aca="false">IF(A100="","",D100+F100-J100)</f>
        <v/>
      </c>
      <c r="N100" s="41" t="str">
        <f aca="false">IF(A100="","",D100+F100-L100)</f>
        <v/>
      </c>
      <c r="O100" s="41" t="str">
        <f aca="false">IF(A100="","",H100-M100)</f>
        <v/>
      </c>
      <c r="P100" s="41" t="str">
        <f aca="false">IF(A100="","",H100-N100)</f>
        <v/>
      </c>
      <c r="Q100" s="9" t="str">
        <f aca="false">IF(AND(A100&lt;&gt;"",N(J100)&gt;0),COUNTIF($J$6:J100,"&gt;0"),"")</f>
        <v/>
      </c>
    </row>
    <row r="101" customFormat="false" ht="15" hidden="false" customHeight="false" outlineLevel="0" collapsed="false">
      <c r="A101" s="52" t="str">
        <f aca="false">IF('Item Master'!A101="","",'Item Master'!A101)</f>
        <v/>
      </c>
      <c r="B101" s="53" t="str">
        <f aca="false">IF(A101="","",'Item Master'!B101)</f>
        <v/>
      </c>
      <c r="C101" s="42" t="str">
        <f aca="false">IF(A101="","",N('Item Master'!E101))</f>
        <v/>
      </c>
      <c r="D101" s="41" t="str">
        <f aca="false">IF(A101="","",N('Item Master'!H101))</f>
        <v/>
      </c>
      <c r="E101" s="42" t="str">
        <f aca="false">IF(A101="","",'Item Master'!I101)</f>
        <v/>
      </c>
      <c r="F101" s="41" t="str">
        <f aca="false">IF(A101="","",SUMIFS('Stock Register'!$J$7:$J$506,'Stock Register'!$C$7:$C$506,A101,'Stock Register'!$E$7:$E$506,"In"))</f>
        <v/>
      </c>
      <c r="G101" s="42" t="str">
        <f aca="false">IF(A101="","",'Item Master'!J101)</f>
        <v/>
      </c>
      <c r="H101" s="41" t="str">
        <f aca="false">IF(A101="","",SUMIFS('Stock Register'!$J$7:$J$506,'Stock Register'!$C$7:$C$506,A101,'Stock Register'!$E$7:$E$506,"Out"))</f>
        <v/>
      </c>
      <c r="I101" s="42" t="str">
        <f aca="false">IF(A101="","",'Item Master'!K101)</f>
        <v/>
      </c>
      <c r="J101" s="54" t="str">
        <f aca="false">IF(A101="","",ROUND(MAX(0,MIN(C101,I101-E101))*N('Item Master'!F101)+SUMIFS('Stock Register'!$P$7:$P$506,'Stock Register'!$C$7:$C$506,A101),0))</f>
        <v/>
      </c>
      <c r="K101" s="55" t="str">
        <f aca="false">IF(A101="","",IFERROR((D101+F101)/(C101+E101),0))</f>
        <v/>
      </c>
      <c r="L101" s="54" t="str">
        <f aca="false">IF(A101="","",ROUND(MAX(0,I101)*K101,0))</f>
        <v/>
      </c>
      <c r="M101" s="41" t="str">
        <f aca="false">IF(A101="","",D101+F101-J101)</f>
        <v/>
      </c>
      <c r="N101" s="41" t="str">
        <f aca="false">IF(A101="","",D101+F101-L101)</f>
        <v/>
      </c>
      <c r="O101" s="41" t="str">
        <f aca="false">IF(A101="","",H101-M101)</f>
        <v/>
      </c>
      <c r="P101" s="41" t="str">
        <f aca="false">IF(A101="","",H101-N101)</f>
        <v/>
      </c>
      <c r="Q101" s="9" t="str">
        <f aca="false">IF(AND(A101&lt;&gt;"",N(J101)&gt;0),COUNTIF($J$6:J101,"&gt;0"),"")</f>
        <v/>
      </c>
    </row>
    <row r="102" customFormat="false" ht="15" hidden="false" customHeight="false" outlineLevel="0" collapsed="false">
      <c r="A102" s="52" t="str">
        <f aca="false">IF('Item Master'!A102="","",'Item Master'!A102)</f>
        <v/>
      </c>
      <c r="B102" s="53" t="str">
        <f aca="false">IF(A102="","",'Item Master'!B102)</f>
        <v/>
      </c>
      <c r="C102" s="42" t="str">
        <f aca="false">IF(A102="","",N('Item Master'!E102))</f>
        <v/>
      </c>
      <c r="D102" s="41" t="str">
        <f aca="false">IF(A102="","",N('Item Master'!H102))</f>
        <v/>
      </c>
      <c r="E102" s="42" t="str">
        <f aca="false">IF(A102="","",'Item Master'!I102)</f>
        <v/>
      </c>
      <c r="F102" s="41" t="str">
        <f aca="false">IF(A102="","",SUMIFS('Stock Register'!$J$7:$J$506,'Stock Register'!$C$7:$C$506,A102,'Stock Register'!$E$7:$E$506,"In"))</f>
        <v/>
      </c>
      <c r="G102" s="42" t="str">
        <f aca="false">IF(A102="","",'Item Master'!J102)</f>
        <v/>
      </c>
      <c r="H102" s="41" t="str">
        <f aca="false">IF(A102="","",SUMIFS('Stock Register'!$J$7:$J$506,'Stock Register'!$C$7:$C$506,A102,'Stock Register'!$E$7:$E$506,"Out"))</f>
        <v/>
      </c>
      <c r="I102" s="42" t="str">
        <f aca="false">IF(A102="","",'Item Master'!K102)</f>
        <v/>
      </c>
      <c r="J102" s="54" t="str">
        <f aca="false">IF(A102="","",ROUND(MAX(0,MIN(C102,I102-E102))*N('Item Master'!F102)+SUMIFS('Stock Register'!$P$7:$P$506,'Stock Register'!$C$7:$C$506,A102),0))</f>
        <v/>
      </c>
      <c r="K102" s="55" t="str">
        <f aca="false">IF(A102="","",IFERROR((D102+F102)/(C102+E102),0))</f>
        <v/>
      </c>
      <c r="L102" s="54" t="str">
        <f aca="false">IF(A102="","",ROUND(MAX(0,I102)*K102,0))</f>
        <v/>
      </c>
      <c r="M102" s="41" t="str">
        <f aca="false">IF(A102="","",D102+F102-J102)</f>
        <v/>
      </c>
      <c r="N102" s="41" t="str">
        <f aca="false">IF(A102="","",D102+F102-L102)</f>
        <v/>
      </c>
      <c r="O102" s="41" t="str">
        <f aca="false">IF(A102="","",H102-M102)</f>
        <v/>
      </c>
      <c r="P102" s="41" t="str">
        <f aca="false">IF(A102="","",H102-N102)</f>
        <v/>
      </c>
      <c r="Q102" s="9" t="str">
        <f aca="false">IF(AND(A102&lt;&gt;"",N(J102)&gt;0),COUNTIF($J$6:J102,"&gt;0"),"")</f>
        <v/>
      </c>
    </row>
    <row r="103" customFormat="false" ht="15" hidden="false" customHeight="false" outlineLevel="0" collapsed="false">
      <c r="A103" s="52" t="str">
        <f aca="false">IF('Item Master'!A103="","",'Item Master'!A103)</f>
        <v/>
      </c>
      <c r="B103" s="53" t="str">
        <f aca="false">IF(A103="","",'Item Master'!B103)</f>
        <v/>
      </c>
      <c r="C103" s="42" t="str">
        <f aca="false">IF(A103="","",N('Item Master'!E103))</f>
        <v/>
      </c>
      <c r="D103" s="41" t="str">
        <f aca="false">IF(A103="","",N('Item Master'!H103))</f>
        <v/>
      </c>
      <c r="E103" s="42" t="str">
        <f aca="false">IF(A103="","",'Item Master'!I103)</f>
        <v/>
      </c>
      <c r="F103" s="41" t="str">
        <f aca="false">IF(A103="","",SUMIFS('Stock Register'!$J$7:$J$506,'Stock Register'!$C$7:$C$506,A103,'Stock Register'!$E$7:$E$506,"In"))</f>
        <v/>
      </c>
      <c r="G103" s="42" t="str">
        <f aca="false">IF(A103="","",'Item Master'!J103)</f>
        <v/>
      </c>
      <c r="H103" s="41" t="str">
        <f aca="false">IF(A103="","",SUMIFS('Stock Register'!$J$7:$J$506,'Stock Register'!$C$7:$C$506,A103,'Stock Register'!$E$7:$E$506,"Out"))</f>
        <v/>
      </c>
      <c r="I103" s="42" t="str">
        <f aca="false">IF(A103="","",'Item Master'!K103)</f>
        <v/>
      </c>
      <c r="J103" s="54" t="str">
        <f aca="false">IF(A103="","",ROUND(MAX(0,MIN(C103,I103-E103))*N('Item Master'!F103)+SUMIFS('Stock Register'!$P$7:$P$506,'Stock Register'!$C$7:$C$506,A103),0))</f>
        <v/>
      </c>
      <c r="K103" s="55" t="str">
        <f aca="false">IF(A103="","",IFERROR((D103+F103)/(C103+E103),0))</f>
        <v/>
      </c>
      <c r="L103" s="54" t="str">
        <f aca="false">IF(A103="","",ROUND(MAX(0,I103)*K103,0))</f>
        <v/>
      </c>
      <c r="M103" s="41" t="str">
        <f aca="false">IF(A103="","",D103+F103-J103)</f>
        <v/>
      </c>
      <c r="N103" s="41" t="str">
        <f aca="false">IF(A103="","",D103+F103-L103)</f>
        <v/>
      </c>
      <c r="O103" s="41" t="str">
        <f aca="false">IF(A103="","",H103-M103)</f>
        <v/>
      </c>
      <c r="P103" s="41" t="str">
        <f aca="false">IF(A103="","",H103-N103)</f>
        <v/>
      </c>
      <c r="Q103" s="9" t="str">
        <f aca="false">IF(AND(A103&lt;&gt;"",N(J103)&gt;0),COUNTIF($J$6:J103,"&gt;0"),"")</f>
        <v/>
      </c>
    </row>
    <row r="104" customFormat="false" ht="15" hidden="false" customHeight="false" outlineLevel="0" collapsed="false">
      <c r="A104" s="52" t="str">
        <f aca="false">IF('Item Master'!A104="","",'Item Master'!A104)</f>
        <v/>
      </c>
      <c r="B104" s="53" t="str">
        <f aca="false">IF(A104="","",'Item Master'!B104)</f>
        <v/>
      </c>
      <c r="C104" s="42" t="str">
        <f aca="false">IF(A104="","",N('Item Master'!E104))</f>
        <v/>
      </c>
      <c r="D104" s="41" t="str">
        <f aca="false">IF(A104="","",N('Item Master'!H104))</f>
        <v/>
      </c>
      <c r="E104" s="42" t="str">
        <f aca="false">IF(A104="","",'Item Master'!I104)</f>
        <v/>
      </c>
      <c r="F104" s="41" t="str">
        <f aca="false">IF(A104="","",SUMIFS('Stock Register'!$J$7:$J$506,'Stock Register'!$C$7:$C$506,A104,'Stock Register'!$E$7:$E$506,"In"))</f>
        <v/>
      </c>
      <c r="G104" s="42" t="str">
        <f aca="false">IF(A104="","",'Item Master'!J104)</f>
        <v/>
      </c>
      <c r="H104" s="41" t="str">
        <f aca="false">IF(A104="","",SUMIFS('Stock Register'!$J$7:$J$506,'Stock Register'!$C$7:$C$506,A104,'Stock Register'!$E$7:$E$506,"Out"))</f>
        <v/>
      </c>
      <c r="I104" s="42" t="str">
        <f aca="false">IF(A104="","",'Item Master'!K104)</f>
        <v/>
      </c>
      <c r="J104" s="54" t="str">
        <f aca="false">IF(A104="","",ROUND(MAX(0,MIN(C104,I104-E104))*N('Item Master'!F104)+SUMIFS('Stock Register'!$P$7:$P$506,'Stock Register'!$C$7:$C$506,A104),0))</f>
        <v/>
      </c>
      <c r="K104" s="55" t="str">
        <f aca="false">IF(A104="","",IFERROR((D104+F104)/(C104+E104),0))</f>
        <v/>
      </c>
      <c r="L104" s="54" t="str">
        <f aca="false">IF(A104="","",ROUND(MAX(0,I104)*K104,0))</f>
        <v/>
      </c>
      <c r="M104" s="41" t="str">
        <f aca="false">IF(A104="","",D104+F104-J104)</f>
        <v/>
      </c>
      <c r="N104" s="41" t="str">
        <f aca="false">IF(A104="","",D104+F104-L104)</f>
        <v/>
      </c>
      <c r="O104" s="41" t="str">
        <f aca="false">IF(A104="","",H104-M104)</f>
        <v/>
      </c>
      <c r="P104" s="41" t="str">
        <f aca="false">IF(A104="","",H104-N104)</f>
        <v/>
      </c>
      <c r="Q104" s="9" t="str">
        <f aca="false">IF(AND(A104&lt;&gt;"",N(J104)&gt;0),COUNTIF($J$6:J104,"&gt;0"),"")</f>
        <v/>
      </c>
    </row>
    <row r="105" customFormat="false" ht="15" hidden="false" customHeight="false" outlineLevel="0" collapsed="false">
      <c r="A105" s="52" t="str">
        <f aca="false">IF('Item Master'!A105="","",'Item Master'!A105)</f>
        <v/>
      </c>
      <c r="B105" s="53" t="str">
        <f aca="false">IF(A105="","",'Item Master'!B105)</f>
        <v/>
      </c>
      <c r="C105" s="42" t="str">
        <f aca="false">IF(A105="","",N('Item Master'!E105))</f>
        <v/>
      </c>
      <c r="D105" s="41" t="str">
        <f aca="false">IF(A105="","",N('Item Master'!H105))</f>
        <v/>
      </c>
      <c r="E105" s="42" t="str">
        <f aca="false">IF(A105="","",'Item Master'!I105)</f>
        <v/>
      </c>
      <c r="F105" s="41" t="str">
        <f aca="false">IF(A105="","",SUMIFS('Stock Register'!$J$7:$J$506,'Stock Register'!$C$7:$C$506,A105,'Stock Register'!$E$7:$E$506,"In"))</f>
        <v/>
      </c>
      <c r="G105" s="42" t="str">
        <f aca="false">IF(A105="","",'Item Master'!J105)</f>
        <v/>
      </c>
      <c r="H105" s="41" t="str">
        <f aca="false">IF(A105="","",SUMIFS('Stock Register'!$J$7:$J$506,'Stock Register'!$C$7:$C$506,A105,'Stock Register'!$E$7:$E$506,"Out"))</f>
        <v/>
      </c>
      <c r="I105" s="42" t="str">
        <f aca="false">IF(A105="","",'Item Master'!K105)</f>
        <v/>
      </c>
      <c r="J105" s="54" t="str">
        <f aca="false">IF(A105="","",ROUND(MAX(0,MIN(C105,I105-E105))*N('Item Master'!F105)+SUMIFS('Stock Register'!$P$7:$P$506,'Stock Register'!$C$7:$C$506,A105),0))</f>
        <v/>
      </c>
      <c r="K105" s="55" t="str">
        <f aca="false">IF(A105="","",IFERROR((D105+F105)/(C105+E105),0))</f>
        <v/>
      </c>
      <c r="L105" s="54" t="str">
        <f aca="false">IF(A105="","",ROUND(MAX(0,I105)*K105,0))</f>
        <v/>
      </c>
      <c r="M105" s="41" t="str">
        <f aca="false">IF(A105="","",D105+F105-J105)</f>
        <v/>
      </c>
      <c r="N105" s="41" t="str">
        <f aca="false">IF(A105="","",D105+F105-L105)</f>
        <v/>
      </c>
      <c r="O105" s="41" t="str">
        <f aca="false">IF(A105="","",H105-M105)</f>
        <v/>
      </c>
      <c r="P105" s="41" t="str">
        <f aca="false">IF(A105="","",H105-N105)</f>
        <v/>
      </c>
      <c r="Q105" s="9" t="str">
        <f aca="false">IF(AND(A105&lt;&gt;"",N(J105)&gt;0),COUNTIF($J$6:J105,"&gt;0"),"")</f>
        <v/>
      </c>
    </row>
    <row r="106" customFormat="false" ht="15" hidden="false" customHeight="false" outlineLevel="0" collapsed="false">
      <c r="A106" s="56"/>
      <c r="B106" s="57" t="s">
        <v>140</v>
      </c>
      <c r="C106" s="56"/>
      <c r="D106" s="58" t="n">
        <f aca="false">SUM(D6:D105)</f>
        <v>104500</v>
      </c>
      <c r="E106" s="56"/>
      <c r="F106" s="58" t="n">
        <f aca="false">SUM(F6:F105)</f>
        <v>116100</v>
      </c>
      <c r="G106" s="56"/>
      <c r="H106" s="58" t="n">
        <f aca="false">SUM(H6:H105)</f>
        <v>200216</v>
      </c>
      <c r="I106" s="56"/>
      <c r="J106" s="58" t="n">
        <f aca="false">SUM(J6:J105)</f>
        <v>74965</v>
      </c>
      <c r="K106" s="56"/>
      <c r="L106" s="58" t="n">
        <f aca="false">SUM(L6:L105)</f>
        <v>73033</v>
      </c>
      <c r="M106" s="58" t="n">
        <f aca="false">SUM(M6:M105)</f>
        <v>145635</v>
      </c>
      <c r="N106" s="58" t="n">
        <f aca="false">SUM(N6:N105)</f>
        <v>147567</v>
      </c>
      <c r="O106" s="58" t="n">
        <f aca="false">SUM(O6:O105)</f>
        <v>54581</v>
      </c>
      <c r="P106" s="58" t="n">
        <f aca="false">SUM(P6:P105)</f>
        <v>52649</v>
      </c>
    </row>
    <row r="108" customFormat="false" ht="15" hidden="false" customHeight="true" outlineLevel="0" collapsed="false">
      <c r="B108" s="59" t="s">
        <v>141</v>
      </c>
      <c r="C108" s="59"/>
      <c r="D108" s="59"/>
      <c r="E108" s="59"/>
      <c r="F108" s="59"/>
    </row>
    <row r="109" customFormat="false" ht="15" hidden="false" customHeight="true" outlineLevel="0" collapsed="false">
      <c r="B109" s="60" t="s">
        <v>8</v>
      </c>
      <c r="C109" s="60"/>
      <c r="D109" s="60"/>
      <c r="E109" s="61" t="n">
        <f aca="false">J106</f>
        <v>74965</v>
      </c>
    </row>
    <row r="110" customFormat="false" ht="15" hidden="false" customHeight="true" outlineLevel="0" collapsed="false">
      <c r="B110" s="60" t="s">
        <v>10</v>
      </c>
      <c r="C110" s="60"/>
      <c r="D110" s="60"/>
      <c r="E110" s="61" t="n">
        <f aca="false">L106</f>
        <v>73033</v>
      </c>
    </row>
    <row r="111" customFormat="false" ht="15" hidden="false" customHeight="true" outlineLevel="0" collapsed="false">
      <c r="B111" s="60" t="s">
        <v>142</v>
      </c>
      <c r="C111" s="60"/>
      <c r="D111" s="60"/>
      <c r="E111" s="62" t="n">
        <f aca="false">J106-L106</f>
        <v>1932</v>
      </c>
    </row>
    <row r="112" customFormat="false" ht="15" hidden="false" customHeight="true" outlineLevel="0" collapsed="false">
      <c r="B112" s="60" t="s">
        <v>143</v>
      </c>
      <c r="C112" s="60"/>
      <c r="D112" s="60"/>
      <c r="E112" s="63" t="str">
        <f aca="false">IF(J106&gt;L106,"Prices rose during the period, so FIFO shows a higher closing stock and higher profit.",IF(J106&lt;L106,"Prices fell during the period, so FIFO shows a lower closing stock and lower profit.","Both methods give the same value."))</f>
        <v>Prices rose during the period, so FIFO shows a higher closing stock and higher profit.</v>
      </c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</row>
  </sheetData>
  <sheetProtection sheet="1" objects="1" scenarios="1" formatColumns="0" formatRows="0" algorithmName="SHA-512" hashValue="GAbq8EKdYar6g9BBe8EOL8MIK4BHCaCT4h+wUd0asg+il/sI2+pFa6zUgMVQbKfaCsX7mHY1jTTSDEPXtWURig==" saltValue="uzvsDPYpW0IpAlLrJFsphw==" spinCount="100000"/>
  <mergeCells count="14">
    <mergeCell ref="A2:P2"/>
    <mergeCell ref="A3:P3"/>
    <mergeCell ref="C4:D4"/>
    <mergeCell ref="E4:F4"/>
    <mergeCell ref="G4:H4"/>
    <mergeCell ref="J4:L4"/>
    <mergeCell ref="M4:N4"/>
    <mergeCell ref="O4:P4"/>
    <mergeCell ref="B108:F108"/>
    <mergeCell ref="B109:D109"/>
    <mergeCell ref="B110:D110"/>
    <mergeCell ref="B111:D111"/>
    <mergeCell ref="B112:D112"/>
    <mergeCell ref="E112:P112"/>
  </mergeCells>
  <conditionalFormatting sqref="A6:P105">
    <cfRule type="expression" priority="2" aboveAverage="0" equalAverage="0" bottom="0" percent="0" rank="0" text="" dxfId="4">
      <formula>AND($A6&lt;&gt;"",N($I6)&lt;0)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L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26"/>
    <col collapsed="false" customWidth="true" hidden="false" outlineLevel="0" max="5" min="4" style="0" width="10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true" outlineLevel="0" max="12" min="11" style="0" width="13"/>
  </cols>
  <sheetData>
    <row r="1" customFormat="false" ht="15" hidden="false" customHeight="false" outlineLevel="0" collapsed="false">
      <c r="A1" s="18" t="s">
        <v>22</v>
      </c>
    </row>
    <row r="2" customFormat="false" ht="30" hidden="false" customHeight="true" outlineLevel="0" collapsed="false">
      <c r="A2" s="64" t="s">
        <v>144</v>
      </c>
      <c r="B2" s="64"/>
      <c r="C2" s="64"/>
      <c r="D2" s="64"/>
      <c r="E2" s="64"/>
      <c r="F2" s="64"/>
      <c r="G2" s="64"/>
      <c r="H2" s="64"/>
      <c r="I2" s="64"/>
    </row>
    <row r="4" customFormat="false" ht="15" hidden="false" customHeight="false" outlineLevel="0" collapsed="false">
      <c r="A4" s="65" t="s">
        <v>145</v>
      </c>
      <c r="B4" s="65"/>
      <c r="C4" s="86" t="s">
        <v>66</v>
      </c>
    </row>
    <row r="5" customFormat="false" ht="15" hidden="false" customHeight="true" outlineLevel="0" collapsed="false">
      <c r="A5" s="67" t="s">
        <v>55</v>
      </c>
      <c r="B5" s="67"/>
      <c r="C5" s="52" t="str">
        <f aca="false">IFERROR(INDEX('Item Master'!$B$6:$B$105,MATCH($C$4,'Item Master'!$A$6:$A$105,0)),"")</f>
        <v>LED Bulb 9W</v>
      </c>
      <c r="D5" s="52"/>
      <c r="F5" s="67" t="s">
        <v>64</v>
      </c>
      <c r="G5" s="67"/>
      <c r="H5" s="68" t="n">
        <f aca="false">IFERROR(INDEX(Valuation!$I$6:$I$105,MATCH($C$4,Valuation!$A$6:$A$105,0)),0)</f>
        <v>150</v>
      </c>
    </row>
    <row r="6" customFormat="false" ht="15" hidden="false" customHeight="true" outlineLevel="0" collapsed="false">
      <c r="A6" s="67" t="s">
        <v>57</v>
      </c>
      <c r="B6" s="67"/>
      <c r="C6" s="52" t="str">
        <f aca="false">IFERROR(INDEX('Item Master'!$D$6:$D$105,MATCH($C$4,'Item Master'!$A$6:$A$105,0)),"")</f>
        <v>Pcs</v>
      </c>
      <c r="D6" s="52"/>
      <c r="F6" s="67" t="s">
        <v>146</v>
      </c>
      <c r="G6" s="67"/>
      <c r="H6" s="69" t="n">
        <f aca="false">IFERROR(INDEX(Valuation!$J$6:$J$105,MATCH($C$4,Valuation!$A$6:$A$105,0)),0)</f>
        <v>9000</v>
      </c>
    </row>
    <row r="7" customFormat="false" ht="15" hidden="false" customHeight="true" outlineLevel="0" collapsed="false">
      <c r="A7" s="67" t="s">
        <v>60</v>
      </c>
      <c r="B7" s="67"/>
      <c r="C7" s="68" t="n">
        <f aca="false">IFERROR(INDEX('Item Master'!$G$6:$G$105,MATCH($C$4,'Item Master'!$A$6:$A$105,0)),"")</f>
        <v>100</v>
      </c>
      <c r="D7" s="68"/>
      <c r="F7" s="67" t="s">
        <v>147</v>
      </c>
      <c r="G7" s="67"/>
      <c r="H7" s="69" t="n">
        <f aca="false">IFERROR(INDEX(Valuation!$L$6:$L$105,MATCH($C$4,Valuation!$A$6:$A$105,0)),0)</f>
        <v>8657</v>
      </c>
    </row>
    <row r="8" customFormat="false" ht="15" hidden="false" customHeight="true" outlineLevel="0" collapsed="false">
      <c r="A8" s="67" t="s">
        <v>65</v>
      </c>
      <c r="B8" s="67"/>
      <c r="C8" s="52" t="str">
        <f aca="false">IFERROR(INDEX('Item Master'!$L$6:$L$105,MATCH($C$4,'Item Master'!$A$6:$A$105,0)),"")</f>
        <v>✔ OK</v>
      </c>
      <c r="D8" s="52"/>
      <c r="F8" s="67" t="s">
        <v>138</v>
      </c>
      <c r="G8" s="67"/>
      <c r="H8" s="70" t="n">
        <f aca="false">IFERROR(INDEX(Valuation!$K$6:$K$105,MATCH($C$4,Valuation!$A$6:$A$105,0)),0)</f>
        <v>57.7142857142857</v>
      </c>
    </row>
    <row r="10" customFormat="false" ht="36" hidden="false" customHeight="true" outlineLevel="0" collapsed="false">
      <c r="A10" s="35" t="s">
        <v>87</v>
      </c>
      <c r="B10" s="35" t="s">
        <v>148</v>
      </c>
      <c r="C10" s="35" t="s">
        <v>149</v>
      </c>
      <c r="D10" s="35" t="s">
        <v>62</v>
      </c>
      <c r="E10" s="35" t="s">
        <v>63</v>
      </c>
      <c r="F10" s="35" t="s">
        <v>94</v>
      </c>
      <c r="G10" s="35" t="s">
        <v>90</v>
      </c>
      <c r="H10" s="35" t="s">
        <v>150</v>
      </c>
      <c r="I10" s="35" t="s">
        <v>151</v>
      </c>
    </row>
    <row r="11" customFormat="false" ht="15" hidden="false" customHeight="false" outlineLevel="0" collapsed="false">
      <c r="A11" s="71"/>
      <c r="B11" s="71"/>
      <c r="C11" s="60" t="s">
        <v>152</v>
      </c>
      <c r="D11" s="71"/>
      <c r="E11" s="71"/>
      <c r="F11" s="72" t="n">
        <f aca="false">IFERROR(N(INDEX('Item Master'!$E$6:$E$105,MATCH($C$4,'Item Master'!$A$6:$A$105,0))),0)</f>
        <v>200</v>
      </c>
      <c r="G11" s="73" t="n">
        <f aca="false">IFERROR(INDEX('Item Master'!$F$6:$F$105,MATCH($C$4,'Item Master'!$A$6:$A$105,0)),"")</f>
        <v>55</v>
      </c>
      <c r="H11" s="41" t="n">
        <f aca="false">IFERROR(INDEX('Item Master'!$H$6:$H$105,MATCH($C$4,'Item Master'!$A$6:$A$105,0)),"")</f>
        <v>11000</v>
      </c>
      <c r="I11" s="71"/>
    </row>
    <row r="12" customFormat="false" ht="15" hidden="false" customHeight="false" outlineLevel="0" collapsed="false">
      <c r="A12" s="74" t="n">
        <f aca="false">IF($L12="","",INDEX('Stock Register'!$B$7:$B$506,$L12))</f>
        <v>46296</v>
      </c>
      <c r="B12" s="75" t="str">
        <f aca="false">IF($L12="","",INDEX('Stock Register'!$I$7:$I$506,$L12))</f>
        <v>P-101</v>
      </c>
      <c r="C12" s="47" t="str">
        <f aca="false">IF($L12="","",INDEX('Stock Register'!$H$7:$H$506,$L12))</f>
        <v>Sharma Lighting</v>
      </c>
      <c r="D12" s="76" t="n">
        <f aca="false">IF($L12="","",IF(INDEX('Stock Register'!$E$7:$E$506,$L12)="In",INDEX('Stock Register'!$F$7:$F$506,$L12),""))</f>
        <v>300</v>
      </c>
      <c r="E12" s="77" t="str">
        <f aca="false">IF($L12="","",IF(INDEX('Stock Register'!$E$7:$E$506,$L12)="Out",INDEX('Stock Register'!$F$7:$F$506,$L12),""))</f>
        <v/>
      </c>
      <c r="F12" s="48" t="n">
        <f aca="false">IF($L12="","",INDEX('Stock Register'!$K$7:$K$506,$L12))</f>
        <v>500</v>
      </c>
      <c r="G12" s="73" t="n">
        <f aca="false">IF($L12="","",INDEX('Stock Register'!$G$7:$G$506,$L12))</f>
        <v>58</v>
      </c>
      <c r="H12" s="41" t="n">
        <f aca="false">IF(D12="","",IF($L12="","",INDEX('Stock Register'!$J$7:$J$506,$L12)))</f>
        <v>17400</v>
      </c>
      <c r="I12" s="41" t="str">
        <f aca="false">IF(E12="","",IF($L12="","",INDEX('Stock Register'!$J$7:$J$506,$L12)))</f>
        <v/>
      </c>
      <c r="K12" s="9" t="n">
        <f aca="false">IFERROR(SMALL('Stock Register'!$Q$7:$Q$506,1),"")</f>
        <v>46296.000007</v>
      </c>
      <c r="L12" s="9" t="n">
        <f aca="false">IF(K12="","",MATCH(K12,'Stock Register'!$Q$7:$Q$506,0))</f>
        <v>1</v>
      </c>
    </row>
    <row r="13" customFormat="false" ht="15" hidden="false" customHeight="false" outlineLevel="0" collapsed="false">
      <c r="A13" s="74" t="n">
        <f aca="false">IF($L13="","",INDEX('Stock Register'!$B$7:$B$506,$L13))</f>
        <v>46297</v>
      </c>
      <c r="B13" s="75" t="str">
        <f aca="false">IF($L13="","",INDEX('Stock Register'!$I$7:$I$506,$L13))</f>
        <v>S-201</v>
      </c>
      <c r="C13" s="47" t="str">
        <f aca="false">IF($L13="","",INDEX('Stock Register'!$H$7:$H$506,$L13))</f>
        <v>Counter sales</v>
      </c>
      <c r="D13" s="76" t="str">
        <f aca="false">IF($L13="","",IF(INDEX('Stock Register'!$E$7:$E$506,$L13)="In",INDEX('Stock Register'!$F$7:$F$506,$L13),""))</f>
        <v/>
      </c>
      <c r="E13" s="77" t="n">
        <f aca="false">IF($L13="","",IF(INDEX('Stock Register'!$E$7:$E$506,$L13)="Out",INDEX('Stock Register'!$F$7:$F$506,$L13),""))</f>
        <v>220</v>
      </c>
      <c r="F13" s="48" t="n">
        <f aca="false">IF($L13="","",INDEX('Stock Register'!$K$7:$K$506,$L13))</f>
        <v>280</v>
      </c>
      <c r="G13" s="73" t="n">
        <f aca="false">IF($L13="","",INDEX('Stock Register'!$G$7:$G$506,$L13))</f>
        <v>85</v>
      </c>
      <c r="H13" s="41" t="str">
        <f aca="false">IF(D13="","",IF($L13="","",INDEX('Stock Register'!$J$7:$J$506,$L13)))</f>
        <v/>
      </c>
      <c r="I13" s="41" t="n">
        <f aca="false">IF(E13="","",IF($L13="","",INDEX('Stock Register'!$J$7:$J$506,$L13)))</f>
        <v>18700</v>
      </c>
      <c r="K13" s="9" t="n">
        <f aca="false">IFERROR(SMALL('Stock Register'!$Q$7:$Q$506,2),"")</f>
        <v>46297.000008</v>
      </c>
      <c r="L13" s="9" t="n">
        <f aca="false">IF(K13="","",MATCH(K13,'Stock Register'!$Q$7:$Q$506,0))</f>
        <v>2</v>
      </c>
    </row>
    <row r="14" customFormat="false" ht="15" hidden="false" customHeight="false" outlineLevel="0" collapsed="false">
      <c r="A14" s="74" t="n">
        <f aca="false">IF($L14="","",INDEX('Stock Register'!$B$7:$B$506,$L14))</f>
        <v>46304</v>
      </c>
      <c r="B14" s="75" t="str">
        <f aca="false">IF($L14="","",INDEX('Stock Register'!$I$7:$I$506,$L14))</f>
        <v>S-205</v>
      </c>
      <c r="C14" s="47" t="str">
        <f aca="false">IF($L14="","",INDEX('Stock Register'!$H$7:$H$506,$L14))</f>
        <v>Counter sales</v>
      </c>
      <c r="D14" s="76" t="str">
        <f aca="false">IF($L14="","",IF(INDEX('Stock Register'!$E$7:$E$506,$L14)="In",INDEX('Stock Register'!$F$7:$F$506,$L14),""))</f>
        <v/>
      </c>
      <c r="E14" s="77" t="n">
        <f aca="false">IF($L14="","",IF(INDEX('Stock Register'!$E$7:$E$506,$L14)="Out",INDEX('Stock Register'!$F$7:$F$506,$L14),""))</f>
        <v>150</v>
      </c>
      <c r="F14" s="48" t="n">
        <f aca="false">IF($L14="","",INDEX('Stock Register'!$K$7:$K$506,$L14))</f>
        <v>130</v>
      </c>
      <c r="G14" s="73" t="n">
        <f aca="false">IF($L14="","",INDEX('Stock Register'!$G$7:$G$506,$L14))</f>
        <v>85</v>
      </c>
      <c r="H14" s="41" t="str">
        <f aca="false">IF(D14="","",IF($L14="","",INDEX('Stock Register'!$J$7:$J$506,$L14)))</f>
        <v/>
      </c>
      <c r="I14" s="41" t="n">
        <f aca="false">IF(E14="","",IF($L14="","",INDEX('Stock Register'!$J$7:$J$506,$L14)))</f>
        <v>12750</v>
      </c>
      <c r="K14" s="9" t="n">
        <f aca="false">IFERROR(SMALL('Stock Register'!$Q$7:$Q$506,3),"")</f>
        <v>46304.000014</v>
      </c>
      <c r="L14" s="9" t="n">
        <f aca="false">IF(K14="","",MATCH(K14,'Stock Register'!$Q$7:$Q$506,0))</f>
        <v>8</v>
      </c>
    </row>
    <row r="15" customFormat="false" ht="15" hidden="false" customHeight="false" outlineLevel="0" collapsed="false">
      <c r="A15" s="74" t="n">
        <f aca="false">IF($L15="","",INDEX('Stock Register'!$B$7:$B$506,$L15))</f>
        <v>46310</v>
      </c>
      <c r="B15" s="75" t="str">
        <f aca="false">IF($L15="","",INDEX('Stock Register'!$I$7:$I$506,$L15))</f>
        <v>P-105</v>
      </c>
      <c r="C15" s="47" t="str">
        <f aca="false">IF($L15="","",INDEX('Stock Register'!$H$7:$H$506,$L15))</f>
        <v>Sharma Lighting</v>
      </c>
      <c r="D15" s="76" t="n">
        <f aca="false">IF($L15="","",IF(INDEX('Stock Register'!$E$7:$E$506,$L15)="In",INDEX('Stock Register'!$F$7:$F$506,$L15),""))</f>
        <v>200</v>
      </c>
      <c r="E15" s="77" t="str">
        <f aca="false">IF($L15="","",IF(INDEX('Stock Register'!$E$7:$E$506,$L15)="Out",INDEX('Stock Register'!$F$7:$F$506,$L15),""))</f>
        <v/>
      </c>
      <c r="F15" s="48" t="n">
        <f aca="false">IF($L15="","",INDEX('Stock Register'!$K$7:$K$506,$L15))</f>
        <v>330</v>
      </c>
      <c r="G15" s="73" t="n">
        <f aca="false">IF($L15="","",INDEX('Stock Register'!$G$7:$G$506,$L15))</f>
        <v>60</v>
      </c>
      <c r="H15" s="41" t="n">
        <f aca="false">IF(D15="","",IF($L15="","",INDEX('Stock Register'!$J$7:$J$506,$L15)))</f>
        <v>12000</v>
      </c>
      <c r="I15" s="41" t="str">
        <f aca="false">IF(E15="","",IF($L15="","",INDEX('Stock Register'!$J$7:$J$506,$L15)))</f>
        <v/>
      </c>
      <c r="K15" s="9" t="n">
        <f aca="false">IFERROR(SMALL('Stock Register'!$Q$7:$Q$506,4),"")</f>
        <v>46310.000018</v>
      </c>
      <c r="L15" s="9" t="n">
        <f aca="false">IF(K15="","",MATCH(K15,'Stock Register'!$Q$7:$Q$506,0))</f>
        <v>12</v>
      </c>
    </row>
    <row r="16" customFormat="false" ht="15" hidden="false" customHeight="false" outlineLevel="0" collapsed="false">
      <c r="A16" s="74" t="n">
        <f aca="false">IF($L16="","",INDEX('Stock Register'!$B$7:$B$506,$L16))</f>
        <v>46319</v>
      </c>
      <c r="B16" s="75" t="str">
        <f aca="false">IF($L16="","",INDEX('Stock Register'!$I$7:$I$506,$L16))</f>
        <v>S-212</v>
      </c>
      <c r="C16" s="47" t="str">
        <f aca="false">IF($L16="","",INDEX('Stock Register'!$H$7:$H$506,$L16))</f>
        <v>Counter sales</v>
      </c>
      <c r="D16" s="76" t="str">
        <f aca="false">IF($L16="","",IF(INDEX('Stock Register'!$E$7:$E$506,$L16)="In",INDEX('Stock Register'!$F$7:$F$506,$L16),""))</f>
        <v/>
      </c>
      <c r="E16" s="77" t="n">
        <f aca="false">IF($L16="","",IF(INDEX('Stock Register'!$E$7:$E$506,$L16)="Out",INDEX('Stock Register'!$F$7:$F$506,$L16),""))</f>
        <v>180</v>
      </c>
      <c r="F16" s="48" t="n">
        <f aca="false">IF($L16="","",INDEX('Stock Register'!$K$7:$K$506,$L16))</f>
        <v>150</v>
      </c>
      <c r="G16" s="73" t="n">
        <f aca="false">IF($L16="","",INDEX('Stock Register'!$G$7:$G$506,$L16))</f>
        <v>85</v>
      </c>
      <c r="H16" s="41" t="str">
        <f aca="false">IF(D16="","",IF($L16="","",INDEX('Stock Register'!$J$7:$J$506,$L16)))</f>
        <v/>
      </c>
      <c r="I16" s="41" t="n">
        <f aca="false">IF(E16="","",IF($L16="","",INDEX('Stock Register'!$J$7:$J$506,$L16)))</f>
        <v>15300</v>
      </c>
      <c r="K16" s="9" t="n">
        <f aca="false">IFERROR(SMALL('Stock Register'!$Q$7:$Q$506,5),"")</f>
        <v>46319.000024</v>
      </c>
      <c r="L16" s="9" t="n">
        <f aca="false">IF(K16="","",MATCH(K16,'Stock Register'!$Q$7:$Q$506,0))</f>
        <v>18</v>
      </c>
    </row>
    <row r="17" customFormat="false" ht="15" hidden="false" customHeight="false" outlineLevel="0" collapsed="false">
      <c r="A17" s="74" t="str">
        <f aca="false">IF($L17="","",INDEX('Stock Register'!$B$7:$B$506,$L17))</f>
        <v/>
      </c>
      <c r="B17" s="75" t="str">
        <f aca="false">IF($L17="","",INDEX('Stock Register'!$I$7:$I$506,$L17))</f>
        <v/>
      </c>
      <c r="C17" s="47" t="str">
        <f aca="false">IF($L17="","",INDEX('Stock Register'!$H$7:$H$506,$L17))</f>
        <v/>
      </c>
      <c r="D17" s="76" t="str">
        <f aca="false">IF($L17="","",IF(INDEX('Stock Register'!$E$7:$E$506,$L17)="In",INDEX('Stock Register'!$F$7:$F$506,$L17),""))</f>
        <v/>
      </c>
      <c r="E17" s="77" t="str">
        <f aca="false">IF($L17="","",IF(INDEX('Stock Register'!$E$7:$E$506,$L17)="Out",INDEX('Stock Register'!$F$7:$F$506,$L17),""))</f>
        <v/>
      </c>
      <c r="F17" s="48" t="str">
        <f aca="false">IF($L17="","",INDEX('Stock Register'!$K$7:$K$506,$L17))</f>
        <v/>
      </c>
      <c r="G17" s="73" t="str">
        <f aca="false">IF($L17="","",INDEX('Stock Register'!$G$7:$G$506,$L17))</f>
        <v/>
      </c>
      <c r="H17" s="41" t="str">
        <f aca="false">IF(D17="","",IF($L17="","",INDEX('Stock Register'!$J$7:$J$506,$L17)))</f>
        <v/>
      </c>
      <c r="I17" s="41" t="str">
        <f aca="false">IF(E17="","",IF($L17="","",INDEX('Stock Register'!$J$7:$J$506,$L17)))</f>
        <v/>
      </c>
      <c r="K17" s="9" t="str">
        <f aca="false">IFERROR(SMALL('Stock Register'!$Q$7:$Q$506,6),"")</f>
        <v/>
      </c>
      <c r="L17" s="9" t="str">
        <f aca="false">IF(K17="","",MATCH(K17,'Stock Register'!$Q$7:$Q$506,0))</f>
        <v/>
      </c>
    </row>
    <row r="18" customFormat="false" ht="15" hidden="false" customHeight="false" outlineLevel="0" collapsed="false">
      <c r="A18" s="74" t="str">
        <f aca="false">IF($L18="","",INDEX('Stock Register'!$B$7:$B$506,$L18))</f>
        <v/>
      </c>
      <c r="B18" s="75" t="str">
        <f aca="false">IF($L18="","",INDEX('Stock Register'!$I$7:$I$506,$L18))</f>
        <v/>
      </c>
      <c r="C18" s="47" t="str">
        <f aca="false">IF($L18="","",INDEX('Stock Register'!$H$7:$H$506,$L18))</f>
        <v/>
      </c>
      <c r="D18" s="76" t="str">
        <f aca="false">IF($L18="","",IF(INDEX('Stock Register'!$E$7:$E$506,$L18)="In",INDEX('Stock Register'!$F$7:$F$506,$L18),""))</f>
        <v/>
      </c>
      <c r="E18" s="77" t="str">
        <f aca="false">IF($L18="","",IF(INDEX('Stock Register'!$E$7:$E$506,$L18)="Out",INDEX('Stock Register'!$F$7:$F$506,$L18),""))</f>
        <v/>
      </c>
      <c r="F18" s="48" t="str">
        <f aca="false">IF($L18="","",INDEX('Stock Register'!$K$7:$K$506,$L18))</f>
        <v/>
      </c>
      <c r="G18" s="73" t="str">
        <f aca="false">IF($L18="","",INDEX('Stock Register'!$G$7:$G$506,$L18))</f>
        <v/>
      </c>
      <c r="H18" s="41" t="str">
        <f aca="false">IF(D18="","",IF($L18="","",INDEX('Stock Register'!$J$7:$J$506,$L18)))</f>
        <v/>
      </c>
      <c r="I18" s="41" t="str">
        <f aca="false">IF(E18="","",IF($L18="","",INDEX('Stock Register'!$J$7:$J$506,$L18)))</f>
        <v/>
      </c>
      <c r="K18" s="9" t="str">
        <f aca="false">IFERROR(SMALL('Stock Register'!$Q$7:$Q$506,7),"")</f>
        <v/>
      </c>
      <c r="L18" s="9" t="str">
        <f aca="false">IF(K18="","",MATCH(K18,'Stock Register'!$Q$7:$Q$506,0))</f>
        <v/>
      </c>
    </row>
    <row r="19" customFormat="false" ht="15" hidden="false" customHeight="false" outlineLevel="0" collapsed="false">
      <c r="A19" s="74" t="str">
        <f aca="false">IF($L19="","",INDEX('Stock Register'!$B$7:$B$506,$L19))</f>
        <v/>
      </c>
      <c r="B19" s="75" t="str">
        <f aca="false">IF($L19="","",INDEX('Stock Register'!$I$7:$I$506,$L19))</f>
        <v/>
      </c>
      <c r="C19" s="47" t="str">
        <f aca="false">IF($L19="","",INDEX('Stock Register'!$H$7:$H$506,$L19))</f>
        <v/>
      </c>
      <c r="D19" s="76" t="str">
        <f aca="false">IF($L19="","",IF(INDEX('Stock Register'!$E$7:$E$506,$L19)="In",INDEX('Stock Register'!$F$7:$F$506,$L19),""))</f>
        <v/>
      </c>
      <c r="E19" s="77" t="str">
        <f aca="false">IF($L19="","",IF(INDEX('Stock Register'!$E$7:$E$506,$L19)="Out",INDEX('Stock Register'!$F$7:$F$506,$L19),""))</f>
        <v/>
      </c>
      <c r="F19" s="48" t="str">
        <f aca="false">IF($L19="","",INDEX('Stock Register'!$K$7:$K$506,$L19))</f>
        <v/>
      </c>
      <c r="G19" s="73" t="str">
        <f aca="false">IF($L19="","",INDEX('Stock Register'!$G$7:$G$506,$L19))</f>
        <v/>
      </c>
      <c r="H19" s="41" t="str">
        <f aca="false">IF(D19="","",IF($L19="","",INDEX('Stock Register'!$J$7:$J$506,$L19)))</f>
        <v/>
      </c>
      <c r="I19" s="41" t="str">
        <f aca="false">IF(E19="","",IF($L19="","",INDEX('Stock Register'!$J$7:$J$506,$L19)))</f>
        <v/>
      </c>
      <c r="K19" s="9" t="str">
        <f aca="false">IFERROR(SMALL('Stock Register'!$Q$7:$Q$506,8),"")</f>
        <v/>
      </c>
      <c r="L19" s="9" t="str">
        <f aca="false">IF(K19="","",MATCH(K19,'Stock Register'!$Q$7:$Q$506,0))</f>
        <v/>
      </c>
    </row>
    <row r="20" customFormat="false" ht="15" hidden="false" customHeight="false" outlineLevel="0" collapsed="false">
      <c r="A20" s="74" t="str">
        <f aca="false">IF($L20="","",INDEX('Stock Register'!$B$7:$B$506,$L20))</f>
        <v/>
      </c>
      <c r="B20" s="75" t="str">
        <f aca="false">IF($L20="","",INDEX('Stock Register'!$I$7:$I$506,$L20))</f>
        <v/>
      </c>
      <c r="C20" s="47" t="str">
        <f aca="false">IF($L20="","",INDEX('Stock Register'!$H$7:$H$506,$L20))</f>
        <v/>
      </c>
      <c r="D20" s="76" t="str">
        <f aca="false">IF($L20="","",IF(INDEX('Stock Register'!$E$7:$E$506,$L20)="In",INDEX('Stock Register'!$F$7:$F$506,$L20),""))</f>
        <v/>
      </c>
      <c r="E20" s="77" t="str">
        <f aca="false">IF($L20="","",IF(INDEX('Stock Register'!$E$7:$E$506,$L20)="Out",INDEX('Stock Register'!$F$7:$F$506,$L20),""))</f>
        <v/>
      </c>
      <c r="F20" s="48" t="str">
        <f aca="false">IF($L20="","",INDEX('Stock Register'!$K$7:$K$506,$L20))</f>
        <v/>
      </c>
      <c r="G20" s="73" t="str">
        <f aca="false">IF($L20="","",INDEX('Stock Register'!$G$7:$G$506,$L20))</f>
        <v/>
      </c>
      <c r="H20" s="41" t="str">
        <f aca="false">IF(D20="","",IF($L20="","",INDEX('Stock Register'!$J$7:$J$506,$L20)))</f>
        <v/>
      </c>
      <c r="I20" s="41" t="str">
        <f aca="false">IF(E20="","",IF($L20="","",INDEX('Stock Register'!$J$7:$J$506,$L20)))</f>
        <v/>
      </c>
      <c r="K20" s="9" t="str">
        <f aca="false">IFERROR(SMALL('Stock Register'!$Q$7:$Q$506,9),"")</f>
        <v/>
      </c>
      <c r="L20" s="9" t="str">
        <f aca="false">IF(K20="","",MATCH(K20,'Stock Register'!$Q$7:$Q$506,0))</f>
        <v/>
      </c>
    </row>
    <row r="21" customFormat="false" ht="15" hidden="false" customHeight="false" outlineLevel="0" collapsed="false">
      <c r="A21" s="74" t="str">
        <f aca="false">IF($L21="","",INDEX('Stock Register'!$B$7:$B$506,$L21))</f>
        <v/>
      </c>
      <c r="B21" s="75" t="str">
        <f aca="false">IF($L21="","",INDEX('Stock Register'!$I$7:$I$506,$L21))</f>
        <v/>
      </c>
      <c r="C21" s="47" t="str">
        <f aca="false">IF($L21="","",INDEX('Stock Register'!$H$7:$H$506,$L21))</f>
        <v/>
      </c>
      <c r="D21" s="76" t="str">
        <f aca="false">IF($L21="","",IF(INDEX('Stock Register'!$E$7:$E$506,$L21)="In",INDEX('Stock Register'!$F$7:$F$506,$L21),""))</f>
        <v/>
      </c>
      <c r="E21" s="77" t="str">
        <f aca="false">IF($L21="","",IF(INDEX('Stock Register'!$E$7:$E$506,$L21)="Out",INDEX('Stock Register'!$F$7:$F$506,$L21),""))</f>
        <v/>
      </c>
      <c r="F21" s="48" t="str">
        <f aca="false">IF($L21="","",INDEX('Stock Register'!$K$7:$K$506,$L21))</f>
        <v/>
      </c>
      <c r="G21" s="73" t="str">
        <f aca="false">IF($L21="","",INDEX('Stock Register'!$G$7:$G$506,$L21))</f>
        <v/>
      </c>
      <c r="H21" s="41" t="str">
        <f aca="false">IF(D21="","",IF($L21="","",INDEX('Stock Register'!$J$7:$J$506,$L21)))</f>
        <v/>
      </c>
      <c r="I21" s="41" t="str">
        <f aca="false">IF(E21="","",IF($L21="","",INDEX('Stock Register'!$J$7:$J$506,$L21)))</f>
        <v/>
      </c>
      <c r="K21" s="9" t="str">
        <f aca="false">IFERROR(SMALL('Stock Register'!$Q$7:$Q$506,10),"")</f>
        <v/>
      </c>
      <c r="L21" s="9" t="str">
        <f aca="false">IF(K21="","",MATCH(K21,'Stock Register'!$Q$7:$Q$506,0))</f>
        <v/>
      </c>
    </row>
    <row r="22" customFormat="false" ht="15" hidden="false" customHeight="false" outlineLevel="0" collapsed="false">
      <c r="A22" s="74" t="str">
        <f aca="false">IF($L22="","",INDEX('Stock Register'!$B$7:$B$506,$L22))</f>
        <v/>
      </c>
      <c r="B22" s="75" t="str">
        <f aca="false">IF($L22="","",INDEX('Stock Register'!$I$7:$I$506,$L22))</f>
        <v/>
      </c>
      <c r="C22" s="47" t="str">
        <f aca="false">IF($L22="","",INDEX('Stock Register'!$H$7:$H$506,$L22))</f>
        <v/>
      </c>
      <c r="D22" s="76" t="str">
        <f aca="false">IF($L22="","",IF(INDEX('Stock Register'!$E$7:$E$506,$L22)="In",INDEX('Stock Register'!$F$7:$F$506,$L22),""))</f>
        <v/>
      </c>
      <c r="E22" s="77" t="str">
        <f aca="false">IF($L22="","",IF(INDEX('Stock Register'!$E$7:$E$506,$L22)="Out",INDEX('Stock Register'!$F$7:$F$506,$L22),""))</f>
        <v/>
      </c>
      <c r="F22" s="48" t="str">
        <f aca="false">IF($L22="","",INDEX('Stock Register'!$K$7:$K$506,$L22))</f>
        <v/>
      </c>
      <c r="G22" s="73" t="str">
        <f aca="false">IF($L22="","",INDEX('Stock Register'!$G$7:$G$506,$L22))</f>
        <v/>
      </c>
      <c r="H22" s="41" t="str">
        <f aca="false">IF(D22="","",IF($L22="","",INDEX('Stock Register'!$J$7:$J$506,$L22)))</f>
        <v/>
      </c>
      <c r="I22" s="41" t="str">
        <f aca="false">IF(E22="","",IF($L22="","",INDEX('Stock Register'!$J$7:$J$506,$L22)))</f>
        <v/>
      </c>
      <c r="K22" s="9" t="str">
        <f aca="false">IFERROR(SMALL('Stock Register'!$Q$7:$Q$506,11),"")</f>
        <v/>
      </c>
      <c r="L22" s="9" t="str">
        <f aca="false">IF(K22="","",MATCH(K22,'Stock Register'!$Q$7:$Q$506,0))</f>
        <v/>
      </c>
    </row>
    <row r="23" customFormat="false" ht="15" hidden="false" customHeight="false" outlineLevel="0" collapsed="false">
      <c r="A23" s="74" t="str">
        <f aca="false">IF($L23="","",INDEX('Stock Register'!$B$7:$B$506,$L23))</f>
        <v/>
      </c>
      <c r="B23" s="75" t="str">
        <f aca="false">IF($L23="","",INDEX('Stock Register'!$I$7:$I$506,$L23))</f>
        <v/>
      </c>
      <c r="C23" s="47" t="str">
        <f aca="false">IF($L23="","",INDEX('Stock Register'!$H$7:$H$506,$L23))</f>
        <v/>
      </c>
      <c r="D23" s="76" t="str">
        <f aca="false">IF($L23="","",IF(INDEX('Stock Register'!$E$7:$E$506,$L23)="In",INDEX('Stock Register'!$F$7:$F$506,$L23),""))</f>
        <v/>
      </c>
      <c r="E23" s="77" t="str">
        <f aca="false">IF($L23="","",IF(INDEX('Stock Register'!$E$7:$E$506,$L23)="Out",INDEX('Stock Register'!$F$7:$F$506,$L23),""))</f>
        <v/>
      </c>
      <c r="F23" s="48" t="str">
        <f aca="false">IF($L23="","",INDEX('Stock Register'!$K$7:$K$506,$L23))</f>
        <v/>
      </c>
      <c r="G23" s="73" t="str">
        <f aca="false">IF($L23="","",INDEX('Stock Register'!$G$7:$G$506,$L23))</f>
        <v/>
      </c>
      <c r="H23" s="41" t="str">
        <f aca="false">IF(D23="","",IF($L23="","",INDEX('Stock Register'!$J$7:$J$506,$L23)))</f>
        <v/>
      </c>
      <c r="I23" s="41" t="str">
        <f aca="false">IF(E23="","",IF($L23="","",INDEX('Stock Register'!$J$7:$J$506,$L23)))</f>
        <v/>
      </c>
      <c r="K23" s="9" t="str">
        <f aca="false">IFERROR(SMALL('Stock Register'!$Q$7:$Q$506,12),"")</f>
        <v/>
      </c>
      <c r="L23" s="9" t="str">
        <f aca="false">IF(K23="","",MATCH(K23,'Stock Register'!$Q$7:$Q$506,0))</f>
        <v/>
      </c>
    </row>
    <row r="24" customFormat="false" ht="15" hidden="false" customHeight="false" outlineLevel="0" collapsed="false">
      <c r="A24" s="74" t="str">
        <f aca="false">IF($L24="","",INDEX('Stock Register'!$B$7:$B$506,$L24))</f>
        <v/>
      </c>
      <c r="B24" s="75" t="str">
        <f aca="false">IF($L24="","",INDEX('Stock Register'!$I$7:$I$506,$L24))</f>
        <v/>
      </c>
      <c r="C24" s="47" t="str">
        <f aca="false">IF($L24="","",INDEX('Stock Register'!$H$7:$H$506,$L24))</f>
        <v/>
      </c>
      <c r="D24" s="76" t="str">
        <f aca="false">IF($L24="","",IF(INDEX('Stock Register'!$E$7:$E$506,$L24)="In",INDEX('Stock Register'!$F$7:$F$506,$L24),""))</f>
        <v/>
      </c>
      <c r="E24" s="77" t="str">
        <f aca="false">IF($L24="","",IF(INDEX('Stock Register'!$E$7:$E$506,$L24)="Out",INDEX('Stock Register'!$F$7:$F$506,$L24),""))</f>
        <v/>
      </c>
      <c r="F24" s="48" t="str">
        <f aca="false">IF($L24="","",INDEX('Stock Register'!$K$7:$K$506,$L24))</f>
        <v/>
      </c>
      <c r="G24" s="73" t="str">
        <f aca="false">IF($L24="","",INDEX('Stock Register'!$G$7:$G$506,$L24))</f>
        <v/>
      </c>
      <c r="H24" s="41" t="str">
        <f aca="false">IF(D24="","",IF($L24="","",INDEX('Stock Register'!$J$7:$J$506,$L24)))</f>
        <v/>
      </c>
      <c r="I24" s="41" t="str">
        <f aca="false">IF(E24="","",IF($L24="","",INDEX('Stock Register'!$J$7:$J$506,$L24)))</f>
        <v/>
      </c>
      <c r="K24" s="9" t="str">
        <f aca="false">IFERROR(SMALL('Stock Register'!$Q$7:$Q$506,13),"")</f>
        <v/>
      </c>
      <c r="L24" s="9" t="str">
        <f aca="false">IF(K24="","",MATCH(K24,'Stock Register'!$Q$7:$Q$506,0))</f>
        <v/>
      </c>
    </row>
    <row r="25" customFormat="false" ht="15" hidden="false" customHeight="false" outlineLevel="0" collapsed="false">
      <c r="A25" s="74" t="str">
        <f aca="false">IF($L25="","",INDEX('Stock Register'!$B$7:$B$506,$L25))</f>
        <v/>
      </c>
      <c r="B25" s="75" t="str">
        <f aca="false">IF($L25="","",INDEX('Stock Register'!$I$7:$I$506,$L25))</f>
        <v/>
      </c>
      <c r="C25" s="47" t="str">
        <f aca="false">IF($L25="","",INDEX('Stock Register'!$H$7:$H$506,$L25))</f>
        <v/>
      </c>
      <c r="D25" s="76" t="str">
        <f aca="false">IF($L25="","",IF(INDEX('Stock Register'!$E$7:$E$506,$L25)="In",INDEX('Stock Register'!$F$7:$F$506,$L25),""))</f>
        <v/>
      </c>
      <c r="E25" s="77" t="str">
        <f aca="false">IF($L25="","",IF(INDEX('Stock Register'!$E$7:$E$506,$L25)="Out",INDEX('Stock Register'!$F$7:$F$506,$L25),""))</f>
        <v/>
      </c>
      <c r="F25" s="48" t="str">
        <f aca="false">IF($L25="","",INDEX('Stock Register'!$K$7:$K$506,$L25))</f>
        <v/>
      </c>
      <c r="G25" s="73" t="str">
        <f aca="false">IF($L25="","",INDEX('Stock Register'!$G$7:$G$506,$L25))</f>
        <v/>
      </c>
      <c r="H25" s="41" t="str">
        <f aca="false">IF(D25="","",IF($L25="","",INDEX('Stock Register'!$J$7:$J$506,$L25)))</f>
        <v/>
      </c>
      <c r="I25" s="41" t="str">
        <f aca="false">IF(E25="","",IF($L25="","",INDEX('Stock Register'!$J$7:$J$506,$L25)))</f>
        <v/>
      </c>
      <c r="K25" s="9" t="str">
        <f aca="false">IFERROR(SMALL('Stock Register'!$Q$7:$Q$506,14),"")</f>
        <v/>
      </c>
      <c r="L25" s="9" t="str">
        <f aca="false">IF(K25="","",MATCH(K25,'Stock Register'!$Q$7:$Q$506,0))</f>
        <v/>
      </c>
    </row>
    <row r="26" customFormat="false" ht="15" hidden="false" customHeight="false" outlineLevel="0" collapsed="false">
      <c r="A26" s="74" t="str">
        <f aca="false">IF($L26="","",INDEX('Stock Register'!$B$7:$B$506,$L26))</f>
        <v/>
      </c>
      <c r="B26" s="75" t="str">
        <f aca="false">IF($L26="","",INDEX('Stock Register'!$I$7:$I$506,$L26))</f>
        <v/>
      </c>
      <c r="C26" s="47" t="str">
        <f aca="false">IF($L26="","",INDEX('Stock Register'!$H$7:$H$506,$L26))</f>
        <v/>
      </c>
      <c r="D26" s="76" t="str">
        <f aca="false">IF($L26="","",IF(INDEX('Stock Register'!$E$7:$E$506,$L26)="In",INDEX('Stock Register'!$F$7:$F$506,$L26),""))</f>
        <v/>
      </c>
      <c r="E26" s="77" t="str">
        <f aca="false">IF($L26="","",IF(INDEX('Stock Register'!$E$7:$E$506,$L26)="Out",INDEX('Stock Register'!$F$7:$F$506,$L26),""))</f>
        <v/>
      </c>
      <c r="F26" s="48" t="str">
        <f aca="false">IF($L26="","",INDEX('Stock Register'!$K$7:$K$506,$L26))</f>
        <v/>
      </c>
      <c r="G26" s="73" t="str">
        <f aca="false">IF($L26="","",INDEX('Stock Register'!$G$7:$G$506,$L26))</f>
        <v/>
      </c>
      <c r="H26" s="41" t="str">
        <f aca="false">IF(D26="","",IF($L26="","",INDEX('Stock Register'!$J$7:$J$506,$L26)))</f>
        <v/>
      </c>
      <c r="I26" s="41" t="str">
        <f aca="false">IF(E26="","",IF($L26="","",INDEX('Stock Register'!$J$7:$J$506,$L26)))</f>
        <v/>
      </c>
      <c r="K26" s="9" t="str">
        <f aca="false">IFERROR(SMALL('Stock Register'!$Q$7:$Q$506,15),"")</f>
        <v/>
      </c>
      <c r="L26" s="9" t="str">
        <f aca="false">IF(K26="","",MATCH(K26,'Stock Register'!$Q$7:$Q$506,0))</f>
        <v/>
      </c>
    </row>
    <row r="27" customFormat="false" ht="15" hidden="false" customHeight="false" outlineLevel="0" collapsed="false">
      <c r="A27" s="74" t="str">
        <f aca="false">IF($L27="","",INDEX('Stock Register'!$B$7:$B$506,$L27))</f>
        <v/>
      </c>
      <c r="B27" s="75" t="str">
        <f aca="false">IF($L27="","",INDEX('Stock Register'!$I$7:$I$506,$L27))</f>
        <v/>
      </c>
      <c r="C27" s="47" t="str">
        <f aca="false">IF($L27="","",INDEX('Stock Register'!$H$7:$H$506,$L27))</f>
        <v/>
      </c>
      <c r="D27" s="76" t="str">
        <f aca="false">IF($L27="","",IF(INDEX('Stock Register'!$E$7:$E$506,$L27)="In",INDEX('Stock Register'!$F$7:$F$506,$L27),""))</f>
        <v/>
      </c>
      <c r="E27" s="77" t="str">
        <f aca="false">IF($L27="","",IF(INDEX('Stock Register'!$E$7:$E$506,$L27)="Out",INDEX('Stock Register'!$F$7:$F$506,$L27),""))</f>
        <v/>
      </c>
      <c r="F27" s="48" t="str">
        <f aca="false">IF($L27="","",INDEX('Stock Register'!$K$7:$K$506,$L27))</f>
        <v/>
      </c>
      <c r="G27" s="73" t="str">
        <f aca="false">IF($L27="","",INDEX('Stock Register'!$G$7:$G$506,$L27))</f>
        <v/>
      </c>
      <c r="H27" s="41" t="str">
        <f aca="false">IF(D27="","",IF($L27="","",INDEX('Stock Register'!$J$7:$J$506,$L27)))</f>
        <v/>
      </c>
      <c r="I27" s="41" t="str">
        <f aca="false">IF(E27="","",IF($L27="","",INDEX('Stock Register'!$J$7:$J$506,$L27)))</f>
        <v/>
      </c>
      <c r="K27" s="9" t="str">
        <f aca="false">IFERROR(SMALL('Stock Register'!$Q$7:$Q$506,16),"")</f>
        <v/>
      </c>
      <c r="L27" s="9" t="str">
        <f aca="false">IF(K27="","",MATCH(K27,'Stock Register'!$Q$7:$Q$506,0))</f>
        <v/>
      </c>
    </row>
    <row r="28" customFormat="false" ht="15" hidden="false" customHeight="false" outlineLevel="0" collapsed="false">
      <c r="A28" s="74" t="str">
        <f aca="false">IF($L28="","",INDEX('Stock Register'!$B$7:$B$506,$L28))</f>
        <v/>
      </c>
      <c r="B28" s="75" t="str">
        <f aca="false">IF($L28="","",INDEX('Stock Register'!$I$7:$I$506,$L28))</f>
        <v/>
      </c>
      <c r="C28" s="47" t="str">
        <f aca="false">IF($L28="","",INDEX('Stock Register'!$H$7:$H$506,$L28))</f>
        <v/>
      </c>
      <c r="D28" s="76" t="str">
        <f aca="false">IF($L28="","",IF(INDEX('Stock Register'!$E$7:$E$506,$L28)="In",INDEX('Stock Register'!$F$7:$F$506,$L28),""))</f>
        <v/>
      </c>
      <c r="E28" s="77" t="str">
        <f aca="false">IF($L28="","",IF(INDEX('Stock Register'!$E$7:$E$506,$L28)="Out",INDEX('Stock Register'!$F$7:$F$506,$L28),""))</f>
        <v/>
      </c>
      <c r="F28" s="48" t="str">
        <f aca="false">IF($L28="","",INDEX('Stock Register'!$K$7:$K$506,$L28))</f>
        <v/>
      </c>
      <c r="G28" s="73" t="str">
        <f aca="false">IF($L28="","",INDEX('Stock Register'!$G$7:$G$506,$L28))</f>
        <v/>
      </c>
      <c r="H28" s="41" t="str">
        <f aca="false">IF(D28="","",IF($L28="","",INDEX('Stock Register'!$J$7:$J$506,$L28)))</f>
        <v/>
      </c>
      <c r="I28" s="41" t="str">
        <f aca="false">IF(E28="","",IF($L28="","",INDEX('Stock Register'!$J$7:$J$506,$L28)))</f>
        <v/>
      </c>
      <c r="K28" s="9" t="str">
        <f aca="false">IFERROR(SMALL('Stock Register'!$Q$7:$Q$506,17),"")</f>
        <v/>
      </c>
      <c r="L28" s="9" t="str">
        <f aca="false">IF(K28="","",MATCH(K28,'Stock Register'!$Q$7:$Q$506,0))</f>
        <v/>
      </c>
    </row>
    <row r="29" customFormat="false" ht="15" hidden="false" customHeight="false" outlineLevel="0" collapsed="false">
      <c r="A29" s="74" t="str">
        <f aca="false">IF($L29="","",INDEX('Stock Register'!$B$7:$B$506,$L29))</f>
        <v/>
      </c>
      <c r="B29" s="75" t="str">
        <f aca="false">IF($L29="","",INDEX('Stock Register'!$I$7:$I$506,$L29))</f>
        <v/>
      </c>
      <c r="C29" s="47" t="str">
        <f aca="false">IF($L29="","",INDEX('Stock Register'!$H$7:$H$506,$L29))</f>
        <v/>
      </c>
      <c r="D29" s="76" t="str">
        <f aca="false">IF($L29="","",IF(INDEX('Stock Register'!$E$7:$E$506,$L29)="In",INDEX('Stock Register'!$F$7:$F$506,$L29),""))</f>
        <v/>
      </c>
      <c r="E29" s="77" t="str">
        <f aca="false">IF($L29="","",IF(INDEX('Stock Register'!$E$7:$E$506,$L29)="Out",INDEX('Stock Register'!$F$7:$F$506,$L29),""))</f>
        <v/>
      </c>
      <c r="F29" s="48" t="str">
        <f aca="false">IF($L29="","",INDEX('Stock Register'!$K$7:$K$506,$L29))</f>
        <v/>
      </c>
      <c r="G29" s="73" t="str">
        <f aca="false">IF($L29="","",INDEX('Stock Register'!$G$7:$G$506,$L29))</f>
        <v/>
      </c>
      <c r="H29" s="41" t="str">
        <f aca="false">IF(D29="","",IF($L29="","",INDEX('Stock Register'!$J$7:$J$506,$L29)))</f>
        <v/>
      </c>
      <c r="I29" s="41" t="str">
        <f aca="false">IF(E29="","",IF($L29="","",INDEX('Stock Register'!$J$7:$J$506,$L29)))</f>
        <v/>
      </c>
      <c r="K29" s="9" t="str">
        <f aca="false">IFERROR(SMALL('Stock Register'!$Q$7:$Q$506,18),"")</f>
        <v/>
      </c>
      <c r="L29" s="9" t="str">
        <f aca="false">IF(K29="","",MATCH(K29,'Stock Register'!$Q$7:$Q$506,0))</f>
        <v/>
      </c>
    </row>
    <row r="30" customFormat="false" ht="15" hidden="false" customHeight="false" outlineLevel="0" collapsed="false">
      <c r="A30" s="74" t="str">
        <f aca="false">IF($L30="","",INDEX('Stock Register'!$B$7:$B$506,$L30))</f>
        <v/>
      </c>
      <c r="B30" s="75" t="str">
        <f aca="false">IF($L30="","",INDEX('Stock Register'!$I$7:$I$506,$L30))</f>
        <v/>
      </c>
      <c r="C30" s="47" t="str">
        <f aca="false">IF($L30="","",INDEX('Stock Register'!$H$7:$H$506,$L30))</f>
        <v/>
      </c>
      <c r="D30" s="76" t="str">
        <f aca="false">IF($L30="","",IF(INDEX('Stock Register'!$E$7:$E$506,$L30)="In",INDEX('Stock Register'!$F$7:$F$506,$L30),""))</f>
        <v/>
      </c>
      <c r="E30" s="77" t="str">
        <f aca="false">IF($L30="","",IF(INDEX('Stock Register'!$E$7:$E$506,$L30)="Out",INDEX('Stock Register'!$F$7:$F$506,$L30),""))</f>
        <v/>
      </c>
      <c r="F30" s="48" t="str">
        <f aca="false">IF($L30="","",INDEX('Stock Register'!$K$7:$K$506,$L30))</f>
        <v/>
      </c>
      <c r="G30" s="73" t="str">
        <f aca="false">IF($L30="","",INDEX('Stock Register'!$G$7:$G$506,$L30))</f>
        <v/>
      </c>
      <c r="H30" s="41" t="str">
        <f aca="false">IF(D30="","",IF($L30="","",INDEX('Stock Register'!$J$7:$J$506,$L30)))</f>
        <v/>
      </c>
      <c r="I30" s="41" t="str">
        <f aca="false">IF(E30="","",IF($L30="","",INDEX('Stock Register'!$J$7:$J$506,$L30)))</f>
        <v/>
      </c>
      <c r="K30" s="9" t="str">
        <f aca="false">IFERROR(SMALL('Stock Register'!$Q$7:$Q$506,19),"")</f>
        <v/>
      </c>
      <c r="L30" s="9" t="str">
        <f aca="false">IF(K30="","",MATCH(K30,'Stock Register'!$Q$7:$Q$506,0))</f>
        <v/>
      </c>
    </row>
    <row r="31" customFormat="false" ht="15" hidden="false" customHeight="false" outlineLevel="0" collapsed="false">
      <c r="A31" s="74" t="str">
        <f aca="false">IF($L31="","",INDEX('Stock Register'!$B$7:$B$506,$L31))</f>
        <v/>
      </c>
      <c r="B31" s="75" t="str">
        <f aca="false">IF($L31="","",INDEX('Stock Register'!$I$7:$I$506,$L31))</f>
        <v/>
      </c>
      <c r="C31" s="47" t="str">
        <f aca="false">IF($L31="","",INDEX('Stock Register'!$H$7:$H$506,$L31))</f>
        <v/>
      </c>
      <c r="D31" s="76" t="str">
        <f aca="false">IF($L31="","",IF(INDEX('Stock Register'!$E$7:$E$506,$L31)="In",INDEX('Stock Register'!$F$7:$F$506,$L31),""))</f>
        <v/>
      </c>
      <c r="E31" s="77" t="str">
        <f aca="false">IF($L31="","",IF(INDEX('Stock Register'!$E$7:$E$506,$L31)="Out",INDEX('Stock Register'!$F$7:$F$506,$L31),""))</f>
        <v/>
      </c>
      <c r="F31" s="48" t="str">
        <f aca="false">IF($L31="","",INDEX('Stock Register'!$K$7:$K$506,$L31))</f>
        <v/>
      </c>
      <c r="G31" s="73" t="str">
        <f aca="false">IF($L31="","",INDEX('Stock Register'!$G$7:$G$506,$L31))</f>
        <v/>
      </c>
      <c r="H31" s="41" t="str">
        <f aca="false">IF(D31="","",IF($L31="","",INDEX('Stock Register'!$J$7:$J$506,$L31)))</f>
        <v/>
      </c>
      <c r="I31" s="41" t="str">
        <f aca="false">IF(E31="","",IF($L31="","",INDEX('Stock Register'!$J$7:$J$506,$L31)))</f>
        <v/>
      </c>
      <c r="K31" s="9" t="str">
        <f aca="false">IFERROR(SMALL('Stock Register'!$Q$7:$Q$506,20),"")</f>
        <v/>
      </c>
      <c r="L31" s="9" t="str">
        <f aca="false">IF(K31="","",MATCH(K31,'Stock Register'!$Q$7:$Q$506,0))</f>
        <v/>
      </c>
    </row>
    <row r="32" customFormat="false" ht="15" hidden="false" customHeight="false" outlineLevel="0" collapsed="false">
      <c r="A32" s="74" t="str">
        <f aca="false">IF($L32="","",INDEX('Stock Register'!$B$7:$B$506,$L32))</f>
        <v/>
      </c>
      <c r="B32" s="75" t="str">
        <f aca="false">IF($L32="","",INDEX('Stock Register'!$I$7:$I$506,$L32))</f>
        <v/>
      </c>
      <c r="C32" s="47" t="str">
        <f aca="false">IF($L32="","",INDEX('Stock Register'!$H$7:$H$506,$L32))</f>
        <v/>
      </c>
      <c r="D32" s="76" t="str">
        <f aca="false">IF($L32="","",IF(INDEX('Stock Register'!$E$7:$E$506,$L32)="In",INDEX('Stock Register'!$F$7:$F$506,$L32),""))</f>
        <v/>
      </c>
      <c r="E32" s="77" t="str">
        <f aca="false">IF($L32="","",IF(INDEX('Stock Register'!$E$7:$E$506,$L32)="Out",INDEX('Stock Register'!$F$7:$F$506,$L32),""))</f>
        <v/>
      </c>
      <c r="F32" s="48" t="str">
        <f aca="false">IF($L32="","",INDEX('Stock Register'!$K$7:$K$506,$L32))</f>
        <v/>
      </c>
      <c r="G32" s="73" t="str">
        <f aca="false">IF($L32="","",INDEX('Stock Register'!$G$7:$G$506,$L32))</f>
        <v/>
      </c>
      <c r="H32" s="41" t="str">
        <f aca="false">IF(D32="","",IF($L32="","",INDEX('Stock Register'!$J$7:$J$506,$L32)))</f>
        <v/>
      </c>
      <c r="I32" s="41" t="str">
        <f aca="false">IF(E32="","",IF($L32="","",INDEX('Stock Register'!$J$7:$J$506,$L32)))</f>
        <v/>
      </c>
      <c r="K32" s="9" t="str">
        <f aca="false">IFERROR(SMALL('Stock Register'!$Q$7:$Q$506,21),"")</f>
        <v/>
      </c>
      <c r="L32" s="9" t="str">
        <f aca="false">IF(K32="","",MATCH(K32,'Stock Register'!$Q$7:$Q$506,0))</f>
        <v/>
      </c>
    </row>
    <row r="33" customFormat="false" ht="15" hidden="false" customHeight="false" outlineLevel="0" collapsed="false">
      <c r="A33" s="74" t="str">
        <f aca="false">IF($L33="","",INDEX('Stock Register'!$B$7:$B$506,$L33))</f>
        <v/>
      </c>
      <c r="B33" s="75" t="str">
        <f aca="false">IF($L33="","",INDEX('Stock Register'!$I$7:$I$506,$L33))</f>
        <v/>
      </c>
      <c r="C33" s="47" t="str">
        <f aca="false">IF($L33="","",INDEX('Stock Register'!$H$7:$H$506,$L33))</f>
        <v/>
      </c>
      <c r="D33" s="76" t="str">
        <f aca="false">IF($L33="","",IF(INDEX('Stock Register'!$E$7:$E$506,$L33)="In",INDEX('Stock Register'!$F$7:$F$506,$L33),""))</f>
        <v/>
      </c>
      <c r="E33" s="77" t="str">
        <f aca="false">IF($L33="","",IF(INDEX('Stock Register'!$E$7:$E$506,$L33)="Out",INDEX('Stock Register'!$F$7:$F$506,$L33),""))</f>
        <v/>
      </c>
      <c r="F33" s="48" t="str">
        <f aca="false">IF($L33="","",INDEX('Stock Register'!$K$7:$K$506,$L33))</f>
        <v/>
      </c>
      <c r="G33" s="73" t="str">
        <f aca="false">IF($L33="","",INDEX('Stock Register'!$G$7:$G$506,$L33))</f>
        <v/>
      </c>
      <c r="H33" s="41" t="str">
        <f aca="false">IF(D33="","",IF($L33="","",INDEX('Stock Register'!$J$7:$J$506,$L33)))</f>
        <v/>
      </c>
      <c r="I33" s="41" t="str">
        <f aca="false">IF(E33="","",IF($L33="","",INDEX('Stock Register'!$J$7:$J$506,$L33)))</f>
        <v/>
      </c>
      <c r="K33" s="9" t="str">
        <f aca="false">IFERROR(SMALL('Stock Register'!$Q$7:$Q$506,22),"")</f>
        <v/>
      </c>
      <c r="L33" s="9" t="str">
        <f aca="false">IF(K33="","",MATCH(K33,'Stock Register'!$Q$7:$Q$506,0))</f>
        <v/>
      </c>
    </row>
    <row r="34" customFormat="false" ht="15" hidden="false" customHeight="false" outlineLevel="0" collapsed="false">
      <c r="A34" s="74" t="str">
        <f aca="false">IF($L34="","",INDEX('Stock Register'!$B$7:$B$506,$L34))</f>
        <v/>
      </c>
      <c r="B34" s="75" t="str">
        <f aca="false">IF($L34="","",INDEX('Stock Register'!$I$7:$I$506,$L34))</f>
        <v/>
      </c>
      <c r="C34" s="47" t="str">
        <f aca="false">IF($L34="","",INDEX('Stock Register'!$H$7:$H$506,$L34))</f>
        <v/>
      </c>
      <c r="D34" s="76" t="str">
        <f aca="false">IF($L34="","",IF(INDEX('Stock Register'!$E$7:$E$506,$L34)="In",INDEX('Stock Register'!$F$7:$F$506,$L34),""))</f>
        <v/>
      </c>
      <c r="E34" s="77" t="str">
        <f aca="false">IF($L34="","",IF(INDEX('Stock Register'!$E$7:$E$506,$L34)="Out",INDEX('Stock Register'!$F$7:$F$506,$L34),""))</f>
        <v/>
      </c>
      <c r="F34" s="48" t="str">
        <f aca="false">IF($L34="","",INDEX('Stock Register'!$K$7:$K$506,$L34))</f>
        <v/>
      </c>
      <c r="G34" s="73" t="str">
        <f aca="false">IF($L34="","",INDEX('Stock Register'!$G$7:$G$506,$L34))</f>
        <v/>
      </c>
      <c r="H34" s="41" t="str">
        <f aca="false">IF(D34="","",IF($L34="","",INDEX('Stock Register'!$J$7:$J$506,$L34)))</f>
        <v/>
      </c>
      <c r="I34" s="41" t="str">
        <f aca="false">IF(E34="","",IF($L34="","",INDEX('Stock Register'!$J$7:$J$506,$L34)))</f>
        <v/>
      </c>
      <c r="K34" s="9" t="str">
        <f aca="false">IFERROR(SMALL('Stock Register'!$Q$7:$Q$506,23),"")</f>
        <v/>
      </c>
      <c r="L34" s="9" t="str">
        <f aca="false">IF(K34="","",MATCH(K34,'Stock Register'!$Q$7:$Q$506,0))</f>
        <v/>
      </c>
    </row>
    <row r="35" customFormat="false" ht="15" hidden="false" customHeight="false" outlineLevel="0" collapsed="false">
      <c r="A35" s="74" t="str">
        <f aca="false">IF($L35="","",INDEX('Stock Register'!$B$7:$B$506,$L35))</f>
        <v/>
      </c>
      <c r="B35" s="75" t="str">
        <f aca="false">IF($L35="","",INDEX('Stock Register'!$I$7:$I$506,$L35))</f>
        <v/>
      </c>
      <c r="C35" s="47" t="str">
        <f aca="false">IF($L35="","",INDEX('Stock Register'!$H$7:$H$506,$L35))</f>
        <v/>
      </c>
      <c r="D35" s="76" t="str">
        <f aca="false">IF($L35="","",IF(INDEX('Stock Register'!$E$7:$E$506,$L35)="In",INDEX('Stock Register'!$F$7:$F$506,$L35),""))</f>
        <v/>
      </c>
      <c r="E35" s="77" t="str">
        <f aca="false">IF($L35="","",IF(INDEX('Stock Register'!$E$7:$E$506,$L35)="Out",INDEX('Stock Register'!$F$7:$F$506,$L35),""))</f>
        <v/>
      </c>
      <c r="F35" s="48" t="str">
        <f aca="false">IF($L35="","",INDEX('Stock Register'!$K$7:$K$506,$L35))</f>
        <v/>
      </c>
      <c r="G35" s="73" t="str">
        <f aca="false">IF($L35="","",INDEX('Stock Register'!$G$7:$G$506,$L35))</f>
        <v/>
      </c>
      <c r="H35" s="41" t="str">
        <f aca="false">IF(D35="","",IF($L35="","",INDEX('Stock Register'!$J$7:$J$506,$L35)))</f>
        <v/>
      </c>
      <c r="I35" s="41" t="str">
        <f aca="false">IF(E35="","",IF($L35="","",INDEX('Stock Register'!$J$7:$J$506,$L35)))</f>
        <v/>
      </c>
      <c r="K35" s="9" t="str">
        <f aca="false">IFERROR(SMALL('Stock Register'!$Q$7:$Q$506,24),"")</f>
        <v/>
      </c>
      <c r="L35" s="9" t="str">
        <f aca="false">IF(K35="","",MATCH(K35,'Stock Register'!$Q$7:$Q$506,0))</f>
        <v/>
      </c>
    </row>
    <row r="36" customFormat="false" ht="15" hidden="false" customHeight="false" outlineLevel="0" collapsed="false">
      <c r="A36" s="74" t="str">
        <f aca="false">IF($L36="","",INDEX('Stock Register'!$B$7:$B$506,$L36))</f>
        <v/>
      </c>
      <c r="B36" s="75" t="str">
        <f aca="false">IF($L36="","",INDEX('Stock Register'!$I$7:$I$506,$L36))</f>
        <v/>
      </c>
      <c r="C36" s="47" t="str">
        <f aca="false">IF($L36="","",INDEX('Stock Register'!$H$7:$H$506,$L36))</f>
        <v/>
      </c>
      <c r="D36" s="76" t="str">
        <f aca="false">IF($L36="","",IF(INDEX('Stock Register'!$E$7:$E$506,$L36)="In",INDEX('Stock Register'!$F$7:$F$506,$L36),""))</f>
        <v/>
      </c>
      <c r="E36" s="77" t="str">
        <f aca="false">IF($L36="","",IF(INDEX('Stock Register'!$E$7:$E$506,$L36)="Out",INDEX('Stock Register'!$F$7:$F$506,$L36),""))</f>
        <v/>
      </c>
      <c r="F36" s="48" t="str">
        <f aca="false">IF($L36="","",INDEX('Stock Register'!$K$7:$K$506,$L36))</f>
        <v/>
      </c>
      <c r="G36" s="73" t="str">
        <f aca="false">IF($L36="","",INDEX('Stock Register'!$G$7:$G$506,$L36))</f>
        <v/>
      </c>
      <c r="H36" s="41" t="str">
        <f aca="false">IF(D36="","",IF($L36="","",INDEX('Stock Register'!$J$7:$J$506,$L36)))</f>
        <v/>
      </c>
      <c r="I36" s="41" t="str">
        <f aca="false">IF(E36="","",IF($L36="","",INDEX('Stock Register'!$J$7:$J$506,$L36)))</f>
        <v/>
      </c>
      <c r="K36" s="9" t="str">
        <f aca="false">IFERROR(SMALL('Stock Register'!$Q$7:$Q$506,25),"")</f>
        <v/>
      </c>
      <c r="L36" s="9" t="str">
        <f aca="false">IF(K36="","",MATCH(K36,'Stock Register'!$Q$7:$Q$506,0))</f>
        <v/>
      </c>
    </row>
    <row r="37" customFormat="false" ht="15" hidden="false" customHeight="false" outlineLevel="0" collapsed="false">
      <c r="A37" s="74" t="str">
        <f aca="false">IF($L37="","",INDEX('Stock Register'!$B$7:$B$506,$L37))</f>
        <v/>
      </c>
      <c r="B37" s="75" t="str">
        <f aca="false">IF($L37="","",INDEX('Stock Register'!$I$7:$I$506,$L37))</f>
        <v/>
      </c>
      <c r="C37" s="47" t="str">
        <f aca="false">IF($L37="","",INDEX('Stock Register'!$H$7:$H$506,$L37))</f>
        <v/>
      </c>
      <c r="D37" s="76" t="str">
        <f aca="false">IF($L37="","",IF(INDEX('Stock Register'!$E$7:$E$506,$L37)="In",INDEX('Stock Register'!$F$7:$F$506,$L37),""))</f>
        <v/>
      </c>
      <c r="E37" s="77" t="str">
        <f aca="false">IF($L37="","",IF(INDEX('Stock Register'!$E$7:$E$506,$L37)="Out",INDEX('Stock Register'!$F$7:$F$506,$L37),""))</f>
        <v/>
      </c>
      <c r="F37" s="48" t="str">
        <f aca="false">IF($L37="","",INDEX('Stock Register'!$K$7:$K$506,$L37))</f>
        <v/>
      </c>
      <c r="G37" s="73" t="str">
        <f aca="false">IF($L37="","",INDEX('Stock Register'!$G$7:$G$506,$L37))</f>
        <v/>
      </c>
      <c r="H37" s="41" t="str">
        <f aca="false">IF(D37="","",IF($L37="","",INDEX('Stock Register'!$J$7:$J$506,$L37)))</f>
        <v/>
      </c>
      <c r="I37" s="41" t="str">
        <f aca="false">IF(E37="","",IF($L37="","",INDEX('Stock Register'!$J$7:$J$506,$L37)))</f>
        <v/>
      </c>
      <c r="K37" s="9" t="str">
        <f aca="false">IFERROR(SMALL('Stock Register'!$Q$7:$Q$506,26),"")</f>
        <v/>
      </c>
      <c r="L37" s="9" t="str">
        <f aca="false">IF(K37="","",MATCH(K37,'Stock Register'!$Q$7:$Q$506,0))</f>
        <v/>
      </c>
    </row>
    <row r="38" customFormat="false" ht="15" hidden="false" customHeight="false" outlineLevel="0" collapsed="false">
      <c r="A38" s="74" t="str">
        <f aca="false">IF($L38="","",INDEX('Stock Register'!$B$7:$B$506,$L38))</f>
        <v/>
      </c>
      <c r="B38" s="75" t="str">
        <f aca="false">IF($L38="","",INDEX('Stock Register'!$I$7:$I$506,$L38))</f>
        <v/>
      </c>
      <c r="C38" s="47" t="str">
        <f aca="false">IF($L38="","",INDEX('Stock Register'!$H$7:$H$506,$L38))</f>
        <v/>
      </c>
      <c r="D38" s="76" t="str">
        <f aca="false">IF($L38="","",IF(INDEX('Stock Register'!$E$7:$E$506,$L38)="In",INDEX('Stock Register'!$F$7:$F$506,$L38),""))</f>
        <v/>
      </c>
      <c r="E38" s="77" t="str">
        <f aca="false">IF($L38="","",IF(INDEX('Stock Register'!$E$7:$E$506,$L38)="Out",INDEX('Stock Register'!$F$7:$F$506,$L38),""))</f>
        <v/>
      </c>
      <c r="F38" s="48" t="str">
        <f aca="false">IF($L38="","",INDEX('Stock Register'!$K$7:$K$506,$L38))</f>
        <v/>
      </c>
      <c r="G38" s="73" t="str">
        <f aca="false">IF($L38="","",INDEX('Stock Register'!$G$7:$G$506,$L38))</f>
        <v/>
      </c>
      <c r="H38" s="41" t="str">
        <f aca="false">IF(D38="","",IF($L38="","",INDEX('Stock Register'!$J$7:$J$506,$L38)))</f>
        <v/>
      </c>
      <c r="I38" s="41" t="str">
        <f aca="false">IF(E38="","",IF($L38="","",INDEX('Stock Register'!$J$7:$J$506,$L38)))</f>
        <v/>
      </c>
      <c r="K38" s="9" t="str">
        <f aca="false">IFERROR(SMALL('Stock Register'!$Q$7:$Q$506,27),"")</f>
        <v/>
      </c>
      <c r="L38" s="9" t="str">
        <f aca="false">IF(K38="","",MATCH(K38,'Stock Register'!$Q$7:$Q$506,0))</f>
        <v/>
      </c>
    </row>
    <row r="39" customFormat="false" ht="15" hidden="false" customHeight="false" outlineLevel="0" collapsed="false">
      <c r="A39" s="74" t="str">
        <f aca="false">IF($L39="","",INDEX('Stock Register'!$B$7:$B$506,$L39))</f>
        <v/>
      </c>
      <c r="B39" s="75" t="str">
        <f aca="false">IF($L39="","",INDEX('Stock Register'!$I$7:$I$506,$L39))</f>
        <v/>
      </c>
      <c r="C39" s="47" t="str">
        <f aca="false">IF($L39="","",INDEX('Stock Register'!$H$7:$H$506,$L39))</f>
        <v/>
      </c>
      <c r="D39" s="76" t="str">
        <f aca="false">IF($L39="","",IF(INDEX('Stock Register'!$E$7:$E$506,$L39)="In",INDEX('Stock Register'!$F$7:$F$506,$L39),""))</f>
        <v/>
      </c>
      <c r="E39" s="77" t="str">
        <f aca="false">IF($L39="","",IF(INDEX('Stock Register'!$E$7:$E$506,$L39)="Out",INDEX('Stock Register'!$F$7:$F$506,$L39),""))</f>
        <v/>
      </c>
      <c r="F39" s="48" t="str">
        <f aca="false">IF($L39="","",INDEX('Stock Register'!$K$7:$K$506,$L39))</f>
        <v/>
      </c>
      <c r="G39" s="73" t="str">
        <f aca="false">IF($L39="","",INDEX('Stock Register'!$G$7:$G$506,$L39))</f>
        <v/>
      </c>
      <c r="H39" s="41" t="str">
        <f aca="false">IF(D39="","",IF($L39="","",INDEX('Stock Register'!$J$7:$J$506,$L39)))</f>
        <v/>
      </c>
      <c r="I39" s="41" t="str">
        <f aca="false">IF(E39="","",IF($L39="","",INDEX('Stock Register'!$J$7:$J$506,$L39)))</f>
        <v/>
      </c>
      <c r="K39" s="9" t="str">
        <f aca="false">IFERROR(SMALL('Stock Register'!$Q$7:$Q$506,28),"")</f>
        <v/>
      </c>
      <c r="L39" s="9" t="str">
        <f aca="false">IF(K39="","",MATCH(K39,'Stock Register'!$Q$7:$Q$506,0))</f>
        <v/>
      </c>
    </row>
    <row r="40" customFormat="false" ht="15" hidden="false" customHeight="false" outlineLevel="0" collapsed="false">
      <c r="A40" s="74" t="str">
        <f aca="false">IF($L40="","",INDEX('Stock Register'!$B$7:$B$506,$L40))</f>
        <v/>
      </c>
      <c r="B40" s="75" t="str">
        <f aca="false">IF($L40="","",INDEX('Stock Register'!$I$7:$I$506,$L40))</f>
        <v/>
      </c>
      <c r="C40" s="47" t="str">
        <f aca="false">IF($L40="","",INDEX('Stock Register'!$H$7:$H$506,$L40))</f>
        <v/>
      </c>
      <c r="D40" s="76" t="str">
        <f aca="false">IF($L40="","",IF(INDEX('Stock Register'!$E$7:$E$506,$L40)="In",INDEX('Stock Register'!$F$7:$F$506,$L40),""))</f>
        <v/>
      </c>
      <c r="E40" s="77" t="str">
        <f aca="false">IF($L40="","",IF(INDEX('Stock Register'!$E$7:$E$506,$L40)="Out",INDEX('Stock Register'!$F$7:$F$506,$L40),""))</f>
        <v/>
      </c>
      <c r="F40" s="48" t="str">
        <f aca="false">IF($L40="","",INDEX('Stock Register'!$K$7:$K$506,$L40))</f>
        <v/>
      </c>
      <c r="G40" s="73" t="str">
        <f aca="false">IF($L40="","",INDEX('Stock Register'!$G$7:$G$506,$L40))</f>
        <v/>
      </c>
      <c r="H40" s="41" t="str">
        <f aca="false">IF(D40="","",IF($L40="","",INDEX('Stock Register'!$J$7:$J$506,$L40)))</f>
        <v/>
      </c>
      <c r="I40" s="41" t="str">
        <f aca="false">IF(E40="","",IF($L40="","",INDEX('Stock Register'!$J$7:$J$506,$L40)))</f>
        <v/>
      </c>
      <c r="K40" s="9" t="str">
        <f aca="false">IFERROR(SMALL('Stock Register'!$Q$7:$Q$506,29),"")</f>
        <v/>
      </c>
      <c r="L40" s="9" t="str">
        <f aca="false">IF(K40="","",MATCH(K40,'Stock Register'!$Q$7:$Q$506,0))</f>
        <v/>
      </c>
    </row>
    <row r="41" customFormat="false" ht="15" hidden="false" customHeight="false" outlineLevel="0" collapsed="false">
      <c r="A41" s="74" t="str">
        <f aca="false">IF($L41="","",INDEX('Stock Register'!$B$7:$B$506,$L41))</f>
        <v/>
      </c>
      <c r="B41" s="75" t="str">
        <f aca="false">IF($L41="","",INDEX('Stock Register'!$I$7:$I$506,$L41))</f>
        <v/>
      </c>
      <c r="C41" s="47" t="str">
        <f aca="false">IF($L41="","",INDEX('Stock Register'!$H$7:$H$506,$L41))</f>
        <v/>
      </c>
      <c r="D41" s="76" t="str">
        <f aca="false">IF($L41="","",IF(INDEX('Stock Register'!$E$7:$E$506,$L41)="In",INDEX('Stock Register'!$F$7:$F$506,$L41),""))</f>
        <v/>
      </c>
      <c r="E41" s="77" t="str">
        <f aca="false">IF($L41="","",IF(INDEX('Stock Register'!$E$7:$E$506,$L41)="Out",INDEX('Stock Register'!$F$7:$F$506,$L41),""))</f>
        <v/>
      </c>
      <c r="F41" s="48" t="str">
        <f aca="false">IF($L41="","",INDEX('Stock Register'!$K$7:$K$506,$L41))</f>
        <v/>
      </c>
      <c r="G41" s="73" t="str">
        <f aca="false">IF($L41="","",INDEX('Stock Register'!$G$7:$G$506,$L41))</f>
        <v/>
      </c>
      <c r="H41" s="41" t="str">
        <f aca="false">IF(D41="","",IF($L41="","",INDEX('Stock Register'!$J$7:$J$506,$L41)))</f>
        <v/>
      </c>
      <c r="I41" s="41" t="str">
        <f aca="false">IF(E41="","",IF($L41="","",INDEX('Stock Register'!$J$7:$J$506,$L41)))</f>
        <v/>
      </c>
      <c r="K41" s="9" t="str">
        <f aca="false">IFERROR(SMALL('Stock Register'!$Q$7:$Q$506,30),"")</f>
        <v/>
      </c>
      <c r="L41" s="9" t="str">
        <f aca="false">IF(K41="","",MATCH(K41,'Stock Register'!$Q$7:$Q$506,0))</f>
        <v/>
      </c>
    </row>
    <row r="42" customFormat="false" ht="15" hidden="false" customHeight="false" outlineLevel="0" collapsed="false">
      <c r="A42" s="74" t="str">
        <f aca="false">IF($L42="","",INDEX('Stock Register'!$B$7:$B$506,$L42))</f>
        <v/>
      </c>
      <c r="B42" s="75" t="str">
        <f aca="false">IF($L42="","",INDEX('Stock Register'!$I$7:$I$506,$L42))</f>
        <v/>
      </c>
      <c r="C42" s="47" t="str">
        <f aca="false">IF($L42="","",INDEX('Stock Register'!$H$7:$H$506,$L42))</f>
        <v/>
      </c>
      <c r="D42" s="76" t="str">
        <f aca="false">IF($L42="","",IF(INDEX('Stock Register'!$E$7:$E$506,$L42)="In",INDEX('Stock Register'!$F$7:$F$506,$L42),""))</f>
        <v/>
      </c>
      <c r="E42" s="77" t="str">
        <f aca="false">IF($L42="","",IF(INDEX('Stock Register'!$E$7:$E$506,$L42)="Out",INDEX('Stock Register'!$F$7:$F$506,$L42),""))</f>
        <v/>
      </c>
      <c r="F42" s="48" t="str">
        <f aca="false">IF($L42="","",INDEX('Stock Register'!$K$7:$K$506,$L42))</f>
        <v/>
      </c>
      <c r="G42" s="73" t="str">
        <f aca="false">IF($L42="","",INDEX('Stock Register'!$G$7:$G$506,$L42))</f>
        <v/>
      </c>
      <c r="H42" s="41" t="str">
        <f aca="false">IF(D42="","",IF($L42="","",INDEX('Stock Register'!$J$7:$J$506,$L42)))</f>
        <v/>
      </c>
      <c r="I42" s="41" t="str">
        <f aca="false">IF(E42="","",IF($L42="","",INDEX('Stock Register'!$J$7:$J$506,$L42)))</f>
        <v/>
      </c>
      <c r="K42" s="9" t="str">
        <f aca="false">IFERROR(SMALL('Stock Register'!$Q$7:$Q$506,31),"")</f>
        <v/>
      </c>
      <c r="L42" s="9" t="str">
        <f aca="false">IF(K42="","",MATCH(K42,'Stock Register'!$Q$7:$Q$506,0))</f>
        <v/>
      </c>
    </row>
    <row r="43" customFormat="false" ht="15" hidden="false" customHeight="false" outlineLevel="0" collapsed="false">
      <c r="A43" s="74" t="str">
        <f aca="false">IF($L43="","",INDEX('Stock Register'!$B$7:$B$506,$L43))</f>
        <v/>
      </c>
      <c r="B43" s="75" t="str">
        <f aca="false">IF($L43="","",INDEX('Stock Register'!$I$7:$I$506,$L43))</f>
        <v/>
      </c>
      <c r="C43" s="47" t="str">
        <f aca="false">IF($L43="","",INDEX('Stock Register'!$H$7:$H$506,$L43))</f>
        <v/>
      </c>
      <c r="D43" s="76" t="str">
        <f aca="false">IF($L43="","",IF(INDEX('Stock Register'!$E$7:$E$506,$L43)="In",INDEX('Stock Register'!$F$7:$F$506,$L43),""))</f>
        <v/>
      </c>
      <c r="E43" s="77" t="str">
        <f aca="false">IF($L43="","",IF(INDEX('Stock Register'!$E$7:$E$506,$L43)="Out",INDEX('Stock Register'!$F$7:$F$506,$L43),""))</f>
        <v/>
      </c>
      <c r="F43" s="48" t="str">
        <f aca="false">IF($L43="","",INDEX('Stock Register'!$K$7:$K$506,$L43))</f>
        <v/>
      </c>
      <c r="G43" s="73" t="str">
        <f aca="false">IF($L43="","",INDEX('Stock Register'!$G$7:$G$506,$L43))</f>
        <v/>
      </c>
      <c r="H43" s="41" t="str">
        <f aca="false">IF(D43="","",IF($L43="","",INDEX('Stock Register'!$J$7:$J$506,$L43)))</f>
        <v/>
      </c>
      <c r="I43" s="41" t="str">
        <f aca="false">IF(E43="","",IF($L43="","",INDEX('Stock Register'!$J$7:$J$506,$L43)))</f>
        <v/>
      </c>
      <c r="K43" s="9" t="str">
        <f aca="false">IFERROR(SMALL('Stock Register'!$Q$7:$Q$506,32),"")</f>
        <v/>
      </c>
      <c r="L43" s="9" t="str">
        <f aca="false">IF(K43="","",MATCH(K43,'Stock Register'!$Q$7:$Q$506,0))</f>
        <v/>
      </c>
    </row>
    <row r="44" customFormat="false" ht="15" hidden="false" customHeight="false" outlineLevel="0" collapsed="false">
      <c r="A44" s="74" t="str">
        <f aca="false">IF($L44="","",INDEX('Stock Register'!$B$7:$B$506,$L44))</f>
        <v/>
      </c>
      <c r="B44" s="75" t="str">
        <f aca="false">IF($L44="","",INDEX('Stock Register'!$I$7:$I$506,$L44))</f>
        <v/>
      </c>
      <c r="C44" s="47" t="str">
        <f aca="false">IF($L44="","",INDEX('Stock Register'!$H$7:$H$506,$L44))</f>
        <v/>
      </c>
      <c r="D44" s="76" t="str">
        <f aca="false">IF($L44="","",IF(INDEX('Stock Register'!$E$7:$E$506,$L44)="In",INDEX('Stock Register'!$F$7:$F$506,$L44),""))</f>
        <v/>
      </c>
      <c r="E44" s="77" t="str">
        <f aca="false">IF($L44="","",IF(INDEX('Stock Register'!$E$7:$E$506,$L44)="Out",INDEX('Stock Register'!$F$7:$F$506,$L44),""))</f>
        <v/>
      </c>
      <c r="F44" s="48" t="str">
        <f aca="false">IF($L44="","",INDEX('Stock Register'!$K$7:$K$506,$L44))</f>
        <v/>
      </c>
      <c r="G44" s="73" t="str">
        <f aca="false">IF($L44="","",INDEX('Stock Register'!$G$7:$G$506,$L44))</f>
        <v/>
      </c>
      <c r="H44" s="41" t="str">
        <f aca="false">IF(D44="","",IF($L44="","",INDEX('Stock Register'!$J$7:$J$506,$L44)))</f>
        <v/>
      </c>
      <c r="I44" s="41" t="str">
        <f aca="false">IF(E44="","",IF($L44="","",INDEX('Stock Register'!$J$7:$J$506,$L44)))</f>
        <v/>
      </c>
      <c r="K44" s="9" t="str">
        <f aca="false">IFERROR(SMALL('Stock Register'!$Q$7:$Q$506,33),"")</f>
        <v/>
      </c>
      <c r="L44" s="9" t="str">
        <f aca="false">IF(K44="","",MATCH(K44,'Stock Register'!$Q$7:$Q$506,0))</f>
        <v/>
      </c>
    </row>
    <row r="45" customFormat="false" ht="15" hidden="false" customHeight="false" outlineLevel="0" collapsed="false">
      <c r="A45" s="74" t="str">
        <f aca="false">IF($L45="","",INDEX('Stock Register'!$B$7:$B$506,$L45))</f>
        <v/>
      </c>
      <c r="B45" s="75" t="str">
        <f aca="false">IF($L45="","",INDEX('Stock Register'!$I$7:$I$506,$L45))</f>
        <v/>
      </c>
      <c r="C45" s="47" t="str">
        <f aca="false">IF($L45="","",INDEX('Stock Register'!$H$7:$H$506,$L45))</f>
        <v/>
      </c>
      <c r="D45" s="76" t="str">
        <f aca="false">IF($L45="","",IF(INDEX('Stock Register'!$E$7:$E$506,$L45)="In",INDEX('Stock Register'!$F$7:$F$506,$L45),""))</f>
        <v/>
      </c>
      <c r="E45" s="77" t="str">
        <f aca="false">IF($L45="","",IF(INDEX('Stock Register'!$E$7:$E$506,$L45)="Out",INDEX('Stock Register'!$F$7:$F$506,$L45),""))</f>
        <v/>
      </c>
      <c r="F45" s="48" t="str">
        <f aca="false">IF($L45="","",INDEX('Stock Register'!$K$7:$K$506,$L45))</f>
        <v/>
      </c>
      <c r="G45" s="73" t="str">
        <f aca="false">IF($L45="","",INDEX('Stock Register'!$G$7:$G$506,$L45))</f>
        <v/>
      </c>
      <c r="H45" s="41" t="str">
        <f aca="false">IF(D45="","",IF($L45="","",INDEX('Stock Register'!$J$7:$J$506,$L45)))</f>
        <v/>
      </c>
      <c r="I45" s="41" t="str">
        <f aca="false">IF(E45="","",IF($L45="","",INDEX('Stock Register'!$J$7:$J$506,$L45)))</f>
        <v/>
      </c>
      <c r="K45" s="9" t="str">
        <f aca="false">IFERROR(SMALL('Stock Register'!$Q$7:$Q$506,34),"")</f>
        <v/>
      </c>
      <c r="L45" s="9" t="str">
        <f aca="false">IF(K45="","",MATCH(K45,'Stock Register'!$Q$7:$Q$506,0))</f>
        <v/>
      </c>
    </row>
    <row r="46" customFormat="false" ht="15" hidden="false" customHeight="false" outlineLevel="0" collapsed="false">
      <c r="A46" s="74" t="str">
        <f aca="false">IF($L46="","",INDEX('Stock Register'!$B$7:$B$506,$L46))</f>
        <v/>
      </c>
      <c r="B46" s="75" t="str">
        <f aca="false">IF($L46="","",INDEX('Stock Register'!$I$7:$I$506,$L46))</f>
        <v/>
      </c>
      <c r="C46" s="47" t="str">
        <f aca="false">IF($L46="","",INDEX('Stock Register'!$H$7:$H$506,$L46))</f>
        <v/>
      </c>
      <c r="D46" s="76" t="str">
        <f aca="false">IF($L46="","",IF(INDEX('Stock Register'!$E$7:$E$506,$L46)="In",INDEX('Stock Register'!$F$7:$F$506,$L46),""))</f>
        <v/>
      </c>
      <c r="E46" s="77" t="str">
        <f aca="false">IF($L46="","",IF(INDEX('Stock Register'!$E$7:$E$506,$L46)="Out",INDEX('Stock Register'!$F$7:$F$506,$L46),""))</f>
        <v/>
      </c>
      <c r="F46" s="48" t="str">
        <f aca="false">IF($L46="","",INDEX('Stock Register'!$K$7:$K$506,$L46))</f>
        <v/>
      </c>
      <c r="G46" s="73" t="str">
        <f aca="false">IF($L46="","",INDEX('Stock Register'!$G$7:$G$506,$L46))</f>
        <v/>
      </c>
      <c r="H46" s="41" t="str">
        <f aca="false">IF(D46="","",IF($L46="","",INDEX('Stock Register'!$J$7:$J$506,$L46)))</f>
        <v/>
      </c>
      <c r="I46" s="41" t="str">
        <f aca="false">IF(E46="","",IF($L46="","",INDEX('Stock Register'!$J$7:$J$506,$L46)))</f>
        <v/>
      </c>
      <c r="K46" s="9" t="str">
        <f aca="false">IFERROR(SMALL('Stock Register'!$Q$7:$Q$506,35),"")</f>
        <v/>
      </c>
      <c r="L46" s="9" t="str">
        <f aca="false">IF(K46="","",MATCH(K46,'Stock Register'!$Q$7:$Q$506,0))</f>
        <v/>
      </c>
    </row>
    <row r="47" customFormat="false" ht="15" hidden="false" customHeight="false" outlineLevel="0" collapsed="false">
      <c r="A47" s="74" t="str">
        <f aca="false">IF($L47="","",INDEX('Stock Register'!$B$7:$B$506,$L47))</f>
        <v/>
      </c>
      <c r="B47" s="75" t="str">
        <f aca="false">IF($L47="","",INDEX('Stock Register'!$I$7:$I$506,$L47))</f>
        <v/>
      </c>
      <c r="C47" s="47" t="str">
        <f aca="false">IF($L47="","",INDEX('Stock Register'!$H$7:$H$506,$L47))</f>
        <v/>
      </c>
      <c r="D47" s="76" t="str">
        <f aca="false">IF($L47="","",IF(INDEX('Stock Register'!$E$7:$E$506,$L47)="In",INDEX('Stock Register'!$F$7:$F$506,$L47),""))</f>
        <v/>
      </c>
      <c r="E47" s="77" t="str">
        <f aca="false">IF($L47="","",IF(INDEX('Stock Register'!$E$7:$E$506,$L47)="Out",INDEX('Stock Register'!$F$7:$F$506,$L47),""))</f>
        <v/>
      </c>
      <c r="F47" s="48" t="str">
        <f aca="false">IF($L47="","",INDEX('Stock Register'!$K$7:$K$506,$L47))</f>
        <v/>
      </c>
      <c r="G47" s="73" t="str">
        <f aca="false">IF($L47="","",INDEX('Stock Register'!$G$7:$G$506,$L47))</f>
        <v/>
      </c>
      <c r="H47" s="41" t="str">
        <f aca="false">IF(D47="","",IF($L47="","",INDEX('Stock Register'!$J$7:$J$506,$L47)))</f>
        <v/>
      </c>
      <c r="I47" s="41" t="str">
        <f aca="false">IF(E47="","",IF($L47="","",INDEX('Stock Register'!$J$7:$J$506,$L47)))</f>
        <v/>
      </c>
      <c r="K47" s="9" t="str">
        <f aca="false">IFERROR(SMALL('Stock Register'!$Q$7:$Q$506,36),"")</f>
        <v/>
      </c>
      <c r="L47" s="9" t="str">
        <f aca="false">IF(K47="","",MATCH(K47,'Stock Register'!$Q$7:$Q$506,0))</f>
        <v/>
      </c>
    </row>
    <row r="48" customFormat="false" ht="15" hidden="false" customHeight="false" outlineLevel="0" collapsed="false">
      <c r="A48" s="74" t="str">
        <f aca="false">IF($L48="","",INDEX('Stock Register'!$B$7:$B$506,$L48))</f>
        <v/>
      </c>
      <c r="B48" s="75" t="str">
        <f aca="false">IF($L48="","",INDEX('Stock Register'!$I$7:$I$506,$L48))</f>
        <v/>
      </c>
      <c r="C48" s="47" t="str">
        <f aca="false">IF($L48="","",INDEX('Stock Register'!$H$7:$H$506,$L48))</f>
        <v/>
      </c>
      <c r="D48" s="76" t="str">
        <f aca="false">IF($L48="","",IF(INDEX('Stock Register'!$E$7:$E$506,$L48)="In",INDEX('Stock Register'!$F$7:$F$506,$L48),""))</f>
        <v/>
      </c>
      <c r="E48" s="77" t="str">
        <f aca="false">IF($L48="","",IF(INDEX('Stock Register'!$E$7:$E$506,$L48)="Out",INDEX('Stock Register'!$F$7:$F$506,$L48),""))</f>
        <v/>
      </c>
      <c r="F48" s="48" t="str">
        <f aca="false">IF($L48="","",INDEX('Stock Register'!$K$7:$K$506,$L48))</f>
        <v/>
      </c>
      <c r="G48" s="73" t="str">
        <f aca="false">IF($L48="","",INDEX('Stock Register'!$G$7:$G$506,$L48))</f>
        <v/>
      </c>
      <c r="H48" s="41" t="str">
        <f aca="false">IF(D48="","",IF($L48="","",INDEX('Stock Register'!$J$7:$J$506,$L48)))</f>
        <v/>
      </c>
      <c r="I48" s="41" t="str">
        <f aca="false">IF(E48="","",IF($L48="","",INDEX('Stock Register'!$J$7:$J$506,$L48)))</f>
        <v/>
      </c>
      <c r="K48" s="9" t="str">
        <f aca="false">IFERROR(SMALL('Stock Register'!$Q$7:$Q$506,37),"")</f>
        <v/>
      </c>
      <c r="L48" s="9" t="str">
        <f aca="false">IF(K48="","",MATCH(K48,'Stock Register'!$Q$7:$Q$506,0))</f>
        <v/>
      </c>
    </row>
    <row r="49" customFormat="false" ht="15" hidden="false" customHeight="false" outlineLevel="0" collapsed="false">
      <c r="A49" s="74" t="str">
        <f aca="false">IF($L49="","",INDEX('Stock Register'!$B$7:$B$506,$L49))</f>
        <v/>
      </c>
      <c r="B49" s="75" t="str">
        <f aca="false">IF($L49="","",INDEX('Stock Register'!$I$7:$I$506,$L49))</f>
        <v/>
      </c>
      <c r="C49" s="47" t="str">
        <f aca="false">IF($L49="","",INDEX('Stock Register'!$H$7:$H$506,$L49))</f>
        <v/>
      </c>
      <c r="D49" s="76" t="str">
        <f aca="false">IF($L49="","",IF(INDEX('Stock Register'!$E$7:$E$506,$L49)="In",INDEX('Stock Register'!$F$7:$F$506,$L49),""))</f>
        <v/>
      </c>
      <c r="E49" s="77" t="str">
        <f aca="false">IF($L49="","",IF(INDEX('Stock Register'!$E$7:$E$506,$L49)="Out",INDEX('Stock Register'!$F$7:$F$506,$L49),""))</f>
        <v/>
      </c>
      <c r="F49" s="48" t="str">
        <f aca="false">IF($L49="","",INDEX('Stock Register'!$K$7:$K$506,$L49))</f>
        <v/>
      </c>
      <c r="G49" s="73" t="str">
        <f aca="false">IF($L49="","",INDEX('Stock Register'!$G$7:$G$506,$L49))</f>
        <v/>
      </c>
      <c r="H49" s="41" t="str">
        <f aca="false">IF(D49="","",IF($L49="","",INDEX('Stock Register'!$J$7:$J$506,$L49)))</f>
        <v/>
      </c>
      <c r="I49" s="41" t="str">
        <f aca="false">IF(E49="","",IF($L49="","",INDEX('Stock Register'!$J$7:$J$506,$L49)))</f>
        <v/>
      </c>
      <c r="K49" s="9" t="str">
        <f aca="false">IFERROR(SMALL('Stock Register'!$Q$7:$Q$506,38),"")</f>
        <v/>
      </c>
      <c r="L49" s="9" t="str">
        <f aca="false">IF(K49="","",MATCH(K49,'Stock Register'!$Q$7:$Q$506,0))</f>
        <v/>
      </c>
    </row>
    <row r="50" customFormat="false" ht="15" hidden="false" customHeight="false" outlineLevel="0" collapsed="false">
      <c r="A50" s="74" t="str">
        <f aca="false">IF($L50="","",INDEX('Stock Register'!$B$7:$B$506,$L50))</f>
        <v/>
      </c>
      <c r="B50" s="75" t="str">
        <f aca="false">IF($L50="","",INDEX('Stock Register'!$I$7:$I$506,$L50))</f>
        <v/>
      </c>
      <c r="C50" s="47" t="str">
        <f aca="false">IF($L50="","",INDEX('Stock Register'!$H$7:$H$506,$L50))</f>
        <v/>
      </c>
      <c r="D50" s="76" t="str">
        <f aca="false">IF($L50="","",IF(INDEX('Stock Register'!$E$7:$E$506,$L50)="In",INDEX('Stock Register'!$F$7:$F$506,$L50),""))</f>
        <v/>
      </c>
      <c r="E50" s="77" t="str">
        <f aca="false">IF($L50="","",IF(INDEX('Stock Register'!$E$7:$E$506,$L50)="Out",INDEX('Stock Register'!$F$7:$F$506,$L50),""))</f>
        <v/>
      </c>
      <c r="F50" s="48" t="str">
        <f aca="false">IF($L50="","",INDEX('Stock Register'!$K$7:$K$506,$L50))</f>
        <v/>
      </c>
      <c r="G50" s="73" t="str">
        <f aca="false">IF($L50="","",INDEX('Stock Register'!$G$7:$G$506,$L50))</f>
        <v/>
      </c>
      <c r="H50" s="41" t="str">
        <f aca="false">IF(D50="","",IF($L50="","",INDEX('Stock Register'!$J$7:$J$506,$L50)))</f>
        <v/>
      </c>
      <c r="I50" s="41" t="str">
        <f aca="false">IF(E50="","",IF($L50="","",INDEX('Stock Register'!$J$7:$J$506,$L50)))</f>
        <v/>
      </c>
      <c r="K50" s="9" t="str">
        <f aca="false">IFERROR(SMALL('Stock Register'!$Q$7:$Q$506,39),"")</f>
        <v/>
      </c>
      <c r="L50" s="9" t="str">
        <f aca="false">IF(K50="","",MATCH(K50,'Stock Register'!$Q$7:$Q$506,0))</f>
        <v/>
      </c>
    </row>
    <row r="51" customFormat="false" ht="15" hidden="false" customHeight="false" outlineLevel="0" collapsed="false">
      <c r="A51" s="74" t="str">
        <f aca="false">IF($L51="","",INDEX('Stock Register'!$B$7:$B$506,$L51))</f>
        <v/>
      </c>
      <c r="B51" s="75" t="str">
        <f aca="false">IF($L51="","",INDEX('Stock Register'!$I$7:$I$506,$L51))</f>
        <v/>
      </c>
      <c r="C51" s="47" t="str">
        <f aca="false">IF($L51="","",INDEX('Stock Register'!$H$7:$H$506,$L51))</f>
        <v/>
      </c>
      <c r="D51" s="76" t="str">
        <f aca="false">IF($L51="","",IF(INDEX('Stock Register'!$E$7:$E$506,$L51)="In",INDEX('Stock Register'!$F$7:$F$506,$L51),""))</f>
        <v/>
      </c>
      <c r="E51" s="77" t="str">
        <f aca="false">IF($L51="","",IF(INDEX('Stock Register'!$E$7:$E$506,$L51)="Out",INDEX('Stock Register'!$F$7:$F$506,$L51),""))</f>
        <v/>
      </c>
      <c r="F51" s="48" t="str">
        <f aca="false">IF($L51="","",INDEX('Stock Register'!$K$7:$K$506,$L51))</f>
        <v/>
      </c>
      <c r="G51" s="73" t="str">
        <f aca="false">IF($L51="","",INDEX('Stock Register'!$G$7:$G$506,$L51))</f>
        <v/>
      </c>
      <c r="H51" s="41" t="str">
        <f aca="false">IF(D51="","",IF($L51="","",INDEX('Stock Register'!$J$7:$J$506,$L51)))</f>
        <v/>
      </c>
      <c r="I51" s="41" t="str">
        <f aca="false">IF(E51="","",IF($L51="","",INDEX('Stock Register'!$J$7:$J$506,$L51)))</f>
        <v/>
      </c>
      <c r="K51" s="9" t="str">
        <f aca="false">IFERROR(SMALL('Stock Register'!$Q$7:$Q$506,40),"")</f>
        <v/>
      </c>
      <c r="L51" s="9" t="str">
        <f aca="false">IF(K51="","",MATCH(K51,'Stock Register'!$Q$7:$Q$506,0))</f>
        <v/>
      </c>
    </row>
    <row r="52" customFormat="false" ht="15" hidden="false" customHeight="false" outlineLevel="0" collapsed="false">
      <c r="A52" s="74" t="str">
        <f aca="false">IF($L52="","",INDEX('Stock Register'!$B$7:$B$506,$L52))</f>
        <v/>
      </c>
      <c r="B52" s="75" t="str">
        <f aca="false">IF($L52="","",INDEX('Stock Register'!$I$7:$I$506,$L52))</f>
        <v/>
      </c>
      <c r="C52" s="47" t="str">
        <f aca="false">IF($L52="","",INDEX('Stock Register'!$H$7:$H$506,$L52))</f>
        <v/>
      </c>
      <c r="D52" s="76" t="str">
        <f aca="false">IF($L52="","",IF(INDEX('Stock Register'!$E$7:$E$506,$L52)="In",INDEX('Stock Register'!$F$7:$F$506,$L52),""))</f>
        <v/>
      </c>
      <c r="E52" s="77" t="str">
        <f aca="false">IF($L52="","",IF(INDEX('Stock Register'!$E$7:$E$506,$L52)="Out",INDEX('Stock Register'!$F$7:$F$506,$L52),""))</f>
        <v/>
      </c>
      <c r="F52" s="48" t="str">
        <f aca="false">IF($L52="","",INDEX('Stock Register'!$K$7:$K$506,$L52))</f>
        <v/>
      </c>
      <c r="G52" s="73" t="str">
        <f aca="false">IF($L52="","",INDEX('Stock Register'!$G$7:$G$506,$L52))</f>
        <v/>
      </c>
      <c r="H52" s="41" t="str">
        <f aca="false">IF(D52="","",IF($L52="","",INDEX('Stock Register'!$J$7:$J$506,$L52)))</f>
        <v/>
      </c>
      <c r="I52" s="41" t="str">
        <f aca="false">IF(E52="","",IF($L52="","",INDEX('Stock Register'!$J$7:$J$506,$L52)))</f>
        <v/>
      </c>
      <c r="K52" s="9" t="str">
        <f aca="false">IFERROR(SMALL('Stock Register'!$Q$7:$Q$506,41),"")</f>
        <v/>
      </c>
      <c r="L52" s="9" t="str">
        <f aca="false">IF(K52="","",MATCH(K52,'Stock Register'!$Q$7:$Q$506,0))</f>
        <v/>
      </c>
    </row>
    <row r="53" customFormat="false" ht="15" hidden="false" customHeight="false" outlineLevel="0" collapsed="false">
      <c r="A53" s="74" t="str">
        <f aca="false">IF($L53="","",INDEX('Stock Register'!$B$7:$B$506,$L53))</f>
        <v/>
      </c>
      <c r="B53" s="75" t="str">
        <f aca="false">IF($L53="","",INDEX('Stock Register'!$I$7:$I$506,$L53))</f>
        <v/>
      </c>
      <c r="C53" s="47" t="str">
        <f aca="false">IF($L53="","",INDEX('Stock Register'!$H$7:$H$506,$L53))</f>
        <v/>
      </c>
      <c r="D53" s="76" t="str">
        <f aca="false">IF($L53="","",IF(INDEX('Stock Register'!$E$7:$E$506,$L53)="In",INDEX('Stock Register'!$F$7:$F$506,$L53),""))</f>
        <v/>
      </c>
      <c r="E53" s="77" t="str">
        <f aca="false">IF($L53="","",IF(INDEX('Stock Register'!$E$7:$E$506,$L53)="Out",INDEX('Stock Register'!$F$7:$F$506,$L53),""))</f>
        <v/>
      </c>
      <c r="F53" s="48" t="str">
        <f aca="false">IF($L53="","",INDEX('Stock Register'!$K$7:$K$506,$L53))</f>
        <v/>
      </c>
      <c r="G53" s="73" t="str">
        <f aca="false">IF($L53="","",INDEX('Stock Register'!$G$7:$G$506,$L53))</f>
        <v/>
      </c>
      <c r="H53" s="41" t="str">
        <f aca="false">IF(D53="","",IF($L53="","",INDEX('Stock Register'!$J$7:$J$506,$L53)))</f>
        <v/>
      </c>
      <c r="I53" s="41" t="str">
        <f aca="false">IF(E53="","",IF($L53="","",INDEX('Stock Register'!$J$7:$J$506,$L53)))</f>
        <v/>
      </c>
      <c r="K53" s="9" t="str">
        <f aca="false">IFERROR(SMALL('Stock Register'!$Q$7:$Q$506,42),"")</f>
        <v/>
      </c>
      <c r="L53" s="9" t="str">
        <f aca="false">IF(K53="","",MATCH(K53,'Stock Register'!$Q$7:$Q$506,0))</f>
        <v/>
      </c>
    </row>
    <row r="54" customFormat="false" ht="15" hidden="false" customHeight="false" outlineLevel="0" collapsed="false">
      <c r="A54" s="74" t="str">
        <f aca="false">IF($L54="","",INDEX('Stock Register'!$B$7:$B$506,$L54))</f>
        <v/>
      </c>
      <c r="B54" s="75" t="str">
        <f aca="false">IF($L54="","",INDEX('Stock Register'!$I$7:$I$506,$L54))</f>
        <v/>
      </c>
      <c r="C54" s="47" t="str">
        <f aca="false">IF($L54="","",INDEX('Stock Register'!$H$7:$H$506,$L54))</f>
        <v/>
      </c>
      <c r="D54" s="76" t="str">
        <f aca="false">IF($L54="","",IF(INDEX('Stock Register'!$E$7:$E$506,$L54)="In",INDEX('Stock Register'!$F$7:$F$506,$L54),""))</f>
        <v/>
      </c>
      <c r="E54" s="77" t="str">
        <f aca="false">IF($L54="","",IF(INDEX('Stock Register'!$E$7:$E$506,$L54)="Out",INDEX('Stock Register'!$F$7:$F$506,$L54),""))</f>
        <v/>
      </c>
      <c r="F54" s="48" t="str">
        <f aca="false">IF($L54="","",INDEX('Stock Register'!$K$7:$K$506,$L54))</f>
        <v/>
      </c>
      <c r="G54" s="73" t="str">
        <f aca="false">IF($L54="","",INDEX('Stock Register'!$G$7:$G$506,$L54))</f>
        <v/>
      </c>
      <c r="H54" s="41" t="str">
        <f aca="false">IF(D54="","",IF($L54="","",INDEX('Stock Register'!$J$7:$J$506,$L54)))</f>
        <v/>
      </c>
      <c r="I54" s="41" t="str">
        <f aca="false">IF(E54="","",IF($L54="","",INDEX('Stock Register'!$J$7:$J$506,$L54)))</f>
        <v/>
      </c>
      <c r="K54" s="9" t="str">
        <f aca="false">IFERROR(SMALL('Stock Register'!$Q$7:$Q$506,43),"")</f>
        <v/>
      </c>
      <c r="L54" s="9" t="str">
        <f aca="false">IF(K54="","",MATCH(K54,'Stock Register'!$Q$7:$Q$506,0))</f>
        <v/>
      </c>
    </row>
    <row r="55" customFormat="false" ht="15" hidden="false" customHeight="false" outlineLevel="0" collapsed="false">
      <c r="A55" s="74" t="str">
        <f aca="false">IF($L55="","",INDEX('Stock Register'!$B$7:$B$506,$L55))</f>
        <v/>
      </c>
      <c r="B55" s="75" t="str">
        <f aca="false">IF($L55="","",INDEX('Stock Register'!$I$7:$I$506,$L55))</f>
        <v/>
      </c>
      <c r="C55" s="47" t="str">
        <f aca="false">IF($L55="","",INDEX('Stock Register'!$H$7:$H$506,$L55))</f>
        <v/>
      </c>
      <c r="D55" s="76" t="str">
        <f aca="false">IF($L55="","",IF(INDEX('Stock Register'!$E$7:$E$506,$L55)="In",INDEX('Stock Register'!$F$7:$F$506,$L55),""))</f>
        <v/>
      </c>
      <c r="E55" s="77" t="str">
        <f aca="false">IF($L55="","",IF(INDEX('Stock Register'!$E$7:$E$506,$L55)="Out",INDEX('Stock Register'!$F$7:$F$506,$L55),""))</f>
        <v/>
      </c>
      <c r="F55" s="48" t="str">
        <f aca="false">IF($L55="","",INDEX('Stock Register'!$K$7:$K$506,$L55))</f>
        <v/>
      </c>
      <c r="G55" s="73" t="str">
        <f aca="false">IF($L55="","",INDEX('Stock Register'!$G$7:$G$506,$L55))</f>
        <v/>
      </c>
      <c r="H55" s="41" t="str">
        <f aca="false">IF(D55="","",IF($L55="","",INDEX('Stock Register'!$J$7:$J$506,$L55)))</f>
        <v/>
      </c>
      <c r="I55" s="41" t="str">
        <f aca="false">IF(E55="","",IF($L55="","",INDEX('Stock Register'!$J$7:$J$506,$L55)))</f>
        <v/>
      </c>
      <c r="K55" s="9" t="str">
        <f aca="false">IFERROR(SMALL('Stock Register'!$Q$7:$Q$506,44),"")</f>
        <v/>
      </c>
      <c r="L55" s="9" t="str">
        <f aca="false">IF(K55="","",MATCH(K55,'Stock Register'!$Q$7:$Q$506,0))</f>
        <v/>
      </c>
    </row>
    <row r="56" customFormat="false" ht="15" hidden="false" customHeight="false" outlineLevel="0" collapsed="false">
      <c r="A56" s="74" t="str">
        <f aca="false">IF($L56="","",INDEX('Stock Register'!$B$7:$B$506,$L56))</f>
        <v/>
      </c>
      <c r="B56" s="75" t="str">
        <f aca="false">IF($L56="","",INDEX('Stock Register'!$I$7:$I$506,$L56))</f>
        <v/>
      </c>
      <c r="C56" s="47" t="str">
        <f aca="false">IF($L56="","",INDEX('Stock Register'!$H$7:$H$506,$L56))</f>
        <v/>
      </c>
      <c r="D56" s="76" t="str">
        <f aca="false">IF($L56="","",IF(INDEX('Stock Register'!$E$7:$E$506,$L56)="In",INDEX('Stock Register'!$F$7:$F$506,$L56),""))</f>
        <v/>
      </c>
      <c r="E56" s="77" t="str">
        <f aca="false">IF($L56="","",IF(INDEX('Stock Register'!$E$7:$E$506,$L56)="Out",INDEX('Stock Register'!$F$7:$F$506,$L56),""))</f>
        <v/>
      </c>
      <c r="F56" s="48" t="str">
        <f aca="false">IF($L56="","",INDEX('Stock Register'!$K$7:$K$506,$L56))</f>
        <v/>
      </c>
      <c r="G56" s="73" t="str">
        <f aca="false">IF($L56="","",INDEX('Stock Register'!$G$7:$G$506,$L56))</f>
        <v/>
      </c>
      <c r="H56" s="41" t="str">
        <f aca="false">IF(D56="","",IF($L56="","",INDEX('Stock Register'!$J$7:$J$506,$L56)))</f>
        <v/>
      </c>
      <c r="I56" s="41" t="str">
        <f aca="false">IF(E56="","",IF($L56="","",INDEX('Stock Register'!$J$7:$J$506,$L56)))</f>
        <v/>
      </c>
      <c r="K56" s="9" t="str">
        <f aca="false">IFERROR(SMALL('Stock Register'!$Q$7:$Q$506,45),"")</f>
        <v/>
      </c>
      <c r="L56" s="9" t="str">
        <f aca="false">IF(K56="","",MATCH(K56,'Stock Register'!$Q$7:$Q$506,0))</f>
        <v/>
      </c>
    </row>
    <row r="57" customFormat="false" ht="15" hidden="false" customHeight="false" outlineLevel="0" collapsed="false">
      <c r="A57" s="74" t="str">
        <f aca="false">IF($L57="","",INDEX('Stock Register'!$B$7:$B$506,$L57))</f>
        <v/>
      </c>
      <c r="B57" s="75" t="str">
        <f aca="false">IF($L57="","",INDEX('Stock Register'!$I$7:$I$506,$L57))</f>
        <v/>
      </c>
      <c r="C57" s="47" t="str">
        <f aca="false">IF($L57="","",INDEX('Stock Register'!$H$7:$H$506,$L57))</f>
        <v/>
      </c>
      <c r="D57" s="76" t="str">
        <f aca="false">IF($L57="","",IF(INDEX('Stock Register'!$E$7:$E$506,$L57)="In",INDEX('Stock Register'!$F$7:$F$506,$L57),""))</f>
        <v/>
      </c>
      <c r="E57" s="77" t="str">
        <f aca="false">IF($L57="","",IF(INDEX('Stock Register'!$E$7:$E$506,$L57)="Out",INDEX('Stock Register'!$F$7:$F$506,$L57),""))</f>
        <v/>
      </c>
      <c r="F57" s="48" t="str">
        <f aca="false">IF($L57="","",INDEX('Stock Register'!$K$7:$K$506,$L57))</f>
        <v/>
      </c>
      <c r="G57" s="73" t="str">
        <f aca="false">IF($L57="","",INDEX('Stock Register'!$G$7:$G$506,$L57))</f>
        <v/>
      </c>
      <c r="H57" s="41" t="str">
        <f aca="false">IF(D57="","",IF($L57="","",INDEX('Stock Register'!$J$7:$J$506,$L57)))</f>
        <v/>
      </c>
      <c r="I57" s="41" t="str">
        <f aca="false">IF(E57="","",IF($L57="","",INDEX('Stock Register'!$J$7:$J$506,$L57)))</f>
        <v/>
      </c>
      <c r="K57" s="9" t="str">
        <f aca="false">IFERROR(SMALL('Stock Register'!$Q$7:$Q$506,46),"")</f>
        <v/>
      </c>
      <c r="L57" s="9" t="str">
        <f aca="false">IF(K57="","",MATCH(K57,'Stock Register'!$Q$7:$Q$506,0))</f>
        <v/>
      </c>
    </row>
    <row r="58" customFormat="false" ht="15" hidden="false" customHeight="false" outlineLevel="0" collapsed="false">
      <c r="A58" s="74" t="str">
        <f aca="false">IF($L58="","",INDEX('Stock Register'!$B$7:$B$506,$L58))</f>
        <v/>
      </c>
      <c r="B58" s="75" t="str">
        <f aca="false">IF($L58="","",INDEX('Stock Register'!$I$7:$I$506,$L58))</f>
        <v/>
      </c>
      <c r="C58" s="47" t="str">
        <f aca="false">IF($L58="","",INDEX('Stock Register'!$H$7:$H$506,$L58))</f>
        <v/>
      </c>
      <c r="D58" s="76" t="str">
        <f aca="false">IF($L58="","",IF(INDEX('Stock Register'!$E$7:$E$506,$L58)="In",INDEX('Stock Register'!$F$7:$F$506,$L58),""))</f>
        <v/>
      </c>
      <c r="E58" s="77" t="str">
        <f aca="false">IF($L58="","",IF(INDEX('Stock Register'!$E$7:$E$506,$L58)="Out",INDEX('Stock Register'!$F$7:$F$506,$L58),""))</f>
        <v/>
      </c>
      <c r="F58" s="48" t="str">
        <f aca="false">IF($L58="","",INDEX('Stock Register'!$K$7:$K$506,$L58))</f>
        <v/>
      </c>
      <c r="G58" s="73" t="str">
        <f aca="false">IF($L58="","",INDEX('Stock Register'!$G$7:$G$506,$L58))</f>
        <v/>
      </c>
      <c r="H58" s="41" t="str">
        <f aca="false">IF(D58="","",IF($L58="","",INDEX('Stock Register'!$J$7:$J$506,$L58)))</f>
        <v/>
      </c>
      <c r="I58" s="41" t="str">
        <f aca="false">IF(E58="","",IF($L58="","",INDEX('Stock Register'!$J$7:$J$506,$L58)))</f>
        <v/>
      </c>
      <c r="K58" s="9" t="str">
        <f aca="false">IFERROR(SMALL('Stock Register'!$Q$7:$Q$506,47),"")</f>
        <v/>
      </c>
      <c r="L58" s="9" t="str">
        <f aca="false">IF(K58="","",MATCH(K58,'Stock Register'!$Q$7:$Q$506,0))</f>
        <v/>
      </c>
    </row>
    <row r="59" customFormat="false" ht="15" hidden="false" customHeight="false" outlineLevel="0" collapsed="false">
      <c r="A59" s="74" t="str">
        <f aca="false">IF($L59="","",INDEX('Stock Register'!$B$7:$B$506,$L59))</f>
        <v/>
      </c>
      <c r="B59" s="75" t="str">
        <f aca="false">IF($L59="","",INDEX('Stock Register'!$I$7:$I$506,$L59))</f>
        <v/>
      </c>
      <c r="C59" s="47" t="str">
        <f aca="false">IF($L59="","",INDEX('Stock Register'!$H$7:$H$506,$L59))</f>
        <v/>
      </c>
      <c r="D59" s="76" t="str">
        <f aca="false">IF($L59="","",IF(INDEX('Stock Register'!$E$7:$E$506,$L59)="In",INDEX('Stock Register'!$F$7:$F$506,$L59),""))</f>
        <v/>
      </c>
      <c r="E59" s="77" t="str">
        <f aca="false">IF($L59="","",IF(INDEX('Stock Register'!$E$7:$E$506,$L59)="Out",INDEX('Stock Register'!$F$7:$F$506,$L59),""))</f>
        <v/>
      </c>
      <c r="F59" s="48" t="str">
        <f aca="false">IF($L59="","",INDEX('Stock Register'!$K$7:$K$506,$L59))</f>
        <v/>
      </c>
      <c r="G59" s="73" t="str">
        <f aca="false">IF($L59="","",INDEX('Stock Register'!$G$7:$G$506,$L59))</f>
        <v/>
      </c>
      <c r="H59" s="41" t="str">
        <f aca="false">IF(D59="","",IF($L59="","",INDEX('Stock Register'!$J$7:$J$506,$L59)))</f>
        <v/>
      </c>
      <c r="I59" s="41" t="str">
        <f aca="false">IF(E59="","",IF($L59="","",INDEX('Stock Register'!$J$7:$J$506,$L59)))</f>
        <v/>
      </c>
      <c r="K59" s="9" t="str">
        <f aca="false">IFERROR(SMALL('Stock Register'!$Q$7:$Q$506,48),"")</f>
        <v/>
      </c>
      <c r="L59" s="9" t="str">
        <f aca="false">IF(K59="","",MATCH(K59,'Stock Register'!$Q$7:$Q$506,0))</f>
        <v/>
      </c>
    </row>
    <row r="60" customFormat="false" ht="15" hidden="false" customHeight="false" outlineLevel="0" collapsed="false">
      <c r="A60" s="74" t="str">
        <f aca="false">IF($L60="","",INDEX('Stock Register'!$B$7:$B$506,$L60))</f>
        <v/>
      </c>
      <c r="B60" s="75" t="str">
        <f aca="false">IF($L60="","",INDEX('Stock Register'!$I$7:$I$506,$L60))</f>
        <v/>
      </c>
      <c r="C60" s="47" t="str">
        <f aca="false">IF($L60="","",INDEX('Stock Register'!$H$7:$H$506,$L60))</f>
        <v/>
      </c>
      <c r="D60" s="76" t="str">
        <f aca="false">IF($L60="","",IF(INDEX('Stock Register'!$E$7:$E$506,$L60)="In",INDEX('Stock Register'!$F$7:$F$506,$L60),""))</f>
        <v/>
      </c>
      <c r="E60" s="77" t="str">
        <f aca="false">IF($L60="","",IF(INDEX('Stock Register'!$E$7:$E$506,$L60)="Out",INDEX('Stock Register'!$F$7:$F$506,$L60),""))</f>
        <v/>
      </c>
      <c r="F60" s="48" t="str">
        <f aca="false">IF($L60="","",INDEX('Stock Register'!$K$7:$K$506,$L60))</f>
        <v/>
      </c>
      <c r="G60" s="73" t="str">
        <f aca="false">IF($L60="","",INDEX('Stock Register'!$G$7:$G$506,$L60))</f>
        <v/>
      </c>
      <c r="H60" s="41" t="str">
        <f aca="false">IF(D60="","",IF($L60="","",INDEX('Stock Register'!$J$7:$J$506,$L60)))</f>
        <v/>
      </c>
      <c r="I60" s="41" t="str">
        <f aca="false">IF(E60="","",IF($L60="","",INDEX('Stock Register'!$J$7:$J$506,$L60)))</f>
        <v/>
      </c>
      <c r="K60" s="9" t="str">
        <f aca="false">IFERROR(SMALL('Stock Register'!$Q$7:$Q$506,49),"")</f>
        <v/>
      </c>
      <c r="L60" s="9" t="str">
        <f aca="false">IF(K60="","",MATCH(K60,'Stock Register'!$Q$7:$Q$506,0))</f>
        <v/>
      </c>
    </row>
    <row r="61" customFormat="false" ht="15" hidden="false" customHeight="false" outlineLevel="0" collapsed="false">
      <c r="A61" s="74" t="str">
        <f aca="false">IF($L61="","",INDEX('Stock Register'!$B$7:$B$506,$L61))</f>
        <v/>
      </c>
      <c r="B61" s="75" t="str">
        <f aca="false">IF($L61="","",INDEX('Stock Register'!$I$7:$I$506,$L61))</f>
        <v/>
      </c>
      <c r="C61" s="47" t="str">
        <f aca="false">IF($L61="","",INDEX('Stock Register'!$H$7:$H$506,$L61))</f>
        <v/>
      </c>
      <c r="D61" s="76" t="str">
        <f aca="false">IF($L61="","",IF(INDEX('Stock Register'!$E$7:$E$506,$L61)="In",INDEX('Stock Register'!$F$7:$F$506,$L61),""))</f>
        <v/>
      </c>
      <c r="E61" s="77" t="str">
        <f aca="false">IF($L61="","",IF(INDEX('Stock Register'!$E$7:$E$506,$L61)="Out",INDEX('Stock Register'!$F$7:$F$506,$L61),""))</f>
        <v/>
      </c>
      <c r="F61" s="48" t="str">
        <f aca="false">IF($L61="","",INDEX('Stock Register'!$K$7:$K$506,$L61))</f>
        <v/>
      </c>
      <c r="G61" s="73" t="str">
        <f aca="false">IF($L61="","",INDEX('Stock Register'!$G$7:$G$506,$L61))</f>
        <v/>
      </c>
      <c r="H61" s="41" t="str">
        <f aca="false">IF(D61="","",IF($L61="","",INDEX('Stock Register'!$J$7:$J$506,$L61)))</f>
        <v/>
      </c>
      <c r="I61" s="41" t="str">
        <f aca="false">IF(E61="","",IF($L61="","",INDEX('Stock Register'!$J$7:$J$506,$L61)))</f>
        <v/>
      </c>
      <c r="K61" s="9" t="str">
        <f aca="false">IFERROR(SMALL('Stock Register'!$Q$7:$Q$506,50),"")</f>
        <v/>
      </c>
      <c r="L61" s="9" t="str">
        <f aca="false">IF(K61="","",MATCH(K61,'Stock Register'!$Q$7:$Q$506,0))</f>
        <v/>
      </c>
    </row>
    <row r="62" customFormat="false" ht="15" hidden="false" customHeight="false" outlineLevel="0" collapsed="false">
      <c r="A62" s="74" t="str">
        <f aca="false">IF($L62="","",INDEX('Stock Register'!$B$7:$B$506,$L62))</f>
        <v/>
      </c>
      <c r="B62" s="75" t="str">
        <f aca="false">IF($L62="","",INDEX('Stock Register'!$I$7:$I$506,$L62))</f>
        <v/>
      </c>
      <c r="C62" s="47" t="str">
        <f aca="false">IF($L62="","",INDEX('Stock Register'!$H$7:$H$506,$L62))</f>
        <v/>
      </c>
      <c r="D62" s="76" t="str">
        <f aca="false">IF($L62="","",IF(INDEX('Stock Register'!$E$7:$E$506,$L62)="In",INDEX('Stock Register'!$F$7:$F$506,$L62),""))</f>
        <v/>
      </c>
      <c r="E62" s="77" t="str">
        <f aca="false">IF($L62="","",IF(INDEX('Stock Register'!$E$7:$E$506,$L62)="Out",INDEX('Stock Register'!$F$7:$F$506,$L62),""))</f>
        <v/>
      </c>
      <c r="F62" s="48" t="str">
        <f aca="false">IF($L62="","",INDEX('Stock Register'!$K$7:$K$506,$L62))</f>
        <v/>
      </c>
      <c r="G62" s="73" t="str">
        <f aca="false">IF($L62="","",INDEX('Stock Register'!$G$7:$G$506,$L62))</f>
        <v/>
      </c>
      <c r="H62" s="41" t="str">
        <f aca="false">IF(D62="","",IF($L62="","",INDEX('Stock Register'!$J$7:$J$506,$L62)))</f>
        <v/>
      </c>
      <c r="I62" s="41" t="str">
        <f aca="false">IF(E62="","",IF($L62="","",INDEX('Stock Register'!$J$7:$J$506,$L62)))</f>
        <v/>
      </c>
      <c r="K62" s="9" t="str">
        <f aca="false">IFERROR(SMALL('Stock Register'!$Q$7:$Q$506,51),"")</f>
        <v/>
      </c>
      <c r="L62" s="9" t="str">
        <f aca="false">IF(K62="","",MATCH(K62,'Stock Register'!$Q$7:$Q$506,0))</f>
        <v/>
      </c>
    </row>
    <row r="63" customFormat="false" ht="15" hidden="false" customHeight="false" outlineLevel="0" collapsed="false">
      <c r="A63" s="74" t="str">
        <f aca="false">IF($L63="","",INDEX('Stock Register'!$B$7:$B$506,$L63))</f>
        <v/>
      </c>
      <c r="B63" s="75" t="str">
        <f aca="false">IF($L63="","",INDEX('Stock Register'!$I$7:$I$506,$L63))</f>
        <v/>
      </c>
      <c r="C63" s="47" t="str">
        <f aca="false">IF($L63="","",INDEX('Stock Register'!$H$7:$H$506,$L63))</f>
        <v/>
      </c>
      <c r="D63" s="76" t="str">
        <f aca="false">IF($L63="","",IF(INDEX('Stock Register'!$E$7:$E$506,$L63)="In",INDEX('Stock Register'!$F$7:$F$506,$L63),""))</f>
        <v/>
      </c>
      <c r="E63" s="77" t="str">
        <f aca="false">IF($L63="","",IF(INDEX('Stock Register'!$E$7:$E$506,$L63)="Out",INDEX('Stock Register'!$F$7:$F$506,$L63),""))</f>
        <v/>
      </c>
      <c r="F63" s="48" t="str">
        <f aca="false">IF($L63="","",INDEX('Stock Register'!$K$7:$K$506,$L63))</f>
        <v/>
      </c>
      <c r="G63" s="73" t="str">
        <f aca="false">IF($L63="","",INDEX('Stock Register'!$G$7:$G$506,$L63))</f>
        <v/>
      </c>
      <c r="H63" s="41" t="str">
        <f aca="false">IF(D63="","",IF($L63="","",INDEX('Stock Register'!$J$7:$J$506,$L63)))</f>
        <v/>
      </c>
      <c r="I63" s="41" t="str">
        <f aca="false">IF(E63="","",IF($L63="","",INDEX('Stock Register'!$J$7:$J$506,$L63)))</f>
        <v/>
      </c>
      <c r="K63" s="9" t="str">
        <f aca="false">IFERROR(SMALL('Stock Register'!$Q$7:$Q$506,52),"")</f>
        <v/>
      </c>
      <c r="L63" s="9" t="str">
        <f aca="false">IF(K63="","",MATCH(K63,'Stock Register'!$Q$7:$Q$506,0))</f>
        <v/>
      </c>
    </row>
    <row r="64" customFormat="false" ht="15" hidden="false" customHeight="false" outlineLevel="0" collapsed="false">
      <c r="A64" s="74" t="str">
        <f aca="false">IF($L64="","",INDEX('Stock Register'!$B$7:$B$506,$L64))</f>
        <v/>
      </c>
      <c r="B64" s="75" t="str">
        <f aca="false">IF($L64="","",INDEX('Stock Register'!$I$7:$I$506,$L64))</f>
        <v/>
      </c>
      <c r="C64" s="47" t="str">
        <f aca="false">IF($L64="","",INDEX('Stock Register'!$H$7:$H$506,$L64))</f>
        <v/>
      </c>
      <c r="D64" s="76" t="str">
        <f aca="false">IF($L64="","",IF(INDEX('Stock Register'!$E$7:$E$506,$L64)="In",INDEX('Stock Register'!$F$7:$F$506,$L64),""))</f>
        <v/>
      </c>
      <c r="E64" s="77" t="str">
        <f aca="false">IF($L64="","",IF(INDEX('Stock Register'!$E$7:$E$506,$L64)="Out",INDEX('Stock Register'!$F$7:$F$506,$L64),""))</f>
        <v/>
      </c>
      <c r="F64" s="48" t="str">
        <f aca="false">IF($L64="","",INDEX('Stock Register'!$K$7:$K$506,$L64))</f>
        <v/>
      </c>
      <c r="G64" s="73" t="str">
        <f aca="false">IF($L64="","",INDEX('Stock Register'!$G$7:$G$506,$L64))</f>
        <v/>
      </c>
      <c r="H64" s="41" t="str">
        <f aca="false">IF(D64="","",IF($L64="","",INDEX('Stock Register'!$J$7:$J$506,$L64)))</f>
        <v/>
      </c>
      <c r="I64" s="41" t="str">
        <f aca="false">IF(E64="","",IF($L64="","",INDEX('Stock Register'!$J$7:$J$506,$L64)))</f>
        <v/>
      </c>
      <c r="K64" s="9" t="str">
        <f aca="false">IFERROR(SMALL('Stock Register'!$Q$7:$Q$506,53),"")</f>
        <v/>
      </c>
      <c r="L64" s="9" t="str">
        <f aca="false">IF(K64="","",MATCH(K64,'Stock Register'!$Q$7:$Q$506,0))</f>
        <v/>
      </c>
    </row>
    <row r="65" customFormat="false" ht="15" hidden="false" customHeight="false" outlineLevel="0" collapsed="false">
      <c r="A65" s="74" t="str">
        <f aca="false">IF($L65="","",INDEX('Stock Register'!$B$7:$B$506,$L65))</f>
        <v/>
      </c>
      <c r="B65" s="75" t="str">
        <f aca="false">IF($L65="","",INDEX('Stock Register'!$I$7:$I$506,$L65))</f>
        <v/>
      </c>
      <c r="C65" s="47" t="str">
        <f aca="false">IF($L65="","",INDEX('Stock Register'!$H$7:$H$506,$L65))</f>
        <v/>
      </c>
      <c r="D65" s="76" t="str">
        <f aca="false">IF($L65="","",IF(INDEX('Stock Register'!$E$7:$E$506,$L65)="In",INDEX('Stock Register'!$F$7:$F$506,$L65),""))</f>
        <v/>
      </c>
      <c r="E65" s="77" t="str">
        <f aca="false">IF($L65="","",IF(INDEX('Stock Register'!$E$7:$E$506,$L65)="Out",INDEX('Stock Register'!$F$7:$F$506,$L65),""))</f>
        <v/>
      </c>
      <c r="F65" s="48" t="str">
        <f aca="false">IF($L65="","",INDEX('Stock Register'!$K$7:$K$506,$L65))</f>
        <v/>
      </c>
      <c r="G65" s="73" t="str">
        <f aca="false">IF($L65="","",INDEX('Stock Register'!$G$7:$G$506,$L65))</f>
        <v/>
      </c>
      <c r="H65" s="41" t="str">
        <f aca="false">IF(D65="","",IF($L65="","",INDEX('Stock Register'!$J$7:$J$506,$L65)))</f>
        <v/>
      </c>
      <c r="I65" s="41" t="str">
        <f aca="false">IF(E65="","",IF($L65="","",INDEX('Stock Register'!$J$7:$J$506,$L65)))</f>
        <v/>
      </c>
      <c r="K65" s="9" t="str">
        <f aca="false">IFERROR(SMALL('Stock Register'!$Q$7:$Q$506,54),"")</f>
        <v/>
      </c>
      <c r="L65" s="9" t="str">
        <f aca="false">IF(K65="","",MATCH(K65,'Stock Register'!$Q$7:$Q$506,0))</f>
        <v/>
      </c>
    </row>
    <row r="66" customFormat="false" ht="15" hidden="false" customHeight="false" outlineLevel="0" collapsed="false">
      <c r="A66" s="74" t="str">
        <f aca="false">IF($L66="","",INDEX('Stock Register'!$B$7:$B$506,$L66))</f>
        <v/>
      </c>
      <c r="B66" s="75" t="str">
        <f aca="false">IF($L66="","",INDEX('Stock Register'!$I$7:$I$506,$L66))</f>
        <v/>
      </c>
      <c r="C66" s="47" t="str">
        <f aca="false">IF($L66="","",INDEX('Stock Register'!$H$7:$H$506,$L66))</f>
        <v/>
      </c>
      <c r="D66" s="76" t="str">
        <f aca="false">IF($L66="","",IF(INDEX('Stock Register'!$E$7:$E$506,$L66)="In",INDEX('Stock Register'!$F$7:$F$506,$L66),""))</f>
        <v/>
      </c>
      <c r="E66" s="77" t="str">
        <f aca="false">IF($L66="","",IF(INDEX('Stock Register'!$E$7:$E$506,$L66)="Out",INDEX('Stock Register'!$F$7:$F$506,$L66),""))</f>
        <v/>
      </c>
      <c r="F66" s="48" t="str">
        <f aca="false">IF($L66="","",INDEX('Stock Register'!$K$7:$K$506,$L66))</f>
        <v/>
      </c>
      <c r="G66" s="73" t="str">
        <f aca="false">IF($L66="","",INDEX('Stock Register'!$G$7:$G$506,$L66))</f>
        <v/>
      </c>
      <c r="H66" s="41" t="str">
        <f aca="false">IF(D66="","",IF($L66="","",INDEX('Stock Register'!$J$7:$J$506,$L66)))</f>
        <v/>
      </c>
      <c r="I66" s="41" t="str">
        <f aca="false">IF(E66="","",IF($L66="","",INDEX('Stock Register'!$J$7:$J$506,$L66)))</f>
        <v/>
      </c>
      <c r="K66" s="9" t="str">
        <f aca="false">IFERROR(SMALL('Stock Register'!$Q$7:$Q$506,55),"")</f>
        <v/>
      </c>
      <c r="L66" s="9" t="str">
        <f aca="false">IF(K66="","",MATCH(K66,'Stock Register'!$Q$7:$Q$506,0))</f>
        <v/>
      </c>
    </row>
    <row r="67" customFormat="false" ht="15" hidden="false" customHeight="false" outlineLevel="0" collapsed="false">
      <c r="A67" s="74" t="str">
        <f aca="false">IF($L67="","",INDEX('Stock Register'!$B$7:$B$506,$L67))</f>
        <v/>
      </c>
      <c r="B67" s="75" t="str">
        <f aca="false">IF($L67="","",INDEX('Stock Register'!$I$7:$I$506,$L67))</f>
        <v/>
      </c>
      <c r="C67" s="47" t="str">
        <f aca="false">IF($L67="","",INDEX('Stock Register'!$H$7:$H$506,$L67))</f>
        <v/>
      </c>
      <c r="D67" s="76" t="str">
        <f aca="false">IF($L67="","",IF(INDEX('Stock Register'!$E$7:$E$506,$L67)="In",INDEX('Stock Register'!$F$7:$F$506,$L67),""))</f>
        <v/>
      </c>
      <c r="E67" s="77" t="str">
        <f aca="false">IF($L67="","",IF(INDEX('Stock Register'!$E$7:$E$506,$L67)="Out",INDEX('Stock Register'!$F$7:$F$506,$L67),""))</f>
        <v/>
      </c>
      <c r="F67" s="48" t="str">
        <f aca="false">IF($L67="","",INDEX('Stock Register'!$K$7:$K$506,$L67))</f>
        <v/>
      </c>
      <c r="G67" s="73" t="str">
        <f aca="false">IF($L67="","",INDEX('Stock Register'!$G$7:$G$506,$L67))</f>
        <v/>
      </c>
      <c r="H67" s="41" t="str">
        <f aca="false">IF(D67="","",IF($L67="","",INDEX('Stock Register'!$J$7:$J$506,$L67)))</f>
        <v/>
      </c>
      <c r="I67" s="41" t="str">
        <f aca="false">IF(E67="","",IF($L67="","",INDEX('Stock Register'!$J$7:$J$506,$L67)))</f>
        <v/>
      </c>
      <c r="K67" s="9" t="str">
        <f aca="false">IFERROR(SMALL('Stock Register'!$Q$7:$Q$506,56),"")</f>
        <v/>
      </c>
      <c r="L67" s="9" t="str">
        <f aca="false">IF(K67="","",MATCH(K67,'Stock Register'!$Q$7:$Q$506,0))</f>
        <v/>
      </c>
    </row>
    <row r="68" customFormat="false" ht="15" hidden="false" customHeight="false" outlineLevel="0" collapsed="false">
      <c r="A68" s="74" t="str">
        <f aca="false">IF($L68="","",INDEX('Stock Register'!$B$7:$B$506,$L68))</f>
        <v/>
      </c>
      <c r="B68" s="75" t="str">
        <f aca="false">IF($L68="","",INDEX('Stock Register'!$I$7:$I$506,$L68))</f>
        <v/>
      </c>
      <c r="C68" s="47" t="str">
        <f aca="false">IF($L68="","",INDEX('Stock Register'!$H$7:$H$506,$L68))</f>
        <v/>
      </c>
      <c r="D68" s="76" t="str">
        <f aca="false">IF($L68="","",IF(INDEX('Stock Register'!$E$7:$E$506,$L68)="In",INDEX('Stock Register'!$F$7:$F$506,$L68),""))</f>
        <v/>
      </c>
      <c r="E68" s="77" t="str">
        <f aca="false">IF($L68="","",IF(INDEX('Stock Register'!$E$7:$E$506,$L68)="Out",INDEX('Stock Register'!$F$7:$F$506,$L68),""))</f>
        <v/>
      </c>
      <c r="F68" s="48" t="str">
        <f aca="false">IF($L68="","",INDEX('Stock Register'!$K$7:$K$506,$L68))</f>
        <v/>
      </c>
      <c r="G68" s="73" t="str">
        <f aca="false">IF($L68="","",INDEX('Stock Register'!$G$7:$G$506,$L68))</f>
        <v/>
      </c>
      <c r="H68" s="41" t="str">
        <f aca="false">IF(D68="","",IF($L68="","",INDEX('Stock Register'!$J$7:$J$506,$L68)))</f>
        <v/>
      </c>
      <c r="I68" s="41" t="str">
        <f aca="false">IF(E68="","",IF($L68="","",INDEX('Stock Register'!$J$7:$J$506,$L68)))</f>
        <v/>
      </c>
      <c r="K68" s="9" t="str">
        <f aca="false">IFERROR(SMALL('Stock Register'!$Q$7:$Q$506,57),"")</f>
        <v/>
      </c>
      <c r="L68" s="9" t="str">
        <f aca="false">IF(K68="","",MATCH(K68,'Stock Register'!$Q$7:$Q$506,0))</f>
        <v/>
      </c>
    </row>
    <row r="69" customFormat="false" ht="15" hidden="false" customHeight="false" outlineLevel="0" collapsed="false">
      <c r="A69" s="74" t="str">
        <f aca="false">IF($L69="","",INDEX('Stock Register'!$B$7:$B$506,$L69))</f>
        <v/>
      </c>
      <c r="B69" s="75" t="str">
        <f aca="false">IF($L69="","",INDEX('Stock Register'!$I$7:$I$506,$L69))</f>
        <v/>
      </c>
      <c r="C69" s="47" t="str">
        <f aca="false">IF($L69="","",INDEX('Stock Register'!$H$7:$H$506,$L69))</f>
        <v/>
      </c>
      <c r="D69" s="76" t="str">
        <f aca="false">IF($L69="","",IF(INDEX('Stock Register'!$E$7:$E$506,$L69)="In",INDEX('Stock Register'!$F$7:$F$506,$L69),""))</f>
        <v/>
      </c>
      <c r="E69" s="77" t="str">
        <f aca="false">IF($L69="","",IF(INDEX('Stock Register'!$E$7:$E$506,$L69)="Out",INDEX('Stock Register'!$F$7:$F$506,$L69),""))</f>
        <v/>
      </c>
      <c r="F69" s="48" t="str">
        <f aca="false">IF($L69="","",INDEX('Stock Register'!$K$7:$K$506,$L69))</f>
        <v/>
      </c>
      <c r="G69" s="73" t="str">
        <f aca="false">IF($L69="","",INDEX('Stock Register'!$G$7:$G$506,$L69))</f>
        <v/>
      </c>
      <c r="H69" s="41" t="str">
        <f aca="false">IF(D69="","",IF($L69="","",INDEX('Stock Register'!$J$7:$J$506,$L69)))</f>
        <v/>
      </c>
      <c r="I69" s="41" t="str">
        <f aca="false">IF(E69="","",IF($L69="","",INDEX('Stock Register'!$J$7:$J$506,$L69)))</f>
        <v/>
      </c>
      <c r="K69" s="9" t="str">
        <f aca="false">IFERROR(SMALL('Stock Register'!$Q$7:$Q$506,58),"")</f>
        <v/>
      </c>
      <c r="L69" s="9" t="str">
        <f aca="false">IF(K69="","",MATCH(K69,'Stock Register'!$Q$7:$Q$506,0))</f>
        <v/>
      </c>
    </row>
    <row r="70" customFormat="false" ht="15" hidden="false" customHeight="false" outlineLevel="0" collapsed="false">
      <c r="A70" s="74" t="str">
        <f aca="false">IF($L70="","",INDEX('Stock Register'!$B$7:$B$506,$L70))</f>
        <v/>
      </c>
      <c r="B70" s="75" t="str">
        <f aca="false">IF($L70="","",INDEX('Stock Register'!$I$7:$I$506,$L70))</f>
        <v/>
      </c>
      <c r="C70" s="47" t="str">
        <f aca="false">IF($L70="","",INDEX('Stock Register'!$H$7:$H$506,$L70))</f>
        <v/>
      </c>
      <c r="D70" s="76" t="str">
        <f aca="false">IF($L70="","",IF(INDEX('Stock Register'!$E$7:$E$506,$L70)="In",INDEX('Stock Register'!$F$7:$F$506,$L70),""))</f>
        <v/>
      </c>
      <c r="E70" s="77" t="str">
        <f aca="false">IF($L70="","",IF(INDEX('Stock Register'!$E$7:$E$506,$L70)="Out",INDEX('Stock Register'!$F$7:$F$506,$L70),""))</f>
        <v/>
      </c>
      <c r="F70" s="48" t="str">
        <f aca="false">IF($L70="","",INDEX('Stock Register'!$K$7:$K$506,$L70))</f>
        <v/>
      </c>
      <c r="G70" s="73" t="str">
        <f aca="false">IF($L70="","",INDEX('Stock Register'!$G$7:$G$506,$L70))</f>
        <v/>
      </c>
      <c r="H70" s="41" t="str">
        <f aca="false">IF(D70="","",IF($L70="","",INDEX('Stock Register'!$J$7:$J$506,$L70)))</f>
        <v/>
      </c>
      <c r="I70" s="41" t="str">
        <f aca="false">IF(E70="","",IF($L70="","",INDEX('Stock Register'!$J$7:$J$506,$L70)))</f>
        <v/>
      </c>
      <c r="K70" s="9" t="str">
        <f aca="false">IFERROR(SMALL('Stock Register'!$Q$7:$Q$506,59),"")</f>
        <v/>
      </c>
      <c r="L70" s="9" t="str">
        <f aca="false">IF(K70="","",MATCH(K70,'Stock Register'!$Q$7:$Q$506,0))</f>
        <v/>
      </c>
    </row>
    <row r="71" customFormat="false" ht="15" hidden="false" customHeight="false" outlineLevel="0" collapsed="false">
      <c r="A71" s="74" t="str">
        <f aca="false">IF($L71="","",INDEX('Stock Register'!$B$7:$B$506,$L71))</f>
        <v/>
      </c>
      <c r="B71" s="75" t="str">
        <f aca="false">IF($L71="","",INDEX('Stock Register'!$I$7:$I$506,$L71))</f>
        <v/>
      </c>
      <c r="C71" s="47" t="str">
        <f aca="false">IF($L71="","",INDEX('Stock Register'!$H$7:$H$506,$L71))</f>
        <v/>
      </c>
      <c r="D71" s="76" t="str">
        <f aca="false">IF($L71="","",IF(INDEX('Stock Register'!$E$7:$E$506,$L71)="In",INDEX('Stock Register'!$F$7:$F$506,$L71),""))</f>
        <v/>
      </c>
      <c r="E71" s="77" t="str">
        <f aca="false">IF($L71="","",IF(INDEX('Stock Register'!$E$7:$E$506,$L71)="Out",INDEX('Stock Register'!$F$7:$F$506,$L71),""))</f>
        <v/>
      </c>
      <c r="F71" s="48" t="str">
        <f aca="false">IF($L71="","",INDEX('Stock Register'!$K$7:$K$506,$L71))</f>
        <v/>
      </c>
      <c r="G71" s="73" t="str">
        <f aca="false">IF($L71="","",INDEX('Stock Register'!$G$7:$G$506,$L71))</f>
        <v/>
      </c>
      <c r="H71" s="41" t="str">
        <f aca="false">IF(D71="","",IF($L71="","",INDEX('Stock Register'!$J$7:$J$506,$L71)))</f>
        <v/>
      </c>
      <c r="I71" s="41" t="str">
        <f aca="false">IF(E71="","",IF($L71="","",INDEX('Stock Register'!$J$7:$J$506,$L71)))</f>
        <v/>
      </c>
      <c r="K71" s="9" t="str">
        <f aca="false">IFERROR(SMALL('Stock Register'!$Q$7:$Q$506,60),"")</f>
        <v/>
      </c>
      <c r="L71" s="9" t="str">
        <f aca="false">IF(K71="","",MATCH(K71,'Stock Register'!$Q$7:$Q$506,0))</f>
        <v/>
      </c>
    </row>
    <row r="72" customFormat="false" ht="15" hidden="false" customHeight="false" outlineLevel="0" collapsed="false">
      <c r="A72" s="74" t="str">
        <f aca="false">IF($L72="","",INDEX('Stock Register'!$B$7:$B$506,$L72))</f>
        <v/>
      </c>
      <c r="B72" s="75" t="str">
        <f aca="false">IF($L72="","",INDEX('Stock Register'!$I$7:$I$506,$L72))</f>
        <v/>
      </c>
      <c r="C72" s="47" t="str">
        <f aca="false">IF($L72="","",INDEX('Stock Register'!$H$7:$H$506,$L72))</f>
        <v/>
      </c>
      <c r="D72" s="76" t="str">
        <f aca="false">IF($L72="","",IF(INDEX('Stock Register'!$E$7:$E$506,$L72)="In",INDEX('Stock Register'!$F$7:$F$506,$L72),""))</f>
        <v/>
      </c>
      <c r="E72" s="77" t="str">
        <f aca="false">IF($L72="","",IF(INDEX('Stock Register'!$E$7:$E$506,$L72)="Out",INDEX('Stock Register'!$F$7:$F$506,$L72),""))</f>
        <v/>
      </c>
      <c r="F72" s="48" t="str">
        <f aca="false">IF($L72="","",INDEX('Stock Register'!$K$7:$K$506,$L72))</f>
        <v/>
      </c>
      <c r="G72" s="73" t="str">
        <f aca="false">IF($L72="","",INDEX('Stock Register'!$G$7:$G$506,$L72))</f>
        <v/>
      </c>
      <c r="H72" s="41" t="str">
        <f aca="false">IF(D72="","",IF($L72="","",INDEX('Stock Register'!$J$7:$J$506,$L72)))</f>
        <v/>
      </c>
      <c r="I72" s="41" t="str">
        <f aca="false">IF(E72="","",IF($L72="","",INDEX('Stock Register'!$J$7:$J$506,$L72)))</f>
        <v/>
      </c>
      <c r="K72" s="9" t="str">
        <f aca="false">IFERROR(SMALL('Stock Register'!$Q$7:$Q$506,61),"")</f>
        <v/>
      </c>
      <c r="L72" s="9" t="str">
        <f aca="false">IF(K72="","",MATCH(K72,'Stock Register'!$Q$7:$Q$506,0))</f>
        <v/>
      </c>
    </row>
    <row r="73" customFormat="false" ht="15" hidden="false" customHeight="false" outlineLevel="0" collapsed="false">
      <c r="A73" s="74" t="str">
        <f aca="false">IF($L73="","",INDEX('Stock Register'!$B$7:$B$506,$L73))</f>
        <v/>
      </c>
      <c r="B73" s="75" t="str">
        <f aca="false">IF($L73="","",INDEX('Stock Register'!$I$7:$I$506,$L73))</f>
        <v/>
      </c>
      <c r="C73" s="47" t="str">
        <f aca="false">IF($L73="","",INDEX('Stock Register'!$H$7:$H$506,$L73))</f>
        <v/>
      </c>
      <c r="D73" s="76" t="str">
        <f aca="false">IF($L73="","",IF(INDEX('Stock Register'!$E$7:$E$506,$L73)="In",INDEX('Stock Register'!$F$7:$F$506,$L73),""))</f>
        <v/>
      </c>
      <c r="E73" s="77" t="str">
        <f aca="false">IF($L73="","",IF(INDEX('Stock Register'!$E$7:$E$506,$L73)="Out",INDEX('Stock Register'!$F$7:$F$506,$L73),""))</f>
        <v/>
      </c>
      <c r="F73" s="48" t="str">
        <f aca="false">IF($L73="","",INDEX('Stock Register'!$K$7:$K$506,$L73))</f>
        <v/>
      </c>
      <c r="G73" s="73" t="str">
        <f aca="false">IF($L73="","",INDEX('Stock Register'!$G$7:$G$506,$L73))</f>
        <v/>
      </c>
      <c r="H73" s="41" t="str">
        <f aca="false">IF(D73="","",IF($L73="","",INDEX('Stock Register'!$J$7:$J$506,$L73)))</f>
        <v/>
      </c>
      <c r="I73" s="41" t="str">
        <f aca="false">IF(E73="","",IF($L73="","",INDEX('Stock Register'!$J$7:$J$506,$L73)))</f>
        <v/>
      </c>
      <c r="K73" s="9" t="str">
        <f aca="false">IFERROR(SMALL('Stock Register'!$Q$7:$Q$506,62),"")</f>
        <v/>
      </c>
      <c r="L73" s="9" t="str">
        <f aca="false">IF(K73="","",MATCH(K73,'Stock Register'!$Q$7:$Q$506,0))</f>
        <v/>
      </c>
    </row>
    <row r="74" customFormat="false" ht="15" hidden="false" customHeight="false" outlineLevel="0" collapsed="false">
      <c r="A74" s="74" t="str">
        <f aca="false">IF($L74="","",INDEX('Stock Register'!$B$7:$B$506,$L74))</f>
        <v/>
      </c>
      <c r="B74" s="75" t="str">
        <f aca="false">IF($L74="","",INDEX('Stock Register'!$I$7:$I$506,$L74))</f>
        <v/>
      </c>
      <c r="C74" s="47" t="str">
        <f aca="false">IF($L74="","",INDEX('Stock Register'!$H$7:$H$506,$L74))</f>
        <v/>
      </c>
      <c r="D74" s="76" t="str">
        <f aca="false">IF($L74="","",IF(INDEX('Stock Register'!$E$7:$E$506,$L74)="In",INDEX('Stock Register'!$F$7:$F$506,$L74),""))</f>
        <v/>
      </c>
      <c r="E74" s="77" t="str">
        <f aca="false">IF($L74="","",IF(INDEX('Stock Register'!$E$7:$E$506,$L74)="Out",INDEX('Stock Register'!$F$7:$F$506,$L74),""))</f>
        <v/>
      </c>
      <c r="F74" s="48" t="str">
        <f aca="false">IF($L74="","",INDEX('Stock Register'!$K$7:$K$506,$L74))</f>
        <v/>
      </c>
      <c r="G74" s="73" t="str">
        <f aca="false">IF($L74="","",INDEX('Stock Register'!$G$7:$G$506,$L74))</f>
        <v/>
      </c>
      <c r="H74" s="41" t="str">
        <f aca="false">IF(D74="","",IF($L74="","",INDEX('Stock Register'!$J$7:$J$506,$L74)))</f>
        <v/>
      </c>
      <c r="I74" s="41" t="str">
        <f aca="false">IF(E74="","",IF($L74="","",INDEX('Stock Register'!$J$7:$J$506,$L74)))</f>
        <v/>
      </c>
      <c r="K74" s="9" t="str">
        <f aca="false">IFERROR(SMALL('Stock Register'!$Q$7:$Q$506,63),"")</f>
        <v/>
      </c>
      <c r="L74" s="9" t="str">
        <f aca="false">IF(K74="","",MATCH(K74,'Stock Register'!$Q$7:$Q$506,0))</f>
        <v/>
      </c>
    </row>
    <row r="75" customFormat="false" ht="15" hidden="false" customHeight="false" outlineLevel="0" collapsed="false">
      <c r="A75" s="74" t="str">
        <f aca="false">IF($L75="","",INDEX('Stock Register'!$B$7:$B$506,$L75))</f>
        <v/>
      </c>
      <c r="B75" s="75" t="str">
        <f aca="false">IF($L75="","",INDEX('Stock Register'!$I$7:$I$506,$L75))</f>
        <v/>
      </c>
      <c r="C75" s="47" t="str">
        <f aca="false">IF($L75="","",INDEX('Stock Register'!$H$7:$H$506,$L75))</f>
        <v/>
      </c>
      <c r="D75" s="76" t="str">
        <f aca="false">IF($L75="","",IF(INDEX('Stock Register'!$E$7:$E$506,$L75)="In",INDEX('Stock Register'!$F$7:$F$506,$L75),""))</f>
        <v/>
      </c>
      <c r="E75" s="77" t="str">
        <f aca="false">IF($L75="","",IF(INDEX('Stock Register'!$E$7:$E$506,$L75)="Out",INDEX('Stock Register'!$F$7:$F$506,$L75),""))</f>
        <v/>
      </c>
      <c r="F75" s="48" t="str">
        <f aca="false">IF($L75="","",INDEX('Stock Register'!$K$7:$K$506,$L75))</f>
        <v/>
      </c>
      <c r="G75" s="73" t="str">
        <f aca="false">IF($L75="","",INDEX('Stock Register'!$G$7:$G$506,$L75))</f>
        <v/>
      </c>
      <c r="H75" s="41" t="str">
        <f aca="false">IF(D75="","",IF($L75="","",INDEX('Stock Register'!$J$7:$J$506,$L75)))</f>
        <v/>
      </c>
      <c r="I75" s="41" t="str">
        <f aca="false">IF(E75="","",IF($L75="","",INDEX('Stock Register'!$J$7:$J$506,$L75)))</f>
        <v/>
      </c>
      <c r="K75" s="9" t="str">
        <f aca="false">IFERROR(SMALL('Stock Register'!$Q$7:$Q$506,64),"")</f>
        <v/>
      </c>
      <c r="L75" s="9" t="str">
        <f aca="false">IF(K75="","",MATCH(K75,'Stock Register'!$Q$7:$Q$506,0))</f>
        <v/>
      </c>
    </row>
    <row r="76" customFormat="false" ht="15" hidden="false" customHeight="false" outlineLevel="0" collapsed="false">
      <c r="A76" s="74" t="str">
        <f aca="false">IF($L76="","",INDEX('Stock Register'!$B$7:$B$506,$L76))</f>
        <v/>
      </c>
      <c r="B76" s="75" t="str">
        <f aca="false">IF($L76="","",INDEX('Stock Register'!$I$7:$I$506,$L76))</f>
        <v/>
      </c>
      <c r="C76" s="47" t="str">
        <f aca="false">IF($L76="","",INDEX('Stock Register'!$H$7:$H$506,$L76))</f>
        <v/>
      </c>
      <c r="D76" s="76" t="str">
        <f aca="false">IF($L76="","",IF(INDEX('Stock Register'!$E$7:$E$506,$L76)="In",INDEX('Stock Register'!$F$7:$F$506,$L76),""))</f>
        <v/>
      </c>
      <c r="E76" s="77" t="str">
        <f aca="false">IF($L76="","",IF(INDEX('Stock Register'!$E$7:$E$506,$L76)="Out",INDEX('Stock Register'!$F$7:$F$506,$L76),""))</f>
        <v/>
      </c>
      <c r="F76" s="48" t="str">
        <f aca="false">IF($L76="","",INDEX('Stock Register'!$K$7:$K$506,$L76))</f>
        <v/>
      </c>
      <c r="G76" s="73" t="str">
        <f aca="false">IF($L76="","",INDEX('Stock Register'!$G$7:$G$506,$L76))</f>
        <v/>
      </c>
      <c r="H76" s="41" t="str">
        <f aca="false">IF(D76="","",IF($L76="","",INDEX('Stock Register'!$J$7:$J$506,$L76)))</f>
        <v/>
      </c>
      <c r="I76" s="41" t="str">
        <f aca="false">IF(E76="","",IF($L76="","",INDEX('Stock Register'!$J$7:$J$506,$L76)))</f>
        <v/>
      </c>
      <c r="K76" s="9" t="str">
        <f aca="false">IFERROR(SMALL('Stock Register'!$Q$7:$Q$506,65),"")</f>
        <v/>
      </c>
      <c r="L76" s="9" t="str">
        <f aca="false">IF(K76="","",MATCH(K76,'Stock Register'!$Q$7:$Q$506,0))</f>
        <v/>
      </c>
    </row>
    <row r="77" customFormat="false" ht="15" hidden="false" customHeight="false" outlineLevel="0" collapsed="false">
      <c r="A77" s="74" t="str">
        <f aca="false">IF($L77="","",INDEX('Stock Register'!$B$7:$B$506,$L77))</f>
        <v/>
      </c>
      <c r="B77" s="75" t="str">
        <f aca="false">IF($L77="","",INDEX('Stock Register'!$I$7:$I$506,$L77))</f>
        <v/>
      </c>
      <c r="C77" s="47" t="str">
        <f aca="false">IF($L77="","",INDEX('Stock Register'!$H$7:$H$506,$L77))</f>
        <v/>
      </c>
      <c r="D77" s="76" t="str">
        <f aca="false">IF($L77="","",IF(INDEX('Stock Register'!$E$7:$E$506,$L77)="In",INDEX('Stock Register'!$F$7:$F$506,$L77),""))</f>
        <v/>
      </c>
      <c r="E77" s="77" t="str">
        <f aca="false">IF($L77="","",IF(INDEX('Stock Register'!$E$7:$E$506,$L77)="Out",INDEX('Stock Register'!$F$7:$F$506,$L77),""))</f>
        <v/>
      </c>
      <c r="F77" s="48" t="str">
        <f aca="false">IF($L77="","",INDEX('Stock Register'!$K$7:$K$506,$L77))</f>
        <v/>
      </c>
      <c r="G77" s="73" t="str">
        <f aca="false">IF($L77="","",INDEX('Stock Register'!$G$7:$G$506,$L77))</f>
        <v/>
      </c>
      <c r="H77" s="41" t="str">
        <f aca="false">IF(D77="","",IF($L77="","",INDEX('Stock Register'!$J$7:$J$506,$L77)))</f>
        <v/>
      </c>
      <c r="I77" s="41" t="str">
        <f aca="false">IF(E77="","",IF($L77="","",INDEX('Stock Register'!$J$7:$J$506,$L77)))</f>
        <v/>
      </c>
      <c r="K77" s="9" t="str">
        <f aca="false">IFERROR(SMALL('Stock Register'!$Q$7:$Q$506,66),"")</f>
        <v/>
      </c>
      <c r="L77" s="9" t="str">
        <f aca="false">IF(K77="","",MATCH(K77,'Stock Register'!$Q$7:$Q$506,0))</f>
        <v/>
      </c>
    </row>
    <row r="78" customFormat="false" ht="15" hidden="false" customHeight="false" outlineLevel="0" collapsed="false">
      <c r="A78" s="74" t="str">
        <f aca="false">IF($L78="","",INDEX('Stock Register'!$B$7:$B$506,$L78))</f>
        <v/>
      </c>
      <c r="B78" s="75" t="str">
        <f aca="false">IF($L78="","",INDEX('Stock Register'!$I$7:$I$506,$L78))</f>
        <v/>
      </c>
      <c r="C78" s="47" t="str">
        <f aca="false">IF($L78="","",INDEX('Stock Register'!$H$7:$H$506,$L78))</f>
        <v/>
      </c>
      <c r="D78" s="76" t="str">
        <f aca="false">IF($L78="","",IF(INDEX('Stock Register'!$E$7:$E$506,$L78)="In",INDEX('Stock Register'!$F$7:$F$506,$L78),""))</f>
        <v/>
      </c>
      <c r="E78" s="77" t="str">
        <f aca="false">IF($L78="","",IF(INDEX('Stock Register'!$E$7:$E$506,$L78)="Out",INDEX('Stock Register'!$F$7:$F$506,$L78),""))</f>
        <v/>
      </c>
      <c r="F78" s="48" t="str">
        <f aca="false">IF($L78="","",INDEX('Stock Register'!$K$7:$K$506,$L78))</f>
        <v/>
      </c>
      <c r="G78" s="73" t="str">
        <f aca="false">IF($L78="","",INDEX('Stock Register'!$G$7:$G$506,$L78))</f>
        <v/>
      </c>
      <c r="H78" s="41" t="str">
        <f aca="false">IF(D78="","",IF($L78="","",INDEX('Stock Register'!$J$7:$J$506,$L78)))</f>
        <v/>
      </c>
      <c r="I78" s="41" t="str">
        <f aca="false">IF(E78="","",IF($L78="","",INDEX('Stock Register'!$J$7:$J$506,$L78)))</f>
        <v/>
      </c>
      <c r="K78" s="9" t="str">
        <f aca="false">IFERROR(SMALL('Stock Register'!$Q$7:$Q$506,67),"")</f>
        <v/>
      </c>
      <c r="L78" s="9" t="str">
        <f aca="false">IF(K78="","",MATCH(K78,'Stock Register'!$Q$7:$Q$506,0))</f>
        <v/>
      </c>
    </row>
    <row r="79" customFormat="false" ht="15" hidden="false" customHeight="false" outlineLevel="0" collapsed="false">
      <c r="A79" s="74" t="str">
        <f aca="false">IF($L79="","",INDEX('Stock Register'!$B$7:$B$506,$L79))</f>
        <v/>
      </c>
      <c r="B79" s="75" t="str">
        <f aca="false">IF($L79="","",INDEX('Stock Register'!$I$7:$I$506,$L79))</f>
        <v/>
      </c>
      <c r="C79" s="47" t="str">
        <f aca="false">IF($L79="","",INDEX('Stock Register'!$H$7:$H$506,$L79))</f>
        <v/>
      </c>
      <c r="D79" s="76" t="str">
        <f aca="false">IF($L79="","",IF(INDEX('Stock Register'!$E$7:$E$506,$L79)="In",INDEX('Stock Register'!$F$7:$F$506,$L79),""))</f>
        <v/>
      </c>
      <c r="E79" s="77" t="str">
        <f aca="false">IF($L79="","",IF(INDEX('Stock Register'!$E$7:$E$506,$L79)="Out",INDEX('Stock Register'!$F$7:$F$506,$L79),""))</f>
        <v/>
      </c>
      <c r="F79" s="48" t="str">
        <f aca="false">IF($L79="","",INDEX('Stock Register'!$K$7:$K$506,$L79))</f>
        <v/>
      </c>
      <c r="G79" s="73" t="str">
        <f aca="false">IF($L79="","",INDEX('Stock Register'!$G$7:$G$506,$L79))</f>
        <v/>
      </c>
      <c r="H79" s="41" t="str">
        <f aca="false">IF(D79="","",IF($L79="","",INDEX('Stock Register'!$J$7:$J$506,$L79)))</f>
        <v/>
      </c>
      <c r="I79" s="41" t="str">
        <f aca="false">IF(E79="","",IF($L79="","",INDEX('Stock Register'!$J$7:$J$506,$L79)))</f>
        <v/>
      </c>
      <c r="K79" s="9" t="str">
        <f aca="false">IFERROR(SMALL('Stock Register'!$Q$7:$Q$506,68),"")</f>
        <v/>
      </c>
      <c r="L79" s="9" t="str">
        <f aca="false">IF(K79="","",MATCH(K79,'Stock Register'!$Q$7:$Q$506,0))</f>
        <v/>
      </c>
    </row>
    <row r="80" customFormat="false" ht="15" hidden="false" customHeight="false" outlineLevel="0" collapsed="false">
      <c r="A80" s="74" t="str">
        <f aca="false">IF($L80="","",INDEX('Stock Register'!$B$7:$B$506,$L80))</f>
        <v/>
      </c>
      <c r="B80" s="75" t="str">
        <f aca="false">IF($L80="","",INDEX('Stock Register'!$I$7:$I$506,$L80))</f>
        <v/>
      </c>
      <c r="C80" s="47" t="str">
        <f aca="false">IF($L80="","",INDEX('Stock Register'!$H$7:$H$506,$L80))</f>
        <v/>
      </c>
      <c r="D80" s="76" t="str">
        <f aca="false">IF($L80="","",IF(INDEX('Stock Register'!$E$7:$E$506,$L80)="In",INDEX('Stock Register'!$F$7:$F$506,$L80),""))</f>
        <v/>
      </c>
      <c r="E80" s="77" t="str">
        <f aca="false">IF($L80="","",IF(INDEX('Stock Register'!$E$7:$E$506,$L80)="Out",INDEX('Stock Register'!$F$7:$F$506,$L80),""))</f>
        <v/>
      </c>
      <c r="F80" s="48" t="str">
        <f aca="false">IF($L80="","",INDEX('Stock Register'!$K$7:$K$506,$L80))</f>
        <v/>
      </c>
      <c r="G80" s="73" t="str">
        <f aca="false">IF($L80="","",INDEX('Stock Register'!$G$7:$G$506,$L80))</f>
        <v/>
      </c>
      <c r="H80" s="41" t="str">
        <f aca="false">IF(D80="","",IF($L80="","",INDEX('Stock Register'!$J$7:$J$506,$L80)))</f>
        <v/>
      </c>
      <c r="I80" s="41" t="str">
        <f aca="false">IF(E80="","",IF($L80="","",INDEX('Stock Register'!$J$7:$J$506,$L80)))</f>
        <v/>
      </c>
      <c r="K80" s="9" t="str">
        <f aca="false">IFERROR(SMALL('Stock Register'!$Q$7:$Q$506,69),"")</f>
        <v/>
      </c>
      <c r="L80" s="9" t="str">
        <f aca="false">IF(K80="","",MATCH(K80,'Stock Register'!$Q$7:$Q$506,0))</f>
        <v/>
      </c>
    </row>
    <row r="81" customFormat="false" ht="15" hidden="false" customHeight="false" outlineLevel="0" collapsed="false">
      <c r="A81" s="74" t="str">
        <f aca="false">IF($L81="","",INDEX('Stock Register'!$B$7:$B$506,$L81))</f>
        <v/>
      </c>
      <c r="B81" s="75" t="str">
        <f aca="false">IF($L81="","",INDEX('Stock Register'!$I$7:$I$506,$L81))</f>
        <v/>
      </c>
      <c r="C81" s="47" t="str">
        <f aca="false">IF($L81="","",INDEX('Stock Register'!$H$7:$H$506,$L81))</f>
        <v/>
      </c>
      <c r="D81" s="76" t="str">
        <f aca="false">IF($L81="","",IF(INDEX('Stock Register'!$E$7:$E$506,$L81)="In",INDEX('Stock Register'!$F$7:$F$506,$L81),""))</f>
        <v/>
      </c>
      <c r="E81" s="77" t="str">
        <f aca="false">IF($L81="","",IF(INDEX('Stock Register'!$E$7:$E$506,$L81)="Out",INDEX('Stock Register'!$F$7:$F$506,$L81),""))</f>
        <v/>
      </c>
      <c r="F81" s="48" t="str">
        <f aca="false">IF($L81="","",INDEX('Stock Register'!$K$7:$K$506,$L81))</f>
        <v/>
      </c>
      <c r="G81" s="73" t="str">
        <f aca="false">IF($L81="","",INDEX('Stock Register'!$G$7:$G$506,$L81))</f>
        <v/>
      </c>
      <c r="H81" s="41" t="str">
        <f aca="false">IF(D81="","",IF($L81="","",INDEX('Stock Register'!$J$7:$J$506,$L81)))</f>
        <v/>
      </c>
      <c r="I81" s="41" t="str">
        <f aca="false">IF(E81="","",IF($L81="","",INDEX('Stock Register'!$J$7:$J$506,$L81)))</f>
        <v/>
      </c>
      <c r="K81" s="9" t="str">
        <f aca="false">IFERROR(SMALL('Stock Register'!$Q$7:$Q$506,70),"")</f>
        <v/>
      </c>
      <c r="L81" s="9" t="str">
        <f aca="false">IF(K81="","",MATCH(K81,'Stock Register'!$Q$7:$Q$506,0))</f>
        <v/>
      </c>
    </row>
    <row r="82" customFormat="false" ht="15" hidden="false" customHeight="false" outlineLevel="0" collapsed="false">
      <c r="A82" s="74" t="str">
        <f aca="false">IF($L82="","",INDEX('Stock Register'!$B$7:$B$506,$L82))</f>
        <v/>
      </c>
      <c r="B82" s="75" t="str">
        <f aca="false">IF($L82="","",INDEX('Stock Register'!$I$7:$I$506,$L82))</f>
        <v/>
      </c>
      <c r="C82" s="47" t="str">
        <f aca="false">IF($L82="","",INDEX('Stock Register'!$H$7:$H$506,$L82))</f>
        <v/>
      </c>
      <c r="D82" s="76" t="str">
        <f aca="false">IF($L82="","",IF(INDEX('Stock Register'!$E$7:$E$506,$L82)="In",INDEX('Stock Register'!$F$7:$F$506,$L82),""))</f>
        <v/>
      </c>
      <c r="E82" s="77" t="str">
        <f aca="false">IF($L82="","",IF(INDEX('Stock Register'!$E$7:$E$506,$L82)="Out",INDEX('Stock Register'!$F$7:$F$506,$L82),""))</f>
        <v/>
      </c>
      <c r="F82" s="48" t="str">
        <f aca="false">IF($L82="","",INDEX('Stock Register'!$K$7:$K$506,$L82))</f>
        <v/>
      </c>
      <c r="G82" s="73" t="str">
        <f aca="false">IF($L82="","",INDEX('Stock Register'!$G$7:$G$506,$L82))</f>
        <v/>
      </c>
      <c r="H82" s="41" t="str">
        <f aca="false">IF(D82="","",IF($L82="","",INDEX('Stock Register'!$J$7:$J$506,$L82)))</f>
        <v/>
      </c>
      <c r="I82" s="41" t="str">
        <f aca="false">IF(E82="","",IF($L82="","",INDEX('Stock Register'!$J$7:$J$506,$L82)))</f>
        <v/>
      </c>
      <c r="K82" s="9" t="str">
        <f aca="false">IFERROR(SMALL('Stock Register'!$Q$7:$Q$506,71),"")</f>
        <v/>
      </c>
      <c r="L82" s="9" t="str">
        <f aca="false">IF(K82="","",MATCH(K82,'Stock Register'!$Q$7:$Q$506,0))</f>
        <v/>
      </c>
    </row>
    <row r="83" customFormat="false" ht="15" hidden="false" customHeight="false" outlineLevel="0" collapsed="false">
      <c r="A83" s="74" t="str">
        <f aca="false">IF($L83="","",INDEX('Stock Register'!$B$7:$B$506,$L83))</f>
        <v/>
      </c>
      <c r="B83" s="75" t="str">
        <f aca="false">IF($L83="","",INDEX('Stock Register'!$I$7:$I$506,$L83))</f>
        <v/>
      </c>
      <c r="C83" s="47" t="str">
        <f aca="false">IF($L83="","",INDEX('Stock Register'!$H$7:$H$506,$L83))</f>
        <v/>
      </c>
      <c r="D83" s="76" t="str">
        <f aca="false">IF($L83="","",IF(INDEX('Stock Register'!$E$7:$E$506,$L83)="In",INDEX('Stock Register'!$F$7:$F$506,$L83),""))</f>
        <v/>
      </c>
      <c r="E83" s="77" t="str">
        <f aca="false">IF($L83="","",IF(INDEX('Stock Register'!$E$7:$E$506,$L83)="Out",INDEX('Stock Register'!$F$7:$F$506,$L83),""))</f>
        <v/>
      </c>
      <c r="F83" s="48" t="str">
        <f aca="false">IF($L83="","",INDEX('Stock Register'!$K$7:$K$506,$L83))</f>
        <v/>
      </c>
      <c r="G83" s="73" t="str">
        <f aca="false">IF($L83="","",INDEX('Stock Register'!$G$7:$G$506,$L83))</f>
        <v/>
      </c>
      <c r="H83" s="41" t="str">
        <f aca="false">IF(D83="","",IF($L83="","",INDEX('Stock Register'!$J$7:$J$506,$L83)))</f>
        <v/>
      </c>
      <c r="I83" s="41" t="str">
        <f aca="false">IF(E83="","",IF($L83="","",INDEX('Stock Register'!$J$7:$J$506,$L83)))</f>
        <v/>
      </c>
      <c r="K83" s="9" t="str">
        <f aca="false">IFERROR(SMALL('Stock Register'!$Q$7:$Q$506,72),"")</f>
        <v/>
      </c>
      <c r="L83" s="9" t="str">
        <f aca="false">IF(K83="","",MATCH(K83,'Stock Register'!$Q$7:$Q$506,0))</f>
        <v/>
      </c>
    </row>
    <row r="84" customFormat="false" ht="15" hidden="false" customHeight="false" outlineLevel="0" collapsed="false">
      <c r="A84" s="74" t="str">
        <f aca="false">IF($L84="","",INDEX('Stock Register'!$B$7:$B$506,$L84))</f>
        <v/>
      </c>
      <c r="B84" s="75" t="str">
        <f aca="false">IF($L84="","",INDEX('Stock Register'!$I$7:$I$506,$L84))</f>
        <v/>
      </c>
      <c r="C84" s="47" t="str">
        <f aca="false">IF($L84="","",INDEX('Stock Register'!$H$7:$H$506,$L84))</f>
        <v/>
      </c>
      <c r="D84" s="76" t="str">
        <f aca="false">IF($L84="","",IF(INDEX('Stock Register'!$E$7:$E$506,$L84)="In",INDEX('Stock Register'!$F$7:$F$506,$L84),""))</f>
        <v/>
      </c>
      <c r="E84" s="77" t="str">
        <f aca="false">IF($L84="","",IF(INDEX('Stock Register'!$E$7:$E$506,$L84)="Out",INDEX('Stock Register'!$F$7:$F$506,$L84),""))</f>
        <v/>
      </c>
      <c r="F84" s="48" t="str">
        <f aca="false">IF($L84="","",INDEX('Stock Register'!$K$7:$K$506,$L84))</f>
        <v/>
      </c>
      <c r="G84" s="73" t="str">
        <f aca="false">IF($L84="","",INDEX('Stock Register'!$G$7:$G$506,$L84))</f>
        <v/>
      </c>
      <c r="H84" s="41" t="str">
        <f aca="false">IF(D84="","",IF($L84="","",INDEX('Stock Register'!$J$7:$J$506,$L84)))</f>
        <v/>
      </c>
      <c r="I84" s="41" t="str">
        <f aca="false">IF(E84="","",IF($L84="","",INDEX('Stock Register'!$J$7:$J$506,$L84)))</f>
        <v/>
      </c>
      <c r="K84" s="9" t="str">
        <f aca="false">IFERROR(SMALL('Stock Register'!$Q$7:$Q$506,73),"")</f>
        <v/>
      </c>
      <c r="L84" s="9" t="str">
        <f aca="false">IF(K84="","",MATCH(K84,'Stock Register'!$Q$7:$Q$506,0))</f>
        <v/>
      </c>
    </row>
    <row r="85" customFormat="false" ht="15" hidden="false" customHeight="false" outlineLevel="0" collapsed="false">
      <c r="A85" s="74" t="str">
        <f aca="false">IF($L85="","",INDEX('Stock Register'!$B$7:$B$506,$L85))</f>
        <v/>
      </c>
      <c r="B85" s="75" t="str">
        <f aca="false">IF($L85="","",INDEX('Stock Register'!$I$7:$I$506,$L85))</f>
        <v/>
      </c>
      <c r="C85" s="47" t="str">
        <f aca="false">IF($L85="","",INDEX('Stock Register'!$H$7:$H$506,$L85))</f>
        <v/>
      </c>
      <c r="D85" s="76" t="str">
        <f aca="false">IF($L85="","",IF(INDEX('Stock Register'!$E$7:$E$506,$L85)="In",INDEX('Stock Register'!$F$7:$F$506,$L85),""))</f>
        <v/>
      </c>
      <c r="E85" s="77" t="str">
        <f aca="false">IF($L85="","",IF(INDEX('Stock Register'!$E$7:$E$506,$L85)="Out",INDEX('Stock Register'!$F$7:$F$506,$L85),""))</f>
        <v/>
      </c>
      <c r="F85" s="48" t="str">
        <f aca="false">IF($L85="","",INDEX('Stock Register'!$K$7:$K$506,$L85))</f>
        <v/>
      </c>
      <c r="G85" s="73" t="str">
        <f aca="false">IF($L85="","",INDEX('Stock Register'!$G$7:$G$506,$L85))</f>
        <v/>
      </c>
      <c r="H85" s="41" t="str">
        <f aca="false">IF(D85="","",IF($L85="","",INDEX('Stock Register'!$J$7:$J$506,$L85)))</f>
        <v/>
      </c>
      <c r="I85" s="41" t="str">
        <f aca="false">IF(E85="","",IF($L85="","",INDEX('Stock Register'!$J$7:$J$506,$L85)))</f>
        <v/>
      </c>
      <c r="K85" s="9" t="str">
        <f aca="false">IFERROR(SMALL('Stock Register'!$Q$7:$Q$506,74),"")</f>
        <v/>
      </c>
      <c r="L85" s="9" t="str">
        <f aca="false">IF(K85="","",MATCH(K85,'Stock Register'!$Q$7:$Q$506,0))</f>
        <v/>
      </c>
    </row>
    <row r="86" customFormat="false" ht="15" hidden="false" customHeight="false" outlineLevel="0" collapsed="false">
      <c r="A86" s="74" t="str">
        <f aca="false">IF($L86="","",INDEX('Stock Register'!$B$7:$B$506,$L86))</f>
        <v/>
      </c>
      <c r="B86" s="75" t="str">
        <f aca="false">IF($L86="","",INDEX('Stock Register'!$I$7:$I$506,$L86))</f>
        <v/>
      </c>
      <c r="C86" s="47" t="str">
        <f aca="false">IF($L86="","",INDEX('Stock Register'!$H$7:$H$506,$L86))</f>
        <v/>
      </c>
      <c r="D86" s="76" t="str">
        <f aca="false">IF($L86="","",IF(INDEX('Stock Register'!$E$7:$E$506,$L86)="In",INDEX('Stock Register'!$F$7:$F$506,$L86),""))</f>
        <v/>
      </c>
      <c r="E86" s="77" t="str">
        <f aca="false">IF($L86="","",IF(INDEX('Stock Register'!$E$7:$E$506,$L86)="Out",INDEX('Stock Register'!$F$7:$F$506,$L86),""))</f>
        <v/>
      </c>
      <c r="F86" s="48" t="str">
        <f aca="false">IF($L86="","",INDEX('Stock Register'!$K$7:$K$506,$L86))</f>
        <v/>
      </c>
      <c r="G86" s="73" t="str">
        <f aca="false">IF($L86="","",INDEX('Stock Register'!$G$7:$G$506,$L86))</f>
        <v/>
      </c>
      <c r="H86" s="41" t="str">
        <f aca="false">IF(D86="","",IF($L86="","",INDEX('Stock Register'!$J$7:$J$506,$L86)))</f>
        <v/>
      </c>
      <c r="I86" s="41" t="str">
        <f aca="false">IF(E86="","",IF($L86="","",INDEX('Stock Register'!$J$7:$J$506,$L86)))</f>
        <v/>
      </c>
      <c r="K86" s="9" t="str">
        <f aca="false">IFERROR(SMALL('Stock Register'!$Q$7:$Q$506,75),"")</f>
        <v/>
      </c>
      <c r="L86" s="9" t="str">
        <f aca="false">IF(K86="","",MATCH(K86,'Stock Register'!$Q$7:$Q$506,0))</f>
        <v/>
      </c>
    </row>
    <row r="87" customFormat="false" ht="15" hidden="false" customHeight="false" outlineLevel="0" collapsed="false">
      <c r="A87" s="74" t="str">
        <f aca="false">IF($L87="","",INDEX('Stock Register'!$B$7:$B$506,$L87))</f>
        <v/>
      </c>
      <c r="B87" s="75" t="str">
        <f aca="false">IF($L87="","",INDEX('Stock Register'!$I$7:$I$506,$L87))</f>
        <v/>
      </c>
      <c r="C87" s="47" t="str">
        <f aca="false">IF($L87="","",INDEX('Stock Register'!$H$7:$H$506,$L87))</f>
        <v/>
      </c>
      <c r="D87" s="76" t="str">
        <f aca="false">IF($L87="","",IF(INDEX('Stock Register'!$E$7:$E$506,$L87)="In",INDEX('Stock Register'!$F$7:$F$506,$L87),""))</f>
        <v/>
      </c>
      <c r="E87" s="77" t="str">
        <f aca="false">IF($L87="","",IF(INDEX('Stock Register'!$E$7:$E$506,$L87)="Out",INDEX('Stock Register'!$F$7:$F$506,$L87),""))</f>
        <v/>
      </c>
      <c r="F87" s="48" t="str">
        <f aca="false">IF($L87="","",INDEX('Stock Register'!$K$7:$K$506,$L87))</f>
        <v/>
      </c>
      <c r="G87" s="73" t="str">
        <f aca="false">IF($L87="","",INDEX('Stock Register'!$G$7:$G$506,$L87))</f>
        <v/>
      </c>
      <c r="H87" s="41" t="str">
        <f aca="false">IF(D87="","",IF($L87="","",INDEX('Stock Register'!$J$7:$J$506,$L87)))</f>
        <v/>
      </c>
      <c r="I87" s="41" t="str">
        <f aca="false">IF(E87="","",IF($L87="","",INDEX('Stock Register'!$J$7:$J$506,$L87)))</f>
        <v/>
      </c>
      <c r="K87" s="9" t="str">
        <f aca="false">IFERROR(SMALL('Stock Register'!$Q$7:$Q$506,76),"")</f>
        <v/>
      </c>
      <c r="L87" s="9" t="str">
        <f aca="false">IF(K87="","",MATCH(K87,'Stock Register'!$Q$7:$Q$506,0))</f>
        <v/>
      </c>
    </row>
    <row r="88" customFormat="false" ht="15" hidden="false" customHeight="false" outlineLevel="0" collapsed="false">
      <c r="A88" s="74" t="str">
        <f aca="false">IF($L88="","",INDEX('Stock Register'!$B$7:$B$506,$L88))</f>
        <v/>
      </c>
      <c r="B88" s="75" t="str">
        <f aca="false">IF($L88="","",INDEX('Stock Register'!$I$7:$I$506,$L88))</f>
        <v/>
      </c>
      <c r="C88" s="47" t="str">
        <f aca="false">IF($L88="","",INDEX('Stock Register'!$H$7:$H$506,$L88))</f>
        <v/>
      </c>
      <c r="D88" s="76" t="str">
        <f aca="false">IF($L88="","",IF(INDEX('Stock Register'!$E$7:$E$506,$L88)="In",INDEX('Stock Register'!$F$7:$F$506,$L88),""))</f>
        <v/>
      </c>
      <c r="E88" s="77" t="str">
        <f aca="false">IF($L88="","",IF(INDEX('Stock Register'!$E$7:$E$506,$L88)="Out",INDEX('Stock Register'!$F$7:$F$506,$L88),""))</f>
        <v/>
      </c>
      <c r="F88" s="48" t="str">
        <f aca="false">IF($L88="","",INDEX('Stock Register'!$K$7:$K$506,$L88))</f>
        <v/>
      </c>
      <c r="G88" s="73" t="str">
        <f aca="false">IF($L88="","",INDEX('Stock Register'!$G$7:$G$506,$L88))</f>
        <v/>
      </c>
      <c r="H88" s="41" t="str">
        <f aca="false">IF(D88="","",IF($L88="","",INDEX('Stock Register'!$J$7:$J$506,$L88)))</f>
        <v/>
      </c>
      <c r="I88" s="41" t="str">
        <f aca="false">IF(E88="","",IF($L88="","",INDEX('Stock Register'!$J$7:$J$506,$L88)))</f>
        <v/>
      </c>
      <c r="K88" s="9" t="str">
        <f aca="false">IFERROR(SMALL('Stock Register'!$Q$7:$Q$506,77),"")</f>
        <v/>
      </c>
      <c r="L88" s="9" t="str">
        <f aca="false">IF(K88="","",MATCH(K88,'Stock Register'!$Q$7:$Q$506,0))</f>
        <v/>
      </c>
    </row>
    <row r="89" customFormat="false" ht="15" hidden="false" customHeight="false" outlineLevel="0" collapsed="false">
      <c r="A89" s="74" t="str">
        <f aca="false">IF($L89="","",INDEX('Stock Register'!$B$7:$B$506,$L89))</f>
        <v/>
      </c>
      <c r="B89" s="75" t="str">
        <f aca="false">IF($L89="","",INDEX('Stock Register'!$I$7:$I$506,$L89))</f>
        <v/>
      </c>
      <c r="C89" s="47" t="str">
        <f aca="false">IF($L89="","",INDEX('Stock Register'!$H$7:$H$506,$L89))</f>
        <v/>
      </c>
      <c r="D89" s="76" t="str">
        <f aca="false">IF($L89="","",IF(INDEX('Stock Register'!$E$7:$E$506,$L89)="In",INDEX('Stock Register'!$F$7:$F$506,$L89),""))</f>
        <v/>
      </c>
      <c r="E89" s="77" t="str">
        <f aca="false">IF($L89="","",IF(INDEX('Stock Register'!$E$7:$E$506,$L89)="Out",INDEX('Stock Register'!$F$7:$F$506,$L89),""))</f>
        <v/>
      </c>
      <c r="F89" s="48" t="str">
        <f aca="false">IF($L89="","",INDEX('Stock Register'!$K$7:$K$506,$L89))</f>
        <v/>
      </c>
      <c r="G89" s="73" t="str">
        <f aca="false">IF($L89="","",INDEX('Stock Register'!$G$7:$G$506,$L89))</f>
        <v/>
      </c>
      <c r="H89" s="41" t="str">
        <f aca="false">IF(D89="","",IF($L89="","",INDEX('Stock Register'!$J$7:$J$506,$L89)))</f>
        <v/>
      </c>
      <c r="I89" s="41" t="str">
        <f aca="false">IF(E89="","",IF($L89="","",INDEX('Stock Register'!$J$7:$J$506,$L89)))</f>
        <v/>
      </c>
      <c r="K89" s="9" t="str">
        <f aca="false">IFERROR(SMALL('Stock Register'!$Q$7:$Q$506,78),"")</f>
        <v/>
      </c>
      <c r="L89" s="9" t="str">
        <f aca="false">IF(K89="","",MATCH(K89,'Stock Register'!$Q$7:$Q$506,0))</f>
        <v/>
      </c>
    </row>
    <row r="90" customFormat="false" ht="15" hidden="false" customHeight="false" outlineLevel="0" collapsed="false">
      <c r="A90" s="74" t="str">
        <f aca="false">IF($L90="","",INDEX('Stock Register'!$B$7:$B$506,$L90))</f>
        <v/>
      </c>
      <c r="B90" s="75" t="str">
        <f aca="false">IF($L90="","",INDEX('Stock Register'!$I$7:$I$506,$L90))</f>
        <v/>
      </c>
      <c r="C90" s="47" t="str">
        <f aca="false">IF($L90="","",INDEX('Stock Register'!$H$7:$H$506,$L90))</f>
        <v/>
      </c>
      <c r="D90" s="76" t="str">
        <f aca="false">IF($L90="","",IF(INDEX('Stock Register'!$E$7:$E$506,$L90)="In",INDEX('Stock Register'!$F$7:$F$506,$L90),""))</f>
        <v/>
      </c>
      <c r="E90" s="77" t="str">
        <f aca="false">IF($L90="","",IF(INDEX('Stock Register'!$E$7:$E$506,$L90)="Out",INDEX('Stock Register'!$F$7:$F$506,$L90),""))</f>
        <v/>
      </c>
      <c r="F90" s="48" t="str">
        <f aca="false">IF($L90="","",INDEX('Stock Register'!$K$7:$K$506,$L90))</f>
        <v/>
      </c>
      <c r="G90" s="73" t="str">
        <f aca="false">IF($L90="","",INDEX('Stock Register'!$G$7:$G$506,$L90))</f>
        <v/>
      </c>
      <c r="H90" s="41" t="str">
        <f aca="false">IF(D90="","",IF($L90="","",INDEX('Stock Register'!$J$7:$J$506,$L90)))</f>
        <v/>
      </c>
      <c r="I90" s="41" t="str">
        <f aca="false">IF(E90="","",IF($L90="","",INDEX('Stock Register'!$J$7:$J$506,$L90)))</f>
        <v/>
      </c>
      <c r="K90" s="9" t="str">
        <f aca="false">IFERROR(SMALL('Stock Register'!$Q$7:$Q$506,79),"")</f>
        <v/>
      </c>
      <c r="L90" s="9" t="str">
        <f aca="false">IF(K90="","",MATCH(K90,'Stock Register'!$Q$7:$Q$506,0))</f>
        <v/>
      </c>
    </row>
    <row r="91" customFormat="false" ht="15" hidden="false" customHeight="false" outlineLevel="0" collapsed="false">
      <c r="A91" s="74" t="str">
        <f aca="false">IF($L91="","",INDEX('Stock Register'!$B$7:$B$506,$L91))</f>
        <v/>
      </c>
      <c r="B91" s="75" t="str">
        <f aca="false">IF($L91="","",INDEX('Stock Register'!$I$7:$I$506,$L91))</f>
        <v/>
      </c>
      <c r="C91" s="47" t="str">
        <f aca="false">IF($L91="","",INDEX('Stock Register'!$H$7:$H$506,$L91))</f>
        <v/>
      </c>
      <c r="D91" s="76" t="str">
        <f aca="false">IF($L91="","",IF(INDEX('Stock Register'!$E$7:$E$506,$L91)="In",INDEX('Stock Register'!$F$7:$F$506,$L91),""))</f>
        <v/>
      </c>
      <c r="E91" s="77" t="str">
        <f aca="false">IF($L91="","",IF(INDEX('Stock Register'!$E$7:$E$506,$L91)="Out",INDEX('Stock Register'!$F$7:$F$506,$L91),""))</f>
        <v/>
      </c>
      <c r="F91" s="48" t="str">
        <f aca="false">IF($L91="","",INDEX('Stock Register'!$K$7:$K$506,$L91))</f>
        <v/>
      </c>
      <c r="G91" s="73" t="str">
        <f aca="false">IF($L91="","",INDEX('Stock Register'!$G$7:$G$506,$L91))</f>
        <v/>
      </c>
      <c r="H91" s="41" t="str">
        <f aca="false">IF(D91="","",IF($L91="","",INDEX('Stock Register'!$J$7:$J$506,$L91)))</f>
        <v/>
      </c>
      <c r="I91" s="41" t="str">
        <f aca="false">IF(E91="","",IF($L91="","",INDEX('Stock Register'!$J$7:$J$506,$L91)))</f>
        <v/>
      </c>
      <c r="K91" s="9" t="str">
        <f aca="false">IFERROR(SMALL('Stock Register'!$Q$7:$Q$506,80),"")</f>
        <v/>
      </c>
      <c r="L91" s="9" t="str">
        <f aca="false">IF(K91="","",MATCH(K91,'Stock Register'!$Q$7:$Q$506,0))</f>
        <v/>
      </c>
    </row>
    <row r="92" customFormat="false" ht="15" hidden="false" customHeight="false" outlineLevel="0" collapsed="false">
      <c r="A92" s="74" t="str">
        <f aca="false">IF($L92="","",INDEX('Stock Register'!$B$7:$B$506,$L92))</f>
        <v/>
      </c>
      <c r="B92" s="75" t="str">
        <f aca="false">IF($L92="","",INDEX('Stock Register'!$I$7:$I$506,$L92))</f>
        <v/>
      </c>
      <c r="C92" s="47" t="str">
        <f aca="false">IF($L92="","",INDEX('Stock Register'!$H$7:$H$506,$L92))</f>
        <v/>
      </c>
      <c r="D92" s="76" t="str">
        <f aca="false">IF($L92="","",IF(INDEX('Stock Register'!$E$7:$E$506,$L92)="In",INDEX('Stock Register'!$F$7:$F$506,$L92),""))</f>
        <v/>
      </c>
      <c r="E92" s="77" t="str">
        <f aca="false">IF($L92="","",IF(INDEX('Stock Register'!$E$7:$E$506,$L92)="Out",INDEX('Stock Register'!$F$7:$F$506,$L92),""))</f>
        <v/>
      </c>
      <c r="F92" s="48" t="str">
        <f aca="false">IF($L92="","",INDEX('Stock Register'!$K$7:$K$506,$L92))</f>
        <v/>
      </c>
      <c r="G92" s="73" t="str">
        <f aca="false">IF($L92="","",INDEX('Stock Register'!$G$7:$G$506,$L92))</f>
        <v/>
      </c>
      <c r="H92" s="41" t="str">
        <f aca="false">IF(D92="","",IF($L92="","",INDEX('Stock Register'!$J$7:$J$506,$L92)))</f>
        <v/>
      </c>
      <c r="I92" s="41" t="str">
        <f aca="false">IF(E92="","",IF($L92="","",INDEX('Stock Register'!$J$7:$J$506,$L92)))</f>
        <v/>
      </c>
      <c r="K92" s="9" t="str">
        <f aca="false">IFERROR(SMALL('Stock Register'!$Q$7:$Q$506,81),"")</f>
        <v/>
      </c>
      <c r="L92" s="9" t="str">
        <f aca="false">IF(K92="","",MATCH(K92,'Stock Register'!$Q$7:$Q$506,0))</f>
        <v/>
      </c>
    </row>
    <row r="93" customFormat="false" ht="15" hidden="false" customHeight="false" outlineLevel="0" collapsed="false">
      <c r="A93" s="74" t="str">
        <f aca="false">IF($L93="","",INDEX('Stock Register'!$B$7:$B$506,$L93))</f>
        <v/>
      </c>
      <c r="B93" s="75" t="str">
        <f aca="false">IF($L93="","",INDEX('Stock Register'!$I$7:$I$506,$L93))</f>
        <v/>
      </c>
      <c r="C93" s="47" t="str">
        <f aca="false">IF($L93="","",INDEX('Stock Register'!$H$7:$H$506,$L93))</f>
        <v/>
      </c>
      <c r="D93" s="76" t="str">
        <f aca="false">IF($L93="","",IF(INDEX('Stock Register'!$E$7:$E$506,$L93)="In",INDEX('Stock Register'!$F$7:$F$506,$L93),""))</f>
        <v/>
      </c>
      <c r="E93" s="77" t="str">
        <f aca="false">IF($L93="","",IF(INDEX('Stock Register'!$E$7:$E$506,$L93)="Out",INDEX('Stock Register'!$F$7:$F$506,$L93),""))</f>
        <v/>
      </c>
      <c r="F93" s="48" t="str">
        <f aca="false">IF($L93="","",INDEX('Stock Register'!$K$7:$K$506,$L93))</f>
        <v/>
      </c>
      <c r="G93" s="73" t="str">
        <f aca="false">IF($L93="","",INDEX('Stock Register'!$G$7:$G$506,$L93))</f>
        <v/>
      </c>
      <c r="H93" s="41" t="str">
        <f aca="false">IF(D93="","",IF($L93="","",INDEX('Stock Register'!$J$7:$J$506,$L93)))</f>
        <v/>
      </c>
      <c r="I93" s="41" t="str">
        <f aca="false">IF(E93="","",IF($L93="","",INDEX('Stock Register'!$J$7:$J$506,$L93)))</f>
        <v/>
      </c>
      <c r="K93" s="9" t="str">
        <f aca="false">IFERROR(SMALL('Stock Register'!$Q$7:$Q$506,82),"")</f>
        <v/>
      </c>
      <c r="L93" s="9" t="str">
        <f aca="false">IF(K93="","",MATCH(K93,'Stock Register'!$Q$7:$Q$506,0))</f>
        <v/>
      </c>
    </row>
    <row r="94" customFormat="false" ht="15" hidden="false" customHeight="false" outlineLevel="0" collapsed="false">
      <c r="A94" s="74" t="str">
        <f aca="false">IF($L94="","",INDEX('Stock Register'!$B$7:$B$506,$L94))</f>
        <v/>
      </c>
      <c r="B94" s="75" t="str">
        <f aca="false">IF($L94="","",INDEX('Stock Register'!$I$7:$I$506,$L94))</f>
        <v/>
      </c>
      <c r="C94" s="47" t="str">
        <f aca="false">IF($L94="","",INDEX('Stock Register'!$H$7:$H$506,$L94))</f>
        <v/>
      </c>
      <c r="D94" s="76" t="str">
        <f aca="false">IF($L94="","",IF(INDEX('Stock Register'!$E$7:$E$506,$L94)="In",INDEX('Stock Register'!$F$7:$F$506,$L94),""))</f>
        <v/>
      </c>
      <c r="E94" s="77" t="str">
        <f aca="false">IF($L94="","",IF(INDEX('Stock Register'!$E$7:$E$506,$L94)="Out",INDEX('Stock Register'!$F$7:$F$506,$L94),""))</f>
        <v/>
      </c>
      <c r="F94" s="48" t="str">
        <f aca="false">IF($L94="","",INDEX('Stock Register'!$K$7:$K$506,$L94))</f>
        <v/>
      </c>
      <c r="G94" s="73" t="str">
        <f aca="false">IF($L94="","",INDEX('Stock Register'!$G$7:$G$506,$L94))</f>
        <v/>
      </c>
      <c r="H94" s="41" t="str">
        <f aca="false">IF(D94="","",IF($L94="","",INDEX('Stock Register'!$J$7:$J$506,$L94)))</f>
        <v/>
      </c>
      <c r="I94" s="41" t="str">
        <f aca="false">IF(E94="","",IF($L94="","",INDEX('Stock Register'!$J$7:$J$506,$L94)))</f>
        <v/>
      </c>
      <c r="K94" s="9" t="str">
        <f aca="false">IFERROR(SMALL('Stock Register'!$Q$7:$Q$506,83),"")</f>
        <v/>
      </c>
      <c r="L94" s="9" t="str">
        <f aca="false">IF(K94="","",MATCH(K94,'Stock Register'!$Q$7:$Q$506,0))</f>
        <v/>
      </c>
    </row>
    <row r="95" customFormat="false" ht="15" hidden="false" customHeight="false" outlineLevel="0" collapsed="false">
      <c r="A95" s="74" t="str">
        <f aca="false">IF($L95="","",INDEX('Stock Register'!$B$7:$B$506,$L95))</f>
        <v/>
      </c>
      <c r="B95" s="75" t="str">
        <f aca="false">IF($L95="","",INDEX('Stock Register'!$I$7:$I$506,$L95))</f>
        <v/>
      </c>
      <c r="C95" s="47" t="str">
        <f aca="false">IF($L95="","",INDEX('Stock Register'!$H$7:$H$506,$L95))</f>
        <v/>
      </c>
      <c r="D95" s="76" t="str">
        <f aca="false">IF($L95="","",IF(INDEX('Stock Register'!$E$7:$E$506,$L95)="In",INDEX('Stock Register'!$F$7:$F$506,$L95),""))</f>
        <v/>
      </c>
      <c r="E95" s="77" t="str">
        <f aca="false">IF($L95="","",IF(INDEX('Stock Register'!$E$7:$E$506,$L95)="Out",INDEX('Stock Register'!$F$7:$F$506,$L95),""))</f>
        <v/>
      </c>
      <c r="F95" s="48" t="str">
        <f aca="false">IF($L95="","",INDEX('Stock Register'!$K$7:$K$506,$L95))</f>
        <v/>
      </c>
      <c r="G95" s="73" t="str">
        <f aca="false">IF($L95="","",INDEX('Stock Register'!$G$7:$G$506,$L95))</f>
        <v/>
      </c>
      <c r="H95" s="41" t="str">
        <f aca="false">IF(D95="","",IF($L95="","",INDEX('Stock Register'!$J$7:$J$506,$L95)))</f>
        <v/>
      </c>
      <c r="I95" s="41" t="str">
        <f aca="false">IF(E95="","",IF($L95="","",INDEX('Stock Register'!$J$7:$J$506,$L95)))</f>
        <v/>
      </c>
      <c r="K95" s="9" t="str">
        <f aca="false">IFERROR(SMALL('Stock Register'!$Q$7:$Q$506,84),"")</f>
        <v/>
      </c>
      <c r="L95" s="9" t="str">
        <f aca="false">IF(K95="","",MATCH(K95,'Stock Register'!$Q$7:$Q$506,0))</f>
        <v/>
      </c>
    </row>
    <row r="96" customFormat="false" ht="15" hidden="false" customHeight="false" outlineLevel="0" collapsed="false">
      <c r="A96" s="74" t="str">
        <f aca="false">IF($L96="","",INDEX('Stock Register'!$B$7:$B$506,$L96))</f>
        <v/>
      </c>
      <c r="B96" s="75" t="str">
        <f aca="false">IF($L96="","",INDEX('Stock Register'!$I$7:$I$506,$L96))</f>
        <v/>
      </c>
      <c r="C96" s="47" t="str">
        <f aca="false">IF($L96="","",INDEX('Stock Register'!$H$7:$H$506,$L96))</f>
        <v/>
      </c>
      <c r="D96" s="76" t="str">
        <f aca="false">IF($L96="","",IF(INDEX('Stock Register'!$E$7:$E$506,$L96)="In",INDEX('Stock Register'!$F$7:$F$506,$L96),""))</f>
        <v/>
      </c>
      <c r="E96" s="77" t="str">
        <f aca="false">IF($L96="","",IF(INDEX('Stock Register'!$E$7:$E$506,$L96)="Out",INDEX('Stock Register'!$F$7:$F$506,$L96),""))</f>
        <v/>
      </c>
      <c r="F96" s="48" t="str">
        <f aca="false">IF($L96="","",INDEX('Stock Register'!$K$7:$K$506,$L96))</f>
        <v/>
      </c>
      <c r="G96" s="73" t="str">
        <f aca="false">IF($L96="","",INDEX('Stock Register'!$G$7:$G$506,$L96))</f>
        <v/>
      </c>
      <c r="H96" s="41" t="str">
        <f aca="false">IF(D96="","",IF($L96="","",INDEX('Stock Register'!$J$7:$J$506,$L96)))</f>
        <v/>
      </c>
      <c r="I96" s="41" t="str">
        <f aca="false">IF(E96="","",IF($L96="","",INDEX('Stock Register'!$J$7:$J$506,$L96)))</f>
        <v/>
      </c>
      <c r="K96" s="9" t="str">
        <f aca="false">IFERROR(SMALL('Stock Register'!$Q$7:$Q$506,85),"")</f>
        <v/>
      </c>
      <c r="L96" s="9" t="str">
        <f aca="false">IF(K96="","",MATCH(K96,'Stock Register'!$Q$7:$Q$506,0))</f>
        <v/>
      </c>
    </row>
    <row r="97" customFormat="false" ht="15" hidden="false" customHeight="false" outlineLevel="0" collapsed="false">
      <c r="A97" s="74" t="str">
        <f aca="false">IF($L97="","",INDEX('Stock Register'!$B$7:$B$506,$L97))</f>
        <v/>
      </c>
      <c r="B97" s="75" t="str">
        <f aca="false">IF($L97="","",INDEX('Stock Register'!$I$7:$I$506,$L97))</f>
        <v/>
      </c>
      <c r="C97" s="47" t="str">
        <f aca="false">IF($L97="","",INDEX('Stock Register'!$H$7:$H$506,$L97))</f>
        <v/>
      </c>
      <c r="D97" s="76" t="str">
        <f aca="false">IF($L97="","",IF(INDEX('Stock Register'!$E$7:$E$506,$L97)="In",INDEX('Stock Register'!$F$7:$F$506,$L97),""))</f>
        <v/>
      </c>
      <c r="E97" s="77" t="str">
        <f aca="false">IF($L97="","",IF(INDEX('Stock Register'!$E$7:$E$506,$L97)="Out",INDEX('Stock Register'!$F$7:$F$506,$L97),""))</f>
        <v/>
      </c>
      <c r="F97" s="48" t="str">
        <f aca="false">IF($L97="","",INDEX('Stock Register'!$K$7:$K$506,$L97))</f>
        <v/>
      </c>
      <c r="G97" s="73" t="str">
        <f aca="false">IF($L97="","",INDEX('Stock Register'!$G$7:$G$506,$L97))</f>
        <v/>
      </c>
      <c r="H97" s="41" t="str">
        <f aca="false">IF(D97="","",IF($L97="","",INDEX('Stock Register'!$J$7:$J$506,$L97)))</f>
        <v/>
      </c>
      <c r="I97" s="41" t="str">
        <f aca="false">IF(E97="","",IF($L97="","",INDEX('Stock Register'!$J$7:$J$506,$L97)))</f>
        <v/>
      </c>
      <c r="K97" s="9" t="str">
        <f aca="false">IFERROR(SMALL('Stock Register'!$Q$7:$Q$506,86),"")</f>
        <v/>
      </c>
      <c r="L97" s="9" t="str">
        <f aca="false">IF(K97="","",MATCH(K97,'Stock Register'!$Q$7:$Q$506,0))</f>
        <v/>
      </c>
    </row>
    <row r="98" customFormat="false" ht="15" hidden="false" customHeight="false" outlineLevel="0" collapsed="false">
      <c r="A98" s="74" t="str">
        <f aca="false">IF($L98="","",INDEX('Stock Register'!$B$7:$B$506,$L98))</f>
        <v/>
      </c>
      <c r="B98" s="75" t="str">
        <f aca="false">IF($L98="","",INDEX('Stock Register'!$I$7:$I$506,$L98))</f>
        <v/>
      </c>
      <c r="C98" s="47" t="str">
        <f aca="false">IF($L98="","",INDEX('Stock Register'!$H$7:$H$506,$L98))</f>
        <v/>
      </c>
      <c r="D98" s="76" t="str">
        <f aca="false">IF($L98="","",IF(INDEX('Stock Register'!$E$7:$E$506,$L98)="In",INDEX('Stock Register'!$F$7:$F$506,$L98),""))</f>
        <v/>
      </c>
      <c r="E98" s="77" t="str">
        <f aca="false">IF($L98="","",IF(INDEX('Stock Register'!$E$7:$E$506,$L98)="Out",INDEX('Stock Register'!$F$7:$F$506,$L98),""))</f>
        <v/>
      </c>
      <c r="F98" s="48" t="str">
        <f aca="false">IF($L98="","",INDEX('Stock Register'!$K$7:$K$506,$L98))</f>
        <v/>
      </c>
      <c r="G98" s="73" t="str">
        <f aca="false">IF($L98="","",INDEX('Stock Register'!$G$7:$G$506,$L98))</f>
        <v/>
      </c>
      <c r="H98" s="41" t="str">
        <f aca="false">IF(D98="","",IF($L98="","",INDEX('Stock Register'!$J$7:$J$506,$L98)))</f>
        <v/>
      </c>
      <c r="I98" s="41" t="str">
        <f aca="false">IF(E98="","",IF($L98="","",INDEX('Stock Register'!$J$7:$J$506,$L98)))</f>
        <v/>
      </c>
      <c r="K98" s="9" t="str">
        <f aca="false">IFERROR(SMALL('Stock Register'!$Q$7:$Q$506,87),"")</f>
        <v/>
      </c>
      <c r="L98" s="9" t="str">
        <f aca="false">IF(K98="","",MATCH(K98,'Stock Register'!$Q$7:$Q$506,0))</f>
        <v/>
      </c>
    </row>
    <row r="99" customFormat="false" ht="15" hidden="false" customHeight="false" outlineLevel="0" collapsed="false">
      <c r="A99" s="74" t="str">
        <f aca="false">IF($L99="","",INDEX('Stock Register'!$B$7:$B$506,$L99))</f>
        <v/>
      </c>
      <c r="B99" s="75" t="str">
        <f aca="false">IF($L99="","",INDEX('Stock Register'!$I$7:$I$506,$L99))</f>
        <v/>
      </c>
      <c r="C99" s="47" t="str">
        <f aca="false">IF($L99="","",INDEX('Stock Register'!$H$7:$H$506,$L99))</f>
        <v/>
      </c>
      <c r="D99" s="76" t="str">
        <f aca="false">IF($L99="","",IF(INDEX('Stock Register'!$E$7:$E$506,$L99)="In",INDEX('Stock Register'!$F$7:$F$506,$L99),""))</f>
        <v/>
      </c>
      <c r="E99" s="77" t="str">
        <f aca="false">IF($L99="","",IF(INDEX('Stock Register'!$E$7:$E$506,$L99)="Out",INDEX('Stock Register'!$F$7:$F$506,$L99),""))</f>
        <v/>
      </c>
      <c r="F99" s="48" t="str">
        <f aca="false">IF($L99="","",INDEX('Stock Register'!$K$7:$K$506,$L99))</f>
        <v/>
      </c>
      <c r="G99" s="73" t="str">
        <f aca="false">IF($L99="","",INDEX('Stock Register'!$G$7:$G$506,$L99))</f>
        <v/>
      </c>
      <c r="H99" s="41" t="str">
        <f aca="false">IF(D99="","",IF($L99="","",INDEX('Stock Register'!$J$7:$J$506,$L99)))</f>
        <v/>
      </c>
      <c r="I99" s="41" t="str">
        <f aca="false">IF(E99="","",IF($L99="","",INDEX('Stock Register'!$J$7:$J$506,$L99)))</f>
        <v/>
      </c>
      <c r="K99" s="9" t="str">
        <f aca="false">IFERROR(SMALL('Stock Register'!$Q$7:$Q$506,88),"")</f>
        <v/>
      </c>
      <c r="L99" s="9" t="str">
        <f aca="false">IF(K99="","",MATCH(K99,'Stock Register'!$Q$7:$Q$506,0))</f>
        <v/>
      </c>
    </row>
    <row r="100" customFormat="false" ht="15" hidden="false" customHeight="false" outlineLevel="0" collapsed="false">
      <c r="A100" s="74" t="str">
        <f aca="false">IF($L100="","",INDEX('Stock Register'!$B$7:$B$506,$L100))</f>
        <v/>
      </c>
      <c r="B100" s="75" t="str">
        <f aca="false">IF($L100="","",INDEX('Stock Register'!$I$7:$I$506,$L100))</f>
        <v/>
      </c>
      <c r="C100" s="47" t="str">
        <f aca="false">IF($L100="","",INDEX('Stock Register'!$H$7:$H$506,$L100))</f>
        <v/>
      </c>
      <c r="D100" s="76" t="str">
        <f aca="false">IF($L100="","",IF(INDEX('Stock Register'!$E$7:$E$506,$L100)="In",INDEX('Stock Register'!$F$7:$F$506,$L100),""))</f>
        <v/>
      </c>
      <c r="E100" s="77" t="str">
        <f aca="false">IF($L100="","",IF(INDEX('Stock Register'!$E$7:$E$506,$L100)="Out",INDEX('Stock Register'!$F$7:$F$506,$L100),""))</f>
        <v/>
      </c>
      <c r="F100" s="48" t="str">
        <f aca="false">IF($L100="","",INDEX('Stock Register'!$K$7:$K$506,$L100))</f>
        <v/>
      </c>
      <c r="G100" s="73" t="str">
        <f aca="false">IF($L100="","",INDEX('Stock Register'!$G$7:$G$506,$L100))</f>
        <v/>
      </c>
      <c r="H100" s="41" t="str">
        <f aca="false">IF(D100="","",IF($L100="","",INDEX('Stock Register'!$J$7:$J$506,$L100)))</f>
        <v/>
      </c>
      <c r="I100" s="41" t="str">
        <f aca="false">IF(E100="","",IF($L100="","",INDEX('Stock Register'!$J$7:$J$506,$L100)))</f>
        <v/>
      </c>
      <c r="K100" s="9" t="str">
        <f aca="false">IFERROR(SMALL('Stock Register'!$Q$7:$Q$506,89),"")</f>
        <v/>
      </c>
      <c r="L100" s="9" t="str">
        <f aca="false">IF(K100="","",MATCH(K100,'Stock Register'!$Q$7:$Q$506,0))</f>
        <v/>
      </c>
    </row>
    <row r="101" customFormat="false" ht="15" hidden="false" customHeight="false" outlineLevel="0" collapsed="false">
      <c r="A101" s="74" t="str">
        <f aca="false">IF($L101="","",INDEX('Stock Register'!$B$7:$B$506,$L101))</f>
        <v/>
      </c>
      <c r="B101" s="75" t="str">
        <f aca="false">IF($L101="","",INDEX('Stock Register'!$I$7:$I$506,$L101))</f>
        <v/>
      </c>
      <c r="C101" s="47" t="str">
        <f aca="false">IF($L101="","",INDEX('Stock Register'!$H$7:$H$506,$L101))</f>
        <v/>
      </c>
      <c r="D101" s="76" t="str">
        <f aca="false">IF($L101="","",IF(INDEX('Stock Register'!$E$7:$E$506,$L101)="In",INDEX('Stock Register'!$F$7:$F$506,$L101),""))</f>
        <v/>
      </c>
      <c r="E101" s="77" t="str">
        <f aca="false">IF($L101="","",IF(INDEX('Stock Register'!$E$7:$E$506,$L101)="Out",INDEX('Stock Register'!$F$7:$F$506,$L101),""))</f>
        <v/>
      </c>
      <c r="F101" s="48" t="str">
        <f aca="false">IF($L101="","",INDEX('Stock Register'!$K$7:$K$506,$L101))</f>
        <v/>
      </c>
      <c r="G101" s="73" t="str">
        <f aca="false">IF($L101="","",INDEX('Stock Register'!$G$7:$G$506,$L101))</f>
        <v/>
      </c>
      <c r="H101" s="41" t="str">
        <f aca="false">IF(D101="","",IF($L101="","",INDEX('Stock Register'!$J$7:$J$506,$L101)))</f>
        <v/>
      </c>
      <c r="I101" s="41" t="str">
        <f aca="false">IF(E101="","",IF($L101="","",INDEX('Stock Register'!$J$7:$J$506,$L101)))</f>
        <v/>
      </c>
      <c r="K101" s="9" t="str">
        <f aca="false">IFERROR(SMALL('Stock Register'!$Q$7:$Q$506,90),"")</f>
        <v/>
      </c>
      <c r="L101" s="9" t="str">
        <f aca="false">IF(K101="","",MATCH(K101,'Stock Register'!$Q$7:$Q$506,0))</f>
        <v/>
      </c>
    </row>
    <row r="102" customFormat="false" ht="15" hidden="false" customHeight="false" outlineLevel="0" collapsed="false">
      <c r="A102" s="74" t="str">
        <f aca="false">IF($L102="","",INDEX('Stock Register'!$B$7:$B$506,$L102))</f>
        <v/>
      </c>
      <c r="B102" s="75" t="str">
        <f aca="false">IF($L102="","",INDEX('Stock Register'!$I$7:$I$506,$L102))</f>
        <v/>
      </c>
      <c r="C102" s="47" t="str">
        <f aca="false">IF($L102="","",INDEX('Stock Register'!$H$7:$H$506,$L102))</f>
        <v/>
      </c>
      <c r="D102" s="76" t="str">
        <f aca="false">IF($L102="","",IF(INDEX('Stock Register'!$E$7:$E$506,$L102)="In",INDEX('Stock Register'!$F$7:$F$506,$L102),""))</f>
        <v/>
      </c>
      <c r="E102" s="77" t="str">
        <f aca="false">IF($L102="","",IF(INDEX('Stock Register'!$E$7:$E$506,$L102)="Out",INDEX('Stock Register'!$F$7:$F$506,$L102),""))</f>
        <v/>
      </c>
      <c r="F102" s="48" t="str">
        <f aca="false">IF($L102="","",INDEX('Stock Register'!$K$7:$K$506,$L102))</f>
        <v/>
      </c>
      <c r="G102" s="73" t="str">
        <f aca="false">IF($L102="","",INDEX('Stock Register'!$G$7:$G$506,$L102))</f>
        <v/>
      </c>
      <c r="H102" s="41" t="str">
        <f aca="false">IF(D102="","",IF($L102="","",INDEX('Stock Register'!$J$7:$J$506,$L102)))</f>
        <v/>
      </c>
      <c r="I102" s="41" t="str">
        <f aca="false">IF(E102="","",IF($L102="","",INDEX('Stock Register'!$J$7:$J$506,$L102)))</f>
        <v/>
      </c>
      <c r="K102" s="9" t="str">
        <f aca="false">IFERROR(SMALL('Stock Register'!$Q$7:$Q$506,91),"")</f>
        <v/>
      </c>
      <c r="L102" s="9" t="str">
        <f aca="false">IF(K102="","",MATCH(K102,'Stock Register'!$Q$7:$Q$506,0))</f>
        <v/>
      </c>
    </row>
    <row r="103" customFormat="false" ht="15" hidden="false" customHeight="false" outlineLevel="0" collapsed="false">
      <c r="A103" s="74" t="str">
        <f aca="false">IF($L103="","",INDEX('Stock Register'!$B$7:$B$506,$L103))</f>
        <v/>
      </c>
      <c r="B103" s="75" t="str">
        <f aca="false">IF($L103="","",INDEX('Stock Register'!$I$7:$I$506,$L103))</f>
        <v/>
      </c>
      <c r="C103" s="47" t="str">
        <f aca="false">IF($L103="","",INDEX('Stock Register'!$H$7:$H$506,$L103))</f>
        <v/>
      </c>
      <c r="D103" s="76" t="str">
        <f aca="false">IF($L103="","",IF(INDEX('Stock Register'!$E$7:$E$506,$L103)="In",INDEX('Stock Register'!$F$7:$F$506,$L103),""))</f>
        <v/>
      </c>
      <c r="E103" s="77" t="str">
        <f aca="false">IF($L103="","",IF(INDEX('Stock Register'!$E$7:$E$506,$L103)="Out",INDEX('Stock Register'!$F$7:$F$506,$L103),""))</f>
        <v/>
      </c>
      <c r="F103" s="48" t="str">
        <f aca="false">IF($L103="","",INDEX('Stock Register'!$K$7:$K$506,$L103))</f>
        <v/>
      </c>
      <c r="G103" s="73" t="str">
        <f aca="false">IF($L103="","",INDEX('Stock Register'!$G$7:$G$506,$L103))</f>
        <v/>
      </c>
      <c r="H103" s="41" t="str">
        <f aca="false">IF(D103="","",IF($L103="","",INDEX('Stock Register'!$J$7:$J$506,$L103)))</f>
        <v/>
      </c>
      <c r="I103" s="41" t="str">
        <f aca="false">IF(E103="","",IF($L103="","",INDEX('Stock Register'!$J$7:$J$506,$L103)))</f>
        <v/>
      </c>
      <c r="K103" s="9" t="str">
        <f aca="false">IFERROR(SMALL('Stock Register'!$Q$7:$Q$506,92),"")</f>
        <v/>
      </c>
      <c r="L103" s="9" t="str">
        <f aca="false">IF(K103="","",MATCH(K103,'Stock Register'!$Q$7:$Q$506,0))</f>
        <v/>
      </c>
    </row>
    <row r="104" customFormat="false" ht="15" hidden="false" customHeight="false" outlineLevel="0" collapsed="false">
      <c r="A104" s="74" t="str">
        <f aca="false">IF($L104="","",INDEX('Stock Register'!$B$7:$B$506,$L104))</f>
        <v/>
      </c>
      <c r="B104" s="75" t="str">
        <f aca="false">IF($L104="","",INDEX('Stock Register'!$I$7:$I$506,$L104))</f>
        <v/>
      </c>
      <c r="C104" s="47" t="str">
        <f aca="false">IF($L104="","",INDEX('Stock Register'!$H$7:$H$506,$L104))</f>
        <v/>
      </c>
      <c r="D104" s="76" t="str">
        <f aca="false">IF($L104="","",IF(INDEX('Stock Register'!$E$7:$E$506,$L104)="In",INDEX('Stock Register'!$F$7:$F$506,$L104),""))</f>
        <v/>
      </c>
      <c r="E104" s="77" t="str">
        <f aca="false">IF($L104="","",IF(INDEX('Stock Register'!$E$7:$E$506,$L104)="Out",INDEX('Stock Register'!$F$7:$F$506,$L104),""))</f>
        <v/>
      </c>
      <c r="F104" s="48" t="str">
        <f aca="false">IF($L104="","",INDEX('Stock Register'!$K$7:$K$506,$L104))</f>
        <v/>
      </c>
      <c r="G104" s="73" t="str">
        <f aca="false">IF($L104="","",INDEX('Stock Register'!$G$7:$G$506,$L104))</f>
        <v/>
      </c>
      <c r="H104" s="41" t="str">
        <f aca="false">IF(D104="","",IF($L104="","",INDEX('Stock Register'!$J$7:$J$506,$L104)))</f>
        <v/>
      </c>
      <c r="I104" s="41" t="str">
        <f aca="false">IF(E104="","",IF($L104="","",INDEX('Stock Register'!$J$7:$J$506,$L104)))</f>
        <v/>
      </c>
      <c r="K104" s="9" t="str">
        <f aca="false">IFERROR(SMALL('Stock Register'!$Q$7:$Q$506,93),"")</f>
        <v/>
      </c>
      <c r="L104" s="9" t="str">
        <f aca="false">IF(K104="","",MATCH(K104,'Stock Register'!$Q$7:$Q$506,0))</f>
        <v/>
      </c>
    </row>
    <row r="105" customFormat="false" ht="15" hidden="false" customHeight="false" outlineLevel="0" collapsed="false">
      <c r="A105" s="74" t="str">
        <f aca="false">IF($L105="","",INDEX('Stock Register'!$B$7:$B$506,$L105))</f>
        <v/>
      </c>
      <c r="B105" s="75" t="str">
        <f aca="false">IF($L105="","",INDEX('Stock Register'!$I$7:$I$506,$L105))</f>
        <v/>
      </c>
      <c r="C105" s="47" t="str">
        <f aca="false">IF($L105="","",INDEX('Stock Register'!$H$7:$H$506,$L105))</f>
        <v/>
      </c>
      <c r="D105" s="76" t="str">
        <f aca="false">IF($L105="","",IF(INDEX('Stock Register'!$E$7:$E$506,$L105)="In",INDEX('Stock Register'!$F$7:$F$506,$L105),""))</f>
        <v/>
      </c>
      <c r="E105" s="77" t="str">
        <f aca="false">IF($L105="","",IF(INDEX('Stock Register'!$E$7:$E$506,$L105)="Out",INDEX('Stock Register'!$F$7:$F$506,$L105),""))</f>
        <v/>
      </c>
      <c r="F105" s="48" t="str">
        <f aca="false">IF($L105="","",INDEX('Stock Register'!$K$7:$K$506,$L105))</f>
        <v/>
      </c>
      <c r="G105" s="73" t="str">
        <f aca="false">IF($L105="","",INDEX('Stock Register'!$G$7:$G$506,$L105))</f>
        <v/>
      </c>
      <c r="H105" s="41" t="str">
        <f aca="false">IF(D105="","",IF($L105="","",INDEX('Stock Register'!$J$7:$J$506,$L105)))</f>
        <v/>
      </c>
      <c r="I105" s="41" t="str">
        <f aca="false">IF(E105="","",IF($L105="","",INDEX('Stock Register'!$J$7:$J$506,$L105)))</f>
        <v/>
      </c>
      <c r="K105" s="9" t="str">
        <f aca="false">IFERROR(SMALL('Stock Register'!$Q$7:$Q$506,94),"")</f>
        <v/>
      </c>
      <c r="L105" s="9" t="str">
        <f aca="false">IF(K105="","",MATCH(K105,'Stock Register'!$Q$7:$Q$506,0))</f>
        <v/>
      </c>
    </row>
    <row r="106" customFormat="false" ht="15" hidden="false" customHeight="false" outlineLevel="0" collapsed="false">
      <c r="A106" s="74" t="str">
        <f aca="false">IF($L106="","",INDEX('Stock Register'!$B$7:$B$506,$L106))</f>
        <v/>
      </c>
      <c r="B106" s="75" t="str">
        <f aca="false">IF($L106="","",INDEX('Stock Register'!$I$7:$I$506,$L106))</f>
        <v/>
      </c>
      <c r="C106" s="47" t="str">
        <f aca="false">IF($L106="","",INDEX('Stock Register'!$H$7:$H$506,$L106))</f>
        <v/>
      </c>
      <c r="D106" s="76" t="str">
        <f aca="false">IF($L106="","",IF(INDEX('Stock Register'!$E$7:$E$506,$L106)="In",INDEX('Stock Register'!$F$7:$F$506,$L106),""))</f>
        <v/>
      </c>
      <c r="E106" s="77" t="str">
        <f aca="false">IF($L106="","",IF(INDEX('Stock Register'!$E$7:$E$506,$L106)="Out",INDEX('Stock Register'!$F$7:$F$506,$L106),""))</f>
        <v/>
      </c>
      <c r="F106" s="48" t="str">
        <f aca="false">IF($L106="","",INDEX('Stock Register'!$K$7:$K$506,$L106))</f>
        <v/>
      </c>
      <c r="G106" s="73" t="str">
        <f aca="false">IF($L106="","",INDEX('Stock Register'!$G$7:$G$506,$L106))</f>
        <v/>
      </c>
      <c r="H106" s="41" t="str">
        <f aca="false">IF(D106="","",IF($L106="","",INDEX('Stock Register'!$J$7:$J$506,$L106)))</f>
        <v/>
      </c>
      <c r="I106" s="41" t="str">
        <f aca="false">IF(E106="","",IF($L106="","",INDEX('Stock Register'!$J$7:$J$506,$L106)))</f>
        <v/>
      </c>
      <c r="K106" s="9" t="str">
        <f aca="false">IFERROR(SMALL('Stock Register'!$Q$7:$Q$506,95),"")</f>
        <v/>
      </c>
      <c r="L106" s="9" t="str">
        <f aca="false">IF(K106="","",MATCH(K106,'Stock Register'!$Q$7:$Q$506,0))</f>
        <v/>
      </c>
    </row>
    <row r="107" customFormat="false" ht="15" hidden="false" customHeight="false" outlineLevel="0" collapsed="false">
      <c r="A107" s="74" t="str">
        <f aca="false">IF($L107="","",INDEX('Stock Register'!$B$7:$B$506,$L107))</f>
        <v/>
      </c>
      <c r="B107" s="75" t="str">
        <f aca="false">IF($L107="","",INDEX('Stock Register'!$I$7:$I$506,$L107))</f>
        <v/>
      </c>
      <c r="C107" s="47" t="str">
        <f aca="false">IF($L107="","",INDEX('Stock Register'!$H$7:$H$506,$L107))</f>
        <v/>
      </c>
      <c r="D107" s="76" t="str">
        <f aca="false">IF($L107="","",IF(INDEX('Stock Register'!$E$7:$E$506,$L107)="In",INDEX('Stock Register'!$F$7:$F$506,$L107),""))</f>
        <v/>
      </c>
      <c r="E107" s="77" t="str">
        <f aca="false">IF($L107="","",IF(INDEX('Stock Register'!$E$7:$E$506,$L107)="Out",INDEX('Stock Register'!$F$7:$F$506,$L107),""))</f>
        <v/>
      </c>
      <c r="F107" s="48" t="str">
        <f aca="false">IF($L107="","",INDEX('Stock Register'!$K$7:$K$506,$L107))</f>
        <v/>
      </c>
      <c r="G107" s="73" t="str">
        <f aca="false">IF($L107="","",INDEX('Stock Register'!$G$7:$G$506,$L107))</f>
        <v/>
      </c>
      <c r="H107" s="41" t="str">
        <f aca="false">IF(D107="","",IF($L107="","",INDEX('Stock Register'!$J$7:$J$506,$L107)))</f>
        <v/>
      </c>
      <c r="I107" s="41" t="str">
        <f aca="false">IF(E107="","",IF($L107="","",INDEX('Stock Register'!$J$7:$J$506,$L107)))</f>
        <v/>
      </c>
      <c r="K107" s="9" t="str">
        <f aca="false">IFERROR(SMALL('Stock Register'!$Q$7:$Q$506,96),"")</f>
        <v/>
      </c>
      <c r="L107" s="9" t="str">
        <f aca="false">IF(K107="","",MATCH(K107,'Stock Register'!$Q$7:$Q$506,0))</f>
        <v/>
      </c>
    </row>
    <row r="108" customFormat="false" ht="15" hidden="false" customHeight="false" outlineLevel="0" collapsed="false">
      <c r="A108" s="74" t="str">
        <f aca="false">IF($L108="","",INDEX('Stock Register'!$B$7:$B$506,$L108))</f>
        <v/>
      </c>
      <c r="B108" s="75" t="str">
        <f aca="false">IF($L108="","",INDEX('Stock Register'!$I$7:$I$506,$L108))</f>
        <v/>
      </c>
      <c r="C108" s="47" t="str">
        <f aca="false">IF($L108="","",INDEX('Stock Register'!$H$7:$H$506,$L108))</f>
        <v/>
      </c>
      <c r="D108" s="76" t="str">
        <f aca="false">IF($L108="","",IF(INDEX('Stock Register'!$E$7:$E$506,$L108)="In",INDEX('Stock Register'!$F$7:$F$506,$L108),""))</f>
        <v/>
      </c>
      <c r="E108" s="77" t="str">
        <f aca="false">IF($L108="","",IF(INDEX('Stock Register'!$E$7:$E$506,$L108)="Out",INDEX('Stock Register'!$F$7:$F$506,$L108),""))</f>
        <v/>
      </c>
      <c r="F108" s="48" t="str">
        <f aca="false">IF($L108="","",INDEX('Stock Register'!$K$7:$K$506,$L108))</f>
        <v/>
      </c>
      <c r="G108" s="73" t="str">
        <f aca="false">IF($L108="","",INDEX('Stock Register'!$G$7:$G$506,$L108))</f>
        <v/>
      </c>
      <c r="H108" s="41" t="str">
        <f aca="false">IF(D108="","",IF($L108="","",INDEX('Stock Register'!$J$7:$J$506,$L108)))</f>
        <v/>
      </c>
      <c r="I108" s="41" t="str">
        <f aca="false">IF(E108="","",IF($L108="","",INDEX('Stock Register'!$J$7:$J$506,$L108)))</f>
        <v/>
      </c>
      <c r="K108" s="9" t="str">
        <f aca="false">IFERROR(SMALL('Stock Register'!$Q$7:$Q$506,97),"")</f>
        <v/>
      </c>
      <c r="L108" s="9" t="str">
        <f aca="false">IF(K108="","",MATCH(K108,'Stock Register'!$Q$7:$Q$506,0))</f>
        <v/>
      </c>
    </row>
    <row r="109" customFormat="false" ht="15" hidden="false" customHeight="false" outlineLevel="0" collapsed="false">
      <c r="A109" s="74" t="str">
        <f aca="false">IF($L109="","",INDEX('Stock Register'!$B$7:$B$506,$L109))</f>
        <v/>
      </c>
      <c r="B109" s="75" t="str">
        <f aca="false">IF($L109="","",INDEX('Stock Register'!$I$7:$I$506,$L109))</f>
        <v/>
      </c>
      <c r="C109" s="47" t="str">
        <f aca="false">IF($L109="","",INDEX('Stock Register'!$H$7:$H$506,$L109))</f>
        <v/>
      </c>
      <c r="D109" s="76" t="str">
        <f aca="false">IF($L109="","",IF(INDEX('Stock Register'!$E$7:$E$506,$L109)="In",INDEX('Stock Register'!$F$7:$F$506,$L109),""))</f>
        <v/>
      </c>
      <c r="E109" s="77" t="str">
        <f aca="false">IF($L109="","",IF(INDEX('Stock Register'!$E$7:$E$506,$L109)="Out",INDEX('Stock Register'!$F$7:$F$506,$L109),""))</f>
        <v/>
      </c>
      <c r="F109" s="48" t="str">
        <f aca="false">IF($L109="","",INDEX('Stock Register'!$K$7:$K$506,$L109))</f>
        <v/>
      </c>
      <c r="G109" s="73" t="str">
        <f aca="false">IF($L109="","",INDEX('Stock Register'!$G$7:$G$506,$L109))</f>
        <v/>
      </c>
      <c r="H109" s="41" t="str">
        <f aca="false">IF(D109="","",IF($L109="","",INDEX('Stock Register'!$J$7:$J$506,$L109)))</f>
        <v/>
      </c>
      <c r="I109" s="41" t="str">
        <f aca="false">IF(E109="","",IF($L109="","",INDEX('Stock Register'!$J$7:$J$506,$L109)))</f>
        <v/>
      </c>
      <c r="K109" s="9" t="str">
        <f aca="false">IFERROR(SMALL('Stock Register'!$Q$7:$Q$506,98),"")</f>
        <v/>
      </c>
      <c r="L109" s="9" t="str">
        <f aca="false">IF(K109="","",MATCH(K109,'Stock Register'!$Q$7:$Q$506,0))</f>
        <v/>
      </c>
    </row>
    <row r="110" customFormat="false" ht="15" hidden="false" customHeight="false" outlineLevel="0" collapsed="false">
      <c r="A110" s="74" t="str">
        <f aca="false">IF($L110="","",INDEX('Stock Register'!$B$7:$B$506,$L110))</f>
        <v/>
      </c>
      <c r="B110" s="75" t="str">
        <f aca="false">IF($L110="","",INDEX('Stock Register'!$I$7:$I$506,$L110))</f>
        <v/>
      </c>
      <c r="C110" s="47" t="str">
        <f aca="false">IF($L110="","",INDEX('Stock Register'!$H$7:$H$506,$L110))</f>
        <v/>
      </c>
      <c r="D110" s="76" t="str">
        <f aca="false">IF($L110="","",IF(INDEX('Stock Register'!$E$7:$E$506,$L110)="In",INDEX('Stock Register'!$F$7:$F$506,$L110),""))</f>
        <v/>
      </c>
      <c r="E110" s="77" t="str">
        <f aca="false">IF($L110="","",IF(INDEX('Stock Register'!$E$7:$E$506,$L110)="Out",INDEX('Stock Register'!$F$7:$F$506,$L110),""))</f>
        <v/>
      </c>
      <c r="F110" s="48" t="str">
        <f aca="false">IF($L110="","",INDEX('Stock Register'!$K$7:$K$506,$L110))</f>
        <v/>
      </c>
      <c r="G110" s="73" t="str">
        <f aca="false">IF($L110="","",INDEX('Stock Register'!$G$7:$G$506,$L110))</f>
        <v/>
      </c>
      <c r="H110" s="41" t="str">
        <f aca="false">IF(D110="","",IF($L110="","",INDEX('Stock Register'!$J$7:$J$506,$L110)))</f>
        <v/>
      </c>
      <c r="I110" s="41" t="str">
        <f aca="false">IF(E110="","",IF($L110="","",INDEX('Stock Register'!$J$7:$J$506,$L110)))</f>
        <v/>
      </c>
      <c r="K110" s="9" t="str">
        <f aca="false">IFERROR(SMALL('Stock Register'!$Q$7:$Q$506,99),"")</f>
        <v/>
      </c>
      <c r="L110" s="9" t="str">
        <f aca="false">IF(K110="","",MATCH(K110,'Stock Register'!$Q$7:$Q$506,0))</f>
        <v/>
      </c>
    </row>
    <row r="111" customFormat="false" ht="15" hidden="false" customHeight="false" outlineLevel="0" collapsed="false">
      <c r="A111" s="74" t="str">
        <f aca="false">IF($L111="","",INDEX('Stock Register'!$B$7:$B$506,$L111))</f>
        <v/>
      </c>
      <c r="B111" s="75" t="str">
        <f aca="false">IF($L111="","",INDEX('Stock Register'!$I$7:$I$506,$L111))</f>
        <v/>
      </c>
      <c r="C111" s="47" t="str">
        <f aca="false">IF($L111="","",INDEX('Stock Register'!$H$7:$H$506,$L111))</f>
        <v/>
      </c>
      <c r="D111" s="76" t="str">
        <f aca="false">IF($L111="","",IF(INDEX('Stock Register'!$E$7:$E$506,$L111)="In",INDEX('Stock Register'!$F$7:$F$506,$L111),""))</f>
        <v/>
      </c>
      <c r="E111" s="77" t="str">
        <f aca="false">IF($L111="","",IF(INDEX('Stock Register'!$E$7:$E$506,$L111)="Out",INDEX('Stock Register'!$F$7:$F$506,$L111),""))</f>
        <v/>
      </c>
      <c r="F111" s="48" t="str">
        <f aca="false">IF($L111="","",INDEX('Stock Register'!$K$7:$K$506,$L111))</f>
        <v/>
      </c>
      <c r="G111" s="73" t="str">
        <f aca="false">IF($L111="","",INDEX('Stock Register'!$G$7:$G$506,$L111))</f>
        <v/>
      </c>
      <c r="H111" s="41" t="str">
        <f aca="false">IF(D111="","",IF($L111="","",INDEX('Stock Register'!$J$7:$J$506,$L111)))</f>
        <v/>
      </c>
      <c r="I111" s="41" t="str">
        <f aca="false">IF(E111="","",IF($L111="","",INDEX('Stock Register'!$J$7:$J$506,$L111)))</f>
        <v/>
      </c>
      <c r="K111" s="9" t="str">
        <f aca="false">IFERROR(SMALL('Stock Register'!$Q$7:$Q$506,100),"")</f>
        <v/>
      </c>
      <c r="L111" s="9" t="str">
        <f aca="false">IF(K111="","",MATCH(K111,'Stock Register'!$Q$7:$Q$506,0))</f>
        <v/>
      </c>
    </row>
    <row r="112" customFormat="false" ht="15" hidden="false" customHeight="false" outlineLevel="0" collapsed="false">
      <c r="A112" s="74" t="str">
        <f aca="false">IF($L112="","",INDEX('Stock Register'!$B$7:$B$506,$L112))</f>
        <v/>
      </c>
      <c r="B112" s="75" t="str">
        <f aca="false">IF($L112="","",INDEX('Stock Register'!$I$7:$I$506,$L112))</f>
        <v/>
      </c>
      <c r="C112" s="47" t="str">
        <f aca="false">IF($L112="","",INDEX('Stock Register'!$H$7:$H$506,$L112))</f>
        <v/>
      </c>
      <c r="D112" s="76" t="str">
        <f aca="false">IF($L112="","",IF(INDEX('Stock Register'!$E$7:$E$506,$L112)="In",INDEX('Stock Register'!$F$7:$F$506,$L112),""))</f>
        <v/>
      </c>
      <c r="E112" s="77" t="str">
        <f aca="false">IF($L112="","",IF(INDEX('Stock Register'!$E$7:$E$506,$L112)="Out",INDEX('Stock Register'!$F$7:$F$506,$L112),""))</f>
        <v/>
      </c>
      <c r="F112" s="48" t="str">
        <f aca="false">IF($L112="","",INDEX('Stock Register'!$K$7:$K$506,$L112))</f>
        <v/>
      </c>
      <c r="G112" s="73" t="str">
        <f aca="false">IF($L112="","",INDEX('Stock Register'!$G$7:$G$506,$L112))</f>
        <v/>
      </c>
      <c r="H112" s="41" t="str">
        <f aca="false">IF(D112="","",IF($L112="","",INDEX('Stock Register'!$J$7:$J$506,$L112)))</f>
        <v/>
      </c>
      <c r="I112" s="41" t="str">
        <f aca="false">IF(E112="","",IF($L112="","",INDEX('Stock Register'!$J$7:$J$506,$L112)))</f>
        <v/>
      </c>
      <c r="K112" s="9" t="str">
        <f aca="false">IFERROR(SMALL('Stock Register'!$Q$7:$Q$506,101),"")</f>
        <v/>
      </c>
      <c r="L112" s="9" t="str">
        <f aca="false">IF(K112="","",MATCH(K112,'Stock Register'!$Q$7:$Q$506,0))</f>
        <v/>
      </c>
    </row>
    <row r="113" customFormat="false" ht="15" hidden="false" customHeight="false" outlineLevel="0" collapsed="false">
      <c r="A113" s="74" t="str">
        <f aca="false">IF($L113="","",INDEX('Stock Register'!$B$7:$B$506,$L113))</f>
        <v/>
      </c>
      <c r="B113" s="75" t="str">
        <f aca="false">IF($L113="","",INDEX('Stock Register'!$I$7:$I$506,$L113))</f>
        <v/>
      </c>
      <c r="C113" s="47" t="str">
        <f aca="false">IF($L113="","",INDEX('Stock Register'!$H$7:$H$506,$L113))</f>
        <v/>
      </c>
      <c r="D113" s="76" t="str">
        <f aca="false">IF($L113="","",IF(INDEX('Stock Register'!$E$7:$E$506,$L113)="In",INDEX('Stock Register'!$F$7:$F$506,$L113),""))</f>
        <v/>
      </c>
      <c r="E113" s="77" t="str">
        <f aca="false">IF($L113="","",IF(INDEX('Stock Register'!$E$7:$E$506,$L113)="Out",INDEX('Stock Register'!$F$7:$F$506,$L113),""))</f>
        <v/>
      </c>
      <c r="F113" s="48" t="str">
        <f aca="false">IF($L113="","",INDEX('Stock Register'!$K$7:$K$506,$L113))</f>
        <v/>
      </c>
      <c r="G113" s="73" t="str">
        <f aca="false">IF($L113="","",INDEX('Stock Register'!$G$7:$G$506,$L113))</f>
        <v/>
      </c>
      <c r="H113" s="41" t="str">
        <f aca="false">IF(D113="","",IF($L113="","",INDEX('Stock Register'!$J$7:$J$506,$L113)))</f>
        <v/>
      </c>
      <c r="I113" s="41" t="str">
        <f aca="false">IF(E113="","",IF($L113="","",INDEX('Stock Register'!$J$7:$J$506,$L113)))</f>
        <v/>
      </c>
      <c r="K113" s="9" t="str">
        <f aca="false">IFERROR(SMALL('Stock Register'!$Q$7:$Q$506,102),"")</f>
        <v/>
      </c>
      <c r="L113" s="9" t="str">
        <f aca="false">IF(K113="","",MATCH(K113,'Stock Register'!$Q$7:$Q$506,0))</f>
        <v/>
      </c>
    </row>
    <row r="114" customFormat="false" ht="15" hidden="false" customHeight="false" outlineLevel="0" collapsed="false">
      <c r="A114" s="74" t="str">
        <f aca="false">IF($L114="","",INDEX('Stock Register'!$B$7:$B$506,$L114))</f>
        <v/>
      </c>
      <c r="B114" s="75" t="str">
        <f aca="false">IF($L114="","",INDEX('Stock Register'!$I$7:$I$506,$L114))</f>
        <v/>
      </c>
      <c r="C114" s="47" t="str">
        <f aca="false">IF($L114="","",INDEX('Stock Register'!$H$7:$H$506,$L114))</f>
        <v/>
      </c>
      <c r="D114" s="76" t="str">
        <f aca="false">IF($L114="","",IF(INDEX('Stock Register'!$E$7:$E$506,$L114)="In",INDEX('Stock Register'!$F$7:$F$506,$L114),""))</f>
        <v/>
      </c>
      <c r="E114" s="77" t="str">
        <f aca="false">IF($L114="","",IF(INDEX('Stock Register'!$E$7:$E$506,$L114)="Out",INDEX('Stock Register'!$F$7:$F$506,$L114),""))</f>
        <v/>
      </c>
      <c r="F114" s="48" t="str">
        <f aca="false">IF($L114="","",INDEX('Stock Register'!$K$7:$K$506,$L114))</f>
        <v/>
      </c>
      <c r="G114" s="73" t="str">
        <f aca="false">IF($L114="","",INDEX('Stock Register'!$G$7:$G$506,$L114))</f>
        <v/>
      </c>
      <c r="H114" s="41" t="str">
        <f aca="false">IF(D114="","",IF($L114="","",INDEX('Stock Register'!$J$7:$J$506,$L114)))</f>
        <v/>
      </c>
      <c r="I114" s="41" t="str">
        <f aca="false">IF(E114="","",IF($L114="","",INDEX('Stock Register'!$J$7:$J$506,$L114)))</f>
        <v/>
      </c>
      <c r="K114" s="9" t="str">
        <f aca="false">IFERROR(SMALL('Stock Register'!$Q$7:$Q$506,103),"")</f>
        <v/>
      </c>
      <c r="L114" s="9" t="str">
        <f aca="false">IF(K114="","",MATCH(K114,'Stock Register'!$Q$7:$Q$506,0))</f>
        <v/>
      </c>
    </row>
    <row r="115" customFormat="false" ht="15" hidden="false" customHeight="false" outlineLevel="0" collapsed="false">
      <c r="A115" s="74" t="str">
        <f aca="false">IF($L115="","",INDEX('Stock Register'!$B$7:$B$506,$L115))</f>
        <v/>
      </c>
      <c r="B115" s="75" t="str">
        <f aca="false">IF($L115="","",INDEX('Stock Register'!$I$7:$I$506,$L115))</f>
        <v/>
      </c>
      <c r="C115" s="47" t="str">
        <f aca="false">IF($L115="","",INDEX('Stock Register'!$H$7:$H$506,$L115))</f>
        <v/>
      </c>
      <c r="D115" s="76" t="str">
        <f aca="false">IF($L115="","",IF(INDEX('Stock Register'!$E$7:$E$506,$L115)="In",INDEX('Stock Register'!$F$7:$F$506,$L115),""))</f>
        <v/>
      </c>
      <c r="E115" s="77" t="str">
        <f aca="false">IF($L115="","",IF(INDEX('Stock Register'!$E$7:$E$506,$L115)="Out",INDEX('Stock Register'!$F$7:$F$506,$L115),""))</f>
        <v/>
      </c>
      <c r="F115" s="48" t="str">
        <f aca="false">IF($L115="","",INDEX('Stock Register'!$K$7:$K$506,$L115))</f>
        <v/>
      </c>
      <c r="G115" s="73" t="str">
        <f aca="false">IF($L115="","",INDEX('Stock Register'!$G$7:$G$506,$L115))</f>
        <v/>
      </c>
      <c r="H115" s="41" t="str">
        <f aca="false">IF(D115="","",IF($L115="","",INDEX('Stock Register'!$J$7:$J$506,$L115)))</f>
        <v/>
      </c>
      <c r="I115" s="41" t="str">
        <f aca="false">IF(E115="","",IF($L115="","",INDEX('Stock Register'!$J$7:$J$506,$L115)))</f>
        <v/>
      </c>
      <c r="K115" s="9" t="str">
        <f aca="false">IFERROR(SMALL('Stock Register'!$Q$7:$Q$506,104),"")</f>
        <v/>
      </c>
      <c r="L115" s="9" t="str">
        <f aca="false">IF(K115="","",MATCH(K115,'Stock Register'!$Q$7:$Q$506,0))</f>
        <v/>
      </c>
    </row>
    <row r="116" customFormat="false" ht="15" hidden="false" customHeight="false" outlineLevel="0" collapsed="false">
      <c r="A116" s="74" t="str">
        <f aca="false">IF($L116="","",INDEX('Stock Register'!$B$7:$B$506,$L116))</f>
        <v/>
      </c>
      <c r="B116" s="75" t="str">
        <f aca="false">IF($L116="","",INDEX('Stock Register'!$I$7:$I$506,$L116))</f>
        <v/>
      </c>
      <c r="C116" s="47" t="str">
        <f aca="false">IF($L116="","",INDEX('Stock Register'!$H$7:$H$506,$L116))</f>
        <v/>
      </c>
      <c r="D116" s="76" t="str">
        <f aca="false">IF($L116="","",IF(INDEX('Stock Register'!$E$7:$E$506,$L116)="In",INDEX('Stock Register'!$F$7:$F$506,$L116),""))</f>
        <v/>
      </c>
      <c r="E116" s="77" t="str">
        <f aca="false">IF($L116="","",IF(INDEX('Stock Register'!$E$7:$E$506,$L116)="Out",INDEX('Stock Register'!$F$7:$F$506,$L116),""))</f>
        <v/>
      </c>
      <c r="F116" s="48" t="str">
        <f aca="false">IF($L116="","",INDEX('Stock Register'!$K$7:$K$506,$L116))</f>
        <v/>
      </c>
      <c r="G116" s="73" t="str">
        <f aca="false">IF($L116="","",INDEX('Stock Register'!$G$7:$G$506,$L116))</f>
        <v/>
      </c>
      <c r="H116" s="41" t="str">
        <f aca="false">IF(D116="","",IF($L116="","",INDEX('Stock Register'!$J$7:$J$506,$L116)))</f>
        <v/>
      </c>
      <c r="I116" s="41" t="str">
        <f aca="false">IF(E116="","",IF($L116="","",INDEX('Stock Register'!$J$7:$J$506,$L116)))</f>
        <v/>
      </c>
      <c r="K116" s="9" t="str">
        <f aca="false">IFERROR(SMALL('Stock Register'!$Q$7:$Q$506,105),"")</f>
        <v/>
      </c>
      <c r="L116" s="9" t="str">
        <f aca="false">IF(K116="","",MATCH(K116,'Stock Register'!$Q$7:$Q$506,0))</f>
        <v/>
      </c>
    </row>
    <row r="117" customFormat="false" ht="15" hidden="false" customHeight="false" outlineLevel="0" collapsed="false">
      <c r="A117" s="74" t="str">
        <f aca="false">IF($L117="","",INDEX('Stock Register'!$B$7:$B$506,$L117))</f>
        <v/>
      </c>
      <c r="B117" s="75" t="str">
        <f aca="false">IF($L117="","",INDEX('Stock Register'!$I$7:$I$506,$L117))</f>
        <v/>
      </c>
      <c r="C117" s="47" t="str">
        <f aca="false">IF($L117="","",INDEX('Stock Register'!$H$7:$H$506,$L117))</f>
        <v/>
      </c>
      <c r="D117" s="76" t="str">
        <f aca="false">IF($L117="","",IF(INDEX('Stock Register'!$E$7:$E$506,$L117)="In",INDEX('Stock Register'!$F$7:$F$506,$L117),""))</f>
        <v/>
      </c>
      <c r="E117" s="77" t="str">
        <f aca="false">IF($L117="","",IF(INDEX('Stock Register'!$E$7:$E$506,$L117)="Out",INDEX('Stock Register'!$F$7:$F$506,$L117),""))</f>
        <v/>
      </c>
      <c r="F117" s="48" t="str">
        <f aca="false">IF($L117="","",INDEX('Stock Register'!$K$7:$K$506,$L117))</f>
        <v/>
      </c>
      <c r="G117" s="73" t="str">
        <f aca="false">IF($L117="","",INDEX('Stock Register'!$G$7:$G$506,$L117))</f>
        <v/>
      </c>
      <c r="H117" s="41" t="str">
        <f aca="false">IF(D117="","",IF($L117="","",INDEX('Stock Register'!$J$7:$J$506,$L117)))</f>
        <v/>
      </c>
      <c r="I117" s="41" t="str">
        <f aca="false">IF(E117="","",IF($L117="","",INDEX('Stock Register'!$J$7:$J$506,$L117)))</f>
        <v/>
      </c>
      <c r="K117" s="9" t="str">
        <f aca="false">IFERROR(SMALL('Stock Register'!$Q$7:$Q$506,106),"")</f>
        <v/>
      </c>
      <c r="L117" s="9" t="str">
        <f aca="false">IF(K117="","",MATCH(K117,'Stock Register'!$Q$7:$Q$506,0))</f>
        <v/>
      </c>
    </row>
    <row r="118" customFormat="false" ht="15" hidden="false" customHeight="false" outlineLevel="0" collapsed="false">
      <c r="A118" s="74" t="str">
        <f aca="false">IF($L118="","",INDEX('Stock Register'!$B$7:$B$506,$L118))</f>
        <v/>
      </c>
      <c r="B118" s="75" t="str">
        <f aca="false">IF($L118="","",INDEX('Stock Register'!$I$7:$I$506,$L118))</f>
        <v/>
      </c>
      <c r="C118" s="47" t="str">
        <f aca="false">IF($L118="","",INDEX('Stock Register'!$H$7:$H$506,$L118))</f>
        <v/>
      </c>
      <c r="D118" s="76" t="str">
        <f aca="false">IF($L118="","",IF(INDEX('Stock Register'!$E$7:$E$506,$L118)="In",INDEX('Stock Register'!$F$7:$F$506,$L118),""))</f>
        <v/>
      </c>
      <c r="E118" s="77" t="str">
        <f aca="false">IF($L118="","",IF(INDEX('Stock Register'!$E$7:$E$506,$L118)="Out",INDEX('Stock Register'!$F$7:$F$506,$L118),""))</f>
        <v/>
      </c>
      <c r="F118" s="48" t="str">
        <f aca="false">IF($L118="","",INDEX('Stock Register'!$K$7:$K$506,$L118))</f>
        <v/>
      </c>
      <c r="G118" s="73" t="str">
        <f aca="false">IF($L118="","",INDEX('Stock Register'!$G$7:$G$506,$L118))</f>
        <v/>
      </c>
      <c r="H118" s="41" t="str">
        <f aca="false">IF(D118="","",IF($L118="","",INDEX('Stock Register'!$J$7:$J$506,$L118)))</f>
        <v/>
      </c>
      <c r="I118" s="41" t="str">
        <f aca="false">IF(E118="","",IF($L118="","",INDEX('Stock Register'!$J$7:$J$506,$L118)))</f>
        <v/>
      </c>
      <c r="K118" s="9" t="str">
        <f aca="false">IFERROR(SMALL('Stock Register'!$Q$7:$Q$506,107),"")</f>
        <v/>
      </c>
      <c r="L118" s="9" t="str">
        <f aca="false">IF(K118="","",MATCH(K118,'Stock Register'!$Q$7:$Q$506,0))</f>
        <v/>
      </c>
    </row>
    <row r="119" customFormat="false" ht="15" hidden="false" customHeight="false" outlineLevel="0" collapsed="false">
      <c r="A119" s="74" t="str">
        <f aca="false">IF($L119="","",INDEX('Stock Register'!$B$7:$B$506,$L119))</f>
        <v/>
      </c>
      <c r="B119" s="75" t="str">
        <f aca="false">IF($L119="","",INDEX('Stock Register'!$I$7:$I$506,$L119))</f>
        <v/>
      </c>
      <c r="C119" s="47" t="str">
        <f aca="false">IF($L119="","",INDEX('Stock Register'!$H$7:$H$506,$L119))</f>
        <v/>
      </c>
      <c r="D119" s="76" t="str">
        <f aca="false">IF($L119="","",IF(INDEX('Stock Register'!$E$7:$E$506,$L119)="In",INDEX('Stock Register'!$F$7:$F$506,$L119),""))</f>
        <v/>
      </c>
      <c r="E119" s="77" t="str">
        <f aca="false">IF($L119="","",IF(INDEX('Stock Register'!$E$7:$E$506,$L119)="Out",INDEX('Stock Register'!$F$7:$F$506,$L119),""))</f>
        <v/>
      </c>
      <c r="F119" s="48" t="str">
        <f aca="false">IF($L119="","",INDEX('Stock Register'!$K$7:$K$506,$L119))</f>
        <v/>
      </c>
      <c r="G119" s="73" t="str">
        <f aca="false">IF($L119="","",INDEX('Stock Register'!$G$7:$G$506,$L119))</f>
        <v/>
      </c>
      <c r="H119" s="41" t="str">
        <f aca="false">IF(D119="","",IF($L119="","",INDEX('Stock Register'!$J$7:$J$506,$L119)))</f>
        <v/>
      </c>
      <c r="I119" s="41" t="str">
        <f aca="false">IF(E119="","",IF($L119="","",INDEX('Stock Register'!$J$7:$J$506,$L119)))</f>
        <v/>
      </c>
      <c r="K119" s="9" t="str">
        <f aca="false">IFERROR(SMALL('Stock Register'!$Q$7:$Q$506,108),"")</f>
        <v/>
      </c>
      <c r="L119" s="9" t="str">
        <f aca="false">IF(K119="","",MATCH(K119,'Stock Register'!$Q$7:$Q$506,0))</f>
        <v/>
      </c>
    </row>
    <row r="120" customFormat="false" ht="15" hidden="false" customHeight="false" outlineLevel="0" collapsed="false">
      <c r="A120" s="74" t="str">
        <f aca="false">IF($L120="","",INDEX('Stock Register'!$B$7:$B$506,$L120))</f>
        <v/>
      </c>
      <c r="B120" s="75" t="str">
        <f aca="false">IF($L120="","",INDEX('Stock Register'!$I$7:$I$506,$L120))</f>
        <v/>
      </c>
      <c r="C120" s="47" t="str">
        <f aca="false">IF($L120="","",INDEX('Stock Register'!$H$7:$H$506,$L120))</f>
        <v/>
      </c>
      <c r="D120" s="76" t="str">
        <f aca="false">IF($L120="","",IF(INDEX('Stock Register'!$E$7:$E$506,$L120)="In",INDEX('Stock Register'!$F$7:$F$506,$L120),""))</f>
        <v/>
      </c>
      <c r="E120" s="77" t="str">
        <f aca="false">IF($L120="","",IF(INDEX('Stock Register'!$E$7:$E$506,$L120)="Out",INDEX('Stock Register'!$F$7:$F$506,$L120),""))</f>
        <v/>
      </c>
      <c r="F120" s="48" t="str">
        <f aca="false">IF($L120="","",INDEX('Stock Register'!$K$7:$K$506,$L120))</f>
        <v/>
      </c>
      <c r="G120" s="73" t="str">
        <f aca="false">IF($L120="","",INDEX('Stock Register'!$G$7:$G$506,$L120))</f>
        <v/>
      </c>
      <c r="H120" s="41" t="str">
        <f aca="false">IF(D120="","",IF($L120="","",INDEX('Stock Register'!$J$7:$J$506,$L120)))</f>
        <v/>
      </c>
      <c r="I120" s="41" t="str">
        <f aca="false">IF(E120="","",IF($L120="","",INDEX('Stock Register'!$J$7:$J$506,$L120)))</f>
        <v/>
      </c>
      <c r="K120" s="9" t="str">
        <f aca="false">IFERROR(SMALL('Stock Register'!$Q$7:$Q$506,109),"")</f>
        <v/>
      </c>
      <c r="L120" s="9" t="str">
        <f aca="false">IF(K120="","",MATCH(K120,'Stock Register'!$Q$7:$Q$506,0))</f>
        <v/>
      </c>
    </row>
    <row r="121" customFormat="false" ht="15" hidden="false" customHeight="false" outlineLevel="0" collapsed="false">
      <c r="A121" s="74" t="str">
        <f aca="false">IF($L121="","",INDEX('Stock Register'!$B$7:$B$506,$L121))</f>
        <v/>
      </c>
      <c r="B121" s="75" t="str">
        <f aca="false">IF($L121="","",INDEX('Stock Register'!$I$7:$I$506,$L121))</f>
        <v/>
      </c>
      <c r="C121" s="47" t="str">
        <f aca="false">IF($L121="","",INDEX('Stock Register'!$H$7:$H$506,$L121))</f>
        <v/>
      </c>
      <c r="D121" s="76" t="str">
        <f aca="false">IF($L121="","",IF(INDEX('Stock Register'!$E$7:$E$506,$L121)="In",INDEX('Stock Register'!$F$7:$F$506,$L121),""))</f>
        <v/>
      </c>
      <c r="E121" s="77" t="str">
        <f aca="false">IF($L121="","",IF(INDEX('Stock Register'!$E$7:$E$506,$L121)="Out",INDEX('Stock Register'!$F$7:$F$506,$L121),""))</f>
        <v/>
      </c>
      <c r="F121" s="48" t="str">
        <f aca="false">IF($L121="","",INDEX('Stock Register'!$K$7:$K$506,$L121))</f>
        <v/>
      </c>
      <c r="G121" s="73" t="str">
        <f aca="false">IF($L121="","",INDEX('Stock Register'!$G$7:$G$506,$L121))</f>
        <v/>
      </c>
      <c r="H121" s="41" t="str">
        <f aca="false">IF(D121="","",IF($L121="","",INDEX('Stock Register'!$J$7:$J$506,$L121)))</f>
        <v/>
      </c>
      <c r="I121" s="41" t="str">
        <f aca="false">IF(E121="","",IF($L121="","",INDEX('Stock Register'!$J$7:$J$506,$L121)))</f>
        <v/>
      </c>
      <c r="K121" s="9" t="str">
        <f aca="false">IFERROR(SMALL('Stock Register'!$Q$7:$Q$506,110),"")</f>
        <v/>
      </c>
      <c r="L121" s="9" t="str">
        <f aca="false">IF(K121="","",MATCH(K121,'Stock Register'!$Q$7:$Q$506,0))</f>
        <v/>
      </c>
    </row>
    <row r="122" customFormat="false" ht="15" hidden="false" customHeight="false" outlineLevel="0" collapsed="false">
      <c r="A122" s="74" t="str">
        <f aca="false">IF($L122="","",INDEX('Stock Register'!$B$7:$B$506,$L122))</f>
        <v/>
      </c>
      <c r="B122" s="75" t="str">
        <f aca="false">IF($L122="","",INDEX('Stock Register'!$I$7:$I$506,$L122))</f>
        <v/>
      </c>
      <c r="C122" s="47" t="str">
        <f aca="false">IF($L122="","",INDEX('Stock Register'!$H$7:$H$506,$L122))</f>
        <v/>
      </c>
      <c r="D122" s="76" t="str">
        <f aca="false">IF($L122="","",IF(INDEX('Stock Register'!$E$7:$E$506,$L122)="In",INDEX('Stock Register'!$F$7:$F$506,$L122),""))</f>
        <v/>
      </c>
      <c r="E122" s="77" t="str">
        <f aca="false">IF($L122="","",IF(INDEX('Stock Register'!$E$7:$E$506,$L122)="Out",INDEX('Stock Register'!$F$7:$F$506,$L122),""))</f>
        <v/>
      </c>
      <c r="F122" s="48" t="str">
        <f aca="false">IF($L122="","",INDEX('Stock Register'!$K$7:$K$506,$L122))</f>
        <v/>
      </c>
      <c r="G122" s="73" t="str">
        <f aca="false">IF($L122="","",INDEX('Stock Register'!$G$7:$G$506,$L122))</f>
        <v/>
      </c>
      <c r="H122" s="41" t="str">
        <f aca="false">IF(D122="","",IF($L122="","",INDEX('Stock Register'!$J$7:$J$506,$L122)))</f>
        <v/>
      </c>
      <c r="I122" s="41" t="str">
        <f aca="false">IF(E122="","",IF($L122="","",INDEX('Stock Register'!$J$7:$J$506,$L122)))</f>
        <v/>
      </c>
      <c r="K122" s="9" t="str">
        <f aca="false">IFERROR(SMALL('Stock Register'!$Q$7:$Q$506,111),"")</f>
        <v/>
      </c>
      <c r="L122" s="9" t="str">
        <f aca="false">IF(K122="","",MATCH(K122,'Stock Register'!$Q$7:$Q$506,0))</f>
        <v/>
      </c>
    </row>
    <row r="123" customFormat="false" ht="15" hidden="false" customHeight="false" outlineLevel="0" collapsed="false">
      <c r="A123" s="74" t="str">
        <f aca="false">IF($L123="","",INDEX('Stock Register'!$B$7:$B$506,$L123))</f>
        <v/>
      </c>
      <c r="B123" s="75" t="str">
        <f aca="false">IF($L123="","",INDEX('Stock Register'!$I$7:$I$506,$L123))</f>
        <v/>
      </c>
      <c r="C123" s="47" t="str">
        <f aca="false">IF($L123="","",INDEX('Stock Register'!$H$7:$H$506,$L123))</f>
        <v/>
      </c>
      <c r="D123" s="76" t="str">
        <f aca="false">IF($L123="","",IF(INDEX('Stock Register'!$E$7:$E$506,$L123)="In",INDEX('Stock Register'!$F$7:$F$506,$L123),""))</f>
        <v/>
      </c>
      <c r="E123" s="77" t="str">
        <f aca="false">IF($L123="","",IF(INDEX('Stock Register'!$E$7:$E$506,$L123)="Out",INDEX('Stock Register'!$F$7:$F$506,$L123),""))</f>
        <v/>
      </c>
      <c r="F123" s="48" t="str">
        <f aca="false">IF($L123="","",INDEX('Stock Register'!$K$7:$K$506,$L123))</f>
        <v/>
      </c>
      <c r="G123" s="73" t="str">
        <f aca="false">IF($L123="","",INDEX('Stock Register'!$G$7:$G$506,$L123))</f>
        <v/>
      </c>
      <c r="H123" s="41" t="str">
        <f aca="false">IF(D123="","",IF($L123="","",INDEX('Stock Register'!$J$7:$J$506,$L123)))</f>
        <v/>
      </c>
      <c r="I123" s="41" t="str">
        <f aca="false">IF(E123="","",IF($L123="","",INDEX('Stock Register'!$J$7:$J$506,$L123)))</f>
        <v/>
      </c>
      <c r="K123" s="9" t="str">
        <f aca="false">IFERROR(SMALL('Stock Register'!$Q$7:$Q$506,112),"")</f>
        <v/>
      </c>
      <c r="L123" s="9" t="str">
        <f aca="false">IF(K123="","",MATCH(K123,'Stock Register'!$Q$7:$Q$506,0))</f>
        <v/>
      </c>
    </row>
    <row r="124" customFormat="false" ht="15" hidden="false" customHeight="false" outlineLevel="0" collapsed="false">
      <c r="A124" s="74" t="str">
        <f aca="false">IF($L124="","",INDEX('Stock Register'!$B$7:$B$506,$L124))</f>
        <v/>
      </c>
      <c r="B124" s="75" t="str">
        <f aca="false">IF($L124="","",INDEX('Stock Register'!$I$7:$I$506,$L124))</f>
        <v/>
      </c>
      <c r="C124" s="47" t="str">
        <f aca="false">IF($L124="","",INDEX('Stock Register'!$H$7:$H$506,$L124))</f>
        <v/>
      </c>
      <c r="D124" s="76" t="str">
        <f aca="false">IF($L124="","",IF(INDEX('Stock Register'!$E$7:$E$506,$L124)="In",INDEX('Stock Register'!$F$7:$F$506,$L124),""))</f>
        <v/>
      </c>
      <c r="E124" s="77" t="str">
        <f aca="false">IF($L124="","",IF(INDEX('Stock Register'!$E$7:$E$506,$L124)="Out",INDEX('Stock Register'!$F$7:$F$506,$L124),""))</f>
        <v/>
      </c>
      <c r="F124" s="48" t="str">
        <f aca="false">IF($L124="","",INDEX('Stock Register'!$K$7:$K$506,$L124))</f>
        <v/>
      </c>
      <c r="G124" s="73" t="str">
        <f aca="false">IF($L124="","",INDEX('Stock Register'!$G$7:$G$506,$L124))</f>
        <v/>
      </c>
      <c r="H124" s="41" t="str">
        <f aca="false">IF(D124="","",IF($L124="","",INDEX('Stock Register'!$J$7:$J$506,$L124)))</f>
        <v/>
      </c>
      <c r="I124" s="41" t="str">
        <f aca="false">IF(E124="","",IF($L124="","",INDEX('Stock Register'!$J$7:$J$506,$L124)))</f>
        <v/>
      </c>
      <c r="K124" s="9" t="str">
        <f aca="false">IFERROR(SMALL('Stock Register'!$Q$7:$Q$506,113),"")</f>
        <v/>
      </c>
      <c r="L124" s="9" t="str">
        <f aca="false">IF(K124="","",MATCH(K124,'Stock Register'!$Q$7:$Q$506,0))</f>
        <v/>
      </c>
    </row>
    <row r="125" customFormat="false" ht="15" hidden="false" customHeight="false" outlineLevel="0" collapsed="false">
      <c r="A125" s="74" t="str">
        <f aca="false">IF($L125="","",INDEX('Stock Register'!$B$7:$B$506,$L125))</f>
        <v/>
      </c>
      <c r="B125" s="75" t="str">
        <f aca="false">IF($L125="","",INDEX('Stock Register'!$I$7:$I$506,$L125))</f>
        <v/>
      </c>
      <c r="C125" s="47" t="str">
        <f aca="false">IF($L125="","",INDEX('Stock Register'!$H$7:$H$506,$L125))</f>
        <v/>
      </c>
      <c r="D125" s="76" t="str">
        <f aca="false">IF($L125="","",IF(INDEX('Stock Register'!$E$7:$E$506,$L125)="In",INDEX('Stock Register'!$F$7:$F$506,$L125),""))</f>
        <v/>
      </c>
      <c r="E125" s="77" t="str">
        <f aca="false">IF($L125="","",IF(INDEX('Stock Register'!$E$7:$E$506,$L125)="Out",INDEX('Stock Register'!$F$7:$F$506,$L125),""))</f>
        <v/>
      </c>
      <c r="F125" s="48" t="str">
        <f aca="false">IF($L125="","",INDEX('Stock Register'!$K$7:$K$506,$L125))</f>
        <v/>
      </c>
      <c r="G125" s="73" t="str">
        <f aca="false">IF($L125="","",INDEX('Stock Register'!$G$7:$G$506,$L125))</f>
        <v/>
      </c>
      <c r="H125" s="41" t="str">
        <f aca="false">IF(D125="","",IF($L125="","",INDEX('Stock Register'!$J$7:$J$506,$L125)))</f>
        <v/>
      </c>
      <c r="I125" s="41" t="str">
        <f aca="false">IF(E125="","",IF($L125="","",INDEX('Stock Register'!$J$7:$J$506,$L125)))</f>
        <v/>
      </c>
      <c r="K125" s="9" t="str">
        <f aca="false">IFERROR(SMALL('Stock Register'!$Q$7:$Q$506,114),"")</f>
        <v/>
      </c>
      <c r="L125" s="9" t="str">
        <f aca="false">IF(K125="","",MATCH(K125,'Stock Register'!$Q$7:$Q$506,0))</f>
        <v/>
      </c>
    </row>
    <row r="126" customFormat="false" ht="15" hidden="false" customHeight="false" outlineLevel="0" collapsed="false">
      <c r="A126" s="74" t="str">
        <f aca="false">IF($L126="","",INDEX('Stock Register'!$B$7:$B$506,$L126))</f>
        <v/>
      </c>
      <c r="B126" s="75" t="str">
        <f aca="false">IF($L126="","",INDEX('Stock Register'!$I$7:$I$506,$L126))</f>
        <v/>
      </c>
      <c r="C126" s="47" t="str">
        <f aca="false">IF($L126="","",INDEX('Stock Register'!$H$7:$H$506,$L126))</f>
        <v/>
      </c>
      <c r="D126" s="76" t="str">
        <f aca="false">IF($L126="","",IF(INDEX('Stock Register'!$E$7:$E$506,$L126)="In",INDEX('Stock Register'!$F$7:$F$506,$L126),""))</f>
        <v/>
      </c>
      <c r="E126" s="77" t="str">
        <f aca="false">IF($L126="","",IF(INDEX('Stock Register'!$E$7:$E$506,$L126)="Out",INDEX('Stock Register'!$F$7:$F$506,$L126),""))</f>
        <v/>
      </c>
      <c r="F126" s="48" t="str">
        <f aca="false">IF($L126="","",INDEX('Stock Register'!$K$7:$K$506,$L126))</f>
        <v/>
      </c>
      <c r="G126" s="73" t="str">
        <f aca="false">IF($L126="","",INDEX('Stock Register'!$G$7:$G$506,$L126))</f>
        <v/>
      </c>
      <c r="H126" s="41" t="str">
        <f aca="false">IF(D126="","",IF($L126="","",INDEX('Stock Register'!$J$7:$J$506,$L126)))</f>
        <v/>
      </c>
      <c r="I126" s="41" t="str">
        <f aca="false">IF(E126="","",IF($L126="","",INDEX('Stock Register'!$J$7:$J$506,$L126)))</f>
        <v/>
      </c>
      <c r="K126" s="9" t="str">
        <f aca="false">IFERROR(SMALL('Stock Register'!$Q$7:$Q$506,115),"")</f>
        <v/>
      </c>
      <c r="L126" s="9" t="str">
        <f aca="false">IF(K126="","",MATCH(K126,'Stock Register'!$Q$7:$Q$506,0))</f>
        <v/>
      </c>
    </row>
    <row r="127" customFormat="false" ht="15" hidden="false" customHeight="false" outlineLevel="0" collapsed="false">
      <c r="A127" s="74" t="str">
        <f aca="false">IF($L127="","",INDEX('Stock Register'!$B$7:$B$506,$L127))</f>
        <v/>
      </c>
      <c r="B127" s="75" t="str">
        <f aca="false">IF($L127="","",INDEX('Stock Register'!$I$7:$I$506,$L127))</f>
        <v/>
      </c>
      <c r="C127" s="47" t="str">
        <f aca="false">IF($L127="","",INDEX('Stock Register'!$H$7:$H$506,$L127))</f>
        <v/>
      </c>
      <c r="D127" s="76" t="str">
        <f aca="false">IF($L127="","",IF(INDEX('Stock Register'!$E$7:$E$506,$L127)="In",INDEX('Stock Register'!$F$7:$F$506,$L127),""))</f>
        <v/>
      </c>
      <c r="E127" s="77" t="str">
        <f aca="false">IF($L127="","",IF(INDEX('Stock Register'!$E$7:$E$506,$L127)="Out",INDEX('Stock Register'!$F$7:$F$506,$L127),""))</f>
        <v/>
      </c>
      <c r="F127" s="48" t="str">
        <f aca="false">IF($L127="","",INDEX('Stock Register'!$K$7:$K$506,$L127))</f>
        <v/>
      </c>
      <c r="G127" s="73" t="str">
        <f aca="false">IF($L127="","",INDEX('Stock Register'!$G$7:$G$506,$L127))</f>
        <v/>
      </c>
      <c r="H127" s="41" t="str">
        <f aca="false">IF(D127="","",IF($L127="","",INDEX('Stock Register'!$J$7:$J$506,$L127)))</f>
        <v/>
      </c>
      <c r="I127" s="41" t="str">
        <f aca="false">IF(E127="","",IF($L127="","",INDEX('Stock Register'!$J$7:$J$506,$L127)))</f>
        <v/>
      </c>
      <c r="K127" s="9" t="str">
        <f aca="false">IFERROR(SMALL('Stock Register'!$Q$7:$Q$506,116),"")</f>
        <v/>
      </c>
      <c r="L127" s="9" t="str">
        <f aca="false">IF(K127="","",MATCH(K127,'Stock Register'!$Q$7:$Q$506,0))</f>
        <v/>
      </c>
    </row>
    <row r="128" customFormat="false" ht="15" hidden="false" customHeight="false" outlineLevel="0" collapsed="false">
      <c r="A128" s="74" t="str">
        <f aca="false">IF($L128="","",INDEX('Stock Register'!$B$7:$B$506,$L128))</f>
        <v/>
      </c>
      <c r="B128" s="75" t="str">
        <f aca="false">IF($L128="","",INDEX('Stock Register'!$I$7:$I$506,$L128))</f>
        <v/>
      </c>
      <c r="C128" s="47" t="str">
        <f aca="false">IF($L128="","",INDEX('Stock Register'!$H$7:$H$506,$L128))</f>
        <v/>
      </c>
      <c r="D128" s="76" t="str">
        <f aca="false">IF($L128="","",IF(INDEX('Stock Register'!$E$7:$E$506,$L128)="In",INDEX('Stock Register'!$F$7:$F$506,$L128),""))</f>
        <v/>
      </c>
      <c r="E128" s="77" t="str">
        <f aca="false">IF($L128="","",IF(INDEX('Stock Register'!$E$7:$E$506,$L128)="Out",INDEX('Stock Register'!$F$7:$F$506,$L128),""))</f>
        <v/>
      </c>
      <c r="F128" s="48" t="str">
        <f aca="false">IF($L128="","",INDEX('Stock Register'!$K$7:$K$506,$L128))</f>
        <v/>
      </c>
      <c r="G128" s="73" t="str">
        <f aca="false">IF($L128="","",INDEX('Stock Register'!$G$7:$G$506,$L128))</f>
        <v/>
      </c>
      <c r="H128" s="41" t="str">
        <f aca="false">IF(D128="","",IF($L128="","",INDEX('Stock Register'!$J$7:$J$506,$L128)))</f>
        <v/>
      </c>
      <c r="I128" s="41" t="str">
        <f aca="false">IF(E128="","",IF($L128="","",INDEX('Stock Register'!$J$7:$J$506,$L128)))</f>
        <v/>
      </c>
      <c r="K128" s="9" t="str">
        <f aca="false">IFERROR(SMALL('Stock Register'!$Q$7:$Q$506,117),"")</f>
        <v/>
      </c>
      <c r="L128" s="9" t="str">
        <f aca="false">IF(K128="","",MATCH(K128,'Stock Register'!$Q$7:$Q$506,0))</f>
        <v/>
      </c>
    </row>
    <row r="129" customFormat="false" ht="15" hidden="false" customHeight="false" outlineLevel="0" collapsed="false">
      <c r="A129" s="74" t="str">
        <f aca="false">IF($L129="","",INDEX('Stock Register'!$B$7:$B$506,$L129))</f>
        <v/>
      </c>
      <c r="B129" s="75" t="str">
        <f aca="false">IF($L129="","",INDEX('Stock Register'!$I$7:$I$506,$L129))</f>
        <v/>
      </c>
      <c r="C129" s="47" t="str">
        <f aca="false">IF($L129="","",INDEX('Stock Register'!$H$7:$H$506,$L129))</f>
        <v/>
      </c>
      <c r="D129" s="76" t="str">
        <f aca="false">IF($L129="","",IF(INDEX('Stock Register'!$E$7:$E$506,$L129)="In",INDEX('Stock Register'!$F$7:$F$506,$L129),""))</f>
        <v/>
      </c>
      <c r="E129" s="77" t="str">
        <f aca="false">IF($L129="","",IF(INDEX('Stock Register'!$E$7:$E$506,$L129)="Out",INDEX('Stock Register'!$F$7:$F$506,$L129),""))</f>
        <v/>
      </c>
      <c r="F129" s="48" t="str">
        <f aca="false">IF($L129="","",INDEX('Stock Register'!$K$7:$K$506,$L129))</f>
        <v/>
      </c>
      <c r="G129" s="73" t="str">
        <f aca="false">IF($L129="","",INDEX('Stock Register'!$G$7:$G$506,$L129))</f>
        <v/>
      </c>
      <c r="H129" s="41" t="str">
        <f aca="false">IF(D129="","",IF($L129="","",INDEX('Stock Register'!$J$7:$J$506,$L129)))</f>
        <v/>
      </c>
      <c r="I129" s="41" t="str">
        <f aca="false">IF(E129="","",IF($L129="","",INDEX('Stock Register'!$J$7:$J$506,$L129)))</f>
        <v/>
      </c>
      <c r="K129" s="9" t="str">
        <f aca="false">IFERROR(SMALL('Stock Register'!$Q$7:$Q$506,118),"")</f>
        <v/>
      </c>
      <c r="L129" s="9" t="str">
        <f aca="false">IF(K129="","",MATCH(K129,'Stock Register'!$Q$7:$Q$506,0))</f>
        <v/>
      </c>
    </row>
    <row r="130" customFormat="false" ht="15" hidden="false" customHeight="false" outlineLevel="0" collapsed="false">
      <c r="A130" s="74" t="str">
        <f aca="false">IF($L130="","",INDEX('Stock Register'!$B$7:$B$506,$L130))</f>
        <v/>
      </c>
      <c r="B130" s="75" t="str">
        <f aca="false">IF($L130="","",INDEX('Stock Register'!$I$7:$I$506,$L130))</f>
        <v/>
      </c>
      <c r="C130" s="47" t="str">
        <f aca="false">IF($L130="","",INDEX('Stock Register'!$H$7:$H$506,$L130))</f>
        <v/>
      </c>
      <c r="D130" s="76" t="str">
        <f aca="false">IF($L130="","",IF(INDEX('Stock Register'!$E$7:$E$506,$L130)="In",INDEX('Stock Register'!$F$7:$F$506,$L130),""))</f>
        <v/>
      </c>
      <c r="E130" s="77" t="str">
        <f aca="false">IF($L130="","",IF(INDEX('Stock Register'!$E$7:$E$506,$L130)="Out",INDEX('Stock Register'!$F$7:$F$506,$L130),""))</f>
        <v/>
      </c>
      <c r="F130" s="48" t="str">
        <f aca="false">IF($L130="","",INDEX('Stock Register'!$K$7:$K$506,$L130))</f>
        <v/>
      </c>
      <c r="G130" s="73" t="str">
        <f aca="false">IF($L130="","",INDEX('Stock Register'!$G$7:$G$506,$L130))</f>
        <v/>
      </c>
      <c r="H130" s="41" t="str">
        <f aca="false">IF(D130="","",IF($L130="","",INDEX('Stock Register'!$J$7:$J$506,$L130)))</f>
        <v/>
      </c>
      <c r="I130" s="41" t="str">
        <f aca="false">IF(E130="","",IF($L130="","",INDEX('Stock Register'!$J$7:$J$506,$L130)))</f>
        <v/>
      </c>
      <c r="K130" s="9" t="str">
        <f aca="false">IFERROR(SMALL('Stock Register'!$Q$7:$Q$506,119),"")</f>
        <v/>
      </c>
      <c r="L130" s="9" t="str">
        <f aca="false">IF(K130="","",MATCH(K130,'Stock Register'!$Q$7:$Q$506,0))</f>
        <v/>
      </c>
    </row>
    <row r="131" customFormat="false" ht="15" hidden="false" customHeight="false" outlineLevel="0" collapsed="false">
      <c r="A131" s="74" t="str">
        <f aca="false">IF($L131="","",INDEX('Stock Register'!$B$7:$B$506,$L131))</f>
        <v/>
      </c>
      <c r="B131" s="75" t="str">
        <f aca="false">IF($L131="","",INDEX('Stock Register'!$I$7:$I$506,$L131))</f>
        <v/>
      </c>
      <c r="C131" s="47" t="str">
        <f aca="false">IF($L131="","",INDEX('Stock Register'!$H$7:$H$506,$L131))</f>
        <v/>
      </c>
      <c r="D131" s="76" t="str">
        <f aca="false">IF($L131="","",IF(INDEX('Stock Register'!$E$7:$E$506,$L131)="In",INDEX('Stock Register'!$F$7:$F$506,$L131),""))</f>
        <v/>
      </c>
      <c r="E131" s="77" t="str">
        <f aca="false">IF($L131="","",IF(INDEX('Stock Register'!$E$7:$E$506,$L131)="Out",INDEX('Stock Register'!$F$7:$F$506,$L131),""))</f>
        <v/>
      </c>
      <c r="F131" s="48" t="str">
        <f aca="false">IF($L131="","",INDEX('Stock Register'!$K$7:$K$506,$L131))</f>
        <v/>
      </c>
      <c r="G131" s="73" t="str">
        <f aca="false">IF($L131="","",INDEX('Stock Register'!$G$7:$G$506,$L131))</f>
        <v/>
      </c>
      <c r="H131" s="41" t="str">
        <f aca="false">IF(D131="","",IF($L131="","",INDEX('Stock Register'!$J$7:$J$506,$L131)))</f>
        <v/>
      </c>
      <c r="I131" s="41" t="str">
        <f aca="false">IF(E131="","",IF($L131="","",INDEX('Stock Register'!$J$7:$J$506,$L131)))</f>
        <v/>
      </c>
      <c r="K131" s="9" t="str">
        <f aca="false">IFERROR(SMALL('Stock Register'!$Q$7:$Q$506,120),"")</f>
        <v/>
      </c>
      <c r="L131" s="9" t="str">
        <f aca="false">IF(K131="","",MATCH(K131,'Stock Register'!$Q$7:$Q$506,0))</f>
        <v/>
      </c>
    </row>
  </sheetData>
  <sheetProtection sheet="1" objects="1" scenarios="1" formatColumns="0" formatRows="0" algorithmName="SHA-512" hashValue="ixC84m/fTsxOG48NGgAi2Cth3aSXd5lcP/n+cUls+0dN1iHbU5vuO6mbgmhWeMC6BFG42F4CiW5x+1dmF9+KCg==" saltValue="uQbxcKncUhVepcb/on9f0A==" spinCount="100000"/>
  <mergeCells count="14">
    <mergeCell ref="A2:I2"/>
    <mergeCell ref="A4:B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</mergeCells>
  <conditionalFormatting sqref="A12:I131">
    <cfRule type="expression" priority="2" aboveAverage="0" equalAverage="0" bottom="0" percent="0" rank="0" text="" dxfId="5">
      <formula>$L12=""</formula>
    </cfRule>
    <cfRule type="expression" priority="3" aboveAverage="0" equalAverage="0" bottom="0" percent="0" rank="0" text="" dxfId="6">
      <formula>$L12=""</formula>
    </cfRule>
  </conditionalFormatting>
  <conditionalFormatting sqref="F12:F131">
    <cfRule type="expression" priority="4" aboveAverage="0" equalAverage="0" bottom="0" percent="0" rank="0" text="" dxfId="2">
      <formula>AND($L12&lt;&gt;"",N($F12)&lt;0)</formula>
    </cfRule>
  </conditionalFormatting>
  <dataValidations count="1">
    <dataValidation allowBlank="true" errorStyle="stop" operator="between" showDropDown="false" showErrorMessage="false" showInputMessage="false" sqref="C4" type="list">
      <formula1>'Item Master'!$A$6:$A$105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153</v>
      </c>
    </row>
    <row r="2" customFormat="false" ht="15" hidden="false" customHeight="false" outlineLevel="0" collapsed="false">
      <c r="A2" s="0" t="s">
        <v>96</v>
      </c>
    </row>
    <row r="3" customFormat="false" ht="15" hidden="false" customHeight="false" outlineLevel="0" collapsed="false">
      <c r="A3" s="0" t="s">
        <v>99</v>
      </c>
    </row>
  </sheetData>
  <sheetProtection sheet="1" objects="1" scenarios="1" formatColumns="0" formatRows="0" algorithmName="SHA-512" hashValue="hPt9j9+aMjyVfAQ1B+zPdtXnDQdXhkO7wUnaH0DWKkcY3eZWCuc5aazZgDNPFLdg6fp8WWKJ5xe8CctgiEYrPQ==" saltValue="2wGlXyPGaIjFvUL89KwhFQ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2026-10-11T12:38:19Z</dcterms:created>
  <dc:creator>Xplorexcel.com</dc:creator>
  <dc:description/>
  <dc:language>en-US</dc:language>
  <cp:lastModifiedBy/>
  <dcterms:modified xsi:type="dcterms:W3CDTF">2026-10-11T12:38:23Z</dcterms:modified>
  <cp:revision>1</cp:revision>
  <dc:subject/>
  <dc:title>Stock Register &amp; Inventory Valuation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