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Xy4RRx66v/4fWRySH8zoQz3fS7NtRiu3uQ80oFGOpmbVl886akeICI/knId2gzaixkGXP3tX2bN9L0KRe0IOmg==" workbookSaltValue="BzSL7G4n/HH6n93DZaPTUg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Marks Entry" sheetId="4" state="visible" r:id="rId6"/>
    <sheet name="Report Card" sheetId="5" state="visible" r:id="rId7"/>
    <sheet name="Class Result" sheetId="6" state="visible" r:id="rId8"/>
    <sheet name="Lists" sheetId="7" state="hidden" r:id="rId9"/>
  </sheets>
  <definedNames>
    <definedName function="false" hidden="false" localSheetId="4" name="_xlnm.Print_Area" vbProcedure="false">'Report Card'!$B$2:$I$35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<sst xmlns="http://schemas.openxmlformats.org/spreadsheetml/2006/main" count="208" uniqueCount="182">
  <si>
    <t xml:space="preserve">Student Marks &amp; Report Card Generator</t>
  </si>
  <si>
    <t xml:space="preserve">GO TO SHEET</t>
  </si>
  <si>
    <t xml:space="preserve">CLASS AT A GLANCE</t>
  </si>
  <si>
    <t xml:space="preserve">School, subjects, grading scale</t>
  </si>
  <si>
    <t xml:space="preserve">Students</t>
  </si>
  <si>
    <t xml:space="preserve">Marks of every student</t>
  </si>
  <si>
    <t xml:space="preserve">Passed</t>
  </si>
  <si>
    <t xml:space="preserve">Pick roll no. &amp; print</t>
  </si>
  <si>
    <t xml:space="preserve">Pass percentage</t>
  </si>
  <si>
    <t xml:space="preserve">Subject analysis &amp; toppers</t>
  </si>
  <si>
    <t xml:space="preserve">Class average</t>
  </si>
  <si>
    <t xml:space="preserve">Features &amp; steps</t>
  </si>
  <si>
    <t xml:space="preserve">Compartment / Fail</t>
  </si>
  <si>
    <t xml:space="preserve">Class topper</t>
  </si>
  <si>
    <t xml:space="preserve">Weakest subject (avg %)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</si>
  <si>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</si>
  <si>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</si>
  <si>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</si>
  <si>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</si>
  <si>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Student Marks &amp; Report Card Generator 1.0 in Microsoft Excel :-</t>
  </si>
  <si>
    <t xml:space="preserve">Life-time free – no macros, works in Excel 2010+, Excel for Mac and Google Sheets</t>
  </si>
  <si>
    <t xml:space="preserve">Up to 60 students and 8 subjects, each with theory and internal / practical marks</t>
  </si>
  <si>
    <t xml:space="preserve">Total, percentage, grade, rank and result (Pass / Compartment / Fail) calculated automatically</t>
  </si>
  <si>
    <t xml:space="preserve">Editable grading scale with grade points and remarks – default 8-point scale A1 to E</t>
  </si>
  <si>
    <t xml:space="preserve">Printable A4 report card for any student – pick the roll number and print</t>
  </si>
  <si>
    <t xml:space="preserve">Absent students: type AB, counted as zero</t>
  </si>
  <si>
    <t xml:space="preserve">Class Result analysis: subject-wise pass %, average, highest, lowest and grade distribution</t>
  </si>
  <si>
    <t xml:space="preserve">Top 5 toppers and the list of students needing attention</t>
  </si>
  <si>
    <t xml:space="preserve">Checks for marks above the maximum, duplicate or missing roll numbers</t>
  </si>
  <si>
    <t xml:space="preserve">How to use it (4 steps)</t>
  </si>
  <si>
    <t xml:space="preserve">Step 1</t>
  </si>
  <si>
    <t xml:space="preserve">Setup – school name, class, exam, working days, pass %, subjects with maximum marks and the grading scale.</t>
  </si>
  <si>
    <t xml:space="preserve">Step 2</t>
  </si>
  <si>
    <t xml:space="preserve">Marks Entry – one row per student: roll number, name, parent's name, days present and marks.</t>
  </si>
  <si>
    <t xml:space="preserve">Step 3</t>
  </si>
  <si>
    <t xml:space="preserve">Report Card – pick a roll number and print. Repeat for each student.</t>
  </si>
  <si>
    <t xml:space="preserve">Step 4</t>
  </si>
  <si>
    <t xml:space="preserve">Class Result – subject-wise analysis, toppers and students who need attention.</t>
  </si>
  <si>
    <t xml:space="preserve">School, Exam, Subjects &amp; Grading</t>
  </si>
  <si>
    <t xml:space="preserve">School name</t>
  </si>
  <si>
    <t xml:space="preserve">Xplore Public School, Hoshiarpur</t>
  </si>
  <si>
    <t xml:space="preserve">Min %</t>
  </si>
  <si>
    <t xml:space="preserve">Grade</t>
  </si>
  <si>
    <t xml:space="preserve">Grade point</t>
  </si>
  <si>
    <t xml:space="preserve">Remark</t>
  </si>
  <si>
    <t xml:space="preserve">Affiliation / School code</t>
  </si>
  <si>
    <t xml:space="preserve">Affiliation No. 1234567</t>
  </si>
  <si>
    <t xml:space="preserve">A1</t>
  </si>
  <si>
    <t xml:space="preserve">Outstanding</t>
  </si>
  <si>
    <t xml:space="preserve">Class &amp; section</t>
  </si>
  <si>
    <t xml:space="preserve">X – A</t>
  </si>
  <si>
    <t xml:space="preserve">A2</t>
  </si>
  <si>
    <t xml:space="preserve">Excellent</t>
  </si>
  <si>
    <t xml:space="preserve">Session</t>
  </si>
  <si>
    <t xml:space="preserve">2026-27</t>
  </si>
  <si>
    <t xml:space="preserve">B1</t>
  </si>
  <si>
    <t xml:space="preserve">Very good</t>
  </si>
  <si>
    <t xml:space="preserve">Examination</t>
  </si>
  <si>
    <t xml:space="preserve">Half-Yearly Examination</t>
  </si>
  <si>
    <t xml:space="preserve">B2</t>
  </si>
  <si>
    <t xml:space="preserve">Good</t>
  </si>
  <si>
    <t xml:space="preserve">Total working days</t>
  </si>
  <si>
    <t xml:space="preserve">C1</t>
  </si>
  <si>
    <t xml:space="preserve">Above average</t>
  </si>
  <si>
    <t xml:space="preserve">Class teacher</t>
  </si>
  <si>
    <t xml:space="preserve">Mrs. Harpreet Kaur</t>
  </si>
  <si>
    <t xml:space="preserve">C2</t>
  </si>
  <si>
    <t xml:space="preserve">Average</t>
  </si>
  <si>
    <t xml:space="preserve">Pass marks (% in each subject)</t>
  </si>
  <si>
    <t xml:space="preserve">D</t>
  </si>
  <si>
    <t xml:space="preserve">Satisfactory</t>
  </si>
  <si>
    <t xml:space="preserve">Compartment allowed in up to (subjects)</t>
  </si>
  <si>
    <t xml:space="preserve">E</t>
  </si>
  <si>
    <t xml:space="preserve">Needs improvement</t>
  </si>
  <si>
    <t xml:space="preserve">Result declared on</t>
  </si>
  <si>
    <t xml:space="preserve">Keep Min % in descending order. Default is the common 8-point absolute scale – change it to your board's or school's scale.</t>
  </si>
  <si>
    <t xml:space="preserve">Subjects (up to 8 – leave unused rows blank)</t>
  </si>
  <si>
    <t xml:space="preserve">#</t>
  </si>
  <si>
    <t xml:space="preserve">Subject</t>
  </si>
  <si>
    <t xml:space="preserve">Theory max</t>
  </si>
  <si>
    <t xml:space="preserve">Internal / practical max</t>
  </si>
  <si>
    <t xml:space="preserve">Total max</t>
  </si>
  <si>
    <t xml:space="preserve">English</t>
  </si>
  <si>
    <t xml:space="preserve">Hindi</t>
  </si>
  <si>
    <t xml:space="preserve">Mathematics</t>
  </si>
  <si>
    <t xml:space="preserve">Science</t>
  </si>
  <si>
    <t xml:space="preserve">Social Science</t>
  </si>
  <si>
    <t xml:space="preserve">Information Technology</t>
  </si>
  <si>
    <t xml:space="preserve">Enter marks in the yellow cells. Type AB for an absent student (counted as 0). Red cells are more than the maximum marks.</t>
  </si>
  <si>
    <t xml:space="preserve">Roll no.</t>
  </si>
  <si>
    <t xml:space="preserve">Student name</t>
  </si>
  <si>
    <t xml:space="preserve">Father's / Mother's name</t>
  </si>
  <si>
    <t xml:space="preserve">Days present</t>
  </si>
  <si>
    <t xml:space="preserve">Total</t>
  </si>
  <si>
    <t xml:space="preserve">Max</t>
  </si>
  <si>
    <t xml:space="preserve">Percentage</t>
  </si>
  <si>
    <t xml:space="preserve">Subjects below pass</t>
  </si>
  <si>
    <t xml:space="preserve">Result</t>
  </si>
  <si>
    <t xml:space="preserve">Rank</t>
  </si>
  <si>
    <t xml:space="preserve">Check</t>
  </si>
  <si>
    <t xml:space="preserve">Aarav Sharma</t>
  </si>
  <si>
    <t xml:space="preserve">Rajesh Sharma</t>
  </si>
  <si>
    <t xml:space="preserve">Simran Kaur</t>
  </si>
  <si>
    <t xml:space="preserve">Gurpreet Singh</t>
  </si>
  <si>
    <t xml:space="preserve">Rohan Verma</t>
  </si>
  <si>
    <t xml:space="preserve">Anil Verma</t>
  </si>
  <si>
    <t xml:space="preserve">Ananya Gupta</t>
  </si>
  <si>
    <t xml:space="preserve">Sanjay Gupta</t>
  </si>
  <si>
    <t xml:space="preserve">Harjot Singh</t>
  </si>
  <si>
    <t xml:space="preserve">Balwinder Singh</t>
  </si>
  <si>
    <t xml:space="preserve">Priya Mehta</t>
  </si>
  <si>
    <t xml:space="preserve">Vikas Mehta</t>
  </si>
  <si>
    <t xml:space="preserve">Arjun Kapoor</t>
  </si>
  <si>
    <t xml:space="preserve">Deepak Kapoor</t>
  </si>
  <si>
    <t xml:space="preserve">Navneet Kaur</t>
  </si>
  <si>
    <t xml:space="preserve">Jaswinder Singh</t>
  </si>
  <si>
    <t xml:space="preserve">Kabir Malhotra</t>
  </si>
  <si>
    <t xml:space="preserve">Sunil Malhotra</t>
  </si>
  <si>
    <t xml:space="preserve">Ishita Bansal</t>
  </si>
  <si>
    <t xml:space="preserve">Rakesh Bansal</t>
  </si>
  <si>
    <t xml:space="preserve">Manpreet Singh</t>
  </si>
  <si>
    <t xml:space="preserve">Kuldeep Singh</t>
  </si>
  <si>
    <t xml:space="preserve">Sneha Arora</t>
  </si>
  <si>
    <t xml:space="preserve">Ashok Arora</t>
  </si>
  <si>
    <t xml:space="preserve">Yash Thakur</t>
  </si>
  <si>
    <t xml:space="preserve">Mahesh Thakur</t>
  </si>
  <si>
    <t xml:space="preserve">Jasleen Kaur</t>
  </si>
  <si>
    <t xml:space="preserve">Harbhajan Singh</t>
  </si>
  <si>
    <t xml:space="preserve">Aditya Saini</t>
  </si>
  <si>
    <t xml:space="preserve">Ramesh Saini</t>
  </si>
  <si>
    <t xml:space="preserve">Riya Sood</t>
  </si>
  <si>
    <t xml:space="preserve">Pankaj Sood</t>
  </si>
  <si>
    <t xml:space="preserve">Gurnoor Singh</t>
  </si>
  <si>
    <t xml:space="preserve">Amarjit Singh</t>
  </si>
  <si>
    <t xml:space="preserve">Tanvi Jain</t>
  </si>
  <si>
    <t xml:space="preserve">Naresh Jain</t>
  </si>
  <si>
    <t xml:space="preserve">Vivek Rana</t>
  </si>
  <si>
    <t xml:space="preserve">Surinder Rana</t>
  </si>
  <si>
    <t xml:space="preserve">AB</t>
  </si>
  <si>
    <t xml:space="preserve">Mehak Chopra</t>
  </si>
  <si>
    <t xml:space="preserve">Rajiv Chopra</t>
  </si>
  <si>
    <t xml:space="preserve">Sahil Khanna</t>
  </si>
  <si>
    <t xml:space="preserve">Ajay Khanna</t>
  </si>
  <si>
    <t xml:space="preserve">Kirandeep Kaur</t>
  </si>
  <si>
    <t xml:space="preserve">Paramjit Singh</t>
  </si>
  <si>
    <t xml:space="preserve">Dev Bhatia</t>
  </si>
  <si>
    <t xml:space="preserve">Manoj Bhatia</t>
  </si>
  <si>
    <t xml:space="preserve">Pooja Dhiman</t>
  </si>
  <si>
    <t xml:space="preserve">Raj Kumar</t>
  </si>
  <si>
    <t xml:space="preserve">Lakshay Walia</t>
  </si>
  <si>
    <t xml:space="preserve">Sandeep Walia</t>
  </si>
  <si>
    <t xml:space="preserve">Pick Roll no. ►</t>
  </si>
  <si>
    <t xml:space="preserve">Change the roll number and print (A4).</t>
  </si>
  <si>
    <t xml:space="preserve">Class</t>
  </si>
  <si>
    <t xml:space="preserve">Attendance</t>
  </si>
  <si>
    <t xml:space="preserve">Rank in class</t>
  </si>
  <si>
    <t xml:space="preserve">Theory</t>
  </si>
  <si>
    <t xml:space="preserve">Internal / practical</t>
  </si>
  <si>
    <t xml:space="preserve">Max marks</t>
  </si>
  <si>
    <t xml:space="preserve">Grand total</t>
  </si>
  <si>
    <t xml:space="preserve">Overall grade</t>
  </si>
  <si>
    <t xml:space="preserve">Average grade point</t>
  </si>
  <si>
    <t xml:space="preserve">Class teacher's remarks</t>
  </si>
  <si>
    <t xml:space="preserve">Grading scale:</t>
  </si>
  <si>
    <t xml:space="preserve">______________</t>
  </si>
  <si>
    <t xml:space="preserve">Parent / guardian</t>
  </si>
  <si>
    <t xml:space="preserve">Principal</t>
  </si>
  <si>
    <t xml:space="preserve">Format by xplorexcel.com</t>
  </si>
  <si>
    <t xml:space="preserve">Appeared</t>
  </si>
  <si>
    <t xml:space="preserve">Pass %</t>
  </si>
  <si>
    <t xml:space="preserve">Average %</t>
  </si>
  <si>
    <t xml:space="preserve">Highest</t>
  </si>
  <si>
    <t xml:space="preserve">Lowest</t>
  </si>
  <si>
    <t xml:space="preserve">Overall</t>
  </si>
  <si>
    <t xml:space="preserve">Class toppers</t>
  </si>
  <si>
    <t xml:space="preserve">Result summary</t>
  </si>
  <si>
    <t xml:space="preserve">Needs attention</t>
  </si>
  <si>
    <t xml:space="preserve">%</t>
  </si>
  <si>
    <t xml:space="preserve">Pass</t>
  </si>
  <si>
    <t xml:space="preserve">Compartment</t>
  </si>
  <si>
    <t xml:space="preserve">Fail</t>
  </si>
  <si>
    <t xml:space="preserve">Total students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</si>
</sst>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;\-0;\-"/>
    <numFmt numFmtId="167" formatCode="0.0%"/>
    <numFmt numFmtId="168" formatCode="0%"/>
    <numFmt numFmtId="169" formatCode="dd\ mmmm\ yyyy"/>
    <numFmt numFmtId="170" formatCode="0.#"/>
    <numFmt numFmtId="171" formatCode="General"/>
    <numFmt numFmtId="172" formatCode="0.0"/>
  </numFmts>
  <fonts count="4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7"/>
      <color rgb="FF006838"/>
      <name val="Cambria"/>
      <family val="0"/>
      <charset val="1"/>
    </font>
    <font>
      <b val="true"/>
      <sz val="14"/>
      <color rgb="FF002060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i val="true"/>
      <sz val="10"/>
      <color rgb="FF002060"/>
      <name val="Cambria"/>
      <family val="0"/>
      <charset val="1"/>
    </font>
    <font>
      <b val="true"/>
      <sz val="8"/>
      <color rgb="FF595959"/>
      <name val="Cambria"/>
      <family val="0"/>
      <charset val="1"/>
    </font>
    <font>
      <sz val="8"/>
      <color rgb="FF595959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sz val="9"/>
      <color rgb="FF000000"/>
      <name val="Cambria"/>
      <family val="0"/>
      <charset val="1"/>
    </font>
    <font>
      <i val="true"/>
      <sz val="7"/>
      <color rgb="FFA6A6A6"/>
      <name val="Cambria"/>
      <family val="0"/>
      <charset val="1"/>
    </font>
    <font>
      <b val="true"/>
      <sz val="11"/>
      <color rgb="FF9C5700"/>
      <name val="Cambri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FFF2CC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BF8F00"/>
        <bgColor rgb="FF8080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/>
      <right/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3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3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11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1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24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4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11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24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32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b val="1"/>
        <color rgb="FFC00000"/>
      </font>
      <fill>
        <patternFill>
          <bgColor rgb="FFFFC7CE"/>
        </patternFill>
      </fill>
    </dxf>
    <dxf>
      <font>
        <color rgb="FFC00000"/>
      </font>
    </dxf>
    <dxf>
      <font>
        <b val="1"/>
        <color rgb="FF006838"/>
      </font>
    </dxf>
    <dxf>
      <font>
        <b val="1"/>
        <color rgb="FF9C5700"/>
      </font>
      <fill>
        <patternFill>
          <bgColor rgb="FFFFEB9C"/>
        </patternFill>
      </fill>
    </dxf>
    <dxf>
      <font>
        <b val="1"/>
        <color rgb="FF006838"/>
      </font>
      <fill>
        <patternFill>
          <bgColor rgb="FFE2EFDA"/>
        </patternFill>
      </fill>
    </dxf>
    <dxf>
      <font>
        <b val="1"/>
        <color rgb="FFC00000"/>
      </font>
    </dxf>
    <dxf>
      <fill>
        <patternFill>
          <bgColor rgb="FFDDEBF7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Overall grade distribution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Dashboard!$I$9:$I$16</c:f>
              <c:strCache>
                <c:ptCount val="8"/>
                <c:pt idx="0">
                  <c:v>A1</c:v>
                </c:pt>
                <c:pt idx="1">
                  <c:v>A2</c:v>
                </c:pt>
                <c:pt idx="2">
                  <c:v>B1</c:v>
                </c:pt>
                <c:pt idx="3">
                  <c:v>B2</c:v>
                </c:pt>
                <c:pt idx="4">
                  <c:v>C1</c:v>
                </c:pt>
                <c:pt idx="5">
                  <c:v>C2</c:v>
                </c:pt>
                <c:pt idx="6">
                  <c:v>D</c:v>
                </c:pt>
                <c:pt idx="7">
                  <c:v>E</c:v>
                </c:pt>
              </c:strCache>
            </c:strRef>
          </c:cat>
          <c:val>
            <c:numRef>
              <c:f>Dashboard!$J$9:$J$16</c:f>
              <c:numCache>
                <c:formatCode>0;\-0;\-</c:formatCode>
                <c:ptCount val="8"/>
                <c:pt idx="0">
                  <c:v>3</c:v>
                </c:pt>
                <c:pt idx="1">
                  <c:v>7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99432377"/>
        <c:axId val="98358045"/>
      </c:barChart>
      <c:catAx>
        <c:axId val="994323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358045"/>
        <c:crosses val="autoZero"/>
        <c:auto val="1"/>
        <c:lblAlgn val="ctr"/>
        <c:lblOffset val="100"/>
        <c:noMultiLvlLbl val="0"/>
      </c:catAx>
      <c:valAx>
        <c:axId val="98358045"/>
        <c:scaling>
          <c:orientation val="minMax"/>
        </c:scaling>
        <c:delete val="0"/>
        <c:axPos val="l"/>
        <c:numFmt formatCode="0;\-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432377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Subject average %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Dashboard!$K$9:$K$16</c:f>
              <c:strCache>
                <c:ptCount val="8"/>
                <c:pt idx="0">
                  <c:v>English</c:v>
                </c:pt>
                <c:pt idx="1">
                  <c:v>Hindi</c:v>
                </c:pt>
                <c:pt idx="2">
                  <c:v>Mathematics</c:v>
                </c:pt>
                <c:pt idx="3">
                  <c:v>Science</c:v>
                </c:pt>
                <c:pt idx="4">
                  <c:v>Social Science</c:v>
                </c:pt>
                <c:pt idx="5">
                  <c:v>Information Technology</c:v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Dashboard!$L$9:$L$16</c:f>
              <c:numCache>
                <c:formatCode>0.0%</c:formatCode>
                <c:ptCount val="8"/>
                <c:pt idx="0">
                  <c:v>0.7296</c:v>
                </c:pt>
                <c:pt idx="1">
                  <c:v>0.7204</c:v>
                </c:pt>
                <c:pt idx="2">
                  <c:v>0.6964</c:v>
                </c:pt>
                <c:pt idx="3">
                  <c:v>0.7136</c:v>
                </c:pt>
                <c:pt idx="4">
                  <c:v>0.7388</c:v>
                </c:pt>
                <c:pt idx="5">
                  <c:v>0.77</c:v>
                </c:pt>
              </c:numCache>
            </c:numRef>
          </c:val>
        </c:ser>
        <c:gapWidth val="150"/>
        <c:overlap val="0"/>
        <c:axId val="59144820"/>
        <c:axId val="2988225"/>
      </c:barChart>
      <c:catAx>
        <c:axId val="5914482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88225"/>
        <c:crosses val="autoZero"/>
        <c:auto val="1"/>
        <c:lblAlgn val="ctr"/>
        <c:lblOffset val="100"/>
        <c:noMultiLvlLbl val="0"/>
      </c:catAx>
      <c:valAx>
        <c:axId val="2988225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144820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<Relationship Id="rId4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0</xdr:rowOff>
    </xdr:from>
    <xdr:to>
      <xdr:col>5</xdr:col>
      <xdr:colOff>277200</xdr:colOff>
      <xdr:row>33</xdr:row>
      <xdr:rowOff>32760</xdr:rowOff>
    </xdr:to>
    <xdr:graphicFrame>
      <xdr:nvGraphicFramePr>
        <xdr:cNvPr id="0" name="Chart 1"/>
        <xdr:cNvGraphicFramePr/>
      </xdr:nvGraphicFramePr>
      <xdr:xfrm>
        <a:off x="141120" y="479124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35</xdr:row>
      <xdr:rowOff>0</xdr:rowOff>
    </xdr:from>
    <xdr:to>
      <xdr:col>5</xdr:col>
      <xdr:colOff>277200</xdr:colOff>
      <xdr:row>49</xdr:row>
      <xdr:rowOff>32400</xdr:rowOff>
    </xdr:to>
    <xdr:graphicFrame>
      <xdr:nvGraphicFramePr>
        <xdr:cNvPr id="1" name="Chart 2"/>
        <xdr:cNvGraphicFramePr/>
      </xdr:nvGraphicFramePr>
      <xdr:xfrm>
        <a:off x="141120" y="783900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1142640</xdr:colOff>
      <xdr:row>52</xdr:row>
      <xdr:rowOff>190080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6343560" y="1088712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62280</xdr:rowOff>
    </xdr:from>
    <xdr:to>
      <xdr:col>1</xdr:col>
      <xdr:colOff>1904760</xdr:colOff>
      <xdr:row>20</xdr:row>
      <xdr:rowOff>128520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423000" y="361944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25</xdr:row>
      <xdr:rowOff>20880</xdr:rowOff>
    </xdr:from>
    <xdr:to>
      <xdr:col>3</xdr:col>
      <xdr:colOff>251280</xdr:colOff>
      <xdr:row>27</xdr:row>
      <xdr:rowOff>48960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2467080" y="561960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694800</xdr:colOff>
      <xdr:row>1</xdr:row>
      <xdr:rowOff>342720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141120" y="190440"/>
          <a:ext cx="104724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Student%20Marks%20and%20Report%20Card%20Generato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Student%20Marks%20and%20Report%20Card%20Generato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Student%20Marks%20and%20Report%20Card%20Generato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Student%20Marks%20and%20Report%20Card%20Generator%201.0%20by%20Xplorexcel.com.xlsx" TargetMode="External"/><Relationship Id="rId2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Student%20Marks%20and%20Report%20Card%20Generator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L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20"/>
    <col collapsed="false" customWidth="true" hidden="false" outlineLevel="0" max="7" min="7" style="0" width="4"/>
    <col collapsed="false" customWidth="true" hidden="true" outlineLevel="0" max="12" min="9" style="0" width="13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Setup!$C$4&amp;"  •  "&amp;Setup!$C$6&amp;"  •  "&amp;Setup!$C$8&amp;" "&amp;Setup!$C$7</f>
        <v>Xplore Public School, Hoshiarpur  •  X – A  •  Half-Yearly Examination 2026-27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HYPERLINK("#'Setup'!A1","1. Setup  ►")</f>
        <v>1. Setup  ►</v>
      </c>
      <c r="C9" s="5" t="s">
        <v>3</v>
      </c>
      <c r="E9" s="6" t="s">
        <v>4</v>
      </c>
      <c r="F9" s="7" t="n">
        <f aca="false">'Class Result'!B13</f>
        <v>25</v>
      </c>
      <c r="I9" s="8" t="str">
        <f aca="false">Setup!$G$5</f>
        <v>A1</v>
      </c>
      <c r="J9" s="9" t="n">
        <f aca="false">'Class Result'!I13</f>
        <v>3</v>
      </c>
      <c r="K9" s="8" t="str">
        <f aca="false">'Class Result'!A5</f>
        <v>English</v>
      </c>
      <c r="L9" s="10" t="n">
        <f aca="false">'Class Result'!E5</f>
        <v>0.7296</v>
      </c>
    </row>
    <row r="10" customFormat="false" ht="24" hidden="false" customHeight="true" outlineLevel="0" collapsed="false">
      <c r="B10" s="4" t="str">
        <f aca="false">HYPERLINK("#'Marks Entry'!A1","2. Marks Entry  ►")</f>
        <v>2. Marks Entry  ►</v>
      </c>
      <c r="C10" s="5" t="s">
        <v>5</v>
      </c>
      <c r="E10" s="6" t="s">
        <v>6</v>
      </c>
      <c r="F10" s="7" t="n">
        <f aca="false">'Class Result'!C13</f>
        <v>22</v>
      </c>
      <c r="I10" s="8" t="str">
        <f aca="false">Setup!$G$6</f>
        <v>A2</v>
      </c>
      <c r="J10" s="9" t="n">
        <f aca="false">'Class Result'!J13</f>
        <v>7</v>
      </c>
      <c r="K10" s="8" t="str">
        <f aca="false">'Class Result'!A6</f>
        <v>Hindi</v>
      </c>
      <c r="L10" s="10" t="n">
        <f aca="false">'Class Result'!E6</f>
        <v>0.7204</v>
      </c>
    </row>
    <row r="11" customFormat="false" ht="24" hidden="false" customHeight="true" outlineLevel="0" collapsed="false">
      <c r="B11" s="4" t="str">
        <f aca="false">HYPERLINK("#'Report Card'!A1","3. Report Card  ►")</f>
        <v>3. Report Card  ►</v>
      </c>
      <c r="C11" s="5" t="s">
        <v>7</v>
      </c>
      <c r="E11" s="6" t="s">
        <v>8</v>
      </c>
      <c r="F11" s="11" t="n">
        <f aca="false">'Class Result'!D13</f>
        <v>0.88</v>
      </c>
      <c r="I11" s="8" t="str">
        <f aca="false">Setup!$G$7</f>
        <v>B1</v>
      </c>
      <c r="J11" s="9" t="n">
        <f aca="false">'Class Result'!K13</f>
        <v>3</v>
      </c>
      <c r="K11" s="8" t="str">
        <f aca="false">'Class Result'!A7</f>
        <v>Mathematics</v>
      </c>
      <c r="L11" s="10" t="n">
        <f aca="false">'Class Result'!E7</f>
        <v>0.6964</v>
      </c>
    </row>
    <row r="12" customFormat="false" ht="24" hidden="false" customHeight="true" outlineLevel="0" collapsed="false">
      <c r="B12" s="4" t="str">
        <f aca="false">HYPERLINK("#'Class Result'!A1","4. Class Result  ►")</f>
        <v>4. Class Result  ►</v>
      </c>
      <c r="C12" s="5" t="s">
        <v>9</v>
      </c>
      <c r="E12" s="6" t="s">
        <v>10</v>
      </c>
      <c r="F12" s="11" t="n">
        <f aca="false">'Class Result'!E13</f>
        <v>0.728133333333333</v>
      </c>
      <c r="I12" s="8" t="str">
        <f aca="false">Setup!$G$8</f>
        <v>B2</v>
      </c>
      <c r="J12" s="9" t="n">
        <f aca="false">'Class Result'!L13</f>
        <v>4</v>
      </c>
      <c r="K12" s="8" t="str">
        <f aca="false">'Class Result'!A8</f>
        <v>Science</v>
      </c>
      <c r="L12" s="10" t="n">
        <f aca="false">'Class Result'!E8</f>
        <v>0.7136</v>
      </c>
    </row>
    <row r="13" customFormat="false" ht="24" hidden="false" customHeight="true" outlineLevel="0" collapsed="false">
      <c r="B13" s="4" t="str">
        <f aca="false">HYPERLINK("#'About Workbook'!A1","How to use  ►")</f>
        <v>How to use  ►</v>
      </c>
      <c r="C13" s="5" t="s">
        <v>11</v>
      </c>
      <c r="E13" s="6" t="s">
        <v>12</v>
      </c>
      <c r="F13" s="12" t="str">
        <f aca="false">'Class Result'!I18&amp;" / "&amp;'Class Result'!I19</f>
        <v>2 / 1</v>
      </c>
      <c r="I13" s="8" t="str">
        <f aca="false">Setup!$G$9</f>
        <v>C1</v>
      </c>
      <c r="J13" s="9" t="n">
        <f aca="false">'Class Result'!M13</f>
        <v>5</v>
      </c>
      <c r="K13" s="8" t="str">
        <f aca="false">'Class Result'!A9</f>
        <v>Social Science</v>
      </c>
      <c r="L13" s="10" t="n">
        <f aca="false">'Class Result'!E9</f>
        <v>0.7388</v>
      </c>
    </row>
    <row r="14" customFormat="false" ht="24" hidden="false" customHeight="true" outlineLevel="0" collapsed="false">
      <c r="E14" s="6" t="s">
        <v>13</v>
      </c>
      <c r="F14" s="12" t="str">
        <f aca="false">'Class Result'!C18&amp;" ("&amp;TEXT('Class Result'!E18,"0.0%")&amp;")"</f>
        <v>Sneha Arora (93.7%)</v>
      </c>
      <c r="I14" s="8" t="str">
        <f aca="false">Setup!$G$10</f>
        <v>C2</v>
      </c>
      <c r="J14" s="9" t="n">
        <f aca="false">'Class Result'!N13</f>
        <v>3</v>
      </c>
      <c r="K14" s="8" t="str">
        <f aca="false">'Class Result'!A10</f>
        <v>Information Technology</v>
      </c>
      <c r="L14" s="10" t="n">
        <f aca="false">'Class Result'!E10</f>
        <v>0.77</v>
      </c>
    </row>
    <row r="15" customFormat="false" ht="24" hidden="false" customHeight="true" outlineLevel="0" collapsed="false">
      <c r="E15" s="6" t="s">
        <v>14</v>
      </c>
      <c r="F15" s="12" t="str">
        <f aca="false">IFERROR(INDEX('Class Result'!$A$5:$A$12,MATCH(MIN('Class Result'!$E$5:$E$12),'Class Result'!$E$5:$E$12,0))&amp;" ("&amp;TEXT(MIN('Class Result'!$E$5:$E$12),"0%")&amp;")","")</f>
        <v>Mathematics (70%)</v>
      </c>
      <c r="I15" s="8" t="str">
        <f aca="false">Setup!$G$11</f>
        <v>D</v>
      </c>
      <c r="J15" s="9" t="n">
        <f aca="false">'Class Result'!O13</f>
        <v>0</v>
      </c>
      <c r="K15" s="8" t="str">
        <f aca="false">'Class Result'!A11</f>
        <v/>
      </c>
      <c r="L15" s="8" t="str">
        <f aca="false">'Class Result'!E11</f>
        <v/>
      </c>
    </row>
    <row r="16" customFormat="false" ht="15" hidden="false" customHeight="false" outlineLevel="0" collapsed="false">
      <c r="I16" s="8" t="str">
        <f aca="false">Setup!$G$12</f>
        <v>E</v>
      </c>
      <c r="J16" s="9" t="n">
        <f aca="false">'Class Result'!P13</f>
        <v>0</v>
      </c>
      <c r="K16" s="8" t="str">
        <f aca="false">'Class Result'!A12</f>
        <v/>
      </c>
      <c r="L16" s="8" t="str">
        <f aca="false">'Class Result'!E12</f>
        <v/>
      </c>
    </row>
    <row r="17" customFormat="false" ht="15" hidden="false" customHeight="false" outlineLevel="0" collapsed="false">
      <c r="B17" s="13" t="s">
        <v>15</v>
      </c>
    </row>
    <row r="18" customFormat="false" ht="15" hidden="false" customHeight="false" outlineLevel="0" collapsed="false">
      <c r="B18" s="14" t="str">
        <f aca="false">IF(COUNTIF('Marks Entry'!$AB$7:$AB$66,"⚠*")&gt;0,"⚠ "&amp;COUNTIF('Marks Entry'!$AB$7:$AB$66,"⚠*")&amp;" student row(s) need attention – see the Check column on Marks Entry.","✔ All marks are within the maximum and roll numbers are unique.")</f>
        <v>✔ All marks are within the maximum and roll numbers are unique.</v>
      </c>
      <c r="C18" s="14"/>
      <c r="D18" s="14"/>
      <c r="E18" s="14"/>
      <c r="F18" s="14"/>
    </row>
    <row r="52" customFormat="false" ht="15" hidden="false" customHeight="false" outlineLevel="0" collapsed="false">
      <c r="E52" s="15" t="s">
        <v>16</v>
      </c>
    </row>
    <row r="55" customFormat="false" ht="15" hidden="false" customHeight="false" outlineLevel="0" collapsed="false">
      <c r="F55" s="16" t="s">
        <v>17</v>
      </c>
    </row>
  </sheetData>
  <sheetProtection sheet="1" objects="1" scenarios="1" formatColumns="0" formatRows="0" algorithmName="SHA-512" hashValue="jBTHsrS0lH1bXhUsASTNvKh4QiJkk90hNeZb9DvLoSYFIbrLAP1i3BL/aB1E8oij1TxUmJllS1LLcYQwsS56gA==" saltValue="NAG6RHzgUxEtvSbqY/E2Zw==" spinCount="100000"/>
  <mergeCells count="3">
    <mergeCell ref="B5:F5"/>
    <mergeCell ref="B6:F6"/>
    <mergeCell ref="B18:F18"/>
  </mergeCells>
  <hyperlinks>
    <hyperlink ref="F55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7" t="s">
        <v>18</v>
      </c>
    </row>
    <row r="2" customFormat="false" ht="22.05" hidden="false" customHeight="false" outlineLevel="0" collapsed="false">
      <c r="A2" s="18" t="s">
        <v>19</v>
      </c>
    </row>
    <row r="3" customFormat="false" ht="15" hidden="false" customHeight="false" outlineLevel="0" collapsed="false">
      <c r="A3" s="19" t="n">
        <v>1</v>
      </c>
      <c r="B3" s="20" t="s">
        <v>20</v>
      </c>
    </row>
    <row r="4" customFormat="false" ht="15" hidden="false" customHeight="false" outlineLevel="0" collapsed="false">
      <c r="A4" s="19" t="n">
        <v>2</v>
      </c>
      <c r="B4" s="20" t="s">
        <v>21</v>
      </c>
    </row>
    <row r="5" customFormat="false" ht="15" hidden="false" customHeight="false" outlineLevel="0" collapsed="false">
      <c r="A5" s="19" t="n">
        <v>3</v>
      </c>
      <c r="B5" s="20" t="s">
        <v>22</v>
      </c>
    </row>
    <row r="6" customFormat="false" ht="15" hidden="false" customHeight="false" outlineLevel="0" collapsed="false">
      <c r="A6" s="19" t="n">
        <v>4</v>
      </c>
      <c r="B6" s="20" t="s">
        <v>23</v>
      </c>
    </row>
    <row r="7" customFormat="false" ht="15" hidden="false" customHeight="false" outlineLevel="0" collapsed="false">
      <c r="A7" s="19" t="n">
        <v>5</v>
      </c>
      <c r="B7" s="20" t="s">
        <v>24</v>
      </c>
    </row>
    <row r="8" customFormat="false" ht="15" hidden="false" customHeight="false" outlineLevel="0" collapsed="false">
      <c r="A8" s="19" t="n">
        <v>6</v>
      </c>
      <c r="B8" s="20" t="s">
        <v>25</v>
      </c>
    </row>
    <row r="9" customFormat="false" ht="15" hidden="false" customHeight="false" outlineLevel="0" collapsed="false">
      <c r="A9" s="19" t="n">
        <v>7</v>
      </c>
      <c r="B9" s="20" t="s">
        <v>26</v>
      </c>
    </row>
    <row r="10" customFormat="false" ht="15" hidden="false" customHeight="false" outlineLevel="0" collapsed="false">
      <c r="A10" s="19" t="n">
        <v>8</v>
      </c>
      <c r="B10" s="20" t="s">
        <v>27</v>
      </c>
    </row>
    <row r="11" customFormat="false" ht="15" hidden="false" customHeight="false" outlineLevel="0" collapsed="false">
      <c r="A11" s="19" t="n">
        <v>9</v>
      </c>
      <c r="B11" s="20" t="s">
        <v>28</v>
      </c>
    </row>
    <row r="13" customFormat="false" ht="19.7" hidden="false" customHeight="false" outlineLevel="0" collapsed="false">
      <c r="A13" s="21" t="s">
        <v>29</v>
      </c>
      <c r="B13" s="21"/>
    </row>
    <row r="14" customFormat="false" ht="15" hidden="false" customHeight="false" outlineLevel="0" collapsed="false">
      <c r="A14" s="22" t="s">
        <v>30</v>
      </c>
      <c r="B14" s="23" t="s">
        <v>31</v>
      </c>
    </row>
    <row r="15" customFormat="false" ht="15" hidden="false" customHeight="false" outlineLevel="0" collapsed="false">
      <c r="A15" s="22" t="s">
        <v>32</v>
      </c>
      <c r="B15" s="23" t="s">
        <v>33</v>
      </c>
    </row>
    <row r="16" customFormat="false" ht="15" hidden="false" customHeight="false" outlineLevel="0" collapsed="false">
      <c r="A16" s="22" t="s">
        <v>34</v>
      </c>
      <c r="B16" s="23" t="s">
        <v>35</v>
      </c>
    </row>
    <row r="17" customFormat="false" ht="28.35" hidden="false" customHeight="false" outlineLevel="0" collapsed="false">
      <c r="A17" s="22" t="s">
        <v>36</v>
      </c>
      <c r="B17" s="23" t="s">
        <v>37</v>
      </c>
    </row>
  </sheetData>
  <sheetProtection sheet="1" objects="1" scenarios="1" formatColumns="0" formatRows="0" algorithmName="SHA-512" hashValue="iSEbDRqZee04xlNcVtN/WsjXfPiPxl1a5O/b2VbP4wiIv8JHiJnBPmd0W/U7kIpWPJP7Ln/foHTwfMZgIRRLYg==" saltValue="ZMT+r6MZVDVun8IU9AIoVw==" spinCount="100000"/>
  <mergeCells count="1">
    <mergeCell ref="A13:B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7" min="6" style="0" width="9"/>
    <col collapsed="false" customWidth="true" hidden="false" outlineLevel="0" max="8" min="8" style="0" width="11"/>
    <col collapsed="false" customWidth="true" hidden="false" outlineLevel="0" max="9" min="9" style="0" width="20"/>
  </cols>
  <sheetData>
    <row r="1" customFormat="false" ht="15" hidden="false" customHeight="false" outlineLevel="0" collapsed="false">
      <c r="A1" s="17" t="s">
        <v>18</v>
      </c>
    </row>
    <row r="2" customFormat="false" ht="31.5" hidden="false" customHeight="true" outlineLevel="0" collapsed="false">
      <c r="A2" s="24" t="s">
        <v>38</v>
      </c>
      <c r="B2" s="24"/>
      <c r="C2" s="24"/>
      <c r="D2" s="24"/>
      <c r="E2" s="24"/>
      <c r="F2" s="24"/>
      <c r="G2" s="24"/>
      <c r="H2" s="24"/>
      <c r="I2" s="24"/>
    </row>
    <row r="3" customFormat="false" ht="15" hidden="false" customHeight="false" outlineLevel="0" collapsed="false">
      <c r="F3" s="25"/>
    </row>
    <row r="4" customFormat="false" ht="30" hidden="false" customHeight="true" outlineLevel="0" collapsed="false">
      <c r="A4" s="26" t="s">
        <v>39</v>
      </c>
      <c r="B4" s="26"/>
      <c r="C4" s="96" t="s">
        <v>40</v>
      </c>
      <c r="D4" s="96"/>
      <c r="F4" s="28" t="s">
        <v>41</v>
      </c>
      <c r="G4" s="28" t="s">
        <v>42</v>
      </c>
      <c r="H4" s="28" t="s">
        <v>43</v>
      </c>
      <c r="I4" s="28" t="s">
        <v>44</v>
      </c>
    </row>
    <row r="5" customFormat="false" ht="15" hidden="false" customHeight="true" outlineLevel="0" collapsed="false">
      <c r="A5" s="26" t="s">
        <v>45</v>
      </c>
      <c r="B5" s="26"/>
      <c r="C5" s="96" t="s">
        <v>46</v>
      </c>
      <c r="D5" s="96"/>
      <c r="F5" s="97" t="n">
        <v>0.91</v>
      </c>
      <c r="G5" s="98" t="s">
        <v>47</v>
      </c>
      <c r="H5" s="99" t="n">
        <v>10</v>
      </c>
      <c r="I5" s="100" t="s">
        <v>48</v>
      </c>
    </row>
    <row r="6" customFormat="false" ht="15" hidden="false" customHeight="true" outlineLevel="0" collapsed="false">
      <c r="A6" s="26" t="s">
        <v>49</v>
      </c>
      <c r="B6" s="26"/>
      <c r="C6" s="96" t="s">
        <v>50</v>
      </c>
      <c r="D6" s="96"/>
      <c r="F6" s="97" t="n">
        <v>0.81</v>
      </c>
      <c r="G6" s="98" t="s">
        <v>51</v>
      </c>
      <c r="H6" s="99" t="n">
        <v>9</v>
      </c>
      <c r="I6" s="100" t="s">
        <v>52</v>
      </c>
    </row>
    <row r="7" customFormat="false" ht="15" hidden="false" customHeight="true" outlineLevel="0" collapsed="false">
      <c r="A7" s="26" t="s">
        <v>53</v>
      </c>
      <c r="B7" s="26"/>
      <c r="C7" s="96" t="s">
        <v>54</v>
      </c>
      <c r="D7" s="96"/>
      <c r="F7" s="97" t="n">
        <v>0.71</v>
      </c>
      <c r="G7" s="98" t="s">
        <v>55</v>
      </c>
      <c r="H7" s="99" t="n">
        <v>8</v>
      </c>
      <c r="I7" s="100" t="s">
        <v>56</v>
      </c>
    </row>
    <row r="8" customFormat="false" ht="15" hidden="false" customHeight="true" outlineLevel="0" collapsed="false">
      <c r="A8" s="26" t="s">
        <v>57</v>
      </c>
      <c r="B8" s="26"/>
      <c r="C8" s="96" t="s">
        <v>58</v>
      </c>
      <c r="D8" s="96"/>
      <c r="F8" s="97" t="n">
        <v>0.61</v>
      </c>
      <c r="G8" s="98" t="s">
        <v>59</v>
      </c>
      <c r="H8" s="99" t="n">
        <v>7</v>
      </c>
      <c r="I8" s="100" t="s">
        <v>60</v>
      </c>
    </row>
    <row r="9" customFormat="false" ht="15" hidden="false" customHeight="true" outlineLevel="0" collapsed="false">
      <c r="A9" s="26" t="s">
        <v>61</v>
      </c>
      <c r="B9" s="26"/>
      <c r="C9" s="101" t="n">
        <v>112</v>
      </c>
      <c r="D9" s="101"/>
      <c r="F9" s="97" t="n">
        <v>0.51</v>
      </c>
      <c r="G9" s="98" t="s">
        <v>62</v>
      </c>
      <c r="H9" s="99" t="n">
        <v>6</v>
      </c>
      <c r="I9" s="100" t="s">
        <v>63</v>
      </c>
    </row>
    <row r="10" customFormat="false" ht="15" hidden="false" customHeight="true" outlineLevel="0" collapsed="false">
      <c r="A10" s="26" t="s">
        <v>64</v>
      </c>
      <c r="B10" s="26"/>
      <c r="C10" s="96" t="s">
        <v>65</v>
      </c>
      <c r="D10" s="96"/>
      <c r="F10" s="97" t="n">
        <v>0.41</v>
      </c>
      <c r="G10" s="98" t="s">
        <v>66</v>
      </c>
      <c r="H10" s="99" t="n">
        <v>5</v>
      </c>
      <c r="I10" s="100" t="s">
        <v>67</v>
      </c>
    </row>
    <row r="11" customFormat="false" ht="15" hidden="false" customHeight="true" outlineLevel="0" collapsed="false">
      <c r="A11" s="26" t="s">
        <v>68</v>
      </c>
      <c r="B11" s="26"/>
      <c r="C11" s="102" t="n">
        <v>0.33</v>
      </c>
      <c r="D11" s="102"/>
      <c r="F11" s="97" t="n">
        <v>0.33</v>
      </c>
      <c r="G11" s="98" t="s">
        <v>69</v>
      </c>
      <c r="H11" s="99" t="n">
        <v>4</v>
      </c>
      <c r="I11" s="100" t="s">
        <v>70</v>
      </c>
    </row>
    <row r="12" customFormat="false" ht="28.35" hidden="false" customHeight="true" outlineLevel="0" collapsed="false">
      <c r="A12" s="26" t="s">
        <v>71</v>
      </c>
      <c r="B12" s="26"/>
      <c r="C12" s="101" t="n">
        <v>2</v>
      </c>
      <c r="D12" s="101"/>
      <c r="F12" s="97" t="n">
        <v>0</v>
      </c>
      <c r="G12" s="98" t="s">
        <v>72</v>
      </c>
      <c r="H12" s="99" t="n">
        <v>0</v>
      </c>
      <c r="I12" s="100" t="s">
        <v>73</v>
      </c>
    </row>
    <row r="13" customFormat="false" ht="15" hidden="false" customHeight="true" outlineLevel="0" collapsed="false">
      <c r="A13" s="26" t="s">
        <v>74</v>
      </c>
      <c r="B13" s="26"/>
      <c r="C13" s="103" t="n">
        <v>46325</v>
      </c>
      <c r="D13" s="103"/>
      <c r="F13" s="36" t="s">
        <v>75</v>
      </c>
      <c r="G13" s="36"/>
      <c r="H13" s="36"/>
      <c r="I13" s="36"/>
    </row>
    <row r="14" customFormat="false" ht="15" hidden="false" customHeight="false" outlineLevel="0" collapsed="false">
      <c r="F14" s="36"/>
      <c r="G14" s="36"/>
      <c r="H14" s="36"/>
      <c r="I14" s="36"/>
    </row>
    <row r="15" customFormat="false" ht="15" hidden="false" customHeight="false" outlineLevel="0" collapsed="false">
      <c r="A15" s="3" t="s">
        <v>76</v>
      </c>
    </row>
    <row r="16" customFormat="false" ht="36" hidden="false" customHeight="true" outlineLevel="0" collapsed="false">
      <c r="A16" s="37" t="s">
        <v>77</v>
      </c>
      <c r="B16" s="37" t="s">
        <v>78</v>
      </c>
      <c r="C16" s="37" t="s">
        <v>79</v>
      </c>
      <c r="D16" s="37" t="s">
        <v>80</v>
      </c>
      <c r="E16" s="37" t="s">
        <v>81</v>
      </c>
    </row>
    <row r="17" customFormat="false" ht="15" hidden="false" customHeight="false" outlineLevel="0" collapsed="false">
      <c r="A17" s="38" t="n">
        <v>1</v>
      </c>
      <c r="B17" s="100" t="s">
        <v>82</v>
      </c>
      <c r="C17" s="99" t="n">
        <v>80</v>
      </c>
      <c r="D17" s="99" t="n">
        <v>20</v>
      </c>
      <c r="E17" s="39" t="n">
        <f aca="false">IF(B17="","",N(C17)+N(D17))</f>
        <v>100</v>
      </c>
    </row>
    <row r="18" customFormat="false" ht="15" hidden="false" customHeight="false" outlineLevel="0" collapsed="false">
      <c r="A18" s="38" t="n">
        <v>2</v>
      </c>
      <c r="B18" s="100" t="s">
        <v>83</v>
      </c>
      <c r="C18" s="99" t="n">
        <v>80</v>
      </c>
      <c r="D18" s="99" t="n">
        <v>20</v>
      </c>
      <c r="E18" s="39" t="n">
        <f aca="false">IF(B18="","",N(C18)+N(D18))</f>
        <v>100</v>
      </c>
    </row>
    <row r="19" customFormat="false" ht="15" hidden="false" customHeight="false" outlineLevel="0" collapsed="false">
      <c r="A19" s="38" t="n">
        <v>3</v>
      </c>
      <c r="B19" s="100" t="s">
        <v>84</v>
      </c>
      <c r="C19" s="99" t="n">
        <v>80</v>
      </c>
      <c r="D19" s="99" t="n">
        <v>20</v>
      </c>
      <c r="E19" s="39" t="n">
        <f aca="false">IF(B19="","",N(C19)+N(D19))</f>
        <v>100</v>
      </c>
    </row>
    <row r="20" customFormat="false" ht="15" hidden="false" customHeight="false" outlineLevel="0" collapsed="false">
      <c r="A20" s="38" t="n">
        <v>4</v>
      </c>
      <c r="B20" s="100" t="s">
        <v>85</v>
      </c>
      <c r="C20" s="99" t="n">
        <v>80</v>
      </c>
      <c r="D20" s="99" t="n">
        <v>20</v>
      </c>
      <c r="E20" s="39" t="n">
        <f aca="false">IF(B20="","",N(C20)+N(D20))</f>
        <v>100</v>
      </c>
    </row>
    <row r="21" customFormat="false" ht="15" hidden="false" customHeight="false" outlineLevel="0" collapsed="false">
      <c r="A21" s="38" t="n">
        <v>5</v>
      </c>
      <c r="B21" s="100" t="s">
        <v>86</v>
      </c>
      <c r="C21" s="99" t="n">
        <v>80</v>
      </c>
      <c r="D21" s="99" t="n">
        <v>20</v>
      </c>
      <c r="E21" s="39" t="n">
        <f aca="false">IF(B21="","",N(C21)+N(D21))</f>
        <v>100</v>
      </c>
    </row>
    <row r="22" customFormat="false" ht="15" hidden="false" customHeight="false" outlineLevel="0" collapsed="false">
      <c r="A22" s="38" t="n">
        <v>6</v>
      </c>
      <c r="B22" s="100" t="s">
        <v>87</v>
      </c>
      <c r="C22" s="99" t="n">
        <v>50</v>
      </c>
      <c r="D22" s="99" t="n">
        <v>50</v>
      </c>
      <c r="E22" s="39" t="n">
        <f aca="false">IF(B22="","",N(C22)+N(D22))</f>
        <v>100</v>
      </c>
    </row>
    <row r="23" customFormat="false" ht="15" hidden="false" customHeight="false" outlineLevel="0" collapsed="false">
      <c r="A23" s="38" t="n">
        <v>7</v>
      </c>
      <c r="B23" s="100"/>
      <c r="C23" s="99"/>
      <c r="D23" s="99"/>
      <c r="E23" s="39" t="str">
        <f aca="false">IF(B23="","",N(C23)+N(D23))</f>
        <v/>
      </c>
    </row>
    <row r="24" customFormat="false" ht="15" hidden="false" customHeight="false" outlineLevel="0" collapsed="false">
      <c r="A24" s="38" t="n">
        <v>8</v>
      </c>
      <c r="B24" s="100"/>
      <c r="C24" s="99"/>
      <c r="D24" s="99"/>
      <c r="E24" s="39" t="str">
        <f aca="false">IF(B24="","",N(C24)+N(D24))</f>
        <v/>
      </c>
    </row>
    <row r="27" customFormat="false" ht="15" hidden="false" customHeight="false" outlineLevel="0" collapsed="false">
      <c r="B27" s="40" t="s">
        <v>16</v>
      </c>
    </row>
  </sheetData>
  <sheetProtection sheet="1" objects="1" scenarios="1" formatColumns="0" formatRows="0" algorithmName="SHA-512" hashValue="WabxOO+RhS77owRBlUWq7aZGA4y9qszRsho0zqkcd9S4PmPq9iKQ1ehqBJlN4lm+lgK/Vks7bkIXu1PGBcafbA==" saltValue="wcgElQUWoItzkPwD/NSZKg==" spinCount="100000"/>
  <mergeCells count="22">
    <mergeCell ref="A2:I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F13:I14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AM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20" min="5" style="0" width="6.51"/>
    <col collapsed="false" customWidth="true" hidden="false" outlineLevel="0" max="21" min="21" style="0" width="7"/>
    <col collapsed="false" customWidth="true" hidden="false" outlineLevel="0" max="22" min="22" style="0" width="6"/>
    <col collapsed="false" customWidth="true" hidden="false" outlineLevel="0" max="23" min="23" style="0" width="11"/>
    <col collapsed="false" customWidth="true" hidden="false" outlineLevel="0" max="24" min="24" style="0" width="9"/>
    <col collapsed="false" customWidth="true" hidden="false" outlineLevel="0" max="25" min="25" style="0" width="15"/>
    <col collapsed="false" customWidth="true" hidden="false" outlineLevel="0" max="26" min="26" style="0" width="6"/>
    <col collapsed="false" customWidth="true" hidden="false" outlineLevel="0" max="27" min="27" style="0" width="7"/>
    <col collapsed="false" customWidth="true" hidden="false" outlineLevel="0" max="28" min="28" style="0" width="18"/>
    <col collapsed="false" customWidth="true" hidden="true" outlineLevel="0" max="39" min="29" style="0" width="13"/>
  </cols>
  <sheetData>
    <row r="1" customFormat="false" ht="15" hidden="false" customHeight="false" outlineLevel="0" collapsed="false">
      <c r="A1" s="17" t="s">
        <v>18</v>
      </c>
    </row>
    <row r="2" customFormat="false" ht="27.75" hidden="false" customHeight="true" outlineLevel="0" collapsed="false">
      <c r="A2" s="41" t="str">
        <f aca="false">"Marks Entry – "&amp;Setup!$C$6&amp;" – "&amp;Setup!$C$8&amp;" "&amp;Setup!$C$7</f>
        <v>Marks Entry – X – A – Half-Yearly Examination 2026-27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customFormat="false" ht="15" hidden="false" customHeight="false" outlineLevel="0" collapsed="false">
      <c r="A3" s="42" t="s">
        <v>88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5" customFormat="false" ht="30" hidden="false" customHeight="true" outlineLevel="0" collapsed="false">
      <c r="A5" s="43" t="s">
        <v>89</v>
      </c>
      <c r="B5" s="43" t="s">
        <v>90</v>
      </c>
      <c r="C5" s="43" t="s">
        <v>91</v>
      </c>
      <c r="D5" s="43" t="s">
        <v>92</v>
      </c>
      <c r="E5" s="44" t="str">
        <f aca="false">IF(Setup!$B$17="","Subject 1",Setup!$B$17)</f>
        <v>English</v>
      </c>
      <c r="F5" s="44"/>
      <c r="G5" s="44" t="str">
        <f aca="false">IF(Setup!$B$18="","Subject 2",Setup!$B$18)</f>
        <v>Hindi</v>
      </c>
      <c r="H5" s="44"/>
      <c r="I5" s="44" t="str">
        <f aca="false">IF(Setup!$B$19="","Subject 3",Setup!$B$19)</f>
        <v>Mathematics</v>
      </c>
      <c r="J5" s="44"/>
      <c r="K5" s="44" t="str">
        <f aca="false">IF(Setup!$B$20="","Subject 4",Setup!$B$20)</f>
        <v>Science</v>
      </c>
      <c r="L5" s="44"/>
      <c r="M5" s="44" t="str">
        <f aca="false">IF(Setup!$B$21="","Subject 5",Setup!$B$21)</f>
        <v>Social Science</v>
      </c>
      <c r="N5" s="44"/>
      <c r="O5" s="44" t="str">
        <f aca="false">IF(Setup!$B$22="","Subject 6",Setup!$B$22)</f>
        <v>Information Technology</v>
      </c>
      <c r="P5" s="44"/>
      <c r="Q5" s="44" t="str">
        <f aca="false">IF(Setup!$B$23="","Subject 7",Setup!$B$23)</f>
        <v>Subject 7</v>
      </c>
      <c r="R5" s="44"/>
      <c r="S5" s="44" t="str">
        <f aca="false">IF(Setup!$B$24="","Subject 8",Setup!$B$24)</f>
        <v>Subject 8</v>
      </c>
      <c r="T5" s="44"/>
      <c r="U5" s="45" t="s">
        <v>93</v>
      </c>
      <c r="V5" s="45" t="s">
        <v>94</v>
      </c>
      <c r="W5" s="45" t="s">
        <v>95</v>
      </c>
      <c r="X5" s="45" t="s">
        <v>96</v>
      </c>
      <c r="Y5" s="45" t="s">
        <v>97</v>
      </c>
      <c r="Z5" s="45" t="s">
        <v>98</v>
      </c>
      <c r="AA5" s="45" t="s">
        <v>42</v>
      </c>
      <c r="AB5" s="45" t="s">
        <v>99</v>
      </c>
    </row>
    <row r="6" customFormat="false" ht="21.75" hidden="false" customHeight="true" outlineLevel="0" collapsed="false">
      <c r="A6" s="43"/>
      <c r="B6" s="43"/>
      <c r="C6" s="43"/>
      <c r="D6" s="43"/>
      <c r="E6" s="46" t="str">
        <f aca="false">"Th /"&amp;Setup!$C$17</f>
        <v>Th /80</v>
      </c>
      <c r="F6" s="46" t="str">
        <f aca="false">"Int /"&amp;Setup!$D$17</f>
        <v>Int /20</v>
      </c>
      <c r="G6" s="46" t="str">
        <f aca="false">"Th /"&amp;Setup!$C$18</f>
        <v>Th /80</v>
      </c>
      <c r="H6" s="46" t="str">
        <f aca="false">"Int /"&amp;Setup!$D$18</f>
        <v>Int /20</v>
      </c>
      <c r="I6" s="46" t="str">
        <f aca="false">"Th /"&amp;Setup!$C$19</f>
        <v>Th /80</v>
      </c>
      <c r="J6" s="46" t="str">
        <f aca="false">"Int /"&amp;Setup!$D$19</f>
        <v>Int /20</v>
      </c>
      <c r="K6" s="46" t="str">
        <f aca="false">"Th /"&amp;Setup!$C$20</f>
        <v>Th /80</v>
      </c>
      <c r="L6" s="46" t="str">
        <f aca="false">"Int /"&amp;Setup!$D$20</f>
        <v>Int /20</v>
      </c>
      <c r="M6" s="46" t="str">
        <f aca="false">"Th /"&amp;Setup!$C$21</f>
        <v>Th /80</v>
      </c>
      <c r="N6" s="46" t="str">
        <f aca="false">"Int /"&amp;Setup!$D$21</f>
        <v>Int /20</v>
      </c>
      <c r="O6" s="46" t="str">
        <f aca="false">"Th /"&amp;Setup!$C$22</f>
        <v>Th /50</v>
      </c>
      <c r="P6" s="46" t="str">
        <f aca="false">"Int /"&amp;Setup!$D$22</f>
        <v>Int /50</v>
      </c>
      <c r="Q6" s="46" t="str">
        <f aca="false">"Th /"&amp;Setup!$C$23</f>
        <v>Th /</v>
      </c>
      <c r="R6" s="46" t="str">
        <f aca="false">"Int /"&amp;Setup!$D$23</f>
        <v>Int /</v>
      </c>
      <c r="S6" s="46" t="str">
        <f aca="false">"Th /"&amp;Setup!$C$24</f>
        <v>Th /</v>
      </c>
      <c r="T6" s="46" t="str">
        <f aca="false">"Int /"&amp;Setup!$D$24</f>
        <v>Int /</v>
      </c>
      <c r="U6" s="45"/>
      <c r="V6" s="45"/>
      <c r="W6" s="45"/>
      <c r="X6" s="45"/>
      <c r="Y6" s="45"/>
      <c r="Z6" s="45"/>
      <c r="AA6" s="45"/>
      <c r="AB6" s="45"/>
    </row>
    <row r="7" customFormat="false" ht="15" hidden="false" customHeight="false" outlineLevel="0" collapsed="false">
      <c r="A7" s="104" t="n">
        <v>101</v>
      </c>
      <c r="B7" s="100" t="s">
        <v>100</v>
      </c>
      <c r="C7" s="100" t="s">
        <v>101</v>
      </c>
      <c r="D7" s="99" t="n">
        <v>100</v>
      </c>
      <c r="E7" s="105" t="n">
        <v>42</v>
      </c>
      <c r="F7" s="105" t="n">
        <v>14</v>
      </c>
      <c r="G7" s="105" t="n">
        <v>41</v>
      </c>
      <c r="H7" s="105" t="n">
        <v>14</v>
      </c>
      <c r="I7" s="105" t="n">
        <v>46</v>
      </c>
      <c r="J7" s="105" t="n">
        <v>13</v>
      </c>
      <c r="K7" s="105" t="n">
        <v>48</v>
      </c>
      <c r="L7" s="105" t="n">
        <v>12</v>
      </c>
      <c r="M7" s="105" t="n">
        <v>47</v>
      </c>
      <c r="N7" s="105" t="n">
        <v>13</v>
      </c>
      <c r="O7" s="105" t="n">
        <v>26</v>
      </c>
      <c r="P7" s="105" t="n">
        <v>34</v>
      </c>
      <c r="Q7" s="105"/>
      <c r="R7" s="105"/>
      <c r="S7" s="105"/>
      <c r="T7" s="105"/>
      <c r="U7" s="49" t="n">
        <f aca="false">IF($B7="","",N(E7)+N(F7)+N(G7)+N(H7)+N(I7)+N(J7)+N(K7)+N(L7)+N(M7)+N(N7)+N(O7)+N(P7)+N(Q7)+N(R7)+N(S7)+N(T7))</f>
        <v>350</v>
      </c>
      <c r="V7" s="50" t="n">
        <f aca="false">IF($B7="","",SUM(Setup!$E$17:$E$24))</f>
        <v>600</v>
      </c>
      <c r="W7" s="51" t="n">
        <f aca="false">IF($B7="","",IFERROR(U7/V7,0))</f>
        <v>0.583333333333333</v>
      </c>
      <c r="X7" s="50" t="n">
        <f aca="false">IF($B7="","",IF(AND(Setup!$B$17&lt;&gt;"",Setup!$E$17&gt;0),IF((N(E7)+N(F7))/Setup!$E$17&lt;Setup!$C$11,1,0),0)+IF(AND(Setup!$B$18&lt;&gt;"",Setup!$E$18&gt;0),IF((N(G7)+N(H7))/Setup!$E$18&lt;Setup!$C$11,1,0),0)+IF(AND(Setup!$B$19&lt;&gt;"",Setup!$E$19&gt;0),IF((N(I7)+N(J7))/Setup!$E$19&lt;Setup!$C$11,1,0),0)+IF(AND(Setup!$B$20&lt;&gt;"",Setup!$E$20&gt;0),IF((N(K7)+N(L7))/Setup!$E$20&lt;Setup!$C$11,1,0),0)+IF(AND(Setup!$B$21&lt;&gt;"",Setup!$E$21&gt;0),IF((N(M7)+N(N7))/Setup!$E$21&lt;Setup!$C$11,1,0),0)+IF(AND(Setup!$B$22&lt;&gt;"",Setup!$E$22&gt;0),IF((N(O7)+N(P7))/Setup!$E$22&lt;Setup!$C$11,1,0),0)+IF(AND(Setup!$B$23&lt;&gt;"",Setup!$E$23&gt;0),IF((N(Q7)+N(R7))/Setup!$E$23&lt;Setup!$C$11,1,0),0)+IF(AND(Setup!$B$24&lt;&gt;"",Setup!$E$24&gt;0),IF((N(S7)+N(T7))/Setup!$E$24&lt;Setup!$C$11,1,0),0))</f>
        <v>0</v>
      </c>
      <c r="Y7" s="38" t="str">
        <f aca="false">IF($B7="","",IF(X7=0,"PASS",IF(X7&lt;=Setup!$C$12,"COMPARTMENT","FAIL")))</f>
        <v>PASS</v>
      </c>
      <c r="Z7" s="39" t="n">
        <f aca="false">IF($B7="","",COUNTIF($U$7:$U$66,"&gt;"&amp;U7)+1)</f>
        <v>20</v>
      </c>
      <c r="AA7" s="38" t="str">
        <f aca="false">IF($B7="","",INDEX(Setup!$G$5:$G$12,COUNTIF(Setup!$F$5:$F$12,"&gt;"&amp;ROUND(W7,4))+1))</f>
        <v>C1</v>
      </c>
      <c r="AB7" s="52" t="str">
        <f aca="false">IF($B7="","",IF(((N(E7)&gt;N(Setup!$C$17))+(N(F7)&gt;N(Setup!$D$17)) + (N(G7)&gt;N(Setup!$C$18))+(N(H7)&gt;N(Setup!$D$18)) + (N(I7)&gt;N(Setup!$C$19))+(N(J7)&gt;N(Setup!$D$19)) + (N(K7)&gt;N(Setup!$C$20))+(N(L7)&gt;N(Setup!$D$20)) + (N(M7)&gt;N(Setup!$C$21))+(N(N7)&gt;N(Setup!$D$21)) + (N(O7)&gt;N(Setup!$C$22))+(N(P7)&gt;N(Setup!$D$22)) + (N(Q7)&gt;N(Setup!$C$23))+(N(R7)&gt;N(Setup!$D$23)) + (N(S7)&gt;N(Setup!$C$24))+(N(T7)&gt;N(Setup!$D$24)))&gt;0,"⚠ Marks above max",IF(A7="","⚠ Roll no. missing",IF(COUNTIF($A$7:$A$66,A7)&gt;1,"⚠ Duplicate roll no.","✔"))))</f>
        <v>✔</v>
      </c>
      <c r="AC7" s="8" t="n">
        <f aca="false">IF(OR($B7="",Setup!$B$17="",N(Setup!$E$17)=0),"",(N(E7)+N(F7))/Setup!$E$17)</f>
        <v>0.56</v>
      </c>
      <c r="AD7" s="8" t="n">
        <f aca="false">IF(OR($B7="",Setup!$B$18="",N(Setup!$E$18)=0),"",(N(G7)+N(H7))/Setup!$E$18)</f>
        <v>0.55</v>
      </c>
      <c r="AE7" s="8" t="n">
        <f aca="false">IF(OR($B7="",Setup!$B$19="",N(Setup!$E$19)=0),"",(N(I7)+N(J7))/Setup!$E$19)</f>
        <v>0.59</v>
      </c>
      <c r="AF7" s="8" t="n">
        <f aca="false">IF(OR($B7="",Setup!$B$20="",N(Setup!$E$20)=0),"",(N(K7)+N(L7))/Setup!$E$20)</f>
        <v>0.6</v>
      </c>
      <c r="AG7" s="8" t="n">
        <f aca="false">IF(OR($B7="",Setup!$B$21="",N(Setup!$E$21)=0),"",(N(M7)+N(N7))/Setup!$E$21)</f>
        <v>0.6</v>
      </c>
      <c r="AH7" s="8" t="n">
        <f aca="false">IF(OR($B7="",Setup!$B$22="",N(Setup!$E$22)=0),"",(N(O7)+N(P7))/Setup!$E$22)</f>
        <v>0.6</v>
      </c>
      <c r="AI7" s="8" t="str">
        <f aca="false">IF(OR($B7="",Setup!$B$23="",N(Setup!$E$23)=0),"",(N(Q7)+N(R7))/Setup!$E$23)</f>
        <v/>
      </c>
      <c r="AJ7" s="8" t="str">
        <f aca="false">IF(OR($B7="",Setup!$B$24="",N(Setup!$E$24)=0),"",(N(S7)+N(T7))/Setup!$E$24)</f>
        <v/>
      </c>
      <c r="AK7" s="8" t="n">
        <f aca="false">IF($B7="","",U7+(1000-ROW())/100000)</f>
        <v>350.00993</v>
      </c>
      <c r="AL7" s="8" t="str">
        <f aca="false">IF(AM7=1,SUM($AM$7:AM7),"")</f>
        <v/>
      </c>
      <c r="AM7" s="8" t="n">
        <f aca="false">IF(AND(Y7&lt;&gt;"",Y7&lt;&gt;"PASS"),1,0)</f>
        <v>0</v>
      </c>
    </row>
    <row r="8" customFormat="false" ht="15" hidden="false" customHeight="false" outlineLevel="0" collapsed="false">
      <c r="A8" s="104" t="n">
        <v>102</v>
      </c>
      <c r="B8" s="100" t="s">
        <v>102</v>
      </c>
      <c r="C8" s="100" t="s">
        <v>103</v>
      </c>
      <c r="D8" s="99" t="n">
        <v>107</v>
      </c>
      <c r="E8" s="105" t="n">
        <v>63</v>
      </c>
      <c r="F8" s="105" t="n">
        <v>18</v>
      </c>
      <c r="G8" s="105" t="n">
        <v>71</v>
      </c>
      <c r="H8" s="105" t="n">
        <v>20</v>
      </c>
      <c r="I8" s="105" t="n">
        <v>70</v>
      </c>
      <c r="J8" s="105" t="n">
        <v>19</v>
      </c>
      <c r="K8" s="105" t="n">
        <v>76</v>
      </c>
      <c r="L8" s="105" t="n">
        <v>18</v>
      </c>
      <c r="M8" s="105" t="n">
        <v>75</v>
      </c>
      <c r="N8" s="105" t="n">
        <v>18</v>
      </c>
      <c r="O8" s="105" t="n">
        <v>39</v>
      </c>
      <c r="P8" s="105" t="n">
        <v>45</v>
      </c>
      <c r="Q8" s="105"/>
      <c r="R8" s="105"/>
      <c r="S8" s="105"/>
      <c r="T8" s="105"/>
      <c r="U8" s="49" t="n">
        <f aca="false">IF($B8="","",N(E8)+N(F8)+N(G8)+N(H8)+N(I8)+N(J8)+N(K8)+N(L8)+N(M8)+N(N8)+N(O8)+N(P8)+N(Q8)+N(R8)+N(S8)+N(T8))</f>
        <v>532</v>
      </c>
      <c r="V8" s="50" t="n">
        <f aca="false">IF($B8="","",SUM(Setup!$E$17:$E$24))</f>
        <v>600</v>
      </c>
      <c r="W8" s="51" t="n">
        <f aca="false">IF($B8="","",IFERROR(U8/V8,0))</f>
        <v>0.886666666666667</v>
      </c>
      <c r="X8" s="50" t="n">
        <f aca="false">IF($B8="","",IF(AND(Setup!$B$17&lt;&gt;"",Setup!$E$17&gt;0),IF((N(E8)+N(F8))/Setup!$E$17&lt;Setup!$C$11,1,0),0)+IF(AND(Setup!$B$18&lt;&gt;"",Setup!$E$18&gt;0),IF((N(G8)+N(H8))/Setup!$E$18&lt;Setup!$C$11,1,0),0)+IF(AND(Setup!$B$19&lt;&gt;"",Setup!$E$19&gt;0),IF((N(I8)+N(J8))/Setup!$E$19&lt;Setup!$C$11,1,0),0)+IF(AND(Setup!$B$20&lt;&gt;"",Setup!$E$20&gt;0),IF((N(K8)+N(L8))/Setup!$E$20&lt;Setup!$C$11,1,0),0)+IF(AND(Setup!$B$21&lt;&gt;"",Setup!$E$21&gt;0),IF((N(M8)+N(N8))/Setup!$E$21&lt;Setup!$C$11,1,0),0)+IF(AND(Setup!$B$22&lt;&gt;"",Setup!$E$22&gt;0),IF((N(O8)+N(P8))/Setup!$E$22&lt;Setup!$C$11,1,0),0)+IF(AND(Setup!$B$23&lt;&gt;"",Setup!$E$23&gt;0),IF((N(Q8)+N(R8))/Setup!$E$23&lt;Setup!$C$11,1,0),0)+IF(AND(Setup!$B$24&lt;&gt;"",Setup!$E$24&gt;0),IF((N(S8)+N(T8))/Setup!$E$24&lt;Setup!$C$11,1,0),0))</f>
        <v>0</v>
      </c>
      <c r="Y8" s="38" t="str">
        <f aca="false">IF($B8="","",IF(X8=0,"PASS",IF(X8&lt;=Setup!$C$12,"COMPARTMENT","FAIL")))</f>
        <v>PASS</v>
      </c>
      <c r="Z8" s="39" t="n">
        <f aca="false">IF($B8="","",COUNTIF($U$7:$U$66,"&gt;"&amp;U8)+1)</f>
        <v>7</v>
      </c>
      <c r="AA8" s="38" t="str">
        <f aca="false">IF($B8="","",INDEX(Setup!$G$5:$G$12,COUNTIF(Setup!$F$5:$F$12,"&gt;"&amp;ROUND(W8,4))+1))</f>
        <v>A2</v>
      </c>
      <c r="AB8" s="52" t="str">
        <f aca="false">IF($B8="","",IF(((N(E8)&gt;N(Setup!$C$17))+(N(F8)&gt;N(Setup!$D$17)) + (N(G8)&gt;N(Setup!$C$18))+(N(H8)&gt;N(Setup!$D$18)) + (N(I8)&gt;N(Setup!$C$19))+(N(J8)&gt;N(Setup!$D$19)) + (N(K8)&gt;N(Setup!$C$20))+(N(L8)&gt;N(Setup!$D$20)) + (N(M8)&gt;N(Setup!$C$21))+(N(N8)&gt;N(Setup!$D$21)) + (N(O8)&gt;N(Setup!$C$22))+(N(P8)&gt;N(Setup!$D$22)) + (N(Q8)&gt;N(Setup!$C$23))+(N(R8)&gt;N(Setup!$D$23)) + (N(S8)&gt;N(Setup!$C$24))+(N(T8)&gt;N(Setup!$D$24)))&gt;0,"⚠ Marks above max",IF(A8="","⚠ Roll no. missing",IF(COUNTIF($A$7:$A$66,A8)&gt;1,"⚠ Duplicate roll no.","✔"))))</f>
        <v>✔</v>
      </c>
      <c r="AC8" s="8" t="n">
        <f aca="false">IF(OR($B8="",Setup!$B$17="",N(Setup!$E$17)=0),"",(N(E8)+N(F8))/Setup!$E$17)</f>
        <v>0.81</v>
      </c>
      <c r="AD8" s="8" t="n">
        <f aca="false">IF(OR($B8="",Setup!$B$18="",N(Setup!$E$18)=0),"",(N(G8)+N(H8))/Setup!$E$18)</f>
        <v>0.91</v>
      </c>
      <c r="AE8" s="8" t="n">
        <f aca="false">IF(OR($B8="",Setup!$B$19="",N(Setup!$E$19)=0),"",(N(I8)+N(J8))/Setup!$E$19)</f>
        <v>0.89</v>
      </c>
      <c r="AF8" s="8" t="n">
        <f aca="false">IF(OR($B8="",Setup!$B$20="",N(Setup!$E$20)=0),"",(N(K8)+N(L8))/Setup!$E$20)</f>
        <v>0.94</v>
      </c>
      <c r="AG8" s="8" t="n">
        <f aca="false">IF(OR($B8="",Setup!$B$21="",N(Setup!$E$21)=0),"",(N(M8)+N(N8))/Setup!$E$21)</f>
        <v>0.93</v>
      </c>
      <c r="AH8" s="8" t="n">
        <f aca="false">IF(OR($B8="",Setup!$B$22="",N(Setup!$E$22)=0),"",(N(O8)+N(P8))/Setup!$E$22)</f>
        <v>0.84</v>
      </c>
      <c r="AI8" s="8" t="str">
        <f aca="false">IF(OR($B8="",Setup!$B$23="",N(Setup!$E$23)=0),"",(N(Q8)+N(R8))/Setup!$E$23)</f>
        <v/>
      </c>
      <c r="AJ8" s="8" t="str">
        <f aca="false">IF(OR($B8="",Setup!$B$24="",N(Setup!$E$24)=0),"",(N(S8)+N(T8))/Setup!$E$24)</f>
        <v/>
      </c>
      <c r="AK8" s="8" t="n">
        <f aca="false">IF($B8="","",U8+(1000-ROW())/100000)</f>
        <v>532.00992</v>
      </c>
      <c r="AL8" s="8" t="str">
        <f aca="false">IF(AM8=1,SUM($AM$7:AM8),"")</f>
        <v/>
      </c>
      <c r="AM8" s="8" t="n">
        <f aca="false">IF(AND(Y8&lt;&gt;"",Y8&lt;&gt;"PASS"),1,0)</f>
        <v>0</v>
      </c>
    </row>
    <row r="9" customFormat="false" ht="15" hidden="false" customHeight="false" outlineLevel="0" collapsed="false">
      <c r="A9" s="104" t="n">
        <v>103</v>
      </c>
      <c r="B9" s="100" t="s">
        <v>104</v>
      </c>
      <c r="C9" s="100" t="s">
        <v>105</v>
      </c>
      <c r="D9" s="99" t="n">
        <v>101</v>
      </c>
      <c r="E9" s="105" t="n">
        <v>52</v>
      </c>
      <c r="F9" s="105" t="n">
        <v>13</v>
      </c>
      <c r="G9" s="105" t="n">
        <v>49</v>
      </c>
      <c r="H9" s="105" t="n">
        <v>14</v>
      </c>
      <c r="I9" s="105" t="n">
        <v>45</v>
      </c>
      <c r="J9" s="105" t="n">
        <v>14</v>
      </c>
      <c r="K9" s="105" t="n">
        <v>40</v>
      </c>
      <c r="L9" s="105" t="n">
        <v>12</v>
      </c>
      <c r="M9" s="105" t="n">
        <v>43</v>
      </c>
      <c r="N9" s="105" t="n">
        <v>14</v>
      </c>
      <c r="O9" s="105" t="n">
        <v>29</v>
      </c>
      <c r="P9" s="105" t="n">
        <v>33</v>
      </c>
      <c r="Q9" s="105"/>
      <c r="R9" s="105"/>
      <c r="S9" s="105"/>
      <c r="T9" s="105"/>
      <c r="U9" s="49" t="n">
        <f aca="false">IF($B9="","",N(E9)+N(F9)+N(G9)+N(H9)+N(I9)+N(J9)+N(K9)+N(L9)+N(M9)+N(N9)+N(O9)+N(P9)+N(Q9)+N(R9)+N(S9)+N(T9))</f>
        <v>358</v>
      </c>
      <c r="V9" s="50" t="n">
        <f aca="false">IF($B9="","",SUM(Setup!$E$17:$E$24))</f>
        <v>600</v>
      </c>
      <c r="W9" s="51" t="n">
        <f aca="false">IF($B9="","",IFERROR(U9/V9,0))</f>
        <v>0.596666666666667</v>
      </c>
      <c r="X9" s="50" t="n">
        <f aca="false">IF($B9="","",IF(AND(Setup!$B$17&lt;&gt;"",Setup!$E$17&gt;0),IF((N(E9)+N(F9))/Setup!$E$17&lt;Setup!$C$11,1,0),0)+IF(AND(Setup!$B$18&lt;&gt;"",Setup!$E$18&gt;0),IF((N(G9)+N(H9))/Setup!$E$18&lt;Setup!$C$11,1,0),0)+IF(AND(Setup!$B$19&lt;&gt;"",Setup!$E$19&gt;0),IF((N(I9)+N(J9))/Setup!$E$19&lt;Setup!$C$11,1,0),0)+IF(AND(Setup!$B$20&lt;&gt;"",Setup!$E$20&gt;0),IF((N(K9)+N(L9))/Setup!$E$20&lt;Setup!$C$11,1,0),0)+IF(AND(Setup!$B$21&lt;&gt;"",Setup!$E$21&gt;0),IF((N(M9)+N(N9))/Setup!$E$21&lt;Setup!$C$11,1,0),0)+IF(AND(Setup!$B$22&lt;&gt;"",Setup!$E$22&gt;0),IF((N(O9)+N(P9))/Setup!$E$22&lt;Setup!$C$11,1,0),0)+IF(AND(Setup!$B$23&lt;&gt;"",Setup!$E$23&gt;0),IF((N(Q9)+N(R9))/Setup!$E$23&lt;Setup!$C$11,1,0),0)+IF(AND(Setup!$B$24&lt;&gt;"",Setup!$E$24&gt;0),IF((N(S9)+N(T9))/Setup!$E$24&lt;Setup!$C$11,1,0),0))</f>
        <v>0</v>
      </c>
      <c r="Y9" s="38" t="str">
        <f aca="false">IF($B9="","",IF(X9=0,"PASS",IF(X9&lt;=Setup!$C$12,"COMPARTMENT","FAIL")))</f>
        <v>PASS</v>
      </c>
      <c r="Z9" s="39" t="n">
        <f aca="false">IF($B9="","",COUNTIF($U$7:$U$66,"&gt;"&amp;U9)+1)</f>
        <v>18</v>
      </c>
      <c r="AA9" s="38" t="str">
        <f aca="false">IF($B9="","",INDEX(Setup!$G$5:$G$12,COUNTIF(Setup!$F$5:$F$12,"&gt;"&amp;ROUND(W9,4))+1))</f>
        <v>C1</v>
      </c>
      <c r="AB9" s="52" t="str">
        <f aca="false">IF($B9="","",IF(((N(E9)&gt;N(Setup!$C$17))+(N(F9)&gt;N(Setup!$D$17)) + (N(G9)&gt;N(Setup!$C$18))+(N(H9)&gt;N(Setup!$D$18)) + (N(I9)&gt;N(Setup!$C$19))+(N(J9)&gt;N(Setup!$D$19)) + (N(K9)&gt;N(Setup!$C$20))+(N(L9)&gt;N(Setup!$D$20)) + (N(M9)&gt;N(Setup!$C$21))+(N(N9)&gt;N(Setup!$D$21)) + (N(O9)&gt;N(Setup!$C$22))+(N(P9)&gt;N(Setup!$D$22)) + (N(Q9)&gt;N(Setup!$C$23))+(N(R9)&gt;N(Setup!$D$23)) + (N(S9)&gt;N(Setup!$C$24))+(N(T9)&gt;N(Setup!$D$24)))&gt;0,"⚠ Marks above max",IF(A9="","⚠ Roll no. missing",IF(COUNTIF($A$7:$A$66,A9)&gt;1,"⚠ Duplicate roll no.","✔"))))</f>
        <v>✔</v>
      </c>
      <c r="AC9" s="8" t="n">
        <f aca="false">IF(OR($B9="",Setup!$B$17="",N(Setup!$E$17)=0),"",(N(E9)+N(F9))/Setup!$E$17)</f>
        <v>0.65</v>
      </c>
      <c r="AD9" s="8" t="n">
        <f aca="false">IF(OR($B9="",Setup!$B$18="",N(Setup!$E$18)=0),"",(N(G9)+N(H9))/Setup!$E$18)</f>
        <v>0.63</v>
      </c>
      <c r="AE9" s="8" t="n">
        <f aca="false">IF(OR($B9="",Setup!$B$19="",N(Setup!$E$19)=0),"",(N(I9)+N(J9))/Setup!$E$19)</f>
        <v>0.59</v>
      </c>
      <c r="AF9" s="8" t="n">
        <f aca="false">IF(OR($B9="",Setup!$B$20="",N(Setup!$E$20)=0),"",(N(K9)+N(L9))/Setup!$E$20)</f>
        <v>0.52</v>
      </c>
      <c r="AG9" s="8" t="n">
        <f aca="false">IF(OR($B9="",Setup!$B$21="",N(Setup!$E$21)=0),"",(N(M9)+N(N9))/Setup!$E$21)</f>
        <v>0.57</v>
      </c>
      <c r="AH9" s="8" t="n">
        <f aca="false">IF(OR($B9="",Setup!$B$22="",N(Setup!$E$22)=0),"",(N(O9)+N(P9))/Setup!$E$22)</f>
        <v>0.62</v>
      </c>
      <c r="AI9" s="8" t="str">
        <f aca="false">IF(OR($B9="",Setup!$B$23="",N(Setup!$E$23)=0),"",(N(Q9)+N(R9))/Setup!$E$23)</f>
        <v/>
      </c>
      <c r="AJ9" s="8" t="str">
        <f aca="false">IF(OR($B9="",Setup!$B$24="",N(Setup!$E$24)=0),"",(N(S9)+N(T9))/Setup!$E$24)</f>
        <v/>
      </c>
      <c r="AK9" s="8" t="n">
        <f aca="false">IF($B9="","",U9+(1000-ROW())/100000)</f>
        <v>358.00991</v>
      </c>
      <c r="AL9" s="8" t="str">
        <f aca="false">IF(AM9=1,SUM($AM$7:AM9),"")</f>
        <v/>
      </c>
      <c r="AM9" s="8" t="n">
        <f aca="false">IF(AND(Y9&lt;&gt;"",Y9&lt;&gt;"PASS"),1,0)</f>
        <v>0</v>
      </c>
    </row>
    <row r="10" customFormat="false" ht="15" hidden="false" customHeight="false" outlineLevel="0" collapsed="false">
      <c r="A10" s="104" t="n">
        <v>104</v>
      </c>
      <c r="B10" s="100" t="s">
        <v>106</v>
      </c>
      <c r="C10" s="100" t="s">
        <v>107</v>
      </c>
      <c r="D10" s="99" t="n">
        <v>108</v>
      </c>
      <c r="E10" s="105" t="n">
        <v>58</v>
      </c>
      <c r="F10" s="105" t="n">
        <v>16</v>
      </c>
      <c r="G10" s="105" t="n">
        <v>63</v>
      </c>
      <c r="H10" s="105" t="n">
        <v>17</v>
      </c>
      <c r="I10" s="105" t="n">
        <v>55</v>
      </c>
      <c r="J10" s="105" t="n">
        <v>17</v>
      </c>
      <c r="K10" s="105" t="n">
        <v>59</v>
      </c>
      <c r="L10" s="105" t="n">
        <v>18</v>
      </c>
      <c r="M10" s="105" t="n">
        <v>62</v>
      </c>
      <c r="N10" s="105" t="n">
        <v>16</v>
      </c>
      <c r="O10" s="105" t="n">
        <v>42</v>
      </c>
      <c r="P10" s="105" t="n">
        <v>39</v>
      </c>
      <c r="Q10" s="105"/>
      <c r="R10" s="105"/>
      <c r="S10" s="105"/>
      <c r="T10" s="105"/>
      <c r="U10" s="49" t="n">
        <f aca="false">IF($B10="","",N(E10)+N(F10)+N(G10)+N(H10)+N(I10)+N(J10)+N(K10)+N(L10)+N(M10)+N(N10)+N(O10)+N(P10)+N(Q10)+N(R10)+N(S10)+N(T10))</f>
        <v>462</v>
      </c>
      <c r="V10" s="50" t="n">
        <f aca="false">IF($B10="","",SUM(Setup!$E$17:$E$24))</f>
        <v>600</v>
      </c>
      <c r="W10" s="51" t="n">
        <f aca="false">IF($B10="","",IFERROR(U10/V10,0))</f>
        <v>0.77</v>
      </c>
      <c r="X10" s="50" t="n">
        <f aca="false">IF($B10="","",IF(AND(Setup!$B$17&lt;&gt;"",Setup!$E$17&gt;0),IF((N(E10)+N(F10))/Setup!$E$17&lt;Setup!$C$11,1,0),0)+IF(AND(Setup!$B$18&lt;&gt;"",Setup!$E$18&gt;0),IF((N(G10)+N(H10))/Setup!$E$18&lt;Setup!$C$11,1,0),0)+IF(AND(Setup!$B$19&lt;&gt;"",Setup!$E$19&gt;0),IF((N(I10)+N(J10))/Setup!$E$19&lt;Setup!$C$11,1,0),0)+IF(AND(Setup!$B$20&lt;&gt;"",Setup!$E$20&gt;0),IF((N(K10)+N(L10))/Setup!$E$20&lt;Setup!$C$11,1,0),0)+IF(AND(Setup!$B$21&lt;&gt;"",Setup!$E$21&gt;0),IF((N(M10)+N(N10))/Setup!$E$21&lt;Setup!$C$11,1,0),0)+IF(AND(Setup!$B$22&lt;&gt;"",Setup!$E$22&gt;0),IF((N(O10)+N(P10))/Setup!$E$22&lt;Setup!$C$11,1,0),0)+IF(AND(Setup!$B$23&lt;&gt;"",Setup!$E$23&gt;0),IF((N(Q10)+N(R10))/Setup!$E$23&lt;Setup!$C$11,1,0),0)+IF(AND(Setup!$B$24&lt;&gt;"",Setup!$E$24&gt;0),IF((N(S10)+N(T10))/Setup!$E$24&lt;Setup!$C$11,1,0),0))</f>
        <v>0</v>
      </c>
      <c r="Y10" s="38" t="str">
        <f aca="false">IF($B10="","",IF(X10=0,"PASS",IF(X10&lt;=Setup!$C$12,"COMPARTMENT","FAIL")))</f>
        <v>PASS</v>
      </c>
      <c r="Z10" s="39" t="n">
        <f aca="false">IF($B10="","",COUNTIF($U$7:$U$66,"&gt;"&amp;U10)+1)</f>
        <v>11</v>
      </c>
      <c r="AA10" s="38" t="str">
        <f aca="false">IF($B10="","",INDEX(Setup!$G$5:$G$12,COUNTIF(Setup!$F$5:$F$12,"&gt;"&amp;ROUND(W10,4))+1))</f>
        <v>B1</v>
      </c>
      <c r="AB10" s="52" t="str">
        <f aca="false">IF($B10="","",IF(((N(E10)&gt;N(Setup!$C$17))+(N(F10)&gt;N(Setup!$D$17)) + (N(G10)&gt;N(Setup!$C$18))+(N(H10)&gt;N(Setup!$D$18)) + (N(I10)&gt;N(Setup!$C$19))+(N(J10)&gt;N(Setup!$D$19)) + (N(K10)&gt;N(Setup!$C$20))+(N(L10)&gt;N(Setup!$D$20)) + (N(M10)&gt;N(Setup!$C$21))+(N(N10)&gt;N(Setup!$D$21)) + (N(O10)&gt;N(Setup!$C$22))+(N(P10)&gt;N(Setup!$D$22)) + (N(Q10)&gt;N(Setup!$C$23))+(N(R10)&gt;N(Setup!$D$23)) + (N(S10)&gt;N(Setup!$C$24))+(N(T10)&gt;N(Setup!$D$24)))&gt;0,"⚠ Marks above max",IF(A10="","⚠ Roll no. missing",IF(COUNTIF($A$7:$A$66,A10)&gt;1,"⚠ Duplicate roll no.","✔"))))</f>
        <v>✔</v>
      </c>
      <c r="AC10" s="8" t="n">
        <f aca="false">IF(OR($B10="",Setup!$B$17="",N(Setup!$E$17)=0),"",(N(E10)+N(F10))/Setup!$E$17)</f>
        <v>0.74</v>
      </c>
      <c r="AD10" s="8" t="n">
        <f aca="false">IF(OR($B10="",Setup!$B$18="",N(Setup!$E$18)=0),"",(N(G10)+N(H10))/Setup!$E$18)</f>
        <v>0.8</v>
      </c>
      <c r="AE10" s="8" t="n">
        <f aca="false">IF(OR($B10="",Setup!$B$19="",N(Setup!$E$19)=0),"",(N(I10)+N(J10))/Setup!$E$19)</f>
        <v>0.72</v>
      </c>
      <c r="AF10" s="8" t="n">
        <f aca="false">IF(OR($B10="",Setup!$B$20="",N(Setup!$E$20)=0),"",(N(K10)+N(L10))/Setup!$E$20)</f>
        <v>0.77</v>
      </c>
      <c r="AG10" s="8" t="n">
        <f aca="false">IF(OR($B10="",Setup!$B$21="",N(Setup!$E$21)=0),"",(N(M10)+N(N10))/Setup!$E$21)</f>
        <v>0.78</v>
      </c>
      <c r="AH10" s="8" t="n">
        <f aca="false">IF(OR($B10="",Setup!$B$22="",N(Setup!$E$22)=0),"",(N(O10)+N(P10))/Setup!$E$22)</f>
        <v>0.81</v>
      </c>
      <c r="AI10" s="8" t="str">
        <f aca="false">IF(OR($B10="",Setup!$B$23="",N(Setup!$E$23)=0),"",(N(Q10)+N(R10))/Setup!$E$23)</f>
        <v/>
      </c>
      <c r="AJ10" s="8" t="str">
        <f aca="false">IF(OR($B10="",Setup!$B$24="",N(Setup!$E$24)=0),"",(N(S10)+N(T10))/Setup!$E$24)</f>
        <v/>
      </c>
      <c r="AK10" s="8" t="n">
        <f aca="false">IF($B10="","",U10+(1000-ROW())/100000)</f>
        <v>462.0099</v>
      </c>
      <c r="AL10" s="8" t="str">
        <f aca="false">IF(AM10=1,SUM($AM$7:AM10),"")</f>
        <v/>
      </c>
      <c r="AM10" s="8" t="n">
        <f aca="false">IF(AND(Y10&lt;&gt;"",Y10&lt;&gt;"PASS"),1,0)</f>
        <v>0</v>
      </c>
    </row>
    <row r="11" customFormat="false" ht="15" hidden="false" customHeight="false" outlineLevel="0" collapsed="false">
      <c r="A11" s="104" t="n">
        <v>105</v>
      </c>
      <c r="B11" s="100" t="s">
        <v>108</v>
      </c>
      <c r="C11" s="100" t="s">
        <v>109</v>
      </c>
      <c r="D11" s="99" t="n">
        <v>102</v>
      </c>
      <c r="E11" s="105" t="n">
        <v>56</v>
      </c>
      <c r="F11" s="105" t="n">
        <v>14</v>
      </c>
      <c r="G11" s="105" t="n">
        <v>52</v>
      </c>
      <c r="H11" s="105" t="n">
        <v>13</v>
      </c>
      <c r="I11" s="105" t="n">
        <v>54</v>
      </c>
      <c r="J11" s="105" t="n">
        <v>16</v>
      </c>
      <c r="K11" s="105" t="n">
        <v>53</v>
      </c>
      <c r="L11" s="105" t="n">
        <v>16</v>
      </c>
      <c r="M11" s="105" t="n">
        <v>49</v>
      </c>
      <c r="N11" s="105" t="n">
        <v>15</v>
      </c>
      <c r="O11" s="105" t="n">
        <v>33</v>
      </c>
      <c r="P11" s="105" t="n">
        <v>38</v>
      </c>
      <c r="Q11" s="105"/>
      <c r="R11" s="105"/>
      <c r="S11" s="105"/>
      <c r="T11" s="105"/>
      <c r="U11" s="49" t="n">
        <f aca="false">IF($B11="","",N(E11)+N(F11)+N(G11)+N(H11)+N(I11)+N(J11)+N(K11)+N(L11)+N(M11)+N(N11)+N(O11)+N(P11)+N(Q11)+N(R11)+N(S11)+N(T11))</f>
        <v>409</v>
      </c>
      <c r="V11" s="50" t="n">
        <f aca="false">IF($B11="","",SUM(Setup!$E$17:$E$24))</f>
        <v>600</v>
      </c>
      <c r="W11" s="51" t="n">
        <f aca="false">IF($B11="","",IFERROR(U11/V11,0))</f>
        <v>0.681666666666667</v>
      </c>
      <c r="X11" s="50" t="n">
        <f aca="false">IF($B11="","",IF(AND(Setup!$B$17&lt;&gt;"",Setup!$E$17&gt;0),IF((N(E11)+N(F11))/Setup!$E$17&lt;Setup!$C$11,1,0),0)+IF(AND(Setup!$B$18&lt;&gt;"",Setup!$E$18&gt;0),IF((N(G11)+N(H11))/Setup!$E$18&lt;Setup!$C$11,1,0),0)+IF(AND(Setup!$B$19&lt;&gt;"",Setup!$E$19&gt;0),IF((N(I11)+N(J11))/Setup!$E$19&lt;Setup!$C$11,1,0),0)+IF(AND(Setup!$B$20&lt;&gt;"",Setup!$E$20&gt;0),IF((N(K11)+N(L11))/Setup!$E$20&lt;Setup!$C$11,1,0),0)+IF(AND(Setup!$B$21&lt;&gt;"",Setup!$E$21&gt;0),IF((N(M11)+N(N11))/Setup!$E$21&lt;Setup!$C$11,1,0),0)+IF(AND(Setup!$B$22&lt;&gt;"",Setup!$E$22&gt;0),IF((N(O11)+N(P11))/Setup!$E$22&lt;Setup!$C$11,1,0),0)+IF(AND(Setup!$B$23&lt;&gt;"",Setup!$E$23&gt;0),IF((N(Q11)+N(R11))/Setup!$E$23&lt;Setup!$C$11,1,0),0)+IF(AND(Setup!$B$24&lt;&gt;"",Setup!$E$24&gt;0),IF((N(S11)+N(T11))/Setup!$E$24&lt;Setup!$C$11,1,0),0))</f>
        <v>0</v>
      </c>
      <c r="Y11" s="38" t="str">
        <f aca="false">IF($B11="","",IF(X11=0,"PASS",IF(X11&lt;=Setup!$C$12,"COMPARTMENT","FAIL")))</f>
        <v>PASS</v>
      </c>
      <c r="Z11" s="39" t="n">
        <f aca="false">IF($B11="","",COUNTIF($U$7:$U$66,"&gt;"&amp;U11)+1)</f>
        <v>15</v>
      </c>
      <c r="AA11" s="38" t="str">
        <f aca="false">IF($B11="","",INDEX(Setup!$G$5:$G$12,COUNTIF(Setup!$F$5:$F$12,"&gt;"&amp;ROUND(W11,4))+1))</f>
        <v>B2</v>
      </c>
      <c r="AB11" s="52" t="str">
        <f aca="false">IF($B11="","",IF(((N(E11)&gt;N(Setup!$C$17))+(N(F11)&gt;N(Setup!$D$17)) + (N(G11)&gt;N(Setup!$C$18))+(N(H11)&gt;N(Setup!$D$18)) + (N(I11)&gt;N(Setup!$C$19))+(N(J11)&gt;N(Setup!$D$19)) + (N(K11)&gt;N(Setup!$C$20))+(N(L11)&gt;N(Setup!$D$20)) + (N(M11)&gt;N(Setup!$C$21))+(N(N11)&gt;N(Setup!$D$21)) + (N(O11)&gt;N(Setup!$C$22))+(N(P11)&gt;N(Setup!$D$22)) + (N(Q11)&gt;N(Setup!$C$23))+(N(R11)&gt;N(Setup!$D$23)) + (N(S11)&gt;N(Setup!$C$24))+(N(T11)&gt;N(Setup!$D$24)))&gt;0,"⚠ Marks above max",IF(A11="","⚠ Roll no. missing",IF(COUNTIF($A$7:$A$66,A11)&gt;1,"⚠ Duplicate roll no.","✔"))))</f>
        <v>✔</v>
      </c>
      <c r="AC11" s="8" t="n">
        <f aca="false">IF(OR($B11="",Setup!$B$17="",N(Setup!$E$17)=0),"",(N(E11)+N(F11))/Setup!$E$17)</f>
        <v>0.7</v>
      </c>
      <c r="AD11" s="8" t="n">
        <f aca="false">IF(OR($B11="",Setup!$B$18="",N(Setup!$E$18)=0),"",(N(G11)+N(H11))/Setup!$E$18)</f>
        <v>0.65</v>
      </c>
      <c r="AE11" s="8" t="n">
        <f aca="false">IF(OR($B11="",Setup!$B$19="",N(Setup!$E$19)=0),"",(N(I11)+N(J11))/Setup!$E$19)</f>
        <v>0.7</v>
      </c>
      <c r="AF11" s="8" t="n">
        <f aca="false">IF(OR($B11="",Setup!$B$20="",N(Setup!$E$20)=0),"",(N(K11)+N(L11))/Setup!$E$20)</f>
        <v>0.69</v>
      </c>
      <c r="AG11" s="8" t="n">
        <f aca="false">IF(OR($B11="",Setup!$B$21="",N(Setup!$E$21)=0),"",(N(M11)+N(N11))/Setup!$E$21)</f>
        <v>0.64</v>
      </c>
      <c r="AH11" s="8" t="n">
        <f aca="false">IF(OR($B11="",Setup!$B$22="",N(Setup!$E$22)=0),"",(N(O11)+N(P11))/Setup!$E$22)</f>
        <v>0.71</v>
      </c>
      <c r="AI11" s="8" t="str">
        <f aca="false">IF(OR($B11="",Setup!$B$23="",N(Setup!$E$23)=0),"",(N(Q11)+N(R11))/Setup!$E$23)</f>
        <v/>
      </c>
      <c r="AJ11" s="8" t="str">
        <f aca="false">IF(OR($B11="",Setup!$B$24="",N(Setup!$E$24)=0),"",(N(S11)+N(T11))/Setup!$E$24)</f>
        <v/>
      </c>
      <c r="AK11" s="8" t="n">
        <f aca="false">IF($B11="","",U11+(1000-ROW())/100000)</f>
        <v>409.00989</v>
      </c>
      <c r="AL11" s="8" t="str">
        <f aca="false">IF(AM11=1,SUM($AM$7:AM11),"")</f>
        <v/>
      </c>
      <c r="AM11" s="8" t="n">
        <f aca="false">IF(AND(Y11&lt;&gt;"",Y11&lt;&gt;"PASS"),1,0)</f>
        <v>0</v>
      </c>
    </row>
    <row r="12" customFormat="false" ht="15" hidden="false" customHeight="false" outlineLevel="0" collapsed="false">
      <c r="A12" s="104" t="n">
        <v>106</v>
      </c>
      <c r="B12" s="100" t="s">
        <v>110</v>
      </c>
      <c r="C12" s="100" t="s">
        <v>111</v>
      </c>
      <c r="D12" s="99" t="n">
        <v>109</v>
      </c>
      <c r="E12" s="105" t="n">
        <v>59</v>
      </c>
      <c r="F12" s="105" t="n">
        <v>17</v>
      </c>
      <c r="G12" s="105" t="n">
        <v>53</v>
      </c>
      <c r="H12" s="105" t="n">
        <v>16</v>
      </c>
      <c r="I12" s="105" t="n">
        <v>46</v>
      </c>
      <c r="J12" s="105" t="n">
        <v>16</v>
      </c>
      <c r="K12" s="105" t="n">
        <v>56</v>
      </c>
      <c r="L12" s="105" t="n">
        <v>17</v>
      </c>
      <c r="M12" s="105" t="n">
        <v>59</v>
      </c>
      <c r="N12" s="105" t="n">
        <v>15</v>
      </c>
      <c r="O12" s="105" t="n">
        <v>32</v>
      </c>
      <c r="P12" s="105" t="n">
        <v>39</v>
      </c>
      <c r="Q12" s="105"/>
      <c r="R12" s="105"/>
      <c r="S12" s="105"/>
      <c r="T12" s="105"/>
      <c r="U12" s="49" t="n">
        <f aca="false">IF($B12="","",N(E12)+N(F12)+N(G12)+N(H12)+N(I12)+N(J12)+N(K12)+N(L12)+N(M12)+N(N12)+N(O12)+N(P12)+N(Q12)+N(R12)+N(S12)+N(T12))</f>
        <v>425</v>
      </c>
      <c r="V12" s="50" t="n">
        <f aca="false">IF($B12="","",SUM(Setup!$E$17:$E$24))</f>
        <v>600</v>
      </c>
      <c r="W12" s="51" t="n">
        <f aca="false">IF($B12="","",IFERROR(U12/V12,0))</f>
        <v>0.708333333333333</v>
      </c>
      <c r="X12" s="50" t="n">
        <f aca="false">IF($B12="","",IF(AND(Setup!$B$17&lt;&gt;"",Setup!$E$17&gt;0),IF((N(E12)+N(F12))/Setup!$E$17&lt;Setup!$C$11,1,0),0)+IF(AND(Setup!$B$18&lt;&gt;"",Setup!$E$18&gt;0),IF((N(G12)+N(H12))/Setup!$E$18&lt;Setup!$C$11,1,0),0)+IF(AND(Setup!$B$19&lt;&gt;"",Setup!$E$19&gt;0),IF((N(I12)+N(J12))/Setup!$E$19&lt;Setup!$C$11,1,0),0)+IF(AND(Setup!$B$20&lt;&gt;"",Setup!$E$20&gt;0),IF((N(K12)+N(L12))/Setup!$E$20&lt;Setup!$C$11,1,0),0)+IF(AND(Setup!$B$21&lt;&gt;"",Setup!$E$21&gt;0),IF((N(M12)+N(N12))/Setup!$E$21&lt;Setup!$C$11,1,0),0)+IF(AND(Setup!$B$22&lt;&gt;"",Setup!$E$22&gt;0),IF((N(O12)+N(P12))/Setup!$E$22&lt;Setup!$C$11,1,0),0)+IF(AND(Setup!$B$23&lt;&gt;"",Setup!$E$23&gt;0),IF((N(Q12)+N(R12))/Setup!$E$23&lt;Setup!$C$11,1,0),0)+IF(AND(Setup!$B$24&lt;&gt;"",Setup!$E$24&gt;0),IF((N(S12)+N(T12))/Setup!$E$24&lt;Setup!$C$11,1,0),0))</f>
        <v>0</v>
      </c>
      <c r="Y12" s="38" t="str">
        <f aca="false">IF($B12="","",IF(X12=0,"PASS",IF(X12&lt;=Setup!$C$12,"COMPARTMENT","FAIL")))</f>
        <v>PASS</v>
      </c>
      <c r="Z12" s="39" t="n">
        <f aca="false">IF($B12="","",COUNTIF($U$7:$U$66,"&gt;"&amp;U12)+1)</f>
        <v>14</v>
      </c>
      <c r="AA12" s="38" t="str">
        <f aca="false">IF($B12="","",INDEX(Setup!$G$5:$G$12,COUNTIF(Setup!$F$5:$F$12,"&gt;"&amp;ROUND(W12,4))+1))</f>
        <v>B2</v>
      </c>
      <c r="AB12" s="52" t="str">
        <f aca="false">IF($B12="","",IF(((N(E12)&gt;N(Setup!$C$17))+(N(F12)&gt;N(Setup!$D$17)) + (N(G12)&gt;N(Setup!$C$18))+(N(H12)&gt;N(Setup!$D$18)) + (N(I12)&gt;N(Setup!$C$19))+(N(J12)&gt;N(Setup!$D$19)) + (N(K12)&gt;N(Setup!$C$20))+(N(L12)&gt;N(Setup!$D$20)) + (N(M12)&gt;N(Setup!$C$21))+(N(N12)&gt;N(Setup!$D$21)) + (N(O12)&gt;N(Setup!$C$22))+(N(P12)&gt;N(Setup!$D$22)) + (N(Q12)&gt;N(Setup!$C$23))+(N(R12)&gt;N(Setup!$D$23)) + (N(S12)&gt;N(Setup!$C$24))+(N(T12)&gt;N(Setup!$D$24)))&gt;0,"⚠ Marks above max",IF(A12="","⚠ Roll no. missing",IF(COUNTIF($A$7:$A$66,A12)&gt;1,"⚠ Duplicate roll no.","✔"))))</f>
        <v>✔</v>
      </c>
      <c r="AC12" s="8" t="n">
        <f aca="false">IF(OR($B12="",Setup!$B$17="",N(Setup!$E$17)=0),"",(N(E12)+N(F12))/Setup!$E$17)</f>
        <v>0.76</v>
      </c>
      <c r="AD12" s="8" t="n">
        <f aca="false">IF(OR($B12="",Setup!$B$18="",N(Setup!$E$18)=0),"",(N(G12)+N(H12))/Setup!$E$18)</f>
        <v>0.69</v>
      </c>
      <c r="AE12" s="8" t="n">
        <f aca="false">IF(OR($B12="",Setup!$B$19="",N(Setup!$E$19)=0),"",(N(I12)+N(J12))/Setup!$E$19)</f>
        <v>0.62</v>
      </c>
      <c r="AF12" s="8" t="n">
        <f aca="false">IF(OR($B12="",Setup!$B$20="",N(Setup!$E$20)=0),"",(N(K12)+N(L12))/Setup!$E$20)</f>
        <v>0.73</v>
      </c>
      <c r="AG12" s="8" t="n">
        <f aca="false">IF(OR($B12="",Setup!$B$21="",N(Setup!$E$21)=0),"",(N(M12)+N(N12))/Setup!$E$21)</f>
        <v>0.74</v>
      </c>
      <c r="AH12" s="8" t="n">
        <f aca="false">IF(OR($B12="",Setup!$B$22="",N(Setup!$E$22)=0),"",(N(O12)+N(P12))/Setup!$E$22)</f>
        <v>0.71</v>
      </c>
      <c r="AI12" s="8" t="str">
        <f aca="false">IF(OR($B12="",Setup!$B$23="",N(Setup!$E$23)=0),"",(N(Q12)+N(R12))/Setup!$E$23)</f>
        <v/>
      </c>
      <c r="AJ12" s="8" t="str">
        <f aca="false">IF(OR($B12="",Setup!$B$24="",N(Setup!$E$24)=0),"",(N(S12)+N(T12))/Setup!$E$24)</f>
        <v/>
      </c>
      <c r="AK12" s="8" t="n">
        <f aca="false">IF($B12="","",U12+(1000-ROW())/100000)</f>
        <v>425.00988</v>
      </c>
      <c r="AL12" s="8" t="str">
        <f aca="false">IF(AM12=1,SUM($AM$7:AM12),"")</f>
        <v/>
      </c>
      <c r="AM12" s="8" t="n">
        <f aca="false">IF(AND(Y12&lt;&gt;"",Y12&lt;&gt;"PASS"),1,0)</f>
        <v>0</v>
      </c>
    </row>
    <row r="13" customFormat="false" ht="15" hidden="false" customHeight="false" outlineLevel="0" collapsed="false">
      <c r="A13" s="104" t="n">
        <v>107</v>
      </c>
      <c r="B13" s="100" t="s">
        <v>112</v>
      </c>
      <c r="C13" s="100" t="s">
        <v>113</v>
      </c>
      <c r="D13" s="99" t="n">
        <v>103</v>
      </c>
      <c r="E13" s="105" t="n">
        <v>35</v>
      </c>
      <c r="F13" s="105" t="n">
        <v>10</v>
      </c>
      <c r="G13" s="105" t="n">
        <v>29</v>
      </c>
      <c r="H13" s="105" t="n">
        <v>9</v>
      </c>
      <c r="I13" s="105" t="n">
        <v>40</v>
      </c>
      <c r="J13" s="105" t="n">
        <v>10</v>
      </c>
      <c r="K13" s="105" t="n">
        <v>31</v>
      </c>
      <c r="L13" s="105" t="n">
        <v>10</v>
      </c>
      <c r="M13" s="105" t="n">
        <v>41</v>
      </c>
      <c r="N13" s="105" t="n">
        <v>9</v>
      </c>
      <c r="O13" s="105" t="n">
        <v>22</v>
      </c>
      <c r="P13" s="105" t="n">
        <v>27</v>
      </c>
      <c r="Q13" s="105"/>
      <c r="R13" s="105"/>
      <c r="S13" s="105"/>
      <c r="T13" s="105"/>
      <c r="U13" s="49" t="n">
        <f aca="false">IF($B13="","",N(E13)+N(F13)+N(G13)+N(H13)+N(I13)+N(J13)+N(K13)+N(L13)+N(M13)+N(N13)+N(O13)+N(P13)+N(Q13)+N(R13)+N(S13)+N(T13))</f>
        <v>273</v>
      </c>
      <c r="V13" s="50" t="n">
        <f aca="false">IF($B13="","",SUM(Setup!$E$17:$E$24))</f>
        <v>600</v>
      </c>
      <c r="W13" s="51" t="n">
        <f aca="false">IF($B13="","",IFERROR(U13/V13,0))</f>
        <v>0.455</v>
      </c>
      <c r="X13" s="50" t="n">
        <f aca="false">IF($B13="","",IF(AND(Setup!$B$17&lt;&gt;"",Setup!$E$17&gt;0),IF((N(E13)+N(F13))/Setup!$E$17&lt;Setup!$C$11,1,0),0)+IF(AND(Setup!$B$18&lt;&gt;"",Setup!$E$18&gt;0),IF((N(G13)+N(H13))/Setup!$E$18&lt;Setup!$C$11,1,0),0)+IF(AND(Setup!$B$19&lt;&gt;"",Setup!$E$19&gt;0),IF((N(I13)+N(J13))/Setup!$E$19&lt;Setup!$C$11,1,0),0)+IF(AND(Setup!$B$20&lt;&gt;"",Setup!$E$20&gt;0),IF((N(K13)+N(L13))/Setup!$E$20&lt;Setup!$C$11,1,0),0)+IF(AND(Setup!$B$21&lt;&gt;"",Setup!$E$21&gt;0),IF((N(M13)+N(N13))/Setup!$E$21&lt;Setup!$C$11,1,0),0)+IF(AND(Setup!$B$22&lt;&gt;"",Setup!$E$22&gt;0),IF((N(O13)+N(P13))/Setup!$E$22&lt;Setup!$C$11,1,0),0)+IF(AND(Setup!$B$23&lt;&gt;"",Setup!$E$23&gt;0),IF((N(Q13)+N(R13))/Setup!$E$23&lt;Setup!$C$11,1,0),0)+IF(AND(Setup!$B$24&lt;&gt;"",Setup!$E$24&gt;0),IF((N(S13)+N(T13))/Setup!$E$24&lt;Setup!$C$11,1,0),0))</f>
        <v>0</v>
      </c>
      <c r="Y13" s="38" t="str">
        <f aca="false">IF($B13="","",IF(X13=0,"PASS",IF(X13&lt;=Setup!$C$12,"COMPARTMENT","FAIL")))</f>
        <v>PASS</v>
      </c>
      <c r="Z13" s="39" t="n">
        <f aca="false">IF($B13="","",COUNTIF($U$7:$U$66,"&gt;"&amp;U13)+1)</f>
        <v>24</v>
      </c>
      <c r="AA13" s="38" t="str">
        <f aca="false">IF($B13="","",INDEX(Setup!$G$5:$G$12,COUNTIF(Setup!$F$5:$F$12,"&gt;"&amp;ROUND(W13,4))+1))</f>
        <v>C2</v>
      </c>
      <c r="AB13" s="52" t="str">
        <f aca="false">IF($B13="","",IF(((N(E13)&gt;N(Setup!$C$17))+(N(F13)&gt;N(Setup!$D$17)) + (N(G13)&gt;N(Setup!$C$18))+(N(H13)&gt;N(Setup!$D$18)) + (N(I13)&gt;N(Setup!$C$19))+(N(J13)&gt;N(Setup!$D$19)) + (N(K13)&gt;N(Setup!$C$20))+(N(L13)&gt;N(Setup!$D$20)) + (N(M13)&gt;N(Setup!$C$21))+(N(N13)&gt;N(Setup!$D$21)) + (N(O13)&gt;N(Setup!$C$22))+(N(P13)&gt;N(Setup!$D$22)) + (N(Q13)&gt;N(Setup!$C$23))+(N(R13)&gt;N(Setup!$D$23)) + (N(S13)&gt;N(Setup!$C$24))+(N(T13)&gt;N(Setup!$D$24)))&gt;0,"⚠ Marks above max",IF(A13="","⚠ Roll no. missing",IF(COUNTIF($A$7:$A$66,A13)&gt;1,"⚠ Duplicate roll no.","✔"))))</f>
        <v>✔</v>
      </c>
      <c r="AC13" s="8" t="n">
        <f aca="false">IF(OR($B13="",Setup!$B$17="",N(Setup!$E$17)=0),"",(N(E13)+N(F13))/Setup!$E$17)</f>
        <v>0.45</v>
      </c>
      <c r="AD13" s="8" t="n">
        <f aca="false">IF(OR($B13="",Setup!$B$18="",N(Setup!$E$18)=0),"",(N(G13)+N(H13))/Setup!$E$18)</f>
        <v>0.38</v>
      </c>
      <c r="AE13" s="8" t="n">
        <f aca="false">IF(OR($B13="",Setup!$B$19="",N(Setup!$E$19)=0),"",(N(I13)+N(J13))/Setup!$E$19)</f>
        <v>0.5</v>
      </c>
      <c r="AF13" s="8" t="n">
        <f aca="false">IF(OR($B13="",Setup!$B$20="",N(Setup!$E$20)=0),"",(N(K13)+N(L13))/Setup!$E$20)</f>
        <v>0.41</v>
      </c>
      <c r="AG13" s="8" t="n">
        <f aca="false">IF(OR($B13="",Setup!$B$21="",N(Setup!$E$21)=0),"",(N(M13)+N(N13))/Setup!$E$21)</f>
        <v>0.5</v>
      </c>
      <c r="AH13" s="8" t="n">
        <f aca="false">IF(OR($B13="",Setup!$B$22="",N(Setup!$E$22)=0),"",(N(O13)+N(P13))/Setup!$E$22)</f>
        <v>0.49</v>
      </c>
      <c r="AI13" s="8" t="str">
        <f aca="false">IF(OR($B13="",Setup!$B$23="",N(Setup!$E$23)=0),"",(N(Q13)+N(R13))/Setup!$E$23)</f>
        <v/>
      </c>
      <c r="AJ13" s="8" t="str">
        <f aca="false">IF(OR($B13="",Setup!$B$24="",N(Setup!$E$24)=0),"",(N(S13)+N(T13))/Setup!$E$24)</f>
        <v/>
      </c>
      <c r="AK13" s="8" t="n">
        <f aca="false">IF($B13="","",U13+(1000-ROW())/100000)</f>
        <v>273.00987</v>
      </c>
      <c r="AL13" s="8" t="str">
        <f aca="false">IF(AM13=1,SUM($AM$7:AM13),"")</f>
        <v/>
      </c>
      <c r="AM13" s="8" t="n">
        <f aca="false">IF(AND(Y13&lt;&gt;"",Y13&lt;&gt;"PASS"),1,0)</f>
        <v>0</v>
      </c>
    </row>
    <row r="14" customFormat="false" ht="15" hidden="false" customHeight="false" outlineLevel="0" collapsed="false">
      <c r="A14" s="104" t="n">
        <v>108</v>
      </c>
      <c r="B14" s="100" t="s">
        <v>114</v>
      </c>
      <c r="C14" s="100" t="s">
        <v>115</v>
      </c>
      <c r="D14" s="99" t="n">
        <v>110</v>
      </c>
      <c r="E14" s="105" t="n">
        <v>76</v>
      </c>
      <c r="F14" s="105" t="n">
        <v>20</v>
      </c>
      <c r="G14" s="105" t="n">
        <v>68</v>
      </c>
      <c r="H14" s="105" t="n">
        <v>19</v>
      </c>
      <c r="I14" s="105" t="n">
        <v>69</v>
      </c>
      <c r="J14" s="105" t="n">
        <v>20</v>
      </c>
      <c r="K14" s="105" t="n">
        <v>78</v>
      </c>
      <c r="L14" s="105" t="n">
        <v>19</v>
      </c>
      <c r="M14" s="105" t="n">
        <v>66</v>
      </c>
      <c r="N14" s="105" t="n">
        <v>19</v>
      </c>
      <c r="O14" s="105" t="n">
        <v>42</v>
      </c>
      <c r="P14" s="105" t="n">
        <v>49</v>
      </c>
      <c r="Q14" s="105"/>
      <c r="R14" s="105"/>
      <c r="S14" s="105"/>
      <c r="T14" s="105"/>
      <c r="U14" s="49" t="n">
        <f aca="false">IF($B14="","",N(E14)+N(F14)+N(G14)+N(H14)+N(I14)+N(J14)+N(K14)+N(L14)+N(M14)+N(N14)+N(O14)+N(P14)+N(Q14)+N(R14)+N(S14)+N(T14))</f>
        <v>545</v>
      </c>
      <c r="V14" s="50" t="n">
        <f aca="false">IF($B14="","",SUM(Setup!$E$17:$E$24))</f>
        <v>600</v>
      </c>
      <c r="W14" s="51" t="n">
        <f aca="false">IF($B14="","",IFERROR(U14/V14,0))</f>
        <v>0.908333333333333</v>
      </c>
      <c r="X14" s="50" t="n">
        <f aca="false">IF($B14="","",IF(AND(Setup!$B$17&lt;&gt;"",Setup!$E$17&gt;0),IF((N(E14)+N(F14))/Setup!$E$17&lt;Setup!$C$11,1,0),0)+IF(AND(Setup!$B$18&lt;&gt;"",Setup!$E$18&gt;0),IF((N(G14)+N(H14))/Setup!$E$18&lt;Setup!$C$11,1,0),0)+IF(AND(Setup!$B$19&lt;&gt;"",Setup!$E$19&gt;0),IF((N(I14)+N(J14))/Setup!$E$19&lt;Setup!$C$11,1,0),0)+IF(AND(Setup!$B$20&lt;&gt;"",Setup!$E$20&gt;0),IF((N(K14)+N(L14))/Setup!$E$20&lt;Setup!$C$11,1,0),0)+IF(AND(Setup!$B$21&lt;&gt;"",Setup!$E$21&gt;0),IF((N(M14)+N(N14))/Setup!$E$21&lt;Setup!$C$11,1,0),0)+IF(AND(Setup!$B$22&lt;&gt;"",Setup!$E$22&gt;0),IF((N(O14)+N(P14))/Setup!$E$22&lt;Setup!$C$11,1,0),0)+IF(AND(Setup!$B$23&lt;&gt;"",Setup!$E$23&gt;0),IF((N(Q14)+N(R14))/Setup!$E$23&lt;Setup!$C$11,1,0),0)+IF(AND(Setup!$B$24&lt;&gt;"",Setup!$E$24&gt;0),IF((N(S14)+N(T14))/Setup!$E$24&lt;Setup!$C$11,1,0),0))</f>
        <v>0</v>
      </c>
      <c r="Y14" s="38" t="str">
        <f aca="false">IF($B14="","",IF(X14=0,"PASS",IF(X14&lt;=Setup!$C$12,"COMPARTMENT","FAIL")))</f>
        <v>PASS</v>
      </c>
      <c r="Z14" s="39" t="n">
        <f aca="false">IF($B14="","",COUNTIF($U$7:$U$66,"&gt;"&amp;U14)+1)</f>
        <v>4</v>
      </c>
      <c r="AA14" s="38" t="str">
        <f aca="false">IF($B14="","",INDEX(Setup!$G$5:$G$12,COUNTIF(Setup!$F$5:$F$12,"&gt;"&amp;ROUND(W14,4))+1))</f>
        <v>A2</v>
      </c>
      <c r="AB14" s="52" t="str">
        <f aca="false">IF($B14="","",IF(((N(E14)&gt;N(Setup!$C$17))+(N(F14)&gt;N(Setup!$D$17)) + (N(G14)&gt;N(Setup!$C$18))+(N(H14)&gt;N(Setup!$D$18)) + (N(I14)&gt;N(Setup!$C$19))+(N(J14)&gt;N(Setup!$D$19)) + (N(K14)&gt;N(Setup!$C$20))+(N(L14)&gt;N(Setup!$D$20)) + (N(M14)&gt;N(Setup!$C$21))+(N(N14)&gt;N(Setup!$D$21)) + (N(O14)&gt;N(Setup!$C$22))+(N(P14)&gt;N(Setup!$D$22)) + (N(Q14)&gt;N(Setup!$C$23))+(N(R14)&gt;N(Setup!$D$23)) + (N(S14)&gt;N(Setup!$C$24))+(N(T14)&gt;N(Setup!$D$24)))&gt;0,"⚠ Marks above max",IF(A14="","⚠ Roll no. missing",IF(COUNTIF($A$7:$A$66,A14)&gt;1,"⚠ Duplicate roll no.","✔"))))</f>
        <v>✔</v>
      </c>
      <c r="AC14" s="8" t="n">
        <f aca="false">IF(OR($B14="",Setup!$B$17="",N(Setup!$E$17)=0),"",(N(E14)+N(F14))/Setup!$E$17)</f>
        <v>0.96</v>
      </c>
      <c r="AD14" s="8" t="n">
        <f aca="false">IF(OR($B14="",Setup!$B$18="",N(Setup!$E$18)=0),"",(N(G14)+N(H14))/Setup!$E$18)</f>
        <v>0.87</v>
      </c>
      <c r="AE14" s="8" t="n">
        <f aca="false">IF(OR($B14="",Setup!$B$19="",N(Setup!$E$19)=0),"",(N(I14)+N(J14))/Setup!$E$19)</f>
        <v>0.89</v>
      </c>
      <c r="AF14" s="8" t="n">
        <f aca="false">IF(OR($B14="",Setup!$B$20="",N(Setup!$E$20)=0),"",(N(K14)+N(L14))/Setup!$E$20)</f>
        <v>0.97</v>
      </c>
      <c r="AG14" s="8" t="n">
        <f aca="false">IF(OR($B14="",Setup!$B$21="",N(Setup!$E$21)=0),"",(N(M14)+N(N14))/Setup!$E$21)</f>
        <v>0.85</v>
      </c>
      <c r="AH14" s="8" t="n">
        <f aca="false">IF(OR($B14="",Setup!$B$22="",N(Setup!$E$22)=0),"",(N(O14)+N(P14))/Setup!$E$22)</f>
        <v>0.91</v>
      </c>
      <c r="AI14" s="8" t="str">
        <f aca="false">IF(OR($B14="",Setup!$B$23="",N(Setup!$E$23)=0),"",(N(Q14)+N(R14))/Setup!$E$23)</f>
        <v/>
      </c>
      <c r="AJ14" s="8" t="str">
        <f aca="false">IF(OR($B14="",Setup!$B$24="",N(Setup!$E$24)=0),"",(N(S14)+N(T14))/Setup!$E$24)</f>
        <v/>
      </c>
      <c r="AK14" s="8" t="n">
        <f aca="false">IF($B14="","",U14+(1000-ROW())/100000)</f>
        <v>545.00986</v>
      </c>
      <c r="AL14" s="8" t="str">
        <f aca="false">IF(AM14=1,SUM($AM$7:AM14),"")</f>
        <v/>
      </c>
      <c r="AM14" s="8" t="n">
        <f aca="false">IF(AND(Y14&lt;&gt;"",Y14&lt;&gt;"PASS"),1,0)</f>
        <v>0</v>
      </c>
    </row>
    <row r="15" customFormat="false" ht="15" hidden="false" customHeight="false" outlineLevel="0" collapsed="false">
      <c r="A15" s="104" t="n">
        <v>109</v>
      </c>
      <c r="B15" s="100" t="s">
        <v>116</v>
      </c>
      <c r="C15" s="100" t="s">
        <v>117</v>
      </c>
      <c r="D15" s="99" t="n">
        <v>104</v>
      </c>
      <c r="E15" s="105" t="n">
        <v>55</v>
      </c>
      <c r="F15" s="105" t="n">
        <v>15</v>
      </c>
      <c r="G15" s="105" t="n">
        <v>58</v>
      </c>
      <c r="H15" s="105" t="n">
        <v>16</v>
      </c>
      <c r="I15" s="105" t="n">
        <v>60</v>
      </c>
      <c r="J15" s="105" t="n">
        <v>18</v>
      </c>
      <c r="K15" s="105" t="n">
        <v>62</v>
      </c>
      <c r="L15" s="105" t="n">
        <v>17</v>
      </c>
      <c r="M15" s="105" t="n">
        <v>61</v>
      </c>
      <c r="N15" s="105" t="n">
        <v>17</v>
      </c>
      <c r="O15" s="105" t="n">
        <v>32</v>
      </c>
      <c r="P15" s="105" t="n">
        <v>45</v>
      </c>
      <c r="Q15" s="105"/>
      <c r="R15" s="105"/>
      <c r="S15" s="105"/>
      <c r="T15" s="105"/>
      <c r="U15" s="49" t="n">
        <f aca="false">IF($B15="","",N(E15)+N(F15)+N(G15)+N(H15)+N(I15)+N(J15)+N(K15)+N(L15)+N(M15)+N(N15)+N(O15)+N(P15)+N(Q15)+N(R15)+N(S15)+N(T15))</f>
        <v>456</v>
      </c>
      <c r="V15" s="50" t="n">
        <f aca="false">IF($B15="","",SUM(Setup!$E$17:$E$24))</f>
        <v>600</v>
      </c>
      <c r="W15" s="51" t="n">
        <f aca="false">IF($B15="","",IFERROR(U15/V15,0))</f>
        <v>0.76</v>
      </c>
      <c r="X15" s="50" t="n">
        <f aca="false">IF($B15="","",IF(AND(Setup!$B$17&lt;&gt;"",Setup!$E$17&gt;0),IF((N(E15)+N(F15))/Setup!$E$17&lt;Setup!$C$11,1,0),0)+IF(AND(Setup!$B$18&lt;&gt;"",Setup!$E$18&gt;0),IF((N(G15)+N(H15))/Setup!$E$18&lt;Setup!$C$11,1,0),0)+IF(AND(Setup!$B$19&lt;&gt;"",Setup!$E$19&gt;0),IF((N(I15)+N(J15))/Setup!$E$19&lt;Setup!$C$11,1,0),0)+IF(AND(Setup!$B$20&lt;&gt;"",Setup!$E$20&gt;0),IF((N(K15)+N(L15))/Setup!$E$20&lt;Setup!$C$11,1,0),0)+IF(AND(Setup!$B$21&lt;&gt;"",Setup!$E$21&gt;0),IF((N(M15)+N(N15))/Setup!$E$21&lt;Setup!$C$11,1,0),0)+IF(AND(Setup!$B$22&lt;&gt;"",Setup!$E$22&gt;0),IF((N(O15)+N(P15))/Setup!$E$22&lt;Setup!$C$11,1,0),0)+IF(AND(Setup!$B$23&lt;&gt;"",Setup!$E$23&gt;0),IF((N(Q15)+N(R15))/Setup!$E$23&lt;Setup!$C$11,1,0),0)+IF(AND(Setup!$B$24&lt;&gt;"",Setup!$E$24&gt;0),IF((N(S15)+N(T15))/Setup!$E$24&lt;Setup!$C$11,1,0),0))</f>
        <v>0</v>
      </c>
      <c r="Y15" s="38" t="str">
        <f aca="false">IF($B15="","",IF(X15=0,"PASS",IF(X15&lt;=Setup!$C$12,"COMPARTMENT","FAIL")))</f>
        <v>PASS</v>
      </c>
      <c r="Z15" s="39" t="n">
        <f aca="false">IF($B15="","",COUNTIF($U$7:$U$66,"&gt;"&amp;U15)+1)</f>
        <v>13</v>
      </c>
      <c r="AA15" s="38" t="str">
        <f aca="false">IF($B15="","",INDEX(Setup!$G$5:$G$12,COUNTIF(Setup!$F$5:$F$12,"&gt;"&amp;ROUND(W15,4))+1))</f>
        <v>B1</v>
      </c>
      <c r="AB15" s="52" t="str">
        <f aca="false">IF($B15="","",IF(((N(E15)&gt;N(Setup!$C$17))+(N(F15)&gt;N(Setup!$D$17)) + (N(G15)&gt;N(Setup!$C$18))+(N(H15)&gt;N(Setup!$D$18)) + (N(I15)&gt;N(Setup!$C$19))+(N(J15)&gt;N(Setup!$D$19)) + (N(K15)&gt;N(Setup!$C$20))+(N(L15)&gt;N(Setup!$D$20)) + (N(M15)&gt;N(Setup!$C$21))+(N(N15)&gt;N(Setup!$D$21)) + (N(O15)&gt;N(Setup!$C$22))+(N(P15)&gt;N(Setup!$D$22)) + (N(Q15)&gt;N(Setup!$C$23))+(N(R15)&gt;N(Setup!$D$23)) + (N(S15)&gt;N(Setup!$C$24))+(N(T15)&gt;N(Setup!$D$24)))&gt;0,"⚠ Marks above max",IF(A15="","⚠ Roll no. missing",IF(COUNTIF($A$7:$A$66,A15)&gt;1,"⚠ Duplicate roll no.","✔"))))</f>
        <v>✔</v>
      </c>
      <c r="AC15" s="8" t="n">
        <f aca="false">IF(OR($B15="",Setup!$B$17="",N(Setup!$E$17)=0),"",(N(E15)+N(F15))/Setup!$E$17)</f>
        <v>0.7</v>
      </c>
      <c r="AD15" s="8" t="n">
        <f aca="false">IF(OR($B15="",Setup!$B$18="",N(Setup!$E$18)=0),"",(N(G15)+N(H15))/Setup!$E$18)</f>
        <v>0.74</v>
      </c>
      <c r="AE15" s="8" t="n">
        <f aca="false">IF(OR($B15="",Setup!$B$19="",N(Setup!$E$19)=0),"",(N(I15)+N(J15))/Setup!$E$19)</f>
        <v>0.78</v>
      </c>
      <c r="AF15" s="8" t="n">
        <f aca="false">IF(OR($B15="",Setup!$B$20="",N(Setup!$E$20)=0),"",(N(K15)+N(L15))/Setup!$E$20)</f>
        <v>0.79</v>
      </c>
      <c r="AG15" s="8" t="n">
        <f aca="false">IF(OR($B15="",Setup!$B$21="",N(Setup!$E$21)=0),"",(N(M15)+N(N15))/Setup!$E$21)</f>
        <v>0.78</v>
      </c>
      <c r="AH15" s="8" t="n">
        <f aca="false">IF(OR($B15="",Setup!$B$22="",N(Setup!$E$22)=0),"",(N(O15)+N(P15))/Setup!$E$22)</f>
        <v>0.77</v>
      </c>
      <c r="AI15" s="8" t="str">
        <f aca="false">IF(OR($B15="",Setup!$B$23="",N(Setup!$E$23)=0),"",(N(Q15)+N(R15))/Setup!$E$23)</f>
        <v/>
      </c>
      <c r="AJ15" s="8" t="str">
        <f aca="false">IF(OR($B15="",Setup!$B$24="",N(Setup!$E$24)=0),"",(N(S15)+N(T15))/Setup!$E$24)</f>
        <v/>
      </c>
      <c r="AK15" s="8" t="n">
        <f aca="false">IF($B15="","",U15+(1000-ROW())/100000)</f>
        <v>456.00985</v>
      </c>
      <c r="AL15" s="8" t="str">
        <f aca="false">IF(AM15=1,SUM($AM$7:AM15),"")</f>
        <v/>
      </c>
      <c r="AM15" s="8" t="n">
        <f aca="false">IF(AND(Y15&lt;&gt;"",Y15&lt;&gt;"PASS"),1,0)</f>
        <v>0</v>
      </c>
    </row>
    <row r="16" customFormat="false" ht="15" hidden="false" customHeight="false" outlineLevel="0" collapsed="false">
      <c r="A16" s="104" t="n">
        <v>110</v>
      </c>
      <c r="B16" s="100" t="s">
        <v>118</v>
      </c>
      <c r="C16" s="100" t="s">
        <v>119</v>
      </c>
      <c r="D16" s="99" t="n">
        <v>111</v>
      </c>
      <c r="E16" s="105" t="n">
        <v>73</v>
      </c>
      <c r="F16" s="105" t="n">
        <v>20</v>
      </c>
      <c r="G16" s="105" t="n">
        <v>65</v>
      </c>
      <c r="H16" s="105" t="n">
        <v>18</v>
      </c>
      <c r="I16" s="105" t="n">
        <v>61</v>
      </c>
      <c r="J16" s="105" t="n">
        <v>19</v>
      </c>
      <c r="K16" s="105" t="n">
        <v>60</v>
      </c>
      <c r="L16" s="105" t="n">
        <v>17</v>
      </c>
      <c r="M16" s="105" t="n">
        <v>62</v>
      </c>
      <c r="N16" s="105" t="n">
        <v>18</v>
      </c>
      <c r="O16" s="105" t="n">
        <v>40</v>
      </c>
      <c r="P16" s="105" t="n">
        <v>43</v>
      </c>
      <c r="Q16" s="105"/>
      <c r="R16" s="105"/>
      <c r="S16" s="105"/>
      <c r="T16" s="105"/>
      <c r="U16" s="49" t="n">
        <f aca="false">IF($B16="","",N(E16)+N(F16)+N(G16)+N(H16)+N(I16)+N(J16)+N(K16)+N(L16)+N(M16)+N(N16)+N(O16)+N(P16)+N(Q16)+N(R16)+N(S16)+N(T16))</f>
        <v>496</v>
      </c>
      <c r="V16" s="50" t="n">
        <f aca="false">IF($B16="","",SUM(Setup!$E$17:$E$24))</f>
        <v>600</v>
      </c>
      <c r="W16" s="51" t="n">
        <f aca="false">IF($B16="","",IFERROR(U16/V16,0))</f>
        <v>0.826666666666667</v>
      </c>
      <c r="X16" s="50" t="n">
        <f aca="false">IF($B16="","",IF(AND(Setup!$B$17&lt;&gt;"",Setup!$E$17&gt;0),IF((N(E16)+N(F16))/Setup!$E$17&lt;Setup!$C$11,1,0),0)+IF(AND(Setup!$B$18&lt;&gt;"",Setup!$E$18&gt;0),IF((N(G16)+N(H16))/Setup!$E$18&lt;Setup!$C$11,1,0),0)+IF(AND(Setup!$B$19&lt;&gt;"",Setup!$E$19&gt;0),IF((N(I16)+N(J16))/Setup!$E$19&lt;Setup!$C$11,1,0),0)+IF(AND(Setup!$B$20&lt;&gt;"",Setup!$E$20&gt;0),IF((N(K16)+N(L16))/Setup!$E$20&lt;Setup!$C$11,1,0),0)+IF(AND(Setup!$B$21&lt;&gt;"",Setup!$E$21&gt;0),IF((N(M16)+N(N16))/Setup!$E$21&lt;Setup!$C$11,1,0),0)+IF(AND(Setup!$B$22&lt;&gt;"",Setup!$E$22&gt;0),IF((N(O16)+N(P16))/Setup!$E$22&lt;Setup!$C$11,1,0),0)+IF(AND(Setup!$B$23&lt;&gt;"",Setup!$E$23&gt;0),IF((N(Q16)+N(R16))/Setup!$E$23&lt;Setup!$C$11,1,0),0)+IF(AND(Setup!$B$24&lt;&gt;"",Setup!$E$24&gt;0),IF((N(S16)+N(T16))/Setup!$E$24&lt;Setup!$C$11,1,0),0))</f>
        <v>0</v>
      </c>
      <c r="Y16" s="38" t="str">
        <f aca="false">IF($B16="","",IF(X16=0,"PASS",IF(X16&lt;=Setup!$C$12,"COMPARTMENT","FAIL")))</f>
        <v>PASS</v>
      </c>
      <c r="Z16" s="39" t="n">
        <f aca="false">IF($B16="","",COUNTIF($U$7:$U$66,"&gt;"&amp;U16)+1)</f>
        <v>10</v>
      </c>
      <c r="AA16" s="38" t="str">
        <f aca="false">IF($B16="","",INDEX(Setup!$G$5:$G$12,COUNTIF(Setup!$F$5:$F$12,"&gt;"&amp;ROUND(W16,4))+1))</f>
        <v>A2</v>
      </c>
      <c r="AB16" s="52" t="str">
        <f aca="false">IF($B16="","",IF(((N(E16)&gt;N(Setup!$C$17))+(N(F16)&gt;N(Setup!$D$17)) + (N(G16)&gt;N(Setup!$C$18))+(N(H16)&gt;N(Setup!$D$18)) + (N(I16)&gt;N(Setup!$C$19))+(N(J16)&gt;N(Setup!$D$19)) + (N(K16)&gt;N(Setup!$C$20))+(N(L16)&gt;N(Setup!$D$20)) + (N(M16)&gt;N(Setup!$C$21))+(N(N16)&gt;N(Setup!$D$21)) + (N(O16)&gt;N(Setup!$C$22))+(N(P16)&gt;N(Setup!$D$22)) + (N(Q16)&gt;N(Setup!$C$23))+(N(R16)&gt;N(Setup!$D$23)) + (N(S16)&gt;N(Setup!$C$24))+(N(T16)&gt;N(Setup!$D$24)))&gt;0,"⚠ Marks above max",IF(A16="","⚠ Roll no. missing",IF(COUNTIF($A$7:$A$66,A16)&gt;1,"⚠ Duplicate roll no.","✔"))))</f>
        <v>✔</v>
      </c>
      <c r="AC16" s="8" t="n">
        <f aca="false">IF(OR($B16="",Setup!$B$17="",N(Setup!$E$17)=0),"",(N(E16)+N(F16))/Setup!$E$17)</f>
        <v>0.93</v>
      </c>
      <c r="AD16" s="8" t="n">
        <f aca="false">IF(OR($B16="",Setup!$B$18="",N(Setup!$E$18)=0),"",(N(G16)+N(H16))/Setup!$E$18)</f>
        <v>0.83</v>
      </c>
      <c r="AE16" s="8" t="n">
        <f aca="false">IF(OR($B16="",Setup!$B$19="",N(Setup!$E$19)=0),"",(N(I16)+N(J16))/Setup!$E$19)</f>
        <v>0.8</v>
      </c>
      <c r="AF16" s="8" t="n">
        <f aca="false">IF(OR($B16="",Setup!$B$20="",N(Setup!$E$20)=0),"",(N(K16)+N(L16))/Setup!$E$20)</f>
        <v>0.77</v>
      </c>
      <c r="AG16" s="8" t="n">
        <f aca="false">IF(OR($B16="",Setup!$B$21="",N(Setup!$E$21)=0),"",(N(M16)+N(N16))/Setup!$E$21)</f>
        <v>0.8</v>
      </c>
      <c r="AH16" s="8" t="n">
        <f aca="false">IF(OR($B16="",Setup!$B$22="",N(Setup!$E$22)=0),"",(N(O16)+N(P16))/Setup!$E$22)</f>
        <v>0.83</v>
      </c>
      <c r="AI16" s="8" t="str">
        <f aca="false">IF(OR($B16="",Setup!$B$23="",N(Setup!$E$23)=0),"",(N(Q16)+N(R16))/Setup!$E$23)</f>
        <v/>
      </c>
      <c r="AJ16" s="8" t="str">
        <f aca="false">IF(OR($B16="",Setup!$B$24="",N(Setup!$E$24)=0),"",(N(S16)+N(T16))/Setup!$E$24)</f>
        <v/>
      </c>
      <c r="AK16" s="8" t="n">
        <f aca="false">IF($B16="","",U16+(1000-ROW())/100000)</f>
        <v>496.00984</v>
      </c>
      <c r="AL16" s="8" t="str">
        <f aca="false">IF(AM16=1,SUM($AM$7:AM16),"")</f>
        <v/>
      </c>
      <c r="AM16" s="8" t="n">
        <f aca="false">IF(AND(Y16&lt;&gt;"",Y16&lt;&gt;"PASS"),1,0)</f>
        <v>0</v>
      </c>
    </row>
    <row r="17" customFormat="false" ht="15" hidden="false" customHeight="false" outlineLevel="0" collapsed="false">
      <c r="A17" s="104" t="n">
        <v>111</v>
      </c>
      <c r="B17" s="100" t="s">
        <v>120</v>
      </c>
      <c r="C17" s="100" t="s">
        <v>121</v>
      </c>
      <c r="D17" s="99" t="n">
        <v>105</v>
      </c>
      <c r="E17" s="105" t="n">
        <v>29</v>
      </c>
      <c r="F17" s="105" t="n">
        <v>9</v>
      </c>
      <c r="G17" s="105" t="n">
        <v>32</v>
      </c>
      <c r="H17" s="105" t="n">
        <v>9</v>
      </c>
      <c r="I17" s="105" t="n">
        <v>40</v>
      </c>
      <c r="J17" s="105" t="n">
        <v>11</v>
      </c>
      <c r="K17" s="105" t="n">
        <v>29</v>
      </c>
      <c r="L17" s="105" t="n">
        <v>10</v>
      </c>
      <c r="M17" s="105" t="n">
        <v>32</v>
      </c>
      <c r="N17" s="105" t="n">
        <v>10</v>
      </c>
      <c r="O17" s="105" t="n">
        <v>18</v>
      </c>
      <c r="P17" s="105" t="n">
        <v>29</v>
      </c>
      <c r="Q17" s="105"/>
      <c r="R17" s="105"/>
      <c r="S17" s="105"/>
      <c r="T17" s="105"/>
      <c r="U17" s="49" t="n">
        <f aca="false">IF($B17="","",N(E17)+N(F17)+N(G17)+N(H17)+N(I17)+N(J17)+N(K17)+N(L17)+N(M17)+N(N17)+N(O17)+N(P17)+N(Q17)+N(R17)+N(S17)+N(T17))</f>
        <v>258</v>
      </c>
      <c r="V17" s="50" t="n">
        <f aca="false">IF($B17="","",SUM(Setup!$E$17:$E$24))</f>
        <v>600</v>
      </c>
      <c r="W17" s="51" t="n">
        <f aca="false">IF($B17="","",IFERROR(U17/V17,0))</f>
        <v>0.43</v>
      </c>
      <c r="X17" s="50" t="n">
        <f aca="false">IF($B17="","",IF(AND(Setup!$B$17&lt;&gt;"",Setup!$E$17&gt;0),IF((N(E17)+N(F17))/Setup!$E$17&lt;Setup!$C$11,1,0),0)+IF(AND(Setup!$B$18&lt;&gt;"",Setup!$E$18&gt;0),IF((N(G17)+N(H17))/Setup!$E$18&lt;Setup!$C$11,1,0),0)+IF(AND(Setup!$B$19&lt;&gt;"",Setup!$E$19&gt;0),IF((N(I17)+N(J17))/Setup!$E$19&lt;Setup!$C$11,1,0),0)+IF(AND(Setup!$B$20&lt;&gt;"",Setup!$E$20&gt;0),IF((N(K17)+N(L17))/Setup!$E$20&lt;Setup!$C$11,1,0),0)+IF(AND(Setup!$B$21&lt;&gt;"",Setup!$E$21&gt;0),IF((N(M17)+N(N17))/Setup!$E$21&lt;Setup!$C$11,1,0),0)+IF(AND(Setup!$B$22&lt;&gt;"",Setup!$E$22&gt;0),IF((N(O17)+N(P17))/Setup!$E$22&lt;Setup!$C$11,1,0),0)+IF(AND(Setup!$B$23&lt;&gt;"",Setup!$E$23&gt;0),IF((N(Q17)+N(R17))/Setup!$E$23&lt;Setup!$C$11,1,0),0)+IF(AND(Setup!$B$24&lt;&gt;"",Setup!$E$24&gt;0),IF((N(S17)+N(T17))/Setup!$E$24&lt;Setup!$C$11,1,0),0))</f>
        <v>0</v>
      </c>
      <c r="Y17" s="38" t="str">
        <f aca="false">IF($B17="","",IF(X17=0,"PASS",IF(X17&lt;=Setup!$C$12,"COMPARTMENT","FAIL")))</f>
        <v>PASS</v>
      </c>
      <c r="Z17" s="39" t="n">
        <f aca="false">IF($B17="","",COUNTIF($U$7:$U$66,"&gt;"&amp;U17)+1)</f>
        <v>25</v>
      </c>
      <c r="AA17" s="38" t="str">
        <f aca="false">IF($B17="","",INDEX(Setup!$G$5:$G$12,COUNTIF(Setup!$F$5:$F$12,"&gt;"&amp;ROUND(W17,4))+1))</f>
        <v>C2</v>
      </c>
      <c r="AB17" s="52" t="str">
        <f aca="false">IF($B17="","",IF(((N(E17)&gt;N(Setup!$C$17))+(N(F17)&gt;N(Setup!$D$17)) + (N(G17)&gt;N(Setup!$C$18))+(N(H17)&gt;N(Setup!$D$18)) + (N(I17)&gt;N(Setup!$C$19))+(N(J17)&gt;N(Setup!$D$19)) + (N(K17)&gt;N(Setup!$C$20))+(N(L17)&gt;N(Setup!$D$20)) + (N(M17)&gt;N(Setup!$C$21))+(N(N17)&gt;N(Setup!$D$21)) + (N(O17)&gt;N(Setup!$C$22))+(N(P17)&gt;N(Setup!$D$22)) + (N(Q17)&gt;N(Setup!$C$23))+(N(R17)&gt;N(Setup!$D$23)) + (N(S17)&gt;N(Setup!$C$24))+(N(T17)&gt;N(Setup!$D$24)))&gt;0,"⚠ Marks above max",IF(A17="","⚠ Roll no. missing",IF(COUNTIF($A$7:$A$66,A17)&gt;1,"⚠ Duplicate roll no.","✔"))))</f>
        <v>✔</v>
      </c>
      <c r="AC17" s="8" t="n">
        <f aca="false">IF(OR($B17="",Setup!$B$17="",N(Setup!$E$17)=0),"",(N(E17)+N(F17))/Setup!$E$17)</f>
        <v>0.38</v>
      </c>
      <c r="AD17" s="8" t="n">
        <f aca="false">IF(OR($B17="",Setup!$B$18="",N(Setup!$E$18)=0),"",(N(G17)+N(H17))/Setup!$E$18)</f>
        <v>0.41</v>
      </c>
      <c r="AE17" s="8" t="n">
        <f aca="false">IF(OR($B17="",Setup!$B$19="",N(Setup!$E$19)=0),"",(N(I17)+N(J17))/Setup!$E$19)</f>
        <v>0.51</v>
      </c>
      <c r="AF17" s="8" t="n">
        <f aca="false">IF(OR($B17="",Setup!$B$20="",N(Setup!$E$20)=0),"",(N(K17)+N(L17))/Setup!$E$20)</f>
        <v>0.39</v>
      </c>
      <c r="AG17" s="8" t="n">
        <f aca="false">IF(OR($B17="",Setup!$B$21="",N(Setup!$E$21)=0),"",(N(M17)+N(N17))/Setup!$E$21)</f>
        <v>0.42</v>
      </c>
      <c r="AH17" s="8" t="n">
        <f aca="false">IF(OR($B17="",Setup!$B$22="",N(Setup!$E$22)=0),"",(N(O17)+N(P17))/Setup!$E$22)</f>
        <v>0.47</v>
      </c>
      <c r="AI17" s="8" t="str">
        <f aca="false">IF(OR($B17="",Setup!$B$23="",N(Setup!$E$23)=0),"",(N(Q17)+N(R17))/Setup!$E$23)</f>
        <v/>
      </c>
      <c r="AJ17" s="8" t="str">
        <f aca="false">IF(OR($B17="",Setup!$B$24="",N(Setup!$E$24)=0),"",(N(S17)+N(T17))/Setup!$E$24)</f>
        <v/>
      </c>
      <c r="AK17" s="8" t="n">
        <f aca="false">IF($B17="","",U17+(1000-ROW())/100000)</f>
        <v>258.00983</v>
      </c>
      <c r="AL17" s="8" t="str">
        <f aca="false">IF(AM17=1,SUM($AM$7:AM17),"")</f>
        <v/>
      </c>
      <c r="AM17" s="8" t="n">
        <f aca="false">IF(AND(Y17&lt;&gt;"",Y17&lt;&gt;"PASS"),1,0)</f>
        <v>0</v>
      </c>
    </row>
    <row r="18" customFormat="false" ht="15" hidden="false" customHeight="false" outlineLevel="0" collapsed="false">
      <c r="A18" s="104" t="n">
        <v>112</v>
      </c>
      <c r="B18" s="100" t="s">
        <v>122</v>
      </c>
      <c r="C18" s="100" t="s">
        <v>123</v>
      </c>
      <c r="D18" s="99" t="n">
        <v>112</v>
      </c>
      <c r="E18" s="105" t="n">
        <v>75</v>
      </c>
      <c r="F18" s="105" t="n">
        <v>20</v>
      </c>
      <c r="G18" s="105" t="n">
        <v>69</v>
      </c>
      <c r="H18" s="105" t="n">
        <v>20</v>
      </c>
      <c r="I18" s="105" t="n">
        <v>73</v>
      </c>
      <c r="J18" s="105" t="n">
        <v>20</v>
      </c>
      <c r="K18" s="105" t="n">
        <v>80</v>
      </c>
      <c r="L18" s="105" t="n">
        <v>20</v>
      </c>
      <c r="M18" s="105" t="n">
        <v>68</v>
      </c>
      <c r="N18" s="105" t="n">
        <v>20</v>
      </c>
      <c r="O18" s="105" t="n">
        <v>48</v>
      </c>
      <c r="P18" s="105" t="n">
        <v>49</v>
      </c>
      <c r="Q18" s="105"/>
      <c r="R18" s="105"/>
      <c r="S18" s="105"/>
      <c r="T18" s="105"/>
      <c r="U18" s="49" t="n">
        <f aca="false">IF($B18="","",N(E18)+N(F18)+N(G18)+N(H18)+N(I18)+N(J18)+N(K18)+N(L18)+N(M18)+N(N18)+N(O18)+N(P18)+N(Q18)+N(R18)+N(S18)+N(T18))</f>
        <v>562</v>
      </c>
      <c r="V18" s="50" t="n">
        <f aca="false">IF($B18="","",SUM(Setup!$E$17:$E$24))</f>
        <v>600</v>
      </c>
      <c r="W18" s="51" t="n">
        <f aca="false">IF($B18="","",IFERROR(U18/V18,0))</f>
        <v>0.936666666666667</v>
      </c>
      <c r="X18" s="50" t="n">
        <f aca="false">IF($B18="","",IF(AND(Setup!$B$17&lt;&gt;"",Setup!$E$17&gt;0),IF((N(E18)+N(F18))/Setup!$E$17&lt;Setup!$C$11,1,0),0)+IF(AND(Setup!$B$18&lt;&gt;"",Setup!$E$18&gt;0),IF((N(G18)+N(H18))/Setup!$E$18&lt;Setup!$C$11,1,0),0)+IF(AND(Setup!$B$19&lt;&gt;"",Setup!$E$19&gt;0),IF((N(I18)+N(J18))/Setup!$E$19&lt;Setup!$C$11,1,0),0)+IF(AND(Setup!$B$20&lt;&gt;"",Setup!$E$20&gt;0),IF((N(K18)+N(L18))/Setup!$E$20&lt;Setup!$C$11,1,0),0)+IF(AND(Setup!$B$21&lt;&gt;"",Setup!$E$21&gt;0),IF((N(M18)+N(N18))/Setup!$E$21&lt;Setup!$C$11,1,0),0)+IF(AND(Setup!$B$22&lt;&gt;"",Setup!$E$22&gt;0),IF((N(O18)+N(P18))/Setup!$E$22&lt;Setup!$C$11,1,0),0)+IF(AND(Setup!$B$23&lt;&gt;"",Setup!$E$23&gt;0),IF((N(Q18)+N(R18))/Setup!$E$23&lt;Setup!$C$11,1,0),0)+IF(AND(Setup!$B$24&lt;&gt;"",Setup!$E$24&gt;0),IF((N(S18)+N(T18))/Setup!$E$24&lt;Setup!$C$11,1,0),0))</f>
        <v>0</v>
      </c>
      <c r="Y18" s="38" t="str">
        <f aca="false">IF($B18="","",IF(X18=0,"PASS",IF(X18&lt;=Setup!$C$12,"COMPARTMENT","FAIL")))</f>
        <v>PASS</v>
      </c>
      <c r="Z18" s="39" t="n">
        <f aca="false">IF($B18="","",COUNTIF($U$7:$U$66,"&gt;"&amp;U18)+1)</f>
        <v>1</v>
      </c>
      <c r="AA18" s="38" t="str">
        <f aca="false">IF($B18="","",INDEX(Setup!$G$5:$G$12,COUNTIF(Setup!$F$5:$F$12,"&gt;"&amp;ROUND(W18,4))+1))</f>
        <v>A1</v>
      </c>
      <c r="AB18" s="52" t="str">
        <f aca="false">IF($B18="","",IF(((N(E18)&gt;N(Setup!$C$17))+(N(F18)&gt;N(Setup!$D$17)) + (N(G18)&gt;N(Setup!$C$18))+(N(H18)&gt;N(Setup!$D$18)) + (N(I18)&gt;N(Setup!$C$19))+(N(J18)&gt;N(Setup!$D$19)) + (N(K18)&gt;N(Setup!$C$20))+(N(L18)&gt;N(Setup!$D$20)) + (N(M18)&gt;N(Setup!$C$21))+(N(N18)&gt;N(Setup!$D$21)) + (N(O18)&gt;N(Setup!$C$22))+(N(P18)&gt;N(Setup!$D$22)) + (N(Q18)&gt;N(Setup!$C$23))+(N(R18)&gt;N(Setup!$D$23)) + (N(S18)&gt;N(Setup!$C$24))+(N(T18)&gt;N(Setup!$D$24)))&gt;0,"⚠ Marks above max",IF(A18="","⚠ Roll no. missing",IF(COUNTIF($A$7:$A$66,A18)&gt;1,"⚠ Duplicate roll no.","✔"))))</f>
        <v>✔</v>
      </c>
      <c r="AC18" s="8" t="n">
        <f aca="false">IF(OR($B18="",Setup!$B$17="",N(Setup!$E$17)=0),"",(N(E18)+N(F18))/Setup!$E$17)</f>
        <v>0.95</v>
      </c>
      <c r="AD18" s="8" t="n">
        <f aca="false">IF(OR($B18="",Setup!$B$18="",N(Setup!$E$18)=0),"",(N(G18)+N(H18))/Setup!$E$18)</f>
        <v>0.89</v>
      </c>
      <c r="AE18" s="8" t="n">
        <f aca="false">IF(OR($B18="",Setup!$B$19="",N(Setup!$E$19)=0),"",(N(I18)+N(J18))/Setup!$E$19)</f>
        <v>0.93</v>
      </c>
      <c r="AF18" s="8" t="n">
        <f aca="false">IF(OR($B18="",Setup!$B$20="",N(Setup!$E$20)=0),"",(N(K18)+N(L18))/Setup!$E$20)</f>
        <v>1</v>
      </c>
      <c r="AG18" s="8" t="n">
        <f aca="false">IF(OR($B18="",Setup!$B$21="",N(Setup!$E$21)=0),"",(N(M18)+N(N18))/Setup!$E$21)</f>
        <v>0.88</v>
      </c>
      <c r="AH18" s="8" t="n">
        <f aca="false">IF(OR($B18="",Setup!$B$22="",N(Setup!$E$22)=0),"",(N(O18)+N(P18))/Setup!$E$22)</f>
        <v>0.97</v>
      </c>
      <c r="AI18" s="8" t="str">
        <f aca="false">IF(OR($B18="",Setup!$B$23="",N(Setup!$E$23)=0),"",(N(Q18)+N(R18))/Setup!$E$23)</f>
        <v/>
      </c>
      <c r="AJ18" s="8" t="str">
        <f aca="false">IF(OR($B18="",Setup!$B$24="",N(Setup!$E$24)=0),"",(N(S18)+N(T18))/Setup!$E$24)</f>
        <v/>
      </c>
      <c r="AK18" s="8" t="n">
        <f aca="false">IF($B18="","",U18+(1000-ROW())/100000)</f>
        <v>562.00982</v>
      </c>
      <c r="AL18" s="8" t="str">
        <f aca="false">IF(AM18=1,SUM($AM$7:AM18),"")</f>
        <v/>
      </c>
      <c r="AM18" s="8" t="n">
        <f aca="false">IF(AND(Y18&lt;&gt;"",Y18&lt;&gt;"PASS"),1,0)</f>
        <v>0</v>
      </c>
    </row>
    <row r="19" customFormat="false" ht="15" hidden="false" customHeight="false" outlineLevel="0" collapsed="false">
      <c r="A19" s="104" t="n">
        <v>113</v>
      </c>
      <c r="B19" s="100" t="s">
        <v>124</v>
      </c>
      <c r="C19" s="100" t="s">
        <v>125</v>
      </c>
      <c r="D19" s="99" t="n">
        <v>106</v>
      </c>
      <c r="E19" s="105" t="n">
        <v>49</v>
      </c>
      <c r="F19" s="105" t="n">
        <v>16</v>
      </c>
      <c r="G19" s="105" t="n">
        <v>65</v>
      </c>
      <c r="H19" s="105" t="n">
        <v>17</v>
      </c>
      <c r="I19" s="105" t="n">
        <v>14</v>
      </c>
      <c r="J19" s="105" t="n">
        <v>5</v>
      </c>
      <c r="K19" s="105" t="n">
        <v>55</v>
      </c>
      <c r="L19" s="105" t="n">
        <v>15</v>
      </c>
      <c r="M19" s="105" t="n">
        <v>61</v>
      </c>
      <c r="N19" s="105" t="n">
        <v>16</v>
      </c>
      <c r="O19" s="105" t="n">
        <v>38</v>
      </c>
      <c r="P19" s="105" t="n">
        <v>39</v>
      </c>
      <c r="Q19" s="105"/>
      <c r="R19" s="105"/>
      <c r="S19" s="105"/>
      <c r="T19" s="105"/>
      <c r="U19" s="49" t="n">
        <f aca="false">IF($B19="","",N(E19)+N(F19)+N(G19)+N(H19)+N(I19)+N(J19)+N(K19)+N(L19)+N(M19)+N(N19)+N(O19)+N(P19)+N(Q19)+N(R19)+N(S19)+N(T19))</f>
        <v>390</v>
      </c>
      <c r="V19" s="50" t="n">
        <f aca="false">IF($B19="","",SUM(Setup!$E$17:$E$24))</f>
        <v>600</v>
      </c>
      <c r="W19" s="51" t="n">
        <f aca="false">IF($B19="","",IFERROR(U19/V19,0))</f>
        <v>0.65</v>
      </c>
      <c r="X19" s="50" t="n">
        <f aca="false">IF($B19="","",IF(AND(Setup!$B$17&lt;&gt;"",Setup!$E$17&gt;0),IF((N(E19)+N(F19))/Setup!$E$17&lt;Setup!$C$11,1,0),0)+IF(AND(Setup!$B$18&lt;&gt;"",Setup!$E$18&gt;0),IF((N(G19)+N(H19))/Setup!$E$18&lt;Setup!$C$11,1,0),0)+IF(AND(Setup!$B$19&lt;&gt;"",Setup!$E$19&gt;0),IF((N(I19)+N(J19))/Setup!$E$19&lt;Setup!$C$11,1,0),0)+IF(AND(Setup!$B$20&lt;&gt;"",Setup!$E$20&gt;0),IF((N(K19)+N(L19))/Setup!$E$20&lt;Setup!$C$11,1,0),0)+IF(AND(Setup!$B$21&lt;&gt;"",Setup!$E$21&gt;0),IF((N(M19)+N(N19))/Setup!$E$21&lt;Setup!$C$11,1,0),0)+IF(AND(Setup!$B$22&lt;&gt;"",Setup!$E$22&gt;0),IF((N(O19)+N(P19))/Setup!$E$22&lt;Setup!$C$11,1,0),0)+IF(AND(Setup!$B$23&lt;&gt;"",Setup!$E$23&gt;0),IF((N(Q19)+N(R19))/Setup!$E$23&lt;Setup!$C$11,1,0),0)+IF(AND(Setup!$B$24&lt;&gt;"",Setup!$E$24&gt;0),IF((N(S19)+N(T19))/Setup!$E$24&lt;Setup!$C$11,1,0),0))</f>
        <v>1</v>
      </c>
      <c r="Y19" s="38" t="str">
        <f aca="false">IF($B19="","",IF(X19=0,"PASS",IF(X19&lt;=Setup!$C$12,"COMPARTMENT","FAIL")))</f>
        <v>COMPARTMENT</v>
      </c>
      <c r="Z19" s="39" t="n">
        <f aca="false">IF($B19="","",COUNTIF($U$7:$U$66,"&gt;"&amp;U19)+1)</f>
        <v>16</v>
      </c>
      <c r="AA19" s="38" t="str">
        <f aca="false">IF($B19="","",INDEX(Setup!$G$5:$G$12,COUNTIF(Setup!$F$5:$F$12,"&gt;"&amp;ROUND(W19,4))+1))</f>
        <v>B2</v>
      </c>
      <c r="AB19" s="52" t="str">
        <f aca="false">IF($B19="","",IF(((N(E19)&gt;N(Setup!$C$17))+(N(F19)&gt;N(Setup!$D$17)) + (N(G19)&gt;N(Setup!$C$18))+(N(H19)&gt;N(Setup!$D$18)) + (N(I19)&gt;N(Setup!$C$19))+(N(J19)&gt;N(Setup!$D$19)) + (N(K19)&gt;N(Setup!$C$20))+(N(L19)&gt;N(Setup!$D$20)) + (N(M19)&gt;N(Setup!$C$21))+(N(N19)&gt;N(Setup!$D$21)) + (N(O19)&gt;N(Setup!$C$22))+(N(P19)&gt;N(Setup!$D$22)) + (N(Q19)&gt;N(Setup!$C$23))+(N(R19)&gt;N(Setup!$D$23)) + (N(S19)&gt;N(Setup!$C$24))+(N(T19)&gt;N(Setup!$D$24)))&gt;0,"⚠ Marks above max",IF(A19="","⚠ Roll no. missing",IF(COUNTIF($A$7:$A$66,A19)&gt;1,"⚠ Duplicate roll no.","✔"))))</f>
        <v>✔</v>
      </c>
      <c r="AC19" s="8" t="n">
        <f aca="false">IF(OR($B19="",Setup!$B$17="",N(Setup!$E$17)=0),"",(N(E19)+N(F19))/Setup!$E$17)</f>
        <v>0.65</v>
      </c>
      <c r="AD19" s="8" t="n">
        <f aca="false">IF(OR($B19="",Setup!$B$18="",N(Setup!$E$18)=0),"",(N(G19)+N(H19))/Setup!$E$18)</f>
        <v>0.82</v>
      </c>
      <c r="AE19" s="8" t="n">
        <f aca="false">IF(OR($B19="",Setup!$B$19="",N(Setup!$E$19)=0),"",(N(I19)+N(J19))/Setup!$E$19)</f>
        <v>0.19</v>
      </c>
      <c r="AF19" s="8" t="n">
        <f aca="false">IF(OR($B19="",Setup!$B$20="",N(Setup!$E$20)=0),"",(N(K19)+N(L19))/Setup!$E$20)</f>
        <v>0.7</v>
      </c>
      <c r="AG19" s="8" t="n">
        <f aca="false">IF(OR($B19="",Setup!$B$21="",N(Setup!$E$21)=0),"",(N(M19)+N(N19))/Setup!$E$21)</f>
        <v>0.77</v>
      </c>
      <c r="AH19" s="8" t="n">
        <f aca="false">IF(OR($B19="",Setup!$B$22="",N(Setup!$E$22)=0),"",(N(O19)+N(P19))/Setup!$E$22)</f>
        <v>0.77</v>
      </c>
      <c r="AI19" s="8" t="str">
        <f aca="false">IF(OR($B19="",Setup!$B$23="",N(Setup!$E$23)=0),"",(N(Q19)+N(R19))/Setup!$E$23)</f>
        <v/>
      </c>
      <c r="AJ19" s="8" t="str">
        <f aca="false">IF(OR($B19="",Setup!$B$24="",N(Setup!$E$24)=0),"",(N(S19)+N(T19))/Setup!$E$24)</f>
        <v/>
      </c>
      <c r="AK19" s="8" t="n">
        <f aca="false">IF($B19="","",U19+(1000-ROW())/100000)</f>
        <v>390.00981</v>
      </c>
      <c r="AL19" s="8" t="n">
        <f aca="false">IF(AM19=1,SUM($AM$7:AM19),"")</f>
        <v>1</v>
      </c>
      <c r="AM19" s="8" t="n">
        <f aca="false">IF(AND(Y19&lt;&gt;"",Y19&lt;&gt;"PASS"),1,0)</f>
        <v>1</v>
      </c>
    </row>
    <row r="20" customFormat="false" ht="15" hidden="false" customHeight="false" outlineLevel="0" collapsed="false">
      <c r="A20" s="104" t="n">
        <v>114</v>
      </c>
      <c r="B20" s="100" t="s">
        <v>126</v>
      </c>
      <c r="C20" s="100" t="s">
        <v>127</v>
      </c>
      <c r="D20" s="99" t="n">
        <v>100</v>
      </c>
      <c r="E20" s="105" t="n">
        <v>49</v>
      </c>
      <c r="F20" s="105" t="n">
        <v>14</v>
      </c>
      <c r="G20" s="105" t="n">
        <v>49</v>
      </c>
      <c r="H20" s="105" t="n">
        <v>14</v>
      </c>
      <c r="I20" s="105" t="n">
        <v>49</v>
      </c>
      <c r="J20" s="105" t="n">
        <v>14</v>
      </c>
      <c r="K20" s="105" t="n">
        <v>39</v>
      </c>
      <c r="L20" s="105" t="n">
        <v>13</v>
      </c>
      <c r="M20" s="105" t="n">
        <v>41</v>
      </c>
      <c r="N20" s="105" t="n">
        <v>11</v>
      </c>
      <c r="O20" s="105" t="n">
        <v>23</v>
      </c>
      <c r="P20" s="105" t="n">
        <v>30</v>
      </c>
      <c r="Q20" s="105"/>
      <c r="R20" s="105"/>
      <c r="S20" s="105"/>
      <c r="T20" s="105"/>
      <c r="U20" s="49" t="n">
        <f aca="false">IF($B20="","",N(E20)+N(F20)+N(G20)+N(H20)+N(I20)+N(J20)+N(K20)+N(L20)+N(M20)+N(N20)+N(O20)+N(P20)+N(Q20)+N(R20)+N(S20)+N(T20))</f>
        <v>346</v>
      </c>
      <c r="V20" s="50" t="n">
        <f aca="false">IF($B20="","",SUM(Setup!$E$17:$E$24))</f>
        <v>600</v>
      </c>
      <c r="W20" s="51" t="n">
        <f aca="false">IF($B20="","",IFERROR(U20/V20,0))</f>
        <v>0.576666666666667</v>
      </c>
      <c r="X20" s="50" t="n">
        <f aca="false">IF($B20="","",IF(AND(Setup!$B$17&lt;&gt;"",Setup!$E$17&gt;0),IF((N(E20)+N(F20))/Setup!$E$17&lt;Setup!$C$11,1,0),0)+IF(AND(Setup!$B$18&lt;&gt;"",Setup!$E$18&gt;0),IF((N(G20)+N(H20))/Setup!$E$18&lt;Setup!$C$11,1,0),0)+IF(AND(Setup!$B$19&lt;&gt;"",Setup!$E$19&gt;0),IF((N(I20)+N(J20))/Setup!$E$19&lt;Setup!$C$11,1,0),0)+IF(AND(Setup!$B$20&lt;&gt;"",Setup!$E$20&gt;0),IF((N(K20)+N(L20))/Setup!$E$20&lt;Setup!$C$11,1,0),0)+IF(AND(Setup!$B$21&lt;&gt;"",Setup!$E$21&gt;0),IF((N(M20)+N(N20))/Setup!$E$21&lt;Setup!$C$11,1,0),0)+IF(AND(Setup!$B$22&lt;&gt;"",Setup!$E$22&gt;0),IF((N(O20)+N(P20))/Setup!$E$22&lt;Setup!$C$11,1,0),0)+IF(AND(Setup!$B$23&lt;&gt;"",Setup!$E$23&gt;0),IF((N(Q20)+N(R20))/Setup!$E$23&lt;Setup!$C$11,1,0),0)+IF(AND(Setup!$B$24&lt;&gt;"",Setup!$E$24&gt;0),IF((N(S20)+N(T20))/Setup!$E$24&lt;Setup!$C$11,1,0),0))</f>
        <v>0</v>
      </c>
      <c r="Y20" s="38" t="str">
        <f aca="false">IF($B20="","",IF(X20=0,"PASS",IF(X20&lt;=Setup!$C$12,"COMPARTMENT","FAIL")))</f>
        <v>PASS</v>
      </c>
      <c r="Z20" s="39" t="n">
        <f aca="false">IF($B20="","",COUNTIF($U$7:$U$66,"&gt;"&amp;U20)+1)</f>
        <v>21</v>
      </c>
      <c r="AA20" s="38" t="str">
        <f aca="false">IF($B20="","",INDEX(Setup!$G$5:$G$12,COUNTIF(Setup!$F$5:$F$12,"&gt;"&amp;ROUND(W20,4))+1))</f>
        <v>C1</v>
      </c>
      <c r="AB20" s="52" t="str">
        <f aca="false">IF($B20="","",IF(((N(E20)&gt;N(Setup!$C$17))+(N(F20)&gt;N(Setup!$D$17)) + (N(G20)&gt;N(Setup!$C$18))+(N(H20)&gt;N(Setup!$D$18)) + (N(I20)&gt;N(Setup!$C$19))+(N(J20)&gt;N(Setup!$D$19)) + (N(K20)&gt;N(Setup!$C$20))+(N(L20)&gt;N(Setup!$D$20)) + (N(M20)&gt;N(Setup!$C$21))+(N(N20)&gt;N(Setup!$D$21)) + (N(O20)&gt;N(Setup!$C$22))+(N(P20)&gt;N(Setup!$D$22)) + (N(Q20)&gt;N(Setup!$C$23))+(N(R20)&gt;N(Setup!$D$23)) + (N(S20)&gt;N(Setup!$C$24))+(N(T20)&gt;N(Setup!$D$24)))&gt;0,"⚠ Marks above max",IF(A20="","⚠ Roll no. missing",IF(COUNTIF($A$7:$A$66,A20)&gt;1,"⚠ Duplicate roll no.","✔"))))</f>
        <v>✔</v>
      </c>
      <c r="AC20" s="8" t="n">
        <f aca="false">IF(OR($B20="",Setup!$B$17="",N(Setup!$E$17)=0),"",(N(E20)+N(F20))/Setup!$E$17)</f>
        <v>0.63</v>
      </c>
      <c r="AD20" s="8" t="n">
        <f aca="false">IF(OR($B20="",Setup!$B$18="",N(Setup!$E$18)=0),"",(N(G20)+N(H20))/Setup!$E$18)</f>
        <v>0.63</v>
      </c>
      <c r="AE20" s="8" t="n">
        <f aca="false">IF(OR($B20="",Setup!$B$19="",N(Setup!$E$19)=0),"",(N(I20)+N(J20))/Setup!$E$19)</f>
        <v>0.63</v>
      </c>
      <c r="AF20" s="8" t="n">
        <f aca="false">IF(OR($B20="",Setup!$B$20="",N(Setup!$E$20)=0),"",(N(K20)+N(L20))/Setup!$E$20)</f>
        <v>0.52</v>
      </c>
      <c r="AG20" s="8" t="n">
        <f aca="false">IF(OR($B20="",Setup!$B$21="",N(Setup!$E$21)=0),"",(N(M20)+N(N20))/Setup!$E$21)</f>
        <v>0.52</v>
      </c>
      <c r="AH20" s="8" t="n">
        <f aca="false">IF(OR($B20="",Setup!$B$22="",N(Setup!$E$22)=0),"",(N(O20)+N(P20))/Setup!$E$22)</f>
        <v>0.53</v>
      </c>
      <c r="AI20" s="8" t="str">
        <f aca="false">IF(OR($B20="",Setup!$B$23="",N(Setup!$E$23)=0),"",(N(Q20)+N(R20))/Setup!$E$23)</f>
        <v/>
      </c>
      <c r="AJ20" s="8" t="str">
        <f aca="false">IF(OR($B20="",Setup!$B$24="",N(Setup!$E$24)=0),"",(N(S20)+N(T20))/Setup!$E$24)</f>
        <v/>
      </c>
      <c r="AK20" s="8" t="n">
        <f aca="false">IF($B20="","",U20+(1000-ROW())/100000)</f>
        <v>346.0098</v>
      </c>
      <c r="AL20" s="8" t="str">
        <f aca="false">IF(AM20=1,SUM($AM$7:AM20),"")</f>
        <v/>
      </c>
      <c r="AM20" s="8" t="n">
        <f aca="false">IF(AND(Y20&lt;&gt;"",Y20&lt;&gt;"PASS"),1,0)</f>
        <v>0</v>
      </c>
    </row>
    <row r="21" customFormat="false" ht="15" hidden="false" customHeight="false" outlineLevel="0" collapsed="false">
      <c r="A21" s="104" t="n">
        <v>115</v>
      </c>
      <c r="B21" s="100" t="s">
        <v>128</v>
      </c>
      <c r="C21" s="100" t="s">
        <v>129</v>
      </c>
      <c r="D21" s="99" t="n">
        <v>107</v>
      </c>
      <c r="E21" s="105" t="n">
        <v>48</v>
      </c>
      <c r="F21" s="105" t="n">
        <v>15</v>
      </c>
      <c r="G21" s="105" t="n">
        <v>44</v>
      </c>
      <c r="H21" s="105" t="n">
        <v>15</v>
      </c>
      <c r="I21" s="105" t="n">
        <v>53</v>
      </c>
      <c r="J21" s="105" t="n">
        <v>15</v>
      </c>
      <c r="K21" s="105" t="n">
        <v>43</v>
      </c>
      <c r="L21" s="105" t="n">
        <v>12</v>
      </c>
      <c r="M21" s="105" t="n">
        <v>41</v>
      </c>
      <c r="N21" s="105" t="n">
        <v>12</v>
      </c>
      <c r="O21" s="105" t="n">
        <v>25</v>
      </c>
      <c r="P21" s="105" t="n">
        <v>34</v>
      </c>
      <c r="Q21" s="105"/>
      <c r="R21" s="105"/>
      <c r="S21" s="105"/>
      <c r="T21" s="105"/>
      <c r="U21" s="49" t="n">
        <f aca="false">IF($B21="","",N(E21)+N(F21)+N(G21)+N(H21)+N(I21)+N(J21)+N(K21)+N(L21)+N(M21)+N(N21)+N(O21)+N(P21)+N(Q21)+N(R21)+N(S21)+N(T21))</f>
        <v>357</v>
      </c>
      <c r="V21" s="50" t="n">
        <f aca="false">IF($B21="","",SUM(Setup!$E$17:$E$24))</f>
        <v>600</v>
      </c>
      <c r="W21" s="51" t="n">
        <f aca="false">IF($B21="","",IFERROR(U21/V21,0))</f>
        <v>0.595</v>
      </c>
      <c r="X21" s="50" t="n">
        <f aca="false">IF($B21="","",IF(AND(Setup!$B$17&lt;&gt;"",Setup!$E$17&gt;0),IF((N(E21)+N(F21))/Setup!$E$17&lt;Setup!$C$11,1,0),0)+IF(AND(Setup!$B$18&lt;&gt;"",Setup!$E$18&gt;0),IF((N(G21)+N(H21))/Setup!$E$18&lt;Setup!$C$11,1,0),0)+IF(AND(Setup!$B$19&lt;&gt;"",Setup!$E$19&gt;0),IF((N(I21)+N(J21))/Setup!$E$19&lt;Setup!$C$11,1,0),0)+IF(AND(Setup!$B$20&lt;&gt;"",Setup!$E$20&gt;0),IF((N(K21)+N(L21))/Setup!$E$20&lt;Setup!$C$11,1,0),0)+IF(AND(Setup!$B$21&lt;&gt;"",Setup!$E$21&gt;0),IF((N(M21)+N(N21))/Setup!$E$21&lt;Setup!$C$11,1,0),0)+IF(AND(Setup!$B$22&lt;&gt;"",Setup!$E$22&gt;0),IF((N(O21)+N(P21))/Setup!$E$22&lt;Setup!$C$11,1,0),0)+IF(AND(Setup!$B$23&lt;&gt;"",Setup!$E$23&gt;0),IF((N(Q21)+N(R21))/Setup!$E$23&lt;Setup!$C$11,1,0),0)+IF(AND(Setup!$B$24&lt;&gt;"",Setup!$E$24&gt;0),IF((N(S21)+N(T21))/Setup!$E$24&lt;Setup!$C$11,1,0),0))</f>
        <v>0</v>
      </c>
      <c r="Y21" s="38" t="str">
        <f aca="false">IF($B21="","",IF(X21=0,"PASS",IF(X21&lt;=Setup!$C$12,"COMPARTMENT","FAIL")))</f>
        <v>PASS</v>
      </c>
      <c r="Z21" s="39" t="n">
        <f aca="false">IF($B21="","",COUNTIF($U$7:$U$66,"&gt;"&amp;U21)+1)</f>
        <v>19</v>
      </c>
      <c r="AA21" s="38" t="str">
        <f aca="false">IF($B21="","",INDEX(Setup!$G$5:$G$12,COUNTIF(Setup!$F$5:$F$12,"&gt;"&amp;ROUND(W21,4))+1))</f>
        <v>C1</v>
      </c>
      <c r="AB21" s="52" t="str">
        <f aca="false">IF($B21="","",IF(((N(E21)&gt;N(Setup!$C$17))+(N(F21)&gt;N(Setup!$D$17)) + (N(G21)&gt;N(Setup!$C$18))+(N(H21)&gt;N(Setup!$D$18)) + (N(I21)&gt;N(Setup!$C$19))+(N(J21)&gt;N(Setup!$D$19)) + (N(K21)&gt;N(Setup!$C$20))+(N(L21)&gt;N(Setup!$D$20)) + (N(M21)&gt;N(Setup!$C$21))+(N(N21)&gt;N(Setup!$D$21)) + (N(O21)&gt;N(Setup!$C$22))+(N(P21)&gt;N(Setup!$D$22)) + (N(Q21)&gt;N(Setup!$C$23))+(N(R21)&gt;N(Setup!$D$23)) + (N(S21)&gt;N(Setup!$C$24))+(N(T21)&gt;N(Setup!$D$24)))&gt;0,"⚠ Marks above max",IF(A21="","⚠ Roll no. missing",IF(COUNTIF($A$7:$A$66,A21)&gt;1,"⚠ Duplicate roll no.","✔"))))</f>
        <v>✔</v>
      </c>
      <c r="AC21" s="8" t="n">
        <f aca="false">IF(OR($B21="",Setup!$B$17="",N(Setup!$E$17)=0),"",(N(E21)+N(F21))/Setup!$E$17)</f>
        <v>0.63</v>
      </c>
      <c r="AD21" s="8" t="n">
        <f aca="false">IF(OR($B21="",Setup!$B$18="",N(Setup!$E$18)=0),"",(N(G21)+N(H21))/Setup!$E$18)</f>
        <v>0.59</v>
      </c>
      <c r="AE21" s="8" t="n">
        <f aca="false">IF(OR($B21="",Setup!$B$19="",N(Setup!$E$19)=0),"",(N(I21)+N(J21))/Setup!$E$19)</f>
        <v>0.68</v>
      </c>
      <c r="AF21" s="8" t="n">
        <f aca="false">IF(OR($B21="",Setup!$B$20="",N(Setup!$E$20)=0),"",(N(K21)+N(L21))/Setup!$E$20)</f>
        <v>0.55</v>
      </c>
      <c r="AG21" s="8" t="n">
        <f aca="false">IF(OR($B21="",Setup!$B$21="",N(Setup!$E$21)=0),"",(N(M21)+N(N21))/Setup!$E$21)</f>
        <v>0.53</v>
      </c>
      <c r="AH21" s="8" t="n">
        <f aca="false">IF(OR($B21="",Setup!$B$22="",N(Setup!$E$22)=0),"",(N(O21)+N(P21))/Setup!$E$22)</f>
        <v>0.59</v>
      </c>
      <c r="AI21" s="8" t="str">
        <f aca="false">IF(OR($B21="",Setup!$B$23="",N(Setup!$E$23)=0),"",(N(Q21)+N(R21))/Setup!$E$23)</f>
        <v/>
      </c>
      <c r="AJ21" s="8" t="str">
        <f aca="false">IF(OR($B21="",Setup!$B$24="",N(Setup!$E$24)=0),"",(N(S21)+N(T21))/Setup!$E$24)</f>
        <v/>
      </c>
      <c r="AK21" s="8" t="n">
        <f aca="false">IF($B21="","",U21+(1000-ROW())/100000)</f>
        <v>357.00979</v>
      </c>
      <c r="AL21" s="8" t="str">
        <f aca="false">IF(AM21=1,SUM($AM$7:AM21),"")</f>
        <v/>
      </c>
      <c r="AM21" s="8" t="n">
        <f aca="false">IF(AND(Y21&lt;&gt;"",Y21&lt;&gt;"PASS"),1,0)</f>
        <v>0</v>
      </c>
    </row>
    <row r="22" customFormat="false" ht="15" hidden="false" customHeight="false" outlineLevel="0" collapsed="false">
      <c r="A22" s="104" t="n">
        <v>116</v>
      </c>
      <c r="B22" s="100" t="s">
        <v>130</v>
      </c>
      <c r="C22" s="100" t="s">
        <v>131</v>
      </c>
      <c r="D22" s="99" t="n">
        <v>101</v>
      </c>
      <c r="E22" s="105" t="n">
        <v>77</v>
      </c>
      <c r="F22" s="105" t="n">
        <v>20</v>
      </c>
      <c r="G22" s="105" t="n">
        <v>74</v>
      </c>
      <c r="H22" s="105" t="n">
        <v>20</v>
      </c>
      <c r="I22" s="105" t="n">
        <v>65</v>
      </c>
      <c r="J22" s="105" t="n">
        <v>20</v>
      </c>
      <c r="K22" s="105" t="n">
        <v>78</v>
      </c>
      <c r="L22" s="105" t="n">
        <v>20</v>
      </c>
      <c r="M22" s="105" t="n">
        <v>76</v>
      </c>
      <c r="N22" s="105" t="n">
        <v>20</v>
      </c>
      <c r="O22" s="105" t="n">
        <v>42</v>
      </c>
      <c r="P22" s="105" t="n">
        <v>50</v>
      </c>
      <c r="Q22" s="105"/>
      <c r="R22" s="105"/>
      <c r="S22" s="105"/>
      <c r="T22" s="105"/>
      <c r="U22" s="49" t="n">
        <f aca="false">IF($B22="","",N(E22)+N(F22)+N(G22)+N(H22)+N(I22)+N(J22)+N(K22)+N(L22)+N(M22)+N(N22)+N(O22)+N(P22)+N(Q22)+N(R22)+N(S22)+N(T22))</f>
        <v>562</v>
      </c>
      <c r="V22" s="50" t="n">
        <f aca="false">IF($B22="","",SUM(Setup!$E$17:$E$24))</f>
        <v>600</v>
      </c>
      <c r="W22" s="51" t="n">
        <f aca="false">IF($B22="","",IFERROR(U22/V22,0))</f>
        <v>0.936666666666667</v>
      </c>
      <c r="X22" s="50" t="n">
        <f aca="false">IF($B22="","",IF(AND(Setup!$B$17&lt;&gt;"",Setup!$E$17&gt;0),IF((N(E22)+N(F22))/Setup!$E$17&lt;Setup!$C$11,1,0),0)+IF(AND(Setup!$B$18&lt;&gt;"",Setup!$E$18&gt;0),IF((N(G22)+N(H22))/Setup!$E$18&lt;Setup!$C$11,1,0),0)+IF(AND(Setup!$B$19&lt;&gt;"",Setup!$E$19&gt;0),IF((N(I22)+N(J22))/Setup!$E$19&lt;Setup!$C$11,1,0),0)+IF(AND(Setup!$B$20&lt;&gt;"",Setup!$E$20&gt;0),IF((N(K22)+N(L22))/Setup!$E$20&lt;Setup!$C$11,1,0),0)+IF(AND(Setup!$B$21&lt;&gt;"",Setup!$E$21&gt;0),IF((N(M22)+N(N22))/Setup!$E$21&lt;Setup!$C$11,1,0),0)+IF(AND(Setup!$B$22&lt;&gt;"",Setup!$E$22&gt;0),IF((N(O22)+N(P22))/Setup!$E$22&lt;Setup!$C$11,1,0),0)+IF(AND(Setup!$B$23&lt;&gt;"",Setup!$E$23&gt;0),IF((N(Q22)+N(R22))/Setup!$E$23&lt;Setup!$C$11,1,0),0)+IF(AND(Setup!$B$24&lt;&gt;"",Setup!$E$24&gt;0),IF((N(S22)+N(T22))/Setup!$E$24&lt;Setup!$C$11,1,0),0))</f>
        <v>0</v>
      </c>
      <c r="Y22" s="38" t="str">
        <f aca="false">IF($B22="","",IF(X22=0,"PASS",IF(X22&lt;=Setup!$C$12,"COMPARTMENT","FAIL")))</f>
        <v>PASS</v>
      </c>
      <c r="Z22" s="39" t="n">
        <f aca="false">IF($B22="","",COUNTIF($U$7:$U$66,"&gt;"&amp;U22)+1)</f>
        <v>1</v>
      </c>
      <c r="AA22" s="38" t="str">
        <f aca="false">IF($B22="","",INDEX(Setup!$G$5:$G$12,COUNTIF(Setup!$F$5:$F$12,"&gt;"&amp;ROUND(W22,4))+1))</f>
        <v>A1</v>
      </c>
      <c r="AB22" s="52" t="str">
        <f aca="false">IF($B22="","",IF(((N(E22)&gt;N(Setup!$C$17))+(N(F22)&gt;N(Setup!$D$17)) + (N(G22)&gt;N(Setup!$C$18))+(N(H22)&gt;N(Setup!$D$18)) + (N(I22)&gt;N(Setup!$C$19))+(N(J22)&gt;N(Setup!$D$19)) + (N(K22)&gt;N(Setup!$C$20))+(N(L22)&gt;N(Setup!$D$20)) + (N(M22)&gt;N(Setup!$C$21))+(N(N22)&gt;N(Setup!$D$21)) + (N(O22)&gt;N(Setup!$C$22))+(N(P22)&gt;N(Setup!$D$22)) + (N(Q22)&gt;N(Setup!$C$23))+(N(R22)&gt;N(Setup!$D$23)) + (N(S22)&gt;N(Setup!$C$24))+(N(T22)&gt;N(Setup!$D$24)))&gt;0,"⚠ Marks above max",IF(A22="","⚠ Roll no. missing",IF(COUNTIF($A$7:$A$66,A22)&gt;1,"⚠ Duplicate roll no.","✔"))))</f>
        <v>✔</v>
      </c>
      <c r="AC22" s="8" t="n">
        <f aca="false">IF(OR($B22="",Setup!$B$17="",N(Setup!$E$17)=0),"",(N(E22)+N(F22))/Setup!$E$17)</f>
        <v>0.97</v>
      </c>
      <c r="AD22" s="8" t="n">
        <f aca="false">IF(OR($B22="",Setup!$B$18="",N(Setup!$E$18)=0),"",(N(G22)+N(H22))/Setup!$E$18)</f>
        <v>0.94</v>
      </c>
      <c r="AE22" s="8" t="n">
        <f aca="false">IF(OR($B22="",Setup!$B$19="",N(Setup!$E$19)=0),"",(N(I22)+N(J22))/Setup!$E$19)</f>
        <v>0.85</v>
      </c>
      <c r="AF22" s="8" t="n">
        <f aca="false">IF(OR($B22="",Setup!$B$20="",N(Setup!$E$20)=0),"",(N(K22)+N(L22))/Setup!$E$20)</f>
        <v>0.98</v>
      </c>
      <c r="AG22" s="8" t="n">
        <f aca="false">IF(OR($B22="",Setup!$B$21="",N(Setup!$E$21)=0),"",(N(M22)+N(N22))/Setup!$E$21)</f>
        <v>0.96</v>
      </c>
      <c r="AH22" s="8" t="n">
        <f aca="false">IF(OR($B22="",Setup!$B$22="",N(Setup!$E$22)=0),"",(N(O22)+N(P22))/Setup!$E$22)</f>
        <v>0.92</v>
      </c>
      <c r="AI22" s="8" t="str">
        <f aca="false">IF(OR($B22="",Setup!$B$23="",N(Setup!$E$23)=0),"",(N(Q22)+N(R22))/Setup!$E$23)</f>
        <v/>
      </c>
      <c r="AJ22" s="8" t="str">
        <f aca="false">IF(OR($B22="",Setup!$B$24="",N(Setup!$E$24)=0),"",(N(S22)+N(T22))/Setup!$E$24)</f>
        <v/>
      </c>
      <c r="AK22" s="8" t="n">
        <f aca="false">IF($B22="","",U22+(1000-ROW())/100000)</f>
        <v>562.00978</v>
      </c>
      <c r="AL22" s="8" t="str">
        <f aca="false">IF(AM22=1,SUM($AM$7:AM22),"")</f>
        <v/>
      </c>
      <c r="AM22" s="8" t="n">
        <f aca="false">IF(AND(Y22&lt;&gt;"",Y22&lt;&gt;"PASS"),1,0)</f>
        <v>0</v>
      </c>
    </row>
    <row r="23" customFormat="false" ht="15" hidden="false" customHeight="false" outlineLevel="0" collapsed="false">
      <c r="A23" s="104" t="n">
        <v>117</v>
      </c>
      <c r="B23" s="100" t="s">
        <v>132</v>
      </c>
      <c r="C23" s="100" t="s">
        <v>133</v>
      </c>
      <c r="D23" s="99" t="n">
        <v>108</v>
      </c>
      <c r="E23" s="105" t="n">
        <v>53</v>
      </c>
      <c r="F23" s="105" t="n">
        <v>15</v>
      </c>
      <c r="G23" s="105" t="n">
        <v>47</v>
      </c>
      <c r="H23" s="105" t="n">
        <v>14</v>
      </c>
      <c r="I23" s="105" t="n">
        <v>55</v>
      </c>
      <c r="J23" s="105" t="n">
        <v>15</v>
      </c>
      <c r="K23" s="105" t="n">
        <v>43</v>
      </c>
      <c r="L23" s="105" t="n">
        <v>13</v>
      </c>
      <c r="M23" s="105" t="n">
        <v>43</v>
      </c>
      <c r="N23" s="105" t="n">
        <v>15</v>
      </c>
      <c r="O23" s="105" t="n">
        <v>33</v>
      </c>
      <c r="P23" s="105" t="n">
        <v>32</v>
      </c>
      <c r="Q23" s="105"/>
      <c r="R23" s="105"/>
      <c r="S23" s="105"/>
      <c r="T23" s="105"/>
      <c r="U23" s="49" t="n">
        <f aca="false">IF($B23="","",N(E23)+N(F23)+N(G23)+N(H23)+N(I23)+N(J23)+N(K23)+N(L23)+N(M23)+N(N23)+N(O23)+N(P23)+N(Q23)+N(R23)+N(S23)+N(T23))</f>
        <v>378</v>
      </c>
      <c r="V23" s="50" t="n">
        <f aca="false">IF($B23="","",SUM(Setup!$E$17:$E$24))</f>
        <v>600</v>
      </c>
      <c r="W23" s="51" t="n">
        <f aca="false">IF($B23="","",IFERROR(U23/V23,0))</f>
        <v>0.63</v>
      </c>
      <c r="X23" s="50" t="n">
        <f aca="false">IF($B23="","",IF(AND(Setup!$B$17&lt;&gt;"",Setup!$E$17&gt;0),IF((N(E23)+N(F23))/Setup!$E$17&lt;Setup!$C$11,1,0),0)+IF(AND(Setup!$B$18&lt;&gt;"",Setup!$E$18&gt;0),IF((N(G23)+N(H23))/Setup!$E$18&lt;Setup!$C$11,1,0),0)+IF(AND(Setup!$B$19&lt;&gt;"",Setup!$E$19&gt;0),IF((N(I23)+N(J23))/Setup!$E$19&lt;Setup!$C$11,1,0),0)+IF(AND(Setup!$B$20&lt;&gt;"",Setup!$E$20&gt;0),IF((N(K23)+N(L23))/Setup!$E$20&lt;Setup!$C$11,1,0),0)+IF(AND(Setup!$B$21&lt;&gt;"",Setup!$E$21&gt;0),IF((N(M23)+N(N23))/Setup!$E$21&lt;Setup!$C$11,1,0),0)+IF(AND(Setup!$B$22&lt;&gt;"",Setup!$E$22&gt;0),IF((N(O23)+N(P23))/Setup!$E$22&lt;Setup!$C$11,1,0),0)+IF(AND(Setup!$B$23&lt;&gt;"",Setup!$E$23&gt;0),IF((N(Q23)+N(R23))/Setup!$E$23&lt;Setup!$C$11,1,0),0)+IF(AND(Setup!$B$24&lt;&gt;"",Setup!$E$24&gt;0),IF((N(S23)+N(T23))/Setup!$E$24&lt;Setup!$C$11,1,0),0))</f>
        <v>0</v>
      </c>
      <c r="Y23" s="38" t="str">
        <f aca="false">IF($B23="","",IF(X23=0,"PASS",IF(X23&lt;=Setup!$C$12,"COMPARTMENT","FAIL")))</f>
        <v>PASS</v>
      </c>
      <c r="Z23" s="39" t="n">
        <f aca="false">IF($B23="","",COUNTIF($U$7:$U$66,"&gt;"&amp;U23)+1)</f>
        <v>17</v>
      </c>
      <c r="AA23" s="38" t="str">
        <f aca="false">IF($B23="","",INDEX(Setup!$G$5:$G$12,COUNTIF(Setup!$F$5:$F$12,"&gt;"&amp;ROUND(W23,4))+1))</f>
        <v>B2</v>
      </c>
      <c r="AB23" s="52" t="str">
        <f aca="false">IF($B23="","",IF(((N(E23)&gt;N(Setup!$C$17))+(N(F23)&gt;N(Setup!$D$17)) + (N(G23)&gt;N(Setup!$C$18))+(N(H23)&gt;N(Setup!$D$18)) + (N(I23)&gt;N(Setup!$C$19))+(N(J23)&gt;N(Setup!$D$19)) + (N(K23)&gt;N(Setup!$C$20))+(N(L23)&gt;N(Setup!$D$20)) + (N(M23)&gt;N(Setup!$C$21))+(N(N23)&gt;N(Setup!$D$21)) + (N(O23)&gt;N(Setup!$C$22))+(N(P23)&gt;N(Setup!$D$22)) + (N(Q23)&gt;N(Setup!$C$23))+(N(R23)&gt;N(Setup!$D$23)) + (N(S23)&gt;N(Setup!$C$24))+(N(T23)&gt;N(Setup!$D$24)))&gt;0,"⚠ Marks above max",IF(A23="","⚠ Roll no. missing",IF(COUNTIF($A$7:$A$66,A23)&gt;1,"⚠ Duplicate roll no.","✔"))))</f>
        <v>✔</v>
      </c>
      <c r="AC23" s="8" t="n">
        <f aca="false">IF(OR($B23="",Setup!$B$17="",N(Setup!$E$17)=0),"",(N(E23)+N(F23))/Setup!$E$17)</f>
        <v>0.68</v>
      </c>
      <c r="AD23" s="8" t="n">
        <f aca="false">IF(OR($B23="",Setup!$B$18="",N(Setup!$E$18)=0),"",(N(G23)+N(H23))/Setup!$E$18)</f>
        <v>0.61</v>
      </c>
      <c r="AE23" s="8" t="n">
        <f aca="false">IF(OR($B23="",Setup!$B$19="",N(Setup!$E$19)=0),"",(N(I23)+N(J23))/Setup!$E$19)</f>
        <v>0.7</v>
      </c>
      <c r="AF23" s="8" t="n">
        <f aca="false">IF(OR($B23="",Setup!$B$20="",N(Setup!$E$20)=0),"",(N(K23)+N(L23))/Setup!$E$20)</f>
        <v>0.56</v>
      </c>
      <c r="AG23" s="8" t="n">
        <f aca="false">IF(OR($B23="",Setup!$B$21="",N(Setup!$E$21)=0),"",(N(M23)+N(N23))/Setup!$E$21)</f>
        <v>0.58</v>
      </c>
      <c r="AH23" s="8" t="n">
        <f aca="false">IF(OR($B23="",Setup!$B$22="",N(Setup!$E$22)=0),"",(N(O23)+N(P23))/Setup!$E$22)</f>
        <v>0.65</v>
      </c>
      <c r="AI23" s="8" t="str">
        <f aca="false">IF(OR($B23="",Setup!$B$23="",N(Setup!$E$23)=0),"",(N(Q23)+N(R23))/Setup!$E$23)</f>
        <v/>
      </c>
      <c r="AJ23" s="8" t="str">
        <f aca="false">IF(OR($B23="",Setup!$B$24="",N(Setup!$E$24)=0),"",(N(S23)+N(T23))/Setup!$E$24)</f>
        <v/>
      </c>
      <c r="AK23" s="8" t="n">
        <f aca="false">IF($B23="","",U23+(1000-ROW())/100000)</f>
        <v>378.00977</v>
      </c>
      <c r="AL23" s="8" t="str">
        <f aca="false">IF(AM23=1,SUM($AM$7:AM23),"")</f>
        <v/>
      </c>
      <c r="AM23" s="8" t="n">
        <f aca="false">IF(AND(Y23&lt;&gt;"",Y23&lt;&gt;"PASS"),1,0)</f>
        <v>0</v>
      </c>
    </row>
    <row r="24" customFormat="false" ht="15" hidden="false" customHeight="false" outlineLevel="0" collapsed="false">
      <c r="A24" s="104" t="n">
        <v>118</v>
      </c>
      <c r="B24" s="100" t="s">
        <v>134</v>
      </c>
      <c r="C24" s="100" t="s">
        <v>135</v>
      </c>
      <c r="D24" s="99" t="n">
        <v>102</v>
      </c>
      <c r="E24" s="105" t="n">
        <v>76</v>
      </c>
      <c r="F24" s="105" t="n">
        <v>20</v>
      </c>
      <c r="G24" s="105" t="n">
        <v>66</v>
      </c>
      <c r="H24" s="105" t="n">
        <v>19</v>
      </c>
      <c r="I24" s="105" t="n">
        <v>63</v>
      </c>
      <c r="J24" s="105" t="n">
        <v>18</v>
      </c>
      <c r="K24" s="105" t="n">
        <v>76</v>
      </c>
      <c r="L24" s="105" t="n">
        <v>20</v>
      </c>
      <c r="M24" s="105" t="n">
        <v>69</v>
      </c>
      <c r="N24" s="105" t="n">
        <v>20</v>
      </c>
      <c r="O24" s="105" t="n">
        <v>42</v>
      </c>
      <c r="P24" s="105" t="n">
        <v>50</v>
      </c>
      <c r="Q24" s="105"/>
      <c r="R24" s="105"/>
      <c r="S24" s="105"/>
      <c r="T24" s="105"/>
      <c r="U24" s="49" t="n">
        <f aca="false">IF($B24="","",N(E24)+N(F24)+N(G24)+N(H24)+N(I24)+N(J24)+N(K24)+N(L24)+N(M24)+N(N24)+N(O24)+N(P24)+N(Q24)+N(R24)+N(S24)+N(T24))</f>
        <v>539</v>
      </c>
      <c r="V24" s="50" t="n">
        <f aca="false">IF($B24="","",SUM(Setup!$E$17:$E$24))</f>
        <v>600</v>
      </c>
      <c r="W24" s="51" t="n">
        <f aca="false">IF($B24="","",IFERROR(U24/V24,0))</f>
        <v>0.898333333333333</v>
      </c>
      <c r="X24" s="50" t="n">
        <f aca="false">IF($B24="","",IF(AND(Setup!$B$17&lt;&gt;"",Setup!$E$17&gt;0),IF((N(E24)+N(F24))/Setup!$E$17&lt;Setup!$C$11,1,0),0)+IF(AND(Setup!$B$18&lt;&gt;"",Setup!$E$18&gt;0),IF((N(G24)+N(H24))/Setup!$E$18&lt;Setup!$C$11,1,0),0)+IF(AND(Setup!$B$19&lt;&gt;"",Setup!$E$19&gt;0),IF((N(I24)+N(J24))/Setup!$E$19&lt;Setup!$C$11,1,0),0)+IF(AND(Setup!$B$20&lt;&gt;"",Setup!$E$20&gt;0),IF((N(K24)+N(L24))/Setup!$E$20&lt;Setup!$C$11,1,0),0)+IF(AND(Setup!$B$21&lt;&gt;"",Setup!$E$21&gt;0),IF((N(M24)+N(N24))/Setup!$E$21&lt;Setup!$C$11,1,0),0)+IF(AND(Setup!$B$22&lt;&gt;"",Setup!$E$22&gt;0),IF((N(O24)+N(P24))/Setup!$E$22&lt;Setup!$C$11,1,0),0)+IF(AND(Setup!$B$23&lt;&gt;"",Setup!$E$23&gt;0),IF((N(Q24)+N(R24))/Setup!$E$23&lt;Setup!$C$11,1,0),0)+IF(AND(Setup!$B$24&lt;&gt;"",Setup!$E$24&gt;0),IF((N(S24)+N(T24))/Setup!$E$24&lt;Setup!$C$11,1,0),0))</f>
        <v>0</v>
      </c>
      <c r="Y24" s="38" t="str">
        <f aca="false">IF($B24="","",IF(X24=0,"PASS",IF(X24&lt;=Setup!$C$12,"COMPARTMENT","FAIL")))</f>
        <v>PASS</v>
      </c>
      <c r="Z24" s="39" t="n">
        <f aca="false">IF($B24="","",COUNTIF($U$7:$U$66,"&gt;"&amp;U24)+1)</f>
        <v>5</v>
      </c>
      <c r="AA24" s="38" t="str">
        <f aca="false">IF($B24="","",INDEX(Setup!$G$5:$G$12,COUNTIF(Setup!$F$5:$F$12,"&gt;"&amp;ROUND(W24,4))+1))</f>
        <v>A2</v>
      </c>
      <c r="AB24" s="52" t="str">
        <f aca="false">IF($B24="","",IF(((N(E24)&gt;N(Setup!$C$17))+(N(F24)&gt;N(Setup!$D$17)) + (N(G24)&gt;N(Setup!$C$18))+(N(H24)&gt;N(Setup!$D$18)) + (N(I24)&gt;N(Setup!$C$19))+(N(J24)&gt;N(Setup!$D$19)) + (N(K24)&gt;N(Setup!$C$20))+(N(L24)&gt;N(Setup!$D$20)) + (N(M24)&gt;N(Setup!$C$21))+(N(N24)&gt;N(Setup!$D$21)) + (N(O24)&gt;N(Setup!$C$22))+(N(P24)&gt;N(Setup!$D$22)) + (N(Q24)&gt;N(Setup!$C$23))+(N(R24)&gt;N(Setup!$D$23)) + (N(S24)&gt;N(Setup!$C$24))+(N(T24)&gt;N(Setup!$D$24)))&gt;0,"⚠ Marks above max",IF(A24="","⚠ Roll no. missing",IF(COUNTIF($A$7:$A$66,A24)&gt;1,"⚠ Duplicate roll no.","✔"))))</f>
        <v>✔</v>
      </c>
      <c r="AC24" s="8" t="n">
        <f aca="false">IF(OR($B24="",Setup!$B$17="",N(Setup!$E$17)=0),"",(N(E24)+N(F24))/Setup!$E$17)</f>
        <v>0.96</v>
      </c>
      <c r="AD24" s="8" t="n">
        <f aca="false">IF(OR($B24="",Setup!$B$18="",N(Setup!$E$18)=0),"",(N(G24)+N(H24))/Setup!$E$18)</f>
        <v>0.85</v>
      </c>
      <c r="AE24" s="8" t="n">
        <f aca="false">IF(OR($B24="",Setup!$B$19="",N(Setup!$E$19)=0),"",(N(I24)+N(J24))/Setup!$E$19)</f>
        <v>0.81</v>
      </c>
      <c r="AF24" s="8" t="n">
        <f aca="false">IF(OR($B24="",Setup!$B$20="",N(Setup!$E$20)=0),"",(N(K24)+N(L24))/Setup!$E$20)</f>
        <v>0.96</v>
      </c>
      <c r="AG24" s="8" t="n">
        <f aca="false">IF(OR($B24="",Setup!$B$21="",N(Setup!$E$21)=0),"",(N(M24)+N(N24))/Setup!$E$21)</f>
        <v>0.89</v>
      </c>
      <c r="AH24" s="8" t="n">
        <f aca="false">IF(OR($B24="",Setup!$B$22="",N(Setup!$E$22)=0),"",(N(O24)+N(P24))/Setup!$E$22)</f>
        <v>0.92</v>
      </c>
      <c r="AI24" s="8" t="str">
        <f aca="false">IF(OR($B24="",Setup!$B$23="",N(Setup!$E$23)=0),"",(N(Q24)+N(R24))/Setup!$E$23)</f>
        <v/>
      </c>
      <c r="AJ24" s="8" t="str">
        <f aca="false">IF(OR($B24="",Setup!$B$24="",N(Setup!$E$24)=0),"",(N(S24)+N(T24))/Setup!$E$24)</f>
        <v/>
      </c>
      <c r="AK24" s="8" t="n">
        <f aca="false">IF($B24="","",U24+(1000-ROW())/100000)</f>
        <v>539.00976</v>
      </c>
      <c r="AL24" s="8" t="str">
        <f aca="false">IF(AM24=1,SUM($AM$7:AM24),"")</f>
        <v/>
      </c>
      <c r="AM24" s="8" t="n">
        <f aca="false">IF(AND(Y24&lt;&gt;"",Y24&lt;&gt;"PASS"),1,0)</f>
        <v>0</v>
      </c>
    </row>
    <row r="25" customFormat="false" ht="15" hidden="false" customHeight="false" outlineLevel="0" collapsed="false">
      <c r="A25" s="104" t="n">
        <v>119</v>
      </c>
      <c r="B25" s="100" t="s">
        <v>136</v>
      </c>
      <c r="C25" s="100" t="s">
        <v>137</v>
      </c>
      <c r="D25" s="99" t="n">
        <v>109</v>
      </c>
      <c r="E25" s="105" t="n">
        <v>64</v>
      </c>
      <c r="F25" s="105" t="n">
        <v>18</v>
      </c>
      <c r="G25" s="105" t="s">
        <v>138</v>
      </c>
      <c r="H25" s="105" t="n">
        <v>18</v>
      </c>
      <c r="I25" s="105" t="n">
        <v>70</v>
      </c>
      <c r="J25" s="105" t="n">
        <v>18</v>
      </c>
      <c r="K25" s="105" t="n">
        <v>67</v>
      </c>
      <c r="L25" s="105" t="n">
        <v>18</v>
      </c>
      <c r="M25" s="105" t="n">
        <v>75</v>
      </c>
      <c r="N25" s="105" t="n">
        <v>19</v>
      </c>
      <c r="O25" s="105" t="n">
        <v>43</v>
      </c>
      <c r="P25" s="105" t="n">
        <v>48</v>
      </c>
      <c r="Q25" s="105"/>
      <c r="R25" s="105"/>
      <c r="S25" s="105"/>
      <c r="T25" s="105"/>
      <c r="U25" s="49" t="n">
        <f aca="false">IF($B25="","",N(E25)+N(F25)+N(G25)+N(H25)+N(I25)+N(J25)+N(K25)+N(L25)+N(M25)+N(N25)+N(O25)+N(P25)+N(Q25)+N(R25)+N(S25)+N(T25))</f>
        <v>458</v>
      </c>
      <c r="V25" s="50" t="n">
        <f aca="false">IF($B25="","",SUM(Setup!$E$17:$E$24))</f>
        <v>600</v>
      </c>
      <c r="W25" s="51" t="n">
        <f aca="false">IF($B25="","",IFERROR(U25/V25,0))</f>
        <v>0.763333333333333</v>
      </c>
      <c r="X25" s="50" t="n">
        <f aca="false">IF($B25="","",IF(AND(Setup!$B$17&lt;&gt;"",Setup!$E$17&gt;0),IF((N(E25)+N(F25))/Setup!$E$17&lt;Setup!$C$11,1,0),0)+IF(AND(Setup!$B$18&lt;&gt;"",Setup!$E$18&gt;0),IF((N(G25)+N(H25))/Setup!$E$18&lt;Setup!$C$11,1,0),0)+IF(AND(Setup!$B$19&lt;&gt;"",Setup!$E$19&gt;0),IF((N(I25)+N(J25))/Setup!$E$19&lt;Setup!$C$11,1,0),0)+IF(AND(Setup!$B$20&lt;&gt;"",Setup!$E$20&gt;0),IF((N(K25)+N(L25))/Setup!$E$20&lt;Setup!$C$11,1,0),0)+IF(AND(Setup!$B$21&lt;&gt;"",Setup!$E$21&gt;0),IF((N(M25)+N(N25))/Setup!$E$21&lt;Setup!$C$11,1,0),0)+IF(AND(Setup!$B$22&lt;&gt;"",Setup!$E$22&gt;0),IF((N(O25)+N(P25))/Setup!$E$22&lt;Setup!$C$11,1,0),0)+IF(AND(Setup!$B$23&lt;&gt;"",Setup!$E$23&gt;0),IF((N(Q25)+N(R25))/Setup!$E$23&lt;Setup!$C$11,1,0),0)+IF(AND(Setup!$B$24&lt;&gt;"",Setup!$E$24&gt;0),IF((N(S25)+N(T25))/Setup!$E$24&lt;Setup!$C$11,1,0),0))</f>
        <v>1</v>
      </c>
      <c r="Y25" s="38" t="str">
        <f aca="false">IF($B25="","",IF(X25=0,"PASS",IF(X25&lt;=Setup!$C$12,"COMPARTMENT","FAIL")))</f>
        <v>COMPARTMENT</v>
      </c>
      <c r="Z25" s="39" t="n">
        <f aca="false">IF($B25="","",COUNTIF($U$7:$U$66,"&gt;"&amp;U25)+1)</f>
        <v>12</v>
      </c>
      <c r="AA25" s="38" t="str">
        <f aca="false">IF($B25="","",INDEX(Setup!$G$5:$G$12,COUNTIF(Setup!$F$5:$F$12,"&gt;"&amp;ROUND(W25,4))+1))</f>
        <v>B1</v>
      </c>
      <c r="AB25" s="52" t="str">
        <f aca="false">IF($B25="","",IF(((N(E25)&gt;N(Setup!$C$17))+(N(F25)&gt;N(Setup!$D$17)) + (N(G25)&gt;N(Setup!$C$18))+(N(H25)&gt;N(Setup!$D$18)) + (N(I25)&gt;N(Setup!$C$19))+(N(J25)&gt;N(Setup!$D$19)) + (N(K25)&gt;N(Setup!$C$20))+(N(L25)&gt;N(Setup!$D$20)) + (N(M25)&gt;N(Setup!$C$21))+(N(N25)&gt;N(Setup!$D$21)) + (N(O25)&gt;N(Setup!$C$22))+(N(P25)&gt;N(Setup!$D$22)) + (N(Q25)&gt;N(Setup!$C$23))+(N(R25)&gt;N(Setup!$D$23)) + (N(S25)&gt;N(Setup!$C$24))+(N(T25)&gt;N(Setup!$D$24)))&gt;0,"⚠ Marks above max",IF(A25="","⚠ Roll no. missing",IF(COUNTIF($A$7:$A$66,A25)&gt;1,"⚠ Duplicate roll no.","✔"))))</f>
        <v>✔</v>
      </c>
      <c r="AC25" s="8" t="n">
        <f aca="false">IF(OR($B25="",Setup!$B$17="",N(Setup!$E$17)=0),"",(N(E25)+N(F25))/Setup!$E$17)</f>
        <v>0.82</v>
      </c>
      <c r="AD25" s="8" t="n">
        <f aca="false">IF(OR($B25="",Setup!$B$18="",N(Setup!$E$18)=0),"",(N(G25)+N(H25))/Setup!$E$18)</f>
        <v>0.18</v>
      </c>
      <c r="AE25" s="8" t="n">
        <f aca="false">IF(OR($B25="",Setup!$B$19="",N(Setup!$E$19)=0),"",(N(I25)+N(J25))/Setup!$E$19)</f>
        <v>0.88</v>
      </c>
      <c r="AF25" s="8" t="n">
        <f aca="false">IF(OR($B25="",Setup!$B$20="",N(Setup!$E$20)=0),"",(N(K25)+N(L25))/Setup!$E$20)</f>
        <v>0.85</v>
      </c>
      <c r="AG25" s="8" t="n">
        <f aca="false">IF(OR($B25="",Setup!$B$21="",N(Setup!$E$21)=0),"",(N(M25)+N(N25))/Setup!$E$21)</f>
        <v>0.94</v>
      </c>
      <c r="AH25" s="8" t="n">
        <f aca="false">IF(OR($B25="",Setup!$B$22="",N(Setup!$E$22)=0),"",(N(O25)+N(P25))/Setup!$E$22)</f>
        <v>0.91</v>
      </c>
      <c r="AI25" s="8" t="str">
        <f aca="false">IF(OR($B25="",Setup!$B$23="",N(Setup!$E$23)=0),"",(N(Q25)+N(R25))/Setup!$E$23)</f>
        <v/>
      </c>
      <c r="AJ25" s="8" t="str">
        <f aca="false">IF(OR($B25="",Setup!$B$24="",N(Setup!$E$24)=0),"",(N(S25)+N(T25))/Setup!$E$24)</f>
        <v/>
      </c>
      <c r="AK25" s="8" t="n">
        <f aca="false">IF($B25="","",U25+(1000-ROW())/100000)</f>
        <v>458.00975</v>
      </c>
      <c r="AL25" s="8" t="n">
        <f aca="false">IF(AM25=1,SUM($AM$7:AM25),"")</f>
        <v>2</v>
      </c>
      <c r="AM25" s="8" t="n">
        <f aca="false">IF(AND(Y25&lt;&gt;"",Y25&lt;&gt;"PASS"),1,0)</f>
        <v>1</v>
      </c>
    </row>
    <row r="26" customFormat="false" ht="15" hidden="false" customHeight="false" outlineLevel="0" collapsed="false">
      <c r="A26" s="104" t="n">
        <v>120</v>
      </c>
      <c r="B26" s="100" t="s">
        <v>139</v>
      </c>
      <c r="C26" s="100" t="s">
        <v>140</v>
      </c>
      <c r="D26" s="99" t="n">
        <v>103</v>
      </c>
      <c r="E26" s="105" t="n">
        <v>71</v>
      </c>
      <c r="F26" s="105" t="n">
        <v>20</v>
      </c>
      <c r="G26" s="105" t="n">
        <v>72</v>
      </c>
      <c r="H26" s="105" t="n">
        <v>20</v>
      </c>
      <c r="I26" s="105" t="n">
        <v>72</v>
      </c>
      <c r="J26" s="105" t="n">
        <v>18</v>
      </c>
      <c r="K26" s="105" t="n">
        <v>71</v>
      </c>
      <c r="L26" s="105" t="n">
        <v>19</v>
      </c>
      <c r="M26" s="105" t="n">
        <v>64</v>
      </c>
      <c r="N26" s="105" t="n">
        <v>20</v>
      </c>
      <c r="O26" s="105" t="n">
        <v>42</v>
      </c>
      <c r="P26" s="105" t="n">
        <v>50</v>
      </c>
      <c r="Q26" s="105"/>
      <c r="R26" s="105"/>
      <c r="S26" s="105"/>
      <c r="T26" s="105"/>
      <c r="U26" s="49" t="n">
        <f aca="false">IF($B26="","",N(E26)+N(F26)+N(G26)+N(H26)+N(I26)+N(J26)+N(K26)+N(L26)+N(M26)+N(N26)+N(O26)+N(P26)+N(Q26)+N(R26)+N(S26)+N(T26))</f>
        <v>539</v>
      </c>
      <c r="V26" s="50" t="n">
        <f aca="false">IF($B26="","",SUM(Setup!$E$17:$E$24))</f>
        <v>600</v>
      </c>
      <c r="W26" s="51" t="n">
        <f aca="false">IF($B26="","",IFERROR(U26/V26,0))</f>
        <v>0.898333333333333</v>
      </c>
      <c r="X26" s="50" t="n">
        <f aca="false">IF($B26="","",IF(AND(Setup!$B$17&lt;&gt;"",Setup!$E$17&gt;0),IF((N(E26)+N(F26))/Setup!$E$17&lt;Setup!$C$11,1,0),0)+IF(AND(Setup!$B$18&lt;&gt;"",Setup!$E$18&gt;0),IF((N(G26)+N(H26))/Setup!$E$18&lt;Setup!$C$11,1,0),0)+IF(AND(Setup!$B$19&lt;&gt;"",Setup!$E$19&gt;0),IF((N(I26)+N(J26))/Setup!$E$19&lt;Setup!$C$11,1,0),0)+IF(AND(Setup!$B$20&lt;&gt;"",Setup!$E$20&gt;0),IF((N(K26)+N(L26))/Setup!$E$20&lt;Setup!$C$11,1,0),0)+IF(AND(Setup!$B$21&lt;&gt;"",Setup!$E$21&gt;0),IF((N(M26)+N(N26))/Setup!$E$21&lt;Setup!$C$11,1,0),0)+IF(AND(Setup!$B$22&lt;&gt;"",Setup!$E$22&gt;0),IF((N(O26)+N(P26))/Setup!$E$22&lt;Setup!$C$11,1,0),0)+IF(AND(Setup!$B$23&lt;&gt;"",Setup!$E$23&gt;0),IF((N(Q26)+N(R26))/Setup!$E$23&lt;Setup!$C$11,1,0),0)+IF(AND(Setup!$B$24&lt;&gt;"",Setup!$E$24&gt;0),IF((N(S26)+N(T26))/Setup!$E$24&lt;Setup!$C$11,1,0),0))</f>
        <v>0</v>
      </c>
      <c r="Y26" s="38" t="str">
        <f aca="false">IF($B26="","",IF(X26=0,"PASS",IF(X26&lt;=Setup!$C$12,"COMPARTMENT","FAIL")))</f>
        <v>PASS</v>
      </c>
      <c r="Z26" s="39" t="n">
        <f aca="false">IF($B26="","",COUNTIF($U$7:$U$66,"&gt;"&amp;U26)+1)</f>
        <v>5</v>
      </c>
      <c r="AA26" s="38" t="str">
        <f aca="false">IF($B26="","",INDEX(Setup!$G$5:$G$12,COUNTIF(Setup!$F$5:$F$12,"&gt;"&amp;ROUND(W26,4))+1))</f>
        <v>A2</v>
      </c>
      <c r="AB26" s="52" t="str">
        <f aca="false">IF($B26="","",IF(((N(E26)&gt;N(Setup!$C$17))+(N(F26)&gt;N(Setup!$D$17)) + (N(G26)&gt;N(Setup!$C$18))+(N(H26)&gt;N(Setup!$D$18)) + (N(I26)&gt;N(Setup!$C$19))+(N(J26)&gt;N(Setup!$D$19)) + (N(K26)&gt;N(Setup!$C$20))+(N(L26)&gt;N(Setup!$D$20)) + (N(M26)&gt;N(Setup!$C$21))+(N(N26)&gt;N(Setup!$D$21)) + (N(O26)&gt;N(Setup!$C$22))+(N(P26)&gt;N(Setup!$D$22)) + (N(Q26)&gt;N(Setup!$C$23))+(N(R26)&gt;N(Setup!$D$23)) + (N(S26)&gt;N(Setup!$C$24))+(N(T26)&gt;N(Setup!$D$24)))&gt;0,"⚠ Marks above max",IF(A26="","⚠ Roll no. missing",IF(COUNTIF($A$7:$A$66,A26)&gt;1,"⚠ Duplicate roll no.","✔"))))</f>
        <v>✔</v>
      </c>
      <c r="AC26" s="8" t="n">
        <f aca="false">IF(OR($B26="",Setup!$B$17="",N(Setup!$E$17)=0),"",(N(E26)+N(F26))/Setup!$E$17)</f>
        <v>0.91</v>
      </c>
      <c r="AD26" s="8" t="n">
        <f aca="false">IF(OR($B26="",Setup!$B$18="",N(Setup!$E$18)=0),"",(N(G26)+N(H26))/Setup!$E$18)</f>
        <v>0.92</v>
      </c>
      <c r="AE26" s="8" t="n">
        <f aca="false">IF(OR($B26="",Setup!$B$19="",N(Setup!$E$19)=0),"",(N(I26)+N(J26))/Setup!$E$19)</f>
        <v>0.9</v>
      </c>
      <c r="AF26" s="8" t="n">
        <f aca="false">IF(OR($B26="",Setup!$B$20="",N(Setup!$E$20)=0),"",(N(K26)+N(L26))/Setup!$E$20)</f>
        <v>0.9</v>
      </c>
      <c r="AG26" s="8" t="n">
        <f aca="false">IF(OR($B26="",Setup!$B$21="",N(Setup!$E$21)=0),"",(N(M26)+N(N26))/Setup!$E$21)</f>
        <v>0.84</v>
      </c>
      <c r="AH26" s="8" t="n">
        <f aca="false">IF(OR($B26="",Setup!$B$22="",N(Setup!$E$22)=0),"",(N(O26)+N(P26))/Setup!$E$22)</f>
        <v>0.92</v>
      </c>
      <c r="AI26" s="8" t="str">
        <f aca="false">IF(OR($B26="",Setup!$B$23="",N(Setup!$E$23)=0),"",(N(Q26)+N(R26))/Setup!$E$23)</f>
        <v/>
      </c>
      <c r="AJ26" s="8" t="str">
        <f aca="false">IF(OR($B26="",Setup!$B$24="",N(Setup!$E$24)=0),"",(N(S26)+N(T26))/Setup!$E$24)</f>
        <v/>
      </c>
      <c r="AK26" s="8" t="n">
        <f aca="false">IF($B26="","",U26+(1000-ROW())/100000)</f>
        <v>539.00974</v>
      </c>
      <c r="AL26" s="8" t="str">
        <f aca="false">IF(AM26=1,SUM($AM$7:AM26),"")</f>
        <v/>
      </c>
      <c r="AM26" s="8" t="n">
        <f aca="false">IF(AND(Y26&lt;&gt;"",Y26&lt;&gt;"PASS"),1,0)</f>
        <v>0</v>
      </c>
    </row>
    <row r="27" customFormat="false" ht="15" hidden="false" customHeight="false" outlineLevel="0" collapsed="false">
      <c r="A27" s="104" t="n">
        <v>121</v>
      </c>
      <c r="B27" s="100" t="s">
        <v>141</v>
      </c>
      <c r="C27" s="100" t="s">
        <v>142</v>
      </c>
      <c r="D27" s="99" t="n">
        <v>110</v>
      </c>
      <c r="E27" s="105" t="n">
        <v>65</v>
      </c>
      <c r="F27" s="105" t="n">
        <v>18</v>
      </c>
      <c r="G27" s="105" t="n">
        <v>65</v>
      </c>
      <c r="H27" s="105" t="n">
        <v>18</v>
      </c>
      <c r="I27" s="105" t="n">
        <v>69</v>
      </c>
      <c r="J27" s="105" t="n">
        <v>17</v>
      </c>
      <c r="K27" s="105" t="n">
        <v>66</v>
      </c>
      <c r="L27" s="105" t="n">
        <v>17</v>
      </c>
      <c r="M27" s="105" t="n">
        <v>61</v>
      </c>
      <c r="N27" s="105" t="n">
        <v>19</v>
      </c>
      <c r="O27" s="105" t="n">
        <v>40</v>
      </c>
      <c r="P27" s="105" t="n">
        <v>46</v>
      </c>
      <c r="Q27" s="105"/>
      <c r="R27" s="105"/>
      <c r="S27" s="105"/>
      <c r="T27" s="105"/>
      <c r="U27" s="49" t="n">
        <f aca="false">IF($B27="","",N(E27)+N(F27)+N(G27)+N(H27)+N(I27)+N(J27)+N(K27)+N(L27)+N(M27)+N(N27)+N(O27)+N(P27)+N(Q27)+N(R27)+N(S27)+N(T27))</f>
        <v>501</v>
      </c>
      <c r="V27" s="50" t="n">
        <f aca="false">IF($B27="","",SUM(Setup!$E$17:$E$24))</f>
        <v>600</v>
      </c>
      <c r="W27" s="51" t="n">
        <f aca="false">IF($B27="","",IFERROR(U27/V27,0))</f>
        <v>0.835</v>
      </c>
      <c r="X27" s="50" t="n">
        <f aca="false">IF($B27="","",IF(AND(Setup!$B$17&lt;&gt;"",Setup!$E$17&gt;0),IF((N(E27)+N(F27))/Setup!$E$17&lt;Setup!$C$11,1,0),0)+IF(AND(Setup!$B$18&lt;&gt;"",Setup!$E$18&gt;0),IF((N(G27)+N(H27))/Setup!$E$18&lt;Setup!$C$11,1,0),0)+IF(AND(Setup!$B$19&lt;&gt;"",Setup!$E$19&gt;0),IF((N(I27)+N(J27))/Setup!$E$19&lt;Setup!$C$11,1,0),0)+IF(AND(Setup!$B$20&lt;&gt;"",Setup!$E$20&gt;0),IF((N(K27)+N(L27))/Setup!$E$20&lt;Setup!$C$11,1,0),0)+IF(AND(Setup!$B$21&lt;&gt;"",Setup!$E$21&gt;0),IF((N(M27)+N(N27))/Setup!$E$21&lt;Setup!$C$11,1,0),0)+IF(AND(Setup!$B$22&lt;&gt;"",Setup!$E$22&gt;0),IF((N(O27)+N(P27))/Setup!$E$22&lt;Setup!$C$11,1,0),0)+IF(AND(Setup!$B$23&lt;&gt;"",Setup!$E$23&gt;0),IF((N(Q27)+N(R27))/Setup!$E$23&lt;Setup!$C$11,1,0),0)+IF(AND(Setup!$B$24&lt;&gt;"",Setup!$E$24&gt;0),IF((N(S27)+N(T27))/Setup!$E$24&lt;Setup!$C$11,1,0),0))</f>
        <v>0</v>
      </c>
      <c r="Y27" s="38" t="str">
        <f aca="false">IF($B27="","",IF(X27=0,"PASS",IF(X27&lt;=Setup!$C$12,"COMPARTMENT","FAIL")))</f>
        <v>PASS</v>
      </c>
      <c r="Z27" s="39" t="n">
        <f aca="false">IF($B27="","",COUNTIF($U$7:$U$66,"&gt;"&amp;U27)+1)</f>
        <v>9</v>
      </c>
      <c r="AA27" s="38" t="str">
        <f aca="false">IF($B27="","",INDEX(Setup!$G$5:$G$12,COUNTIF(Setup!$F$5:$F$12,"&gt;"&amp;ROUND(W27,4))+1))</f>
        <v>A2</v>
      </c>
      <c r="AB27" s="52" t="str">
        <f aca="false">IF($B27="","",IF(((N(E27)&gt;N(Setup!$C$17))+(N(F27)&gt;N(Setup!$D$17)) + (N(G27)&gt;N(Setup!$C$18))+(N(H27)&gt;N(Setup!$D$18)) + (N(I27)&gt;N(Setup!$C$19))+(N(J27)&gt;N(Setup!$D$19)) + (N(K27)&gt;N(Setup!$C$20))+(N(L27)&gt;N(Setup!$D$20)) + (N(M27)&gt;N(Setup!$C$21))+(N(N27)&gt;N(Setup!$D$21)) + (N(O27)&gt;N(Setup!$C$22))+(N(P27)&gt;N(Setup!$D$22)) + (N(Q27)&gt;N(Setup!$C$23))+(N(R27)&gt;N(Setup!$D$23)) + (N(S27)&gt;N(Setup!$C$24))+(N(T27)&gt;N(Setup!$D$24)))&gt;0,"⚠ Marks above max",IF(A27="","⚠ Roll no. missing",IF(COUNTIF($A$7:$A$66,A27)&gt;1,"⚠ Duplicate roll no.","✔"))))</f>
        <v>✔</v>
      </c>
      <c r="AC27" s="8" t="n">
        <f aca="false">IF(OR($B27="",Setup!$B$17="",N(Setup!$E$17)=0),"",(N(E27)+N(F27))/Setup!$E$17)</f>
        <v>0.83</v>
      </c>
      <c r="AD27" s="8" t="n">
        <f aca="false">IF(OR($B27="",Setup!$B$18="",N(Setup!$E$18)=0),"",(N(G27)+N(H27))/Setup!$E$18)</f>
        <v>0.83</v>
      </c>
      <c r="AE27" s="8" t="n">
        <f aca="false">IF(OR($B27="",Setup!$B$19="",N(Setup!$E$19)=0),"",(N(I27)+N(J27))/Setup!$E$19)</f>
        <v>0.86</v>
      </c>
      <c r="AF27" s="8" t="n">
        <f aca="false">IF(OR($B27="",Setup!$B$20="",N(Setup!$E$20)=0),"",(N(K27)+N(L27))/Setup!$E$20)</f>
        <v>0.83</v>
      </c>
      <c r="AG27" s="8" t="n">
        <f aca="false">IF(OR($B27="",Setup!$B$21="",N(Setup!$E$21)=0),"",(N(M27)+N(N27))/Setup!$E$21)</f>
        <v>0.8</v>
      </c>
      <c r="AH27" s="8" t="n">
        <f aca="false">IF(OR($B27="",Setup!$B$22="",N(Setup!$E$22)=0),"",(N(O27)+N(P27))/Setup!$E$22)</f>
        <v>0.86</v>
      </c>
      <c r="AI27" s="8" t="str">
        <f aca="false">IF(OR($B27="",Setup!$B$23="",N(Setup!$E$23)=0),"",(N(Q27)+N(R27))/Setup!$E$23)</f>
        <v/>
      </c>
      <c r="AJ27" s="8" t="str">
        <f aca="false">IF(OR($B27="",Setup!$B$24="",N(Setup!$E$24)=0),"",(N(S27)+N(T27))/Setup!$E$24)</f>
        <v/>
      </c>
      <c r="AK27" s="8" t="n">
        <f aca="false">IF($B27="","",U27+(1000-ROW())/100000)</f>
        <v>501.00973</v>
      </c>
      <c r="AL27" s="8" t="str">
        <f aca="false">IF(AM27=1,SUM($AM$7:AM27),"")</f>
        <v/>
      </c>
      <c r="AM27" s="8" t="n">
        <f aca="false">IF(AND(Y27&lt;&gt;"",Y27&lt;&gt;"PASS"),1,0)</f>
        <v>0</v>
      </c>
    </row>
    <row r="28" customFormat="false" ht="15" hidden="false" customHeight="false" outlineLevel="0" collapsed="false">
      <c r="A28" s="104" t="n">
        <v>122</v>
      </c>
      <c r="B28" s="100" t="s">
        <v>143</v>
      </c>
      <c r="C28" s="100" t="s">
        <v>144</v>
      </c>
      <c r="D28" s="99" t="n">
        <v>104</v>
      </c>
      <c r="E28" s="105" t="n">
        <v>73</v>
      </c>
      <c r="F28" s="105" t="n">
        <v>18</v>
      </c>
      <c r="G28" s="105" t="n">
        <v>68</v>
      </c>
      <c r="H28" s="105" t="n">
        <v>18</v>
      </c>
      <c r="I28" s="105" t="n">
        <v>66</v>
      </c>
      <c r="J28" s="105" t="n">
        <v>19</v>
      </c>
      <c r="K28" s="105" t="n">
        <v>65</v>
      </c>
      <c r="L28" s="105" t="n">
        <v>19</v>
      </c>
      <c r="M28" s="105" t="n">
        <v>66</v>
      </c>
      <c r="N28" s="105" t="n">
        <v>20</v>
      </c>
      <c r="O28" s="105" t="n">
        <v>43</v>
      </c>
      <c r="P28" s="105" t="n">
        <v>49</v>
      </c>
      <c r="Q28" s="105"/>
      <c r="R28" s="105"/>
      <c r="S28" s="105"/>
      <c r="T28" s="105"/>
      <c r="U28" s="49" t="n">
        <f aca="false">IF($B28="","",N(E28)+N(F28)+N(G28)+N(H28)+N(I28)+N(J28)+N(K28)+N(L28)+N(M28)+N(N28)+N(O28)+N(P28)+N(Q28)+N(R28)+N(S28)+N(T28))</f>
        <v>524</v>
      </c>
      <c r="V28" s="50" t="n">
        <f aca="false">IF($B28="","",SUM(Setup!$E$17:$E$24))</f>
        <v>600</v>
      </c>
      <c r="W28" s="51" t="n">
        <f aca="false">IF($B28="","",IFERROR(U28/V28,0))</f>
        <v>0.873333333333333</v>
      </c>
      <c r="X28" s="50" t="n">
        <f aca="false">IF($B28="","",IF(AND(Setup!$B$17&lt;&gt;"",Setup!$E$17&gt;0),IF((N(E28)+N(F28))/Setup!$E$17&lt;Setup!$C$11,1,0),0)+IF(AND(Setup!$B$18&lt;&gt;"",Setup!$E$18&gt;0),IF((N(G28)+N(H28))/Setup!$E$18&lt;Setup!$C$11,1,0),0)+IF(AND(Setup!$B$19&lt;&gt;"",Setup!$E$19&gt;0),IF((N(I28)+N(J28))/Setup!$E$19&lt;Setup!$C$11,1,0),0)+IF(AND(Setup!$B$20&lt;&gt;"",Setup!$E$20&gt;0),IF((N(K28)+N(L28))/Setup!$E$20&lt;Setup!$C$11,1,0),0)+IF(AND(Setup!$B$21&lt;&gt;"",Setup!$E$21&gt;0),IF((N(M28)+N(N28))/Setup!$E$21&lt;Setup!$C$11,1,0),0)+IF(AND(Setup!$B$22&lt;&gt;"",Setup!$E$22&gt;0),IF((N(O28)+N(P28))/Setup!$E$22&lt;Setup!$C$11,1,0),0)+IF(AND(Setup!$B$23&lt;&gt;"",Setup!$E$23&gt;0),IF((N(Q28)+N(R28))/Setup!$E$23&lt;Setup!$C$11,1,0),0)+IF(AND(Setup!$B$24&lt;&gt;"",Setup!$E$24&gt;0),IF((N(S28)+N(T28))/Setup!$E$24&lt;Setup!$C$11,1,0),0))</f>
        <v>0</v>
      </c>
      <c r="Y28" s="38" t="str">
        <f aca="false">IF($B28="","",IF(X28=0,"PASS",IF(X28&lt;=Setup!$C$12,"COMPARTMENT","FAIL")))</f>
        <v>PASS</v>
      </c>
      <c r="Z28" s="39" t="n">
        <f aca="false">IF($B28="","",COUNTIF($U$7:$U$66,"&gt;"&amp;U28)+1)</f>
        <v>8</v>
      </c>
      <c r="AA28" s="38" t="str">
        <f aca="false">IF($B28="","",INDEX(Setup!$G$5:$G$12,COUNTIF(Setup!$F$5:$F$12,"&gt;"&amp;ROUND(W28,4))+1))</f>
        <v>A2</v>
      </c>
      <c r="AB28" s="52" t="str">
        <f aca="false">IF($B28="","",IF(((N(E28)&gt;N(Setup!$C$17))+(N(F28)&gt;N(Setup!$D$17)) + (N(G28)&gt;N(Setup!$C$18))+(N(H28)&gt;N(Setup!$D$18)) + (N(I28)&gt;N(Setup!$C$19))+(N(J28)&gt;N(Setup!$D$19)) + (N(K28)&gt;N(Setup!$C$20))+(N(L28)&gt;N(Setup!$D$20)) + (N(M28)&gt;N(Setup!$C$21))+(N(N28)&gt;N(Setup!$D$21)) + (N(O28)&gt;N(Setup!$C$22))+(N(P28)&gt;N(Setup!$D$22)) + (N(Q28)&gt;N(Setup!$C$23))+(N(R28)&gt;N(Setup!$D$23)) + (N(S28)&gt;N(Setup!$C$24))+(N(T28)&gt;N(Setup!$D$24)))&gt;0,"⚠ Marks above max",IF(A28="","⚠ Roll no. missing",IF(COUNTIF($A$7:$A$66,A28)&gt;1,"⚠ Duplicate roll no.","✔"))))</f>
        <v>✔</v>
      </c>
      <c r="AC28" s="8" t="n">
        <f aca="false">IF(OR($B28="",Setup!$B$17="",N(Setup!$E$17)=0),"",(N(E28)+N(F28))/Setup!$E$17)</f>
        <v>0.91</v>
      </c>
      <c r="AD28" s="8" t="n">
        <f aca="false">IF(OR($B28="",Setup!$B$18="",N(Setup!$E$18)=0),"",(N(G28)+N(H28))/Setup!$E$18)</f>
        <v>0.86</v>
      </c>
      <c r="AE28" s="8" t="n">
        <f aca="false">IF(OR($B28="",Setup!$B$19="",N(Setup!$E$19)=0),"",(N(I28)+N(J28))/Setup!$E$19)</f>
        <v>0.85</v>
      </c>
      <c r="AF28" s="8" t="n">
        <f aca="false">IF(OR($B28="",Setup!$B$20="",N(Setup!$E$20)=0),"",(N(K28)+N(L28))/Setup!$E$20)</f>
        <v>0.84</v>
      </c>
      <c r="AG28" s="8" t="n">
        <f aca="false">IF(OR($B28="",Setup!$B$21="",N(Setup!$E$21)=0),"",(N(M28)+N(N28))/Setup!$E$21)</f>
        <v>0.86</v>
      </c>
      <c r="AH28" s="8" t="n">
        <f aca="false">IF(OR($B28="",Setup!$B$22="",N(Setup!$E$22)=0),"",(N(O28)+N(P28))/Setup!$E$22)</f>
        <v>0.92</v>
      </c>
      <c r="AI28" s="8" t="str">
        <f aca="false">IF(OR($B28="",Setup!$B$23="",N(Setup!$E$23)=0),"",(N(Q28)+N(R28))/Setup!$E$23)</f>
        <v/>
      </c>
      <c r="AJ28" s="8" t="str">
        <f aca="false">IF(OR($B28="",Setup!$B$24="",N(Setup!$E$24)=0),"",(N(S28)+N(T28))/Setup!$E$24)</f>
        <v/>
      </c>
      <c r="AK28" s="8" t="n">
        <f aca="false">IF($B28="","",U28+(1000-ROW())/100000)</f>
        <v>524.00972</v>
      </c>
      <c r="AL28" s="8" t="str">
        <f aca="false">IF(AM28=1,SUM($AM$7:AM28),"")</f>
        <v/>
      </c>
      <c r="AM28" s="8" t="n">
        <f aca="false">IF(AND(Y28&lt;&gt;"",Y28&lt;&gt;"PASS"),1,0)</f>
        <v>0</v>
      </c>
    </row>
    <row r="29" customFormat="false" ht="15" hidden="false" customHeight="false" outlineLevel="0" collapsed="false">
      <c r="A29" s="104" t="n">
        <v>123</v>
      </c>
      <c r="B29" s="100" t="s">
        <v>145</v>
      </c>
      <c r="C29" s="100" t="s">
        <v>146</v>
      </c>
      <c r="D29" s="99" t="n">
        <v>111</v>
      </c>
      <c r="E29" s="105" t="n">
        <v>70</v>
      </c>
      <c r="F29" s="105" t="n">
        <v>20</v>
      </c>
      <c r="G29" s="105" t="n">
        <v>80</v>
      </c>
      <c r="H29" s="105" t="n">
        <v>20</v>
      </c>
      <c r="I29" s="105" t="n">
        <v>68</v>
      </c>
      <c r="J29" s="105" t="n">
        <v>19</v>
      </c>
      <c r="K29" s="105" t="n">
        <v>73</v>
      </c>
      <c r="L29" s="105" t="n">
        <v>19</v>
      </c>
      <c r="M29" s="105" t="n">
        <v>69</v>
      </c>
      <c r="N29" s="105" t="n">
        <v>19</v>
      </c>
      <c r="O29" s="105" t="n">
        <v>48</v>
      </c>
      <c r="P29" s="105" t="n">
        <v>50</v>
      </c>
      <c r="Q29" s="105"/>
      <c r="R29" s="105"/>
      <c r="S29" s="105"/>
      <c r="T29" s="105"/>
      <c r="U29" s="49" t="n">
        <f aca="false">IF($B29="","",N(E29)+N(F29)+N(G29)+N(H29)+N(I29)+N(J29)+N(K29)+N(L29)+N(M29)+N(N29)+N(O29)+N(P29)+N(Q29)+N(R29)+N(S29)+N(T29))</f>
        <v>555</v>
      </c>
      <c r="V29" s="50" t="n">
        <f aca="false">IF($B29="","",SUM(Setup!$E$17:$E$24))</f>
        <v>600</v>
      </c>
      <c r="W29" s="51" t="n">
        <f aca="false">IF($B29="","",IFERROR(U29/V29,0))</f>
        <v>0.925</v>
      </c>
      <c r="X29" s="50" t="n">
        <f aca="false">IF($B29="","",IF(AND(Setup!$B$17&lt;&gt;"",Setup!$E$17&gt;0),IF((N(E29)+N(F29))/Setup!$E$17&lt;Setup!$C$11,1,0),0)+IF(AND(Setup!$B$18&lt;&gt;"",Setup!$E$18&gt;0),IF((N(G29)+N(H29))/Setup!$E$18&lt;Setup!$C$11,1,0),0)+IF(AND(Setup!$B$19&lt;&gt;"",Setup!$E$19&gt;0),IF((N(I29)+N(J29))/Setup!$E$19&lt;Setup!$C$11,1,0),0)+IF(AND(Setup!$B$20&lt;&gt;"",Setup!$E$20&gt;0),IF((N(K29)+N(L29))/Setup!$E$20&lt;Setup!$C$11,1,0),0)+IF(AND(Setup!$B$21&lt;&gt;"",Setup!$E$21&gt;0),IF((N(M29)+N(N29))/Setup!$E$21&lt;Setup!$C$11,1,0),0)+IF(AND(Setup!$B$22&lt;&gt;"",Setup!$E$22&gt;0),IF((N(O29)+N(P29))/Setup!$E$22&lt;Setup!$C$11,1,0),0)+IF(AND(Setup!$B$23&lt;&gt;"",Setup!$E$23&gt;0),IF((N(Q29)+N(R29))/Setup!$E$23&lt;Setup!$C$11,1,0),0)+IF(AND(Setup!$B$24&lt;&gt;"",Setup!$E$24&gt;0),IF((N(S29)+N(T29))/Setup!$E$24&lt;Setup!$C$11,1,0),0))</f>
        <v>0</v>
      </c>
      <c r="Y29" s="38" t="str">
        <f aca="false">IF($B29="","",IF(X29=0,"PASS",IF(X29&lt;=Setup!$C$12,"COMPARTMENT","FAIL")))</f>
        <v>PASS</v>
      </c>
      <c r="Z29" s="39" t="n">
        <f aca="false">IF($B29="","",COUNTIF($U$7:$U$66,"&gt;"&amp;U29)+1)</f>
        <v>3</v>
      </c>
      <c r="AA29" s="38" t="str">
        <f aca="false">IF($B29="","",INDEX(Setup!$G$5:$G$12,COUNTIF(Setup!$F$5:$F$12,"&gt;"&amp;ROUND(W29,4))+1))</f>
        <v>A1</v>
      </c>
      <c r="AB29" s="52" t="str">
        <f aca="false">IF($B29="","",IF(((N(E29)&gt;N(Setup!$C$17))+(N(F29)&gt;N(Setup!$D$17)) + (N(G29)&gt;N(Setup!$C$18))+(N(H29)&gt;N(Setup!$D$18)) + (N(I29)&gt;N(Setup!$C$19))+(N(J29)&gt;N(Setup!$D$19)) + (N(K29)&gt;N(Setup!$C$20))+(N(L29)&gt;N(Setup!$D$20)) + (N(M29)&gt;N(Setup!$C$21))+(N(N29)&gt;N(Setup!$D$21)) + (N(O29)&gt;N(Setup!$C$22))+(N(P29)&gt;N(Setup!$D$22)) + (N(Q29)&gt;N(Setup!$C$23))+(N(R29)&gt;N(Setup!$D$23)) + (N(S29)&gt;N(Setup!$C$24))+(N(T29)&gt;N(Setup!$D$24)))&gt;0,"⚠ Marks above max",IF(A29="","⚠ Roll no. missing",IF(COUNTIF($A$7:$A$66,A29)&gt;1,"⚠ Duplicate roll no.","✔"))))</f>
        <v>✔</v>
      </c>
      <c r="AC29" s="8" t="n">
        <f aca="false">IF(OR($B29="",Setup!$B$17="",N(Setup!$E$17)=0),"",(N(E29)+N(F29))/Setup!$E$17)</f>
        <v>0.9</v>
      </c>
      <c r="AD29" s="8" t="n">
        <f aca="false">IF(OR($B29="",Setup!$B$18="",N(Setup!$E$18)=0),"",(N(G29)+N(H29))/Setup!$E$18)</f>
        <v>1</v>
      </c>
      <c r="AE29" s="8" t="n">
        <f aca="false">IF(OR($B29="",Setup!$B$19="",N(Setup!$E$19)=0),"",(N(I29)+N(J29))/Setup!$E$19)</f>
        <v>0.87</v>
      </c>
      <c r="AF29" s="8" t="n">
        <f aca="false">IF(OR($B29="",Setup!$B$20="",N(Setup!$E$20)=0),"",(N(K29)+N(L29))/Setup!$E$20)</f>
        <v>0.92</v>
      </c>
      <c r="AG29" s="8" t="n">
        <f aca="false">IF(OR($B29="",Setup!$B$21="",N(Setup!$E$21)=0),"",(N(M29)+N(N29))/Setup!$E$21)</f>
        <v>0.88</v>
      </c>
      <c r="AH29" s="8" t="n">
        <f aca="false">IF(OR($B29="",Setup!$B$22="",N(Setup!$E$22)=0),"",(N(O29)+N(P29))/Setup!$E$22)</f>
        <v>0.98</v>
      </c>
      <c r="AI29" s="8" t="str">
        <f aca="false">IF(OR($B29="",Setup!$B$23="",N(Setup!$E$23)=0),"",(N(Q29)+N(R29))/Setup!$E$23)</f>
        <v/>
      </c>
      <c r="AJ29" s="8" t="str">
        <f aca="false">IF(OR($B29="",Setup!$B$24="",N(Setup!$E$24)=0),"",(N(S29)+N(T29))/Setup!$E$24)</f>
        <v/>
      </c>
      <c r="AK29" s="8" t="n">
        <f aca="false">IF($B29="","",U29+(1000-ROW())/100000)</f>
        <v>555.00971</v>
      </c>
      <c r="AL29" s="8" t="str">
        <f aca="false">IF(AM29=1,SUM($AM$7:AM29),"")</f>
        <v/>
      </c>
      <c r="AM29" s="8" t="n">
        <f aca="false">IF(AND(Y29&lt;&gt;"",Y29&lt;&gt;"PASS"),1,0)</f>
        <v>0</v>
      </c>
    </row>
    <row r="30" customFormat="false" ht="15" hidden="false" customHeight="false" outlineLevel="0" collapsed="false">
      <c r="A30" s="104" t="n">
        <v>124</v>
      </c>
      <c r="B30" s="100" t="s">
        <v>147</v>
      </c>
      <c r="C30" s="100" t="s">
        <v>148</v>
      </c>
      <c r="D30" s="99" t="n">
        <v>105</v>
      </c>
      <c r="E30" s="105" t="n">
        <v>18</v>
      </c>
      <c r="F30" s="105" t="n">
        <v>6</v>
      </c>
      <c r="G30" s="105" t="n">
        <v>74</v>
      </c>
      <c r="H30" s="105" t="n">
        <v>19</v>
      </c>
      <c r="I30" s="105" t="n">
        <v>12</v>
      </c>
      <c r="J30" s="105" t="n">
        <v>4</v>
      </c>
      <c r="K30" s="105" t="n">
        <v>15</v>
      </c>
      <c r="L30" s="105" t="n">
        <v>5</v>
      </c>
      <c r="M30" s="105" t="n">
        <v>70</v>
      </c>
      <c r="N30" s="105" t="n">
        <v>20</v>
      </c>
      <c r="O30" s="105" t="n">
        <v>50</v>
      </c>
      <c r="P30" s="105" t="n">
        <v>50</v>
      </c>
      <c r="Q30" s="105"/>
      <c r="R30" s="105"/>
      <c r="S30" s="105"/>
      <c r="T30" s="105"/>
      <c r="U30" s="49" t="n">
        <f aca="false">IF($B30="","",N(E30)+N(F30)+N(G30)+N(H30)+N(I30)+N(J30)+N(K30)+N(L30)+N(M30)+N(N30)+N(O30)+N(P30)+N(Q30)+N(R30)+N(S30)+N(T30))</f>
        <v>343</v>
      </c>
      <c r="V30" s="50" t="n">
        <f aca="false">IF($B30="","",SUM(Setup!$E$17:$E$24))</f>
        <v>600</v>
      </c>
      <c r="W30" s="51" t="n">
        <f aca="false">IF($B30="","",IFERROR(U30/V30,0))</f>
        <v>0.571666666666667</v>
      </c>
      <c r="X30" s="50" t="n">
        <f aca="false">IF($B30="","",IF(AND(Setup!$B$17&lt;&gt;"",Setup!$E$17&gt;0),IF((N(E30)+N(F30))/Setup!$E$17&lt;Setup!$C$11,1,0),0)+IF(AND(Setup!$B$18&lt;&gt;"",Setup!$E$18&gt;0),IF((N(G30)+N(H30))/Setup!$E$18&lt;Setup!$C$11,1,0),0)+IF(AND(Setup!$B$19&lt;&gt;"",Setup!$E$19&gt;0),IF((N(I30)+N(J30))/Setup!$E$19&lt;Setup!$C$11,1,0),0)+IF(AND(Setup!$B$20&lt;&gt;"",Setup!$E$20&gt;0),IF((N(K30)+N(L30))/Setup!$E$20&lt;Setup!$C$11,1,0),0)+IF(AND(Setup!$B$21&lt;&gt;"",Setup!$E$21&gt;0),IF((N(M30)+N(N30))/Setup!$E$21&lt;Setup!$C$11,1,0),0)+IF(AND(Setup!$B$22&lt;&gt;"",Setup!$E$22&gt;0),IF((N(O30)+N(P30))/Setup!$E$22&lt;Setup!$C$11,1,0),0)+IF(AND(Setup!$B$23&lt;&gt;"",Setup!$E$23&gt;0),IF((N(Q30)+N(R30))/Setup!$E$23&lt;Setup!$C$11,1,0),0)+IF(AND(Setup!$B$24&lt;&gt;"",Setup!$E$24&gt;0),IF((N(S30)+N(T30))/Setup!$E$24&lt;Setup!$C$11,1,0),0))</f>
        <v>3</v>
      </c>
      <c r="Y30" s="38" t="str">
        <f aca="false">IF($B30="","",IF(X30=0,"PASS",IF(X30&lt;=Setup!$C$12,"COMPARTMENT","FAIL")))</f>
        <v>FAIL</v>
      </c>
      <c r="Z30" s="39" t="n">
        <f aca="false">IF($B30="","",COUNTIF($U$7:$U$66,"&gt;"&amp;U30)+1)</f>
        <v>22</v>
      </c>
      <c r="AA30" s="38" t="str">
        <f aca="false">IF($B30="","",INDEX(Setup!$G$5:$G$12,COUNTIF(Setup!$F$5:$F$12,"&gt;"&amp;ROUND(W30,4))+1))</f>
        <v>C1</v>
      </c>
      <c r="AB30" s="52" t="str">
        <f aca="false">IF($B30="","",IF(((N(E30)&gt;N(Setup!$C$17))+(N(F30)&gt;N(Setup!$D$17)) + (N(G30)&gt;N(Setup!$C$18))+(N(H30)&gt;N(Setup!$D$18)) + (N(I30)&gt;N(Setup!$C$19))+(N(J30)&gt;N(Setup!$D$19)) + (N(K30)&gt;N(Setup!$C$20))+(N(L30)&gt;N(Setup!$D$20)) + (N(M30)&gt;N(Setup!$C$21))+(N(N30)&gt;N(Setup!$D$21)) + (N(O30)&gt;N(Setup!$C$22))+(N(P30)&gt;N(Setup!$D$22)) + (N(Q30)&gt;N(Setup!$C$23))+(N(R30)&gt;N(Setup!$D$23)) + (N(S30)&gt;N(Setup!$C$24))+(N(T30)&gt;N(Setup!$D$24)))&gt;0,"⚠ Marks above max",IF(A30="","⚠ Roll no. missing",IF(COUNTIF($A$7:$A$66,A30)&gt;1,"⚠ Duplicate roll no.","✔"))))</f>
        <v>✔</v>
      </c>
      <c r="AC30" s="8" t="n">
        <f aca="false">IF(OR($B30="",Setup!$B$17="",N(Setup!$E$17)=0),"",(N(E30)+N(F30))/Setup!$E$17)</f>
        <v>0.24</v>
      </c>
      <c r="AD30" s="8" t="n">
        <f aca="false">IF(OR($B30="",Setup!$B$18="",N(Setup!$E$18)=0),"",(N(G30)+N(H30))/Setup!$E$18)</f>
        <v>0.93</v>
      </c>
      <c r="AE30" s="8" t="n">
        <f aca="false">IF(OR($B30="",Setup!$B$19="",N(Setup!$E$19)=0),"",(N(I30)+N(J30))/Setup!$E$19)</f>
        <v>0.16</v>
      </c>
      <c r="AF30" s="8" t="n">
        <f aca="false">IF(OR($B30="",Setup!$B$20="",N(Setup!$E$20)=0),"",(N(K30)+N(L30))/Setup!$E$20)</f>
        <v>0.2</v>
      </c>
      <c r="AG30" s="8" t="n">
        <f aca="false">IF(OR($B30="",Setup!$B$21="",N(Setup!$E$21)=0),"",(N(M30)+N(N30))/Setup!$E$21)</f>
        <v>0.9</v>
      </c>
      <c r="AH30" s="8" t="n">
        <f aca="false">IF(OR($B30="",Setup!$B$22="",N(Setup!$E$22)=0),"",(N(O30)+N(P30))/Setup!$E$22)</f>
        <v>1</v>
      </c>
      <c r="AI30" s="8" t="str">
        <f aca="false">IF(OR($B30="",Setup!$B$23="",N(Setup!$E$23)=0),"",(N(Q30)+N(R30))/Setup!$E$23)</f>
        <v/>
      </c>
      <c r="AJ30" s="8" t="str">
        <f aca="false">IF(OR($B30="",Setup!$B$24="",N(Setup!$E$24)=0),"",(N(S30)+N(T30))/Setup!$E$24)</f>
        <v/>
      </c>
      <c r="AK30" s="8" t="n">
        <f aca="false">IF($B30="","",U30+(1000-ROW())/100000)</f>
        <v>343.0097</v>
      </c>
      <c r="AL30" s="8" t="n">
        <f aca="false">IF(AM30=1,SUM($AM$7:AM30),"")</f>
        <v>3</v>
      </c>
      <c r="AM30" s="8" t="n">
        <f aca="false">IF(AND(Y30&lt;&gt;"",Y30&lt;&gt;"PASS"),1,0)</f>
        <v>1</v>
      </c>
    </row>
    <row r="31" customFormat="false" ht="15" hidden="false" customHeight="false" outlineLevel="0" collapsed="false">
      <c r="A31" s="104" t="n">
        <v>125</v>
      </c>
      <c r="B31" s="100" t="s">
        <v>149</v>
      </c>
      <c r="C31" s="100" t="s">
        <v>150</v>
      </c>
      <c r="D31" s="99" t="n">
        <v>112</v>
      </c>
      <c r="E31" s="105" t="n">
        <v>40</v>
      </c>
      <c r="F31" s="105" t="n">
        <v>12</v>
      </c>
      <c r="G31" s="105" t="n">
        <v>39</v>
      </c>
      <c r="H31" s="105" t="n">
        <v>11</v>
      </c>
      <c r="I31" s="105" t="n">
        <v>38</v>
      </c>
      <c r="J31" s="105" t="n">
        <v>13</v>
      </c>
      <c r="K31" s="105" t="n">
        <v>33</v>
      </c>
      <c r="L31" s="105" t="n">
        <v>12</v>
      </c>
      <c r="M31" s="105" t="n">
        <v>40</v>
      </c>
      <c r="N31" s="105" t="n">
        <v>11</v>
      </c>
      <c r="O31" s="105" t="n">
        <v>24</v>
      </c>
      <c r="P31" s="105" t="n">
        <v>31</v>
      </c>
      <c r="Q31" s="105"/>
      <c r="R31" s="105"/>
      <c r="S31" s="105"/>
      <c r="T31" s="105"/>
      <c r="U31" s="49" t="n">
        <f aca="false">IF($B31="","",N(E31)+N(F31)+N(G31)+N(H31)+N(I31)+N(J31)+N(K31)+N(L31)+N(M31)+N(N31)+N(O31)+N(P31)+N(Q31)+N(R31)+N(S31)+N(T31))</f>
        <v>304</v>
      </c>
      <c r="V31" s="50" t="n">
        <f aca="false">IF($B31="","",SUM(Setup!$E$17:$E$24))</f>
        <v>600</v>
      </c>
      <c r="W31" s="51" t="n">
        <f aca="false">IF($B31="","",IFERROR(U31/V31,0))</f>
        <v>0.506666666666667</v>
      </c>
      <c r="X31" s="50" t="n">
        <f aca="false">IF($B31="","",IF(AND(Setup!$B$17&lt;&gt;"",Setup!$E$17&gt;0),IF((N(E31)+N(F31))/Setup!$E$17&lt;Setup!$C$11,1,0),0)+IF(AND(Setup!$B$18&lt;&gt;"",Setup!$E$18&gt;0),IF((N(G31)+N(H31))/Setup!$E$18&lt;Setup!$C$11,1,0),0)+IF(AND(Setup!$B$19&lt;&gt;"",Setup!$E$19&gt;0),IF((N(I31)+N(J31))/Setup!$E$19&lt;Setup!$C$11,1,0),0)+IF(AND(Setup!$B$20&lt;&gt;"",Setup!$E$20&gt;0),IF((N(K31)+N(L31))/Setup!$E$20&lt;Setup!$C$11,1,0),0)+IF(AND(Setup!$B$21&lt;&gt;"",Setup!$E$21&gt;0),IF((N(M31)+N(N31))/Setup!$E$21&lt;Setup!$C$11,1,0),0)+IF(AND(Setup!$B$22&lt;&gt;"",Setup!$E$22&gt;0),IF((N(O31)+N(P31))/Setup!$E$22&lt;Setup!$C$11,1,0),0)+IF(AND(Setup!$B$23&lt;&gt;"",Setup!$E$23&gt;0),IF((N(Q31)+N(R31))/Setup!$E$23&lt;Setup!$C$11,1,0),0)+IF(AND(Setup!$B$24&lt;&gt;"",Setup!$E$24&gt;0),IF((N(S31)+N(T31))/Setup!$E$24&lt;Setup!$C$11,1,0),0))</f>
        <v>0</v>
      </c>
      <c r="Y31" s="38" t="str">
        <f aca="false">IF($B31="","",IF(X31=0,"PASS",IF(X31&lt;=Setup!$C$12,"COMPARTMENT","FAIL")))</f>
        <v>PASS</v>
      </c>
      <c r="Z31" s="39" t="n">
        <f aca="false">IF($B31="","",COUNTIF($U$7:$U$66,"&gt;"&amp;U31)+1)</f>
        <v>23</v>
      </c>
      <c r="AA31" s="38" t="str">
        <f aca="false">IF($B31="","",INDEX(Setup!$G$5:$G$12,COUNTIF(Setup!$F$5:$F$12,"&gt;"&amp;ROUND(W31,4))+1))</f>
        <v>C2</v>
      </c>
      <c r="AB31" s="52" t="str">
        <f aca="false">IF($B31="","",IF(((N(E31)&gt;N(Setup!$C$17))+(N(F31)&gt;N(Setup!$D$17)) + (N(G31)&gt;N(Setup!$C$18))+(N(H31)&gt;N(Setup!$D$18)) + (N(I31)&gt;N(Setup!$C$19))+(N(J31)&gt;N(Setup!$D$19)) + (N(K31)&gt;N(Setup!$C$20))+(N(L31)&gt;N(Setup!$D$20)) + (N(M31)&gt;N(Setup!$C$21))+(N(N31)&gt;N(Setup!$D$21)) + (N(O31)&gt;N(Setup!$C$22))+(N(P31)&gt;N(Setup!$D$22)) + (N(Q31)&gt;N(Setup!$C$23))+(N(R31)&gt;N(Setup!$D$23)) + (N(S31)&gt;N(Setup!$C$24))+(N(T31)&gt;N(Setup!$D$24)))&gt;0,"⚠ Marks above max",IF(A31="","⚠ Roll no. missing",IF(COUNTIF($A$7:$A$66,A31)&gt;1,"⚠ Duplicate roll no.","✔"))))</f>
        <v>✔</v>
      </c>
      <c r="AC31" s="8" t="n">
        <f aca="false">IF(OR($B31="",Setup!$B$17="",N(Setup!$E$17)=0),"",(N(E31)+N(F31))/Setup!$E$17)</f>
        <v>0.52</v>
      </c>
      <c r="AD31" s="8" t="n">
        <f aca="false">IF(OR($B31="",Setup!$B$18="",N(Setup!$E$18)=0),"",(N(G31)+N(H31))/Setup!$E$18)</f>
        <v>0.5</v>
      </c>
      <c r="AE31" s="8" t="n">
        <f aca="false">IF(OR($B31="",Setup!$B$19="",N(Setup!$E$19)=0),"",(N(I31)+N(J31))/Setup!$E$19)</f>
        <v>0.51</v>
      </c>
      <c r="AF31" s="8" t="n">
        <f aca="false">IF(OR($B31="",Setup!$B$20="",N(Setup!$E$20)=0),"",(N(K31)+N(L31))/Setup!$E$20)</f>
        <v>0.45</v>
      </c>
      <c r="AG31" s="8" t="n">
        <f aca="false">IF(OR($B31="",Setup!$B$21="",N(Setup!$E$21)=0),"",(N(M31)+N(N31))/Setup!$E$21)</f>
        <v>0.51</v>
      </c>
      <c r="AH31" s="8" t="n">
        <f aca="false">IF(OR($B31="",Setup!$B$22="",N(Setup!$E$22)=0),"",(N(O31)+N(P31))/Setup!$E$22)</f>
        <v>0.55</v>
      </c>
      <c r="AI31" s="8" t="str">
        <f aca="false">IF(OR($B31="",Setup!$B$23="",N(Setup!$E$23)=0),"",(N(Q31)+N(R31))/Setup!$E$23)</f>
        <v/>
      </c>
      <c r="AJ31" s="8" t="str">
        <f aca="false">IF(OR($B31="",Setup!$B$24="",N(Setup!$E$24)=0),"",(N(S31)+N(T31))/Setup!$E$24)</f>
        <v/>
      </c>
      <c r="AK31" s="8" t="n">
        <f aca="false">IF($B31="","",U31+(1000-ROW())/100000)</f>
        <v>304.00969</v>
      </c>
      <c r="AL31" s="8" t="str">
        <f aca="false">IF(AM31=1,SUM($AM$7:AM31),"")</f>
        <v/>
      </c>
      <c r="AM31" s="8" t="n">
        <f aca="false">IF(AND(Y31&lt;&gt;"",Y31&lt;&gt;"PASS"),1,0)</f>
        <v>0</v>
      </c>
    </row>
    <row r="32" customFormat="false" ht="15" hidden="false" customHeight="false" outlineLevel="0" collapsed="false">
      <c r="A32" s="104"/>
      <c r="B32" s="100"/>
      <c r="C32" s="100"/>
      <c r="D32" s="99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49" t="str">
        <f aca="false">IF($B32="","",N(E32)+N(F32)+N(G32)+N(H32)+N(I32)+N(J32)+N(K32)+N(L32)+N(M32)+N(N32)+N(O32)+N(P32)+N(Q32)+N(R32)+N(S32)+N(T32))</f>
        <v/>
      </c>
      <c r="V32" s="50" t="str">
        <f aca="false">IF($B32="","",SUM(Setup!$E$17:$E$24))</f>
        <v/>
      </c>
      <c r="W32" s="51" t="str">
        <f aca="false">IF($B32="","",IFERROR(U32/V32,0))</f>
        <v/>
      </c>
      <c r="X32" s="50" t="str">
        <f aca="false">IF($B32="","",IF(AND(Setup!$B$17&lt;&gt;"",Setup!$E$17&gt;0),IF((N(E32)+N(F32))/Setup!$E$17&lt;Setup!$C$11,1,0),0)+IF(AND(Setup!$B$18&lt;&gt;"",Setup!$E$18&gt;0),IF((N(G32)+N(H32))/Setup!$E$18&lt;Setup!$C$11,1,0),0)+IF(AND(Setup!$B$19&lt;&gt;"",Setup!$E$19&gt;0),IF((N(I32)+N(J32))/Setup!$E$19&lt;Setup!$C$11,1,0),0)+IF(AND(Setup!$B$20&lt;&gt;"",Setup!$E$20&gt;0),IF((N(K32)+N(L32))/Setup!$E$20&lt;Setup!$C$11,1,0),0)+IF(AND(Setup!$B$21&lt;&gt;"",Setup!$E$21&gt;0),IF((N(M32)+N(N32))/Setup!$E$21&lt;Setup!$C$11,1,0),0)+IF(AND(Setup!$B$22&lt;&gt;"",Setup!$E$22&gt;0),IF((N(O32)+N(P32))/Setup!$E$22&lt;Setup!$C$11,1,0),0)+IF(AND(Setup!$B$23&lt;&gt;"",Setup!$E$23&gt;0),IF((N(Q32)+N(R32))/Setup!$E$23&lt;Setup!$C$11,1,0),0)+IF(AND(Setup!$B$24&lt;&gt;"",Setup!$E$24&gt;0),IF((N(S32)+N(T32))/Setup!$E$24&lt;Setup!$C$11,1,0),0))</f>
        <v/>
      </c>
      <c r="Y32" s="38" t="str">
        <f aca="false">IF($B32="","",IF(X32=0,"PASS",IF(X32&lt;=Setup!$C$12,"COMPARTMENT","FAIL")))</f>
        <v/>
      </c>
      <c r="Z32" s="39" t="str">
        <f aca="false">IF($B32="","",COUNTIF($U$7:$U$66,"&gt;"&amp;U32)+1)</f>
        <v/>
      </c>
      <c r="AA32" s="38" t="str">
        <f aca="false">IF($B32="","",INDEX(Setup!$G$5:$G$12,COUNTIF(Setup!$F$5:$F$12,"&gt;"&amp;ROUND(W32,4))+1))</f>
        <v/>
      </c>
      <c r="AB32" s="52" t="str">
        <f aca="false">IF($B32="","",IF(((N(E32)&gt;N(Setup!$C$17))+(N(F32)&gt;N(Setup!$D$17)) + (N(G32)&gt;N(Setup!$C$18))+(N(H32)&gt;N(Setup!$D$18)) + (N(I32)&gt;N(Setup!$C$19))+(N(J32)&gt;N(Setup!$D$19)) + (N(K32)&gt;N(Setup!$C$20))+(N(L32)&gt;N(Setup!$D$20)) + (N(M32)&gt;N(Setup!$C$21))+(N(N32)&gt;N(Setup!$D$21)) + (N(O32)&gt;N(Setup!$C$22))+(N(P32)&gt;N(Setup!$D$22)) + (N(Q32)&gt;N(Setup!$C$23))+(N(R32)&gt;N(Setup!$D$23)) + (N(S32)&gt;N(Setup!$C$24))+(N(T32)&gt;N(Setup!$D$24)))&gt;0,"⚠ Marks above max",IF(A32="","⚠ Roll no. missing",IF(COUNTIF($A$7:$A$66,A32)&gt;1,"⚠ Duplicate roll no.","✔"))))</f>
        <v/>
      </c>
      <c r="AC32" s="8" t="str">
        <f aca="false">IF(OR($B32="",Setup!$B$17="",N(Setup!$E$17)=0),"",(N(E32)+N(F32))/Setup!$E$17)</f>
        <v/>
      </c>
      <c r="AD32" s="8" t="str">
        <f aca="false">IF(OR($B32="",Setup!$B$18="",N(Setup!$E$18)=0),"",(N(G32)+N(H32))/Setup!$E$18)</f>
        <v/>
      </c>
      <c r="AE32" s="8" t="str">
        <f aca="false">IF(OR($B32="",Setup!$B$19="",N(Setup!$E$19)=0),"",(N(I32)+N(J32))/Setup!$E$19)</f>
        <v/>
      </c>
      <c r="AF32" s="8" t="str">
        <f aca="false">IF(OR($B32="",Setup!$B$20="",N(Setup!$E$20)=0),"",(N(K32)+N(L32))/Setup!$E$20)</f>
        <v/>
      </c>
      <c r="AG32" s="8" t="str">
        <f aca="false">IF(OR($B32="",Setup!$B$21="",N(Setup!$E$21)=0),"",(N(M32)+N(N32))/Setup!$E$21)</f>
        <v/>
      </c>
      <c r="AH32" s="8" t="str">
        <f aca="false">IF(OR($B32="",Setup!$B$22="",N(Setup!$E$22)=0),"",(N(O32)+N(P32))/Setup!$E$22)</f>
        <v/>
      </c>
      <c r="AI32" s="8" t="str">
        <f aca="false">IF(OR($B32="",Setup!$B$23="",N(Setup!$E$23)=0),"",(N(Q32)+N(R32))/Setup!$E$23)</f>
        <v/>
      </c>
      <c r="AJ32" s="8" t="str">
        <f aca="false">IF(OR($B32="",Setup!$B$24="",N(Setup!$E$24)=0),"",(N(S32)+N(T32))/Setup!$E$24)</f>
        <v/>
      </c>
      <c r="AK32" s="8" t="str">
        <f aca="false">IF($B32="","",U32+(1000-ROW())/100000)</f>
        <v/>
      </c>
      <c r="AL32" s="8" t="str">
        <f aca="false">IF(AM32=1,SUM($AM$7:AM32),"")</f>
        <v/>
      </c>
      <c r="AM32" s="8" t="n">
        <f aca="false">IF(AND(Y32&lt;&gt;"",Y32&lt;&gt;"PASS"),1,0)</f>
        <v>0</v>
      </c>
    </row>
    <row r="33" customFormat="false" ht="15" hidden="false" customHeight="false" outlineLevel="0" collapsed="false">
      <c r="A33" s="104"/>
      <c r="B33" s="100"/>
      <c r="C33" s="100"/>
      <c r="D33" s="99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49" t="str">
        <f aca="false">IF($B33="","",N(E33)+N(F33)+N(G33)+N(H33)+N(I33)+N(J33)+N(K33)+N(L33)+N(M33)+N(N33)+N(O33)+N(P33)+N(Q33)+N(R33)+N(S33)+N(T33))</f>
        <v/>
      </c>
      <c r="V33" s="50" t="str">
        <f aca="false">IF($B33="","",SUM(Setup!$E$17:$E$24))</f>
        <v/>
      </c>
      <c r="W33" s="51" t="str">
        <f aca="false">IF($B33="","",IFERROR(U33/V33,0))</f>
        <v/>
      </c>
      <c r="X33" s="50" t="str">
        <f aca="false">IF($B33="","",IF(AND(Setup!$B$17&lt;&gt;"",Setup!$E$17&gt;0),IF((N(E33)+N(F33))/Setup!$E$17&lt;Setup!$C$11,1,0),0)+IF(AND(Setup!$B$18&lt;&gt;"",Setup!$E$18&gt;0),IF((N(G33)+N(H33))/Setup!$E$18&lt;Setup!$C$11,1,0),0)+IF(AND(Setup!$B$19&lt;&gt;"",Setup!$E$19&gt;0),IF((N(I33)+N(J33))/Setup!$E$19&lt;Setup!$C$11,1,0),0)+IF(AND(Setup!$B$20&lt;&gt;"",Setup!$E$20&gt;0),IF((N(K33)+N(L33))/Setup!$E$20&lt;Setup!$C$11,1,0),0)+IF(AND(Setup!$B$21&lt;&gt;"",Setup!$E$21&gt;0),IF((N(M33)+N(N33))/Setup!$E$21&lt;Setup!$C$11,1,0),0)+IF(AND(Setup!$B$22&lt;&gt;"",Setup!$E$22&gt;0),IF((N(O33)+N(P33))/Setup!$E$22&lt;Setup!$C$11,1,0),0)+IF(AND(Setup!$B$23&lt;&gt;"",Setup!$E$23&gt;0),IF((N(Q33)+N(R33))/Setup!$E$23&lt;Setup!$C$11,1,0),0)+IF(AND(Setup!$B$24&lt;&gt;"",Setup!$E$24&gt;0),IF((N(S33)+N(T33))/Setup!$E$24&lt;Setup!$C$11,1,0),0))</f>
        <v/>
      </c>
      <c r="Y33" s="38" t="str">
        <f aca="false">IF($B33="","",IF(X33=0,"PASS",IF(X33&lt;=Setup!$C$12,"COMPARTMENT","FAIL")))</f>
        <v/>
      </c>
      <c r="Z33" s="39" t="str">
        <f aca="false">IF($B33="","",COUNTIF($U$7:$U$66,"&gt;"&amp;U33)+1)</f>
        <v/>
      </c>
      <c r="AA33" s="38" t="str">
        <f aca="false">IF($B33="","",INDEX(Setup!$G$5:$G$12,COUNTIF(Setup!$F$5:$F$12,"&gt;"&amp;ROUND(W33,4))+1))</f>
        <v/>
      </c>
      <c r="AB33" s="52" t="str">
        <f aca="false">IF($B33="","",IF(((N(E33)&gt;N(Setup!$C$17))+(N(F33)&gt;N(Setup!$D$17)) + (N(G33)&gt;N(Setup!$C$18))+(N(H33)&gt;N(Setup!$D$18)) + (N(I33)&gt;N(Setup!$C$19))+(N(J33)&gt;N(Setup!$D$19)) + (N(K33)&gt;N(Setup!$C$20))+(N(L33)&gt;N(Setup!$D$20)) + (N(M33)&gt;N(Setup!$C$21))+(N(N33)&gt;N(Setup!$D$21)) + (N(O33)&gt;N(Setup!$C$22))+(N(P33)&gt;N(Setup!$D$22)) + (N(Q33)&gt;N(Setup!$C$23))+(N(R33)&gt;N(Setup!$D$23)) + (N(S33)&gt;N(Setup!$C$24))+(N(T33)&gt;N(Setup!$D$24)))&gt;0,"⚠ Marks above max",IF(A33="","⚠ Roll no. missing",IF(COUNTIF($A$7:$A$66,A33)&gt;1,"⚠ Duplicate roll no.","✔"))))</f>
        <v/>
      </c>
      <c r="AC33" s="8" t="str">
        <f aca="false">IF(OR($B33="",Setup!$B$17="",N(Setup!$E$17)=0),"",(N(E33)+N(F33))/Setup!$E$17)</f>
        <v/>
      </c>
      <c r="AD33" s="8" t="str">
        <f aca="false">IF(OR($B33="",Setup!$B$18="",N(Setup!$E$18)=0),"",(N(G33)+N(H33))/Setup!$E$18)</f>
        <v/>
      </c>
      <c r="AE33" s="8" t="str">
        <f aca="false">IF(OR($B33="",Setup!$B$19="",N(Setup!$E$19)=0),"",(N(I33)+N(J33))/Setup!$E$19)</f>
        <v/>
      </c>
      <c r="AF33" s="8" t="str">
        <f aca="false">IF(OR($B33="",Setup!$B$20="",N(Setup!$E$20)=0),"",(N(K33)+N(L33))/Setup!$E$20)</f>
        <v/>
      </c>
      <c r="AG33" s="8" t="str">
        <f aca="false">IF(OR($B33="",Setup!$B$21="",N(Setup!$E$21)=0),"",(N(M33)+N(N33))/Setup!$E$21)</f>
        <v/>
      </c>
      <c r="AH33" s="8" t="str">
        <f aca="false">IF(OR($B33="",Setup!$B$22="",N(Setup!$E$22)=0),"",(N(O33)+N(P33))/Setup!$E$22)</f>
        <v/>
      </c>
      <c r="AI33" s="8" t="str">
        <f aca="false">IF(OR($B33="",Setup!$B$23="",N(Setup!$E$23)=0),"",(N(Q33)+N(R33))/Setup!$E$23)</f>
        <v/>
      </c>
      <c r="AJ33" s="8" t="str">
        <f aca="false">IF(OR($B33="",Setup!$B$24="",N(Setup!$E$24)=0),"",(N(S33)+N(T33))/Setup!$E$24)</f>
        <v/>
      </c>
      <c r="AK33" s="8" t="str">
        <f aca="false">IF($B33="","",U33+(1000-ROW())/100000)</f>
        <v/>
      </c>
      <c r="AL33" s="8" t="str">
        <f aca="false">IF(AM33=1,SUM($AM$7:AM33),"")</f>
        <v/>
      </c>
      <c r="AM33" s="8" t="n">
        <f aca="false">IF(AND(Y33&lt;&gt;"",Y33&lt;&gt;"PASS"),1,0)</f>
        <v>0</v>
      </c>
    </row>
    <row r="34" customFormat="false" ht="15" hidden="false" customHeight="false" outlineLevel="0" collapsed="false">
      <c r="A34" s="104"/>
      <c r="B34" s="100"/>
      <c r="C34" s="100"/>
      <c r="D34" s="99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49" t="str">
        <f aca="false">IF($B34="","",N(E34)+N(F34)+N(G34)+N(H34)+N(I34)+N(J34)+N(K34)+N(L34)+N(M34)+N(N34)+N(O34)+N(P34)+N(Q34)+N(R34)+N(S34)+N(T34))</f>
        <v/>
      </c>
      <c r="V34" s="50" t="str">
        <f aca="false">IF($B34="","",SUM(Setup!$E$17:$E$24))</f>
        <v/>
      </c>
      <c r="W34" s="51" t="str">
        <f aca="false">IF($B34="","",IFERROR(U34/V34,0))</f>
        <v/>
      </c>
      <c r="X34" s="50" t="str">
        <f aca="false">IF($B34="","",IF(AND(Setup!$B$17&lt;&gt;"",Setup!$E$17&gt;0),IF((N(E34)+N(F34))/Setup!$E$17&lt;Setup!$C$11,1,0),0)+IF(AND(Setup!$B$18&lt;&gt;"",Setup!$E$18&gt;0),IF((N(G34)+N(H34))/Setup!$E$18&lt;Setup!$C$11,1,0),0)+IF(AND(Setup!$B$19&lt;&gt;"",Setup!$E$19&gt;0),IF((N(I34)+N(J34))/Setup!$E$19&lt;Setup!$C$11,1,0),0)+IF(AND(Setup!$B$20&lt;&gt;"",Setup!$E$20&gt;0),IF((N(K34)+N(L34))/Setup!$E$20&lt;Setup!$C$11,1,0),0)+IF(AND(Setup!$B$21&lt;&gt;"",Setup!$E$21&gt;0),IF((N(M34)+N(N34))/Setup!$E$21&lt;Setup!$C$11,1,0),0)+IF(AND(Setup!$B$22&lt;&gt;"",Setup!$E$22&gt;0),IF((N(O34)+N(P34))/Setup!$E$22&lt;Setup!$C$11,1,0),0)+IF(AND(Setup!$B$23&lt;&gt;"",Setup!$E$23&gt;0),IF((N(Q34)+N(R34))/Setup!$E$23&lt;Setup!$C$11,1,0),0)+IF(AND(Setup!$B$24&lt;&gt;"",Setup!$E$24&gt;0),IF((N(S34)+N(T34))/Setup!$E$24&lt;Setup!$C$11,1,0),0))</f>
        <v/>
      </c>
      <c r="Y34" s="38" t="str">
        <f aca="false">IF($B34="","",IF(X34=0,"PASS",IF(X34&lt;=Setup!$C$12,"COMPARTMENT","FAIL")))</f>
        <v/>
      </c>
      <c r="Z34" s="39" t="str">
        <f aca="false">IF($B34="","",COUNTIF($U$7:$U$66,"&gt;"&amp;U34)+1)</f>
        <v/>
      </c>
      <c r="AA34" s="38" t="str">
        <f aca="false">IF($B34="","",INDEX(Setup!$G$5:$G$12,COUNTIF(Setup!$F$5:$F$12,"&gt;"&amp;ROUND(W34,4))+1))</f>
        <v/>
      </c>
      <c r="AB34" s="52" t="str">
        <f aca="false">IF($B34="","",IF(((N(E34)&gt;N(Setup!$C$17))+(N(F34)&gt;N(Setup!$D$17)) + (N(G34)&gt;N(Setup!$C$18))+(N(H34)&gt;N(Setup!$D$18)) + (N(I34)&gt;N(Setup!$C$19))+(N(J34)&gt;N(Setup!$D$19)) + (N(K34)&gt;N(Setup!$C$20))+(N(L34)&gt;N(Setup!$D$20)) + (N(M34)&gt;N(Setup!$C$21))+(N(N34)&gt;N(Setup!$D$21)) + (N(O34)&gt;N(Setup!$C$22))+(N(P34)&gt;N(Setup!$D$22)) + (N(Q34)&gt;N(Setup!$C$23))+(N(R34)&gt;N(Setup!$D$23)) + (N(S34)&gt;N(Setup!$C$24))+(N(T34)&gt;N(Setup!$D$24)))&gt;0,"⚠ Marks above max",IF(A34="","⚠ Roll no. missing",IF(COUNTIF($A$7:$A$66,A34)&gt;1,"⚠ Duplicate roll no.","✔"))))</f>
        <v/>
      </c>
      <c r="AC34" s="8" t="str">
        <f aca="false">IF(OR($B34="",Setup!$B$17="",N(Setup!$E$17)=0),"",(N(E34)+N(F34))/Setup!$E$17)</f>
        <v/>
      </c>
      <c r="AD34" s="8" t="str">
        <f aca="false">IF(OR($B34="",Setup!$B$18="",N(Setup!$E$18)=0),"",(N(G34)+N(H34))/Setup!$E$18)</f>
        <v/>
      </c>
      <c r="AE34" s="8" t="str">
        <f aca="false">IF(OR($B34="",Setup!$B$19="",N(Setup!$E$19)=0),"",(N(I34)+N(J34))/Setup!$E$19)</f>
        <v/>
      </c>
      <c r="AF34" s="8" t="str">
        <f aca="false">IF(OR($B34="",Setup!$B$20="",N(Setup!$E$20)=0),"",(N(K34)+N(L34))/Setup!$E$20)</f>
        <v/>
      </c>
      <c r="AG34" s="8" t="str">
        <f aca="false">IF(OR($B34="",Setup!$B$21="",N(Setup!$E$21)=0),"",(N(M34)+N(N34))/Setup!$E$21)</f>
        <v/>
      </c>
      <c r="AH34" s="8" t="str">
        <f aca="false">IF(OR($B34="",Setup!$B$22="",N(Setup!$E$22)=0),"",(N(O34)+N(P34))/Setup!$E$22)</f>
        <v/>
      </c>
      <c r="AI34" s="8" t="str">
        <f aca="false">IF(OR($B34="",Setup!$B$23="",N(Setup!$E$23)=0),"",(N(Q34)+N(R34))/Setup!$E$23)</f>
        <v/>
      </c>
      <c r="AJ34" s="8" t="str">
        <f aca="false">IF(OR($B34="",Setup!$B$24="",N(Setup!$E$24)=0),"",(N(S34)+N(T34))/Setup!$E$24)</f>
        <v/>
      </c>
      <c r="AK34" s="8" t="str">
        <f aca="false">IF($B34="","",U34+(1000-ROW())/100000)</f>
        <v/>
      </c>
      <c r="AL34" s="8" t="str">
        <f aca="false">IF(AM34=1,SUM($AM$7:AM34),"")</f>
        <v/>
      </c>
      <c r="AM34" s="8" t="n">
        <f aca="false">IF(AND(Y34&lt;&gt;"",Y34&lt;&gt;"PASS"),1,0)</f>
        <v>0</v>
      </c>
    </row>
    <row r="35" customFormat="false" ht="15" hidden="false" customHeight="false" outlineLevel="0" collapsed="false">
      <c r="A35" s="104"/>
      <c r="B35" s="100"/>
      <c r="C35" s="100"/>
      <c r="D35" s="99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49" t="str">
        <f aca="false">IF($B35="","",N(E35)+N(F35)+N(G35)+N(H35)+N(I35)+N(J35)+N(K35)+N(L35)+N(M35)+N(N35)+N(O35)+N(P35)+N(Q35)+N(R35)+N(S35)+N(T35))</f>
        <v/>
      </c>
      <c r="V35" s="50" t="str">
        <f aca="false">IF($B35="","",SUM(Setup!$E$17:$E$24))</f>
        <v/>
      </c>
      <c r="W35" s="51" t="str">
        <f aca="false">IF($B35="","",IFERROR(U35/V35,0))</f>
        <v/>
      </c>
      <c r="X35" s="50" t="str">
        <f aca="false">IF($B35="","",IF(AND(Setup!$B$17&lt;&gt;"",Setup!$E$17&gt;0),IF((N(E35)+N(F35))/Setup!$E$17&lt;Setup!$C$11,1,0),0)+IF(AND(Setup!$B$18&lt;&gt;"",Setup!$E$18&gt;0),IF((N(G35)+N(H35))/Setup!$E$18&lt;Setup!$C$11,1,0),0)+IF(AND(Setup!$B$19&lt;&gt;"",Setup!$E$19&gt;0),IF((N(I35)+N(J35))/Setup!$E$19&lt;Setup!$C$11,1,0),0)+IF(AND(Setup!$B$20&lt;&gt;"",Setup!$E$20&gt;0),IF((N(K35)+N(L35))/Setup!$E$20&lt;Setup!$C$11,1,0),0)+IF(AND(Setup!$B$21&lt;&gt;"",Setup!$E$21&gt;0),IF((N(M35)+N(N35))/Setup!$E$21&lt;Setup!$C$11,1,0),0)+IF(AND(Setup!$B$22&lt;&gt;"",Setup!$E$22&gt;0),IF((N(O35)+N(P35))/Setup!$E$22&lt;Setup!$C$11,1,0),0)+IF(AND(Setup!$B$23&lt;&gt;"",Setup!$E$23&gt;0),IF((N(Q35)+N(R35))/Setup!$E$23&lt;Setup!$C$11,1,0),0)+IF(AND(Setup!$B$24&lt;&gt;"",Setup!$E$24&gt;0),IF((N(S35)+N(T35))/Setup!$E$24&lt;Setup!$C$11,1,0),0))</f>
        <v/>
      </c>
      <c r="Y35" s="38" t="str">
        <f aca="false">IF($B35="","",IF(X35=0,"PASS",IF(X35&lt;=Setup!$C$12,"COMPARTMENT","FAIL")))</f>
        <v/>
      </c>
      <c r="Z35" s="39" t="str">
        <f aca="false">IF($B35="","",COUNTIF($U$7:$U$66,"&gt;"&amp;U35)+1)</f>
        <v/>
      </c>
      <c r="AA35" s="38" t="str">
        <f aca="false">IF($B35="","",INDEX(Setup!$G$5:$G$12,COUNTIF(Setup!$F$5:$F$12,"&gt;"&amp;ROUND(W35,4))+1))</f>
        <v/>
      </c>
      <c r="AB35" s="52" t="str">
        <f aca="false">IF($B35="","",IF(((N(E35)&gt;N(Setup!$C$17))+(N(F35)&gt;N(Setup!$D$17)) + (N(G35)&gt;N(Setup!$C$18))+(N(H35)&gt;N(Setup!$D$18)) + (N(I35)&gt;N(Setup!$C$19))+(N(J35)&gt;N(Setup!$D$19)) + (N(K35)&gt;N(Setup!$C$20))+(N(L35)&gt;N(Setup!$D$20)) + (N(M35)&gt;N(Setup!$C$21))+(N(N35)&gt;N(Setup!$D$21)) + (N(O35)&gt;N(Setup!$C$22))+(N(P35)&gt;N(Setup!$D$22)) + (N(Q35)&gt;N(Setup!$C$23))+(N(R35)&gt;N(Setup!$D$23)) + (N(S35)&gt;N(Setup!$C$24))+(N(T35)&gt;N(Setup!$D$24)))&gt;0,"⚠ Marks above max",IF(A35="","⚠ Roll no. missing",IF(COUNTIF($A$7:$A$66,A35)&gt;1,"⚠ Duplicate roll no.","✔"))))</f>
        <v/>
      </c>
      <c r="AC35" s="8" t="str">
        <f aca="false">IF(OR($B35="",Setup!$B$17="",N(Setup!$E$17)=0),"",(N(E35)+N(F35))/Setup!$E$17)</f>
        <v/>
      </c>
      <c r="AD35" s="8" t="str">
        <f aca="false">IF(OR($B35="",Setup!$B$18="",N(Setup!$E$18)=0),"",(N(G35)+N(H35))/Setup!$E$18)</f>
        <v/>
      </c>
      <c r="AE35" s="8" t="str">
        <f aca="false">IF(OR($B35="",Setup!$B$19="",N(Setup!$E$19)=0),"",(N(I35)+N(J35))/Setup!$E$19)</f>
        <v/>
      </c>
      <c r="AF35" s="8" t="str">
        <f aca="false">IF(OR($B35="",Setup!$B$20="",N(Setup!$E$20)=0),"",(N(K35)+N(L35))/Setup!$E$20)</f>
        <v/>
      </c>
      <c r="AG35" s="8" t="str">
        <f aca="false">IF(OR($B35="",Setup!$B$21="",N(Setup!$E$21)=0),"",(N(M35)+N(N35))/Setup!$E$21)</f>
        <v/>
      </c>
      <c r="AH35" s="8" t="str">
        <f aca="false">IF(OR($B35="",Setup!$B$22="",N(Setup!$E$22)=0),"",(N(O35)+N(P35))/Setup!$E$22)</f>
        <v/>
      </c>
      <c r="AI35" s="8" t="str">
        <f aca="false">IF(OR($B35="",Setup!$B$23="",N(Setup!$E$23)=0),"",(N(Q35)+N(R35))/Setup!$E$23)</f>
        <v/>
      </c>
      <c r="AJ35" s="8" t="str">
        <f aca="false">IF(OR($B35="",Setup!$B$24="",N(Setup!$E$24)=0),"",(N(S35)+N(T35))/Setup!$E$24)</f>
        <v/>
      </c>
      <c r="AK35" s="8" t="str">
        <f aca="false">IF($B35="","",U35+(1000-ROW())/100000)</f>
        <v/>
      </c>
      <c r="AL35" s="8" t="str">
        <f aca="false">IF(AM35=1,SUM($AM$7:AM35),"")</f>
        <v/>
      </c>
      <c r="AM35" s="8" t="n">
        <f aca="false">IF(AND(Y35&lt;&gt;"",Y35&lt;&gt;"PASS"),1,0)</f>
        <v>0</v>
      </c>
    </row>
    <row r="36" customFormat="false" ht="15" hidden="false" customHeight="false" outlineLevel="0" collapsed="false">
      <c r="A36" s="104"/>
      <c r="B36" s="100"/>
      <c r="C36" s="100"/>
      <c r="D36" s="99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49" t="str">
        <f aca="false">IF($B36="","",N(E36)+N(F36)+N(G36)+N(H36)+N(I36)+N(J36)+N(K36)+N(L36)+N(M36)+N(N36)+N(O36)+N(P36)+N(Q36)+N(R36)+N(S36)+N(T36))</f>
        <v/>
      </c>
      <c r="V36" s="50" t="str">
        <f aca="false">IF($B36="","",SUM(Setup!$E$17:$E$24))</f>
        <v/>
      </c>
      <c r="W36" s="51" t="str">
        <f aca="false">IF($B36="","",IFERROR(U36/V36,0))</f>
        <v/>
      </c>
      <c r="X36" s="50" t="str">
        <f aca="false">IF($B36="","",IF(AND(Setup!$B$17&lt;&gt;"",Setup!$E$17&gt;0),IF((N(E36)+N(F36))/Setup!$E$17&lt;Setup!$C$11,1,0),0)+IF(AND(Setup!$B$18&lt;&gt;"",Setup!$E$18&gt;0),IF((N(G36)+N(H36))/Setup!$E$18&lt;Setup!$C$11,1,0),0)+IF(AND(Setup!$B$19&lt;&gt;"",Setup!$E$19&gt;0),IF((N(I36)+N(J36))/Setup!$E$19&lt;Setup!$C$11,1,0),0)+IF(AND(Setup!$B$20&lt;&gt;"",Setup!$E$20&gt;0),IF((N(K36)+N(L36))/Setup!$E$20&lt;Setup!$C$11,1,0),0)+IF(AND(Setup!$B$21&lt;&gt;"",Setup!$E$21&gt;0),IF((N(M36)+N(N36))/Setup!$E$21&lt;Setup!$C$11,1,0),0)+IF(AND(Setup!$B$22&lt;&gt;"",Setup!$E$22&gt;0),IF((N(O36)+N(P36))/Setup!$E$22&lt;Setup!$C$11,1,0),0)+IF(AND(Setup!$B$23&lt;&gt;"",Setup!$E$23&gt;0),IF((N(Q36)+N(R36))/Setup!$E$23&lt;Setup!$C$11,1,0),0)+IF(AND(Setup!$B$24&lt;&gt;"",Setup!$E$24&gt;0),IF((N(S36)+N(T36))/Setup!$E$24&lt;Setup!$C$11,1,0),0))</f>
        <v/>
      </c>
      <c r="Y36" s="38" t="str">
        <f aca="false">IF($B36="","",IF(X36=0,"PASS",IF(X36&lt;=Setup!$C$12,"COMPARTMENT","FAIL")))</f>
        <v/>
      </c>
      <c r="Z36" s="39" t="str">
        <f aca="false">IF($B36="","",COUNTIF($U$7:$U$66,"&gt;"&amp;U36)+1)</f>
        <v/>
      </c>
      <c r="AA36" s="38" t="str">
        <f aca="false">IF($B36="","",INDEX(Setup!$G$5:$G$12,COUNTIF(Setup!$F$5:$F$12,"&gt;"&amp;ROUND(W36,4))+1))</f>
        <v/>
      </c>
      <c r="AB36" s="52" t="str">
        <f aca="false">IF($B36="","",IF(((N(E36)&gt;N(Setup!$C$17))+(N(F36)&gt;N(Setup!$D$17)) + (N(G36)&gt;N(Setup!$C$18))+(N(H36)&gt;N(Setup!$D$18)) + (N(I36)&gt;N(Setup!$C$19))+(N(J36)&gt;N(Setup!$D$19)) + (N(K36)&gt;N(Setup!$C$20))+(N(L36)&gt;N(Setup!$D$20)) + (N(M36)&gt;N(Setup!$C$21))+(N(N36)&gt;N(Setup!$D$21)) + (N(O36)&gt;N(Setup!$C$22))+(N(P36)&gt;N(Setup!$D$22)) + (N(Q36)&gt;N(Setup!$C$23))+(N(R36)&gt;N(Setup!$D$23)) + (N(S36)&gt;N(Setup!$C$24))+(N(T36)&gt;N(Setup!$D$24)))&gt;0,"⚠ Marks above max",IF(A36="","⚠ Roll no. missing",IF(COUNTIF($A$7:$A$66,A36)&gt;1,"⚠ Duplicate roll no.","✔"))))</f>
        <v/>
      </c>
      <c r="AC36" s="8" t="str">
        <f aca="false">IF(OR($B36="",Setup!$B$17="",N(Setup!$E$17)=0),"",(N(E36)+N(F36))/Setup!$E$17)</f>
        <v/>
      </c>
      <c r="AD36" s="8" t="str">
        <f aca="false">IF(OR($B36="",Setup!$B$18="",N(Setup!$E$18)=0),"",(N(G36)+N(H36))/Setup!$E$18)</f>
        <v/>
      </c>
      <c r="AE36" s="8" t="str">
        <f aca="false">IF(OR($B36="",Setup!$B$19="",N(Setup!$E$19)=0),"",(N(I36)+N(J36))/Setup!$E$19)</f>
        <v/>
      </c>
      <c r="AF36" s="8" t="str">
        <f aca="false">IF(OR($B36="",Setup!$B$20="",N(Setup!$E$20)=0),"",(N(K36)+N(L36))/Setup!$E$20)</f>
        <v/>
      </c>
      <c r="AG36" s="8" t="str">
        <f aca="false">IF(OR($B36="",Setup!$B$21="",N(Setup!$E$21)=0),"",(N(M36)+N(N36))/Setup!$E$21)</f>
        <v/>
      </c>
      <c r="AH36" s="8" t="str">
        <f aca="false">IF(OR($B36="",Setup!$B$22="",N(Setup!$E$22)=0),"",(N(O36)+N(P36))/Setup!$E$22)</f>
        <v/>
      </c>
      <c r="AI36" s="8" t="str">
        <f aca="false">IF(OR($B36="",Setup!$B$23="",N(Setup!$E$23)=0),"",(N(Q36)+N(R36))/Setup!$E$23)</f>
        <v/>
      </c>
      <c r="AJ36" s="8" t="str">
        <f aca="false">IF(OR($B36="",Setup!$B$24="",N(Setup!$E$24)=0),"",(N(S36)+N(T36))/Setup!$E$24)</f>
        <v/>
      </c>
      <c r="AK36" s="8" t="str">
        <f aca="false">IF($B36="","",U36+(1000-ROW())/100000)</f>
        <v/>
      </c>
      <c r="AL36" s="8" t="str">
        <f aca="false">IF(AM36=1,SUM($AM$7:AM36),"")</f>
        <v/>
      </c>
      <c r="AM36" s="8" t="n">
        <f aca="false">IF(AND(Y36&lt;&gt;"",Y36&lt;&gt;"PASS"),1,0)</f>
        <v>0</v>
      </c>
    </row>
    <row r="37" customFormat="false" ht="15" hidden="false" customHeight="false" outlineLevel="0" collapsed="false">
      <c r="A37" s="104"/>
      <c r="B37" s="100"/>
      <c r="C37" s="100"/>
      <c r="D37" s="99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49" t="str">
        <f aca="false">IF($B37="","",N(E37)+N(F37)+N(G37)+N(H37)+N(I37)+N(J37)+N(K37)+N(L37)+N(M37)+N(N37)+N(O37)+N(P37)+N(Q37)+N(R37)+N(S37)+N(T37))</f>
        <v/>
      </c>
      <c r="V37" s="50" t="str">
        <f aca="false">IF($B37="","",SUM(Setup!$E$17:$E$24))</f>
        <v/>
      </c>
      <c r="W37" s="51" t="str">
        <f aca="false">IF($B37="","",IFERROR(U37/V37,0))</f>
        <v/>
      </c>
      <c r="X37" s="50" t="str">
        <f aca="false">IF($B37="","",IF(AND(Setup!$B$17&lt;&gt;"",Setup!$E$17&gt;0),IF((N(E37)+N(F37))/Setup!$E$17&lt;Setup!$C$11,1,0),0)+IF(AND(Setup!$B$18&lt;&gt;"",Setup!$E$18&gt;0),IF((N(G37)+N(H37))/Setup!$E$18&lt;Setup!$C$11,1,0),0)+IF(AND(Setup!$B$19&lt;&gt;"",Setup!$E$19&gt;0),IF((N(I37)+N(J37))/Setup!$E$19&lt;Setup!$C$11,1,0),0)+IF(AND(Setup!$B$20&lt;&gt;"",Setup!$E$20&gt;0),IF((N(K37)+N(L37))/Setup!$E$20&lt;Setup!$C$11,1,0),0)+IF(AND(Setup!$B$21&lt;&gt;"",Setup!$E$21&gt;0),IF((N(M37)+N(N37))/Setup!$E$21&lt;Setup!$C$11,1,0),0)+IF(AND(Setup!$B$22&lt;&gt;"",Setup!$E$22&gt;0),IF((N(O37)+N(P37))/Setup!$E$22&lt;Setup!$C$11,1,0),0)+IF(AND(Setup!$B$23&lt;&gt;"",Setup!$E$23&gt;0),IF((N(Q37)+N(R37))/Setup!$E$23&lt;Setup!$C$11,1,0),0)+IF(AND(Setup!$B$24&lt;&gt;"",Setup!$E$24&gt;0),IF((N(S37)+N(T37))/Setup!$E$24&lt;Setup!$C$11,1,0),0))</f>
        <v/>
      </c>
      <c r="Y37" s="38" t="str">
        <f aca="false">IF($B37="","",IF(X37=0,"PASS",IF(X37&lt;=Setup!$C$12,"COMPARTMENT","FAIL")))</f>
        <v/>
      </c>
      <c r="Z37" s="39" t="str">
        <f aca="false">IF($B37="","",COUNTIF($U$7:$U$66,"&gt;"&amp;U37)+1)</f>
        <v/>
      </c>
      <c r="AA37" s="38" t="str">
        <f aca="false">IF($B37="","",INDEX(Setup!$G$5:$G$12,COUNTIF(Setup!$F$5:$F$12,"&gt;"&amp;ROUND(W37,4))+1))</f>
        <v/>
      </c>
      <c r="AB37" s="52" t="str">
        <f aca="false">IF($B37="","",IF(((N(E37)&gt;N(Setup!$C$17))+(N(F37)&gt;N(Setup!$D$17)) + (N(G37)&gt;N(Setup!$C$18))+(N(H37)&gt;N(Setup!$D$18)) + (N(I37)&gt;N(Setup!$C$19))+(N(J37)&gt;N(Setup!$D$19)) + (N(K37)&gt;N(Setup!$C$20))+(N(L37)&gt;N(Setup!$D$20)) + (N(M37)&gt;N(Setup!$C$21))+(N(N37)&gt;N(Setup!$D$21)) + (N(O37)&gt;N(Setup!$C$22))+(N(P37)&gt;N(Setup!$D$22)) + (N(Q37)&gt;N(Setup!$C$23))+(N(R37)&gt;N(Setup!$D$23)) + (N(S37)&gt;N(Setup!$C$24))+(N(T37)&gt;N(Setup!$D$24)))&gt;0,"⚠ Marks above max",IF(A37="","⚠ Roll no. missing",IF(COUNTIF($A$7:$A$66,A37)&gt;1,"⚠ Duplicate roll no.","✔"))))</f>
        <v/>
      </c>
      <c r="AC37" s="8" t="str">
        <f aca="false">IF(OR($B37="",Setup!$B$17="",N(Setup!$E$17)=0),"",(N(E37)+N(F37))/Setup!$E$17)</f>
        <v/>
      </c>
      <c r="AD37" s="8" t="str">
        <f aca="false">IF(OR($B37="",Setup!$B$18="",N(Setup!$E$18)=0),"",(N(G37)+N(H37))/Setup!$E$18)</f>
        <v/>
      </c>
      <c r="AE37" s="8" t="str">
        <f aca="false">IF(OR($B37="",Setup!$B$19="",N(Setup!$E$19)=0),"",(N(I37)+N(J37))/Setup!$E$19)</f>
        <v/>
      </c>
      <c r="AF37" s="8" t="str">
        <f aca="false">IF(OR($B37="",Setup!$B$20="",N(Setup!$E$20)=0),"",(N(K37)+N(L37))/Setup!$E$20)</f>
        <v/>
      </c>
      <c r="AG37" s="8" t="str">
        <f aca="false">IF(OR($B37="",Setup!$B$21="",N(Setup!$E$21)=0),"",(N(M37)+N(N37))/Setup!$E$21)</f>
        <v/>
      </c>
      <c r="AH37" s="8" t="str">
        <f aca="false">IF(OR($B37="",Setup!$B$22="",N(Setup!$E$22)=0),"",(N(O37)+N(P37))/Setup!$E$22)</f>
        <v/>
      </c>
      <c r="AI37" s="8" t="str">
        <f aca="false">IF(OR($B37="",Setup!$B$23="",N(Setup!$E$23)=0),"",(N(Q37)+N(R37))/Setup!$E$23)</f>
        <v/>
      </c>
      <c r="AJ37" s="8" t="str">
        <f aca="false">IF(OR($B37="",Setup!$B$24="",N(Setup!$E$24)=0),"",(N(S37)+N(T37))/Setup!$E$24)</f>
        <v/>
      </c>
      <c r="AK37" s="8" t="str">
        <f aca="false">IF($B37="","",U37+(1000-ROW())/100000)</f>
        <v/>
      </c>
      <c r="AL37" s="8" t="str">
        <f aca="false">IF(AM37=1,SUM($AM$7:AM37),"")</f>
        <v/>
      </c>
      <c r="AM37" s="8" t="n">
        <f aca="false">IF(AND(Y37&lt;&gt;"",Y37&lt;&gt;"PASS"),1,0)</f>
        <v>0</v>
      </c>
    </row>
    <row r="38" customFormat="false" ht="15" hidden="false" customHeight="false" outlineLevel="0" collapsed="false">
      <c r="A38" s="104"/>
      <c r="B38" s="100"/>
      <c r="C38" s="100"/>
      <c r="D38" s="99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49" t="str">
        <f aca="false">IF($B38="","",N(E38)+N(F38)+N(G38)+N(H38)+N(I38)+N(J38)+N(K38)+N(L38)+N(M38)+N(N38)+N(O38)+N(P38)+N(Q38)+N(R38)+N(S38)+N(T38))</f>
        <v/>
      </c>
      <c r="V38" s="50" t="str">
        <f aca="false">IF($B38="","",SUM(Setup!$E$17:$E$24))</f>
        <v/>
      </c>
      <c r="W38" s="51" t="str">
        <f aca="false">IF($B38="","",IFERROR(U38/V38,0))</f>
        <v/>
      </c>
      <c r="X38" s="50" t="str">
        <f aca="false">IF($B38="","",IF(AND(Setup!$B$17&lt;&gt;"",Setup!$E$17&gt;0),IF((N(E38)+N(F38))/Setup!$E$17&lt;Setup!$C$11,1,0),0)+IF(AND(Setup!$B$18&lt;&gt;"",Setup!$E$18&gt;0),IF((N(G38)+N(H38))/Setup!$E$18&lt;Setup!$C$11,1,0),0)+IF(AND(Setup!$B$19&lt;&gt;"",Setup!$E$19&gt;0),IF((N(I38)+N(J38))/Setup!$E$19&lt;Setup!$C$11,1,0),0)+IF(AND(Setup!$B$20&lt;&gt;"",Setup!$E$20&gt;0),IF((N(K38)+N(L38))/Setup!$E$20&lt;Setup!$C$11,1,0),0)+IF(AND(Setup!$B$21&lt;&gt;"",Setup!$E$21&gt;0),IF((N(M38)+N(N38))/Setup!$E$21&lt;Setup!$C$11,1,0),0)+IF(AND(Setup!$B$22&lt;&gt;"",Setup!$E$22&gt;0),IF((N(O38)+N(P38))/Setup!$E$22&lt;Setup!$C$11,1,0),0)+IF(AND(Setup!$B$23&lt;&gt;"",Setup!$E$23&gt;0),IF((N(Q38)+N(R38))/Setup!$E$23&lt;Setup!$C$11,1,0),0)+IF(AND(Setup!$B$24&lt;&gt;"",Setup!$E$24&gt;0),IF((N(S38)+N(T38))/Setup!$E$24&lt;Setup!$C$11,1,0),0))</f>
        <v/>
      </c>
      <c r="Y38" s="38" t="str">
        <f aca="false">IF($B38="","",IF(X38=0,"PASS",IF(X38&lt;=Setup!$C$12,"COMPARTMENT","FAIL")))</f>
        <v/>
      </c>
      <c r="Z38" s="39" t="str">
        <f aca="false">IF($B38="","",COUNTIF($U$7:$U$66,"&gt;"&amp;U38)+1)</f>
        <v/>
      </c>
      <c r="AA38" s="38" t="str">
        <f aca="false">IF($B38="","",INDEX(Setup!$G$5:$G$12,COUNTIF(Setup!$F$5:$F$12,"&gt;"&amp;ROUND(W38,4))+1))</f>
        <v/>
      </c>
      <c r="AB38" s="52" t="str">
        <f aca="false">IF($B38="","",IF(((N(E38)&gt;N(Setup!$C$17))+(N(F38)&gt;N(Setup!$D$17)) + (N(G38)&gt;N(Setup!$C$18))+(N(H38)&gt;N(Setup!$D$18)) + (N(I38)&gt;N(Setup!$C$19))+(N(J38)&gt;N(Setup!$D$19)) + (N(K38)&gt;N(Setup!$C$20))+(N(L38)&gt;N(Setup!$D$20)) + (N(M38)&gt;N(Setup!$C$21))+(N(N38)&gt;N(Setup!$D$21)) + (N(O38)&gt;N(Setup!$C$22))+(N(P38)&gt;N(Setup!$D$22)) + (N(Q38)&gt;N(Setup!$C$23))+(N(R38)&gt;N(Setup!$D$23)) + (N(S38)&gt;N(Setup!$C$24))+(N(T38)&gt;N(Setup!$D$24)))&gt;0,"⚠ Marks above max",IF(A38="","⚠ Roll no. missing",IF(COUNTIF($A$7:$A$66,A38)&gt;1,"⚠ Duplicate roll no.","✔"))))</f>
        <v/>
      </c>
      <c r="AC38" s="8" t="str">
        <f aca="false">IF(OR($B38="",Setup!$B$17="",N(Setup!$E$17)=0),"",(N(E38)+N(F38))/Setup!$E$17)</f>
        <v/>
      </c>
      <c r="AD38" s="8" t="str">
        <f aca="false">IF(OR($B38="",Setup!$B$18="",N(Setup!$E$18)=0),"",(N(G38)+N(H38))/Setup!$E$18)</f>
        <v/>
      </c>
      <c r="AE38" s="8" t="str">
        <f aca="false">IF(OR($B38="",Setup!$B$19="",N(Setup!$E$19)=0),"",(N(I38)+N(J38))/Setup!$E$19)</f>
        <v/>
      </c>
      <c r="AF38" s="8" t="str">
        <f aca="false">IF(OR($B38="",Setup!$B$20="",N(Setup!$E$20)=0),"",(N(K38)+N(L38))/Setup!$E$20)</f>
        <v/>
      </c>
      <c r="AG38" s="8" t="str">
        <f aca="false">IF(OR($B38="",Setup!$B$21="",N(Setup!$E$21)=0),"",(N(M38)+N(N38))/Setup!$E$21)</f>
        <v/>
      </c>
      <c r="AH38" s="8" t="str">
        <f aca="false">IF(OR($B38="",Setup!$B$22="",N(Setup!$E$22)=0),"",(N(O38)+N(P38))/Setup!$E$22)</f>
        <v/>
      </c>
      <c r="AI38" s="8" t="str">
        <f aca="false">IF(OR($B38="",Setup!$B$23="",N(Setup!$E$23)=0),"",(N(Q38)+N(R38))/Setup!$E$23)</f>
        <v/>
      </c>
      <c r="AJ38" s="8" t="str">
        <f aca="false">IF(OR($B38="",Setup!$B$24="",N(Setup!$E$24)=0),"",(N(S38)+N(T38))/Setup!$E$24)</f>
        <v/>
      </c>
      <c r="AK38" s="8" t="str">
        <f aca="false">IF($B38="","",U38+(1000-ROW())/100000)</f>
        <v/>
      </c>
      <c r="AL38" s="8" t="str">
        <f aca="false">IF(AM38=1,SUM($AM$7:AM38),"")</f>
        <v/>
      </c>
      <c r="AM38" s="8" t="n">
        <f aca="false">IF(AND(Y38&lt;&gt;"",Y38&lt;&gt;"PASS"),1,0)</f>
        <v>0</v>
      </c>
    </row>
    <row r="39" customFormat="false" ht="15" hidden="false" customHeight="false" outlineLevel="0" collapsed="false">
      <c r="A39" s="104"/>
      <c r="B39" s="100"/>
      <c r="C39" s="100"/>
      <c r="D39" s="99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49" t="str">
        <f aca="false">IF($B39="","",N(E39)+N(F39)+N(G39)+N(H39)+N(I39)+N(J39)+N(K39)+N(L39)+N(M39)+N(N39)+N(O39)+N(P39)+N(Q39)+N(R39)+N(S39)+N(T39))</f>
        <v/>
      </c>
      <c r="V39" s="50" t="str">
        <f aca="false">IF($B39="","",SUM(Setup!$E$17:$E$24))</f>
        <v/>
      </c>
      <c r="W39" s="51" t="str">
        <f aca="false">IF($B39="","",IFERROR(U39/V39,0))</f>
        <v/>
      </c>
      <c r="X39" s="50" t="str">
        <f aca="false">IF($B39="","",IF(AND(Setup!$B$17&lt;&gt;"",Setup!$E$17&gt;0),IF((N(E39)+N(F39))/Setup!$E$17&lt;Setup!$C$11,1,0),0)+IF(AND(Setup!$B$18&lt;&gt;"",Setup!$E$18&gt;0),IF((N(G39)+N(H39))/Setup!$E$18&lt;Setup!$C$11,1,0),0)+IF(AND(Setup!$B$19&lt;&gt;"",Setup!$E$19&gt;0),IF((N(I39)+N(J39))/Setup!$E$19&lt;Setup!$C$11,1,0),0)+IF(AND(Setup!$B$20&lt;&gt;"",Setup!$E$20&gt;0),IF((N(K39)+N(L39))/Setup!$E$20&lt;Setup!$C$11,1,0),0)+IF(AND(Setup!$B$21&lt;&gt;"",Setup!$E$21&gt;0),IF((N(M39)+N(N39))/Setup!$E$21&lt;Setup!$C$11,1,0),0)+IF(AND(Setup!$B$22&lt;&gt;"",Setup!$E$22&gt;0),IF((N(O39)+N(P39))/Setup!$E$22&lt;Setup!$C$11,1,0),0)+IF(AND(Setup!$B$23&lt;&gt;"",Setup!$E$23&gt;0),IF((N(Q39)+N(R39))/Setup!$E$23&lt;Setup!$C$11,1,0),0)+IF(AND(Setup!$B$24&lt;&gt;"",Setup!$E$24&gt;0),IF((N(S39)+N(T39))/Setup!$E$24&lt;Setup!$C$11,1,0),0))</f>
        <v/>
      </c>
      <c r="Y39" s="38" t="str">
        <f aca="false">IF($B39="","",IF(X39=0,"PASS",IF(X39&lt;=Setup!$C$12,"COMPARTMENT","FAIL")))</f>
        <v/>
      </c>
      <c r="Z39" s="39" t="str">
        <f aca="false">IF($B39="","",COUNTIF($U$7:$U$66,"&gt;"&amp;U39)+1)</f>
        <v/>
      </c>
      <c r="AA39" s="38" t="str">
        <f aca="false">IF($B39="","",INDEX(Setup!$G$5:$G$12,COUNTIF(Setup!$F$5:$F$12,"&gt;"&amp;ROUND(W39,4))+1))</f>
        <v/>
      </c>
      <c r="AB39" s="52" t="str">
        <f aca="false">IF($B39="","",IF(((N(E39)&gt;N(Setup!$C$17))+(N(F39)&gt;N(Setup!$D$17)) + (N(G39)&gt;N(Setup!$C$18))+(N(H39)&gt;N(Setup!$D$18)) + (N(I39)&gt;N(Setup!$C$19))+(N(J39)&gt;N(Setup!$D$19)) + (N(K39)&gt;N(Setup!$C$20))+(N(L39)&gt;N(Setup!$D$20)) + (N(M39)&gt;N(Setup!$C$21))+(N(N39)&gt;N(Setup!$D$21)) + (N(O39)&gt;N(Setup!$C$22))+(N(P39)&gt;N(Setup!$D$22)) + (N(Q39)&gt;N(Setup!$C$23))+(N(R39)&gt;N(Setup!$D$23)) + (N(S39)&gt;N(Setup!$C$24))+(N(T39)&gt;N(Setup!$D$24)))&gt;0,"⚠ Marks above max",IF(A39="","⚠ Roll no. missing",IF(COUNTIF($A$7:$A$66,A39)&gt;1,"⚠ Duplicate roll no.","✔"))))</f>
        <v/>
      </c>
      <c r="AC39" s="8" t="str">
        <f aca="false">IF(OR($B39="",Setup!$B$17="",N(Setup!$E$17)=0),"",(N(E39)+N(F39))/Setup!$E$17)</f>
        <v/>
      </c>
      <c r="AD39" s="8" t="str">
        <f aca="false">IF(OR($B39="",Setup!$B$18="",N(Setup!$E$18)=0),"",(N(G39)+N(H39))/Setup!$E$18)</f>
        <v/>
      </c>
      <c r="AE39" s="8" t="str">
        <f aca="false">IF(OR($B39="",Setup!$B$19="",N(Setup!$E$19)=0),"",(N(I39)+N(J39))/Setup!$E$19)</f>
        <v/>
      </c>
      <c r="AF39" s="8" t="str">
        <f aca="false">IF(OR($B39="",Setup!$B$20="",N(Setup!$E$20)=0),"",(N(K39)+N(L39))/Setup!$E$20)</f>
        <v/>
      </c>
      <c r="AG39" s="8" t="str">
        <f aca="false">IF(OR($B39="",Setup!$B$21="",N(Setup!$E$21)=0),"",(N(M39)+N(N39))/Setup!$E$21)</f>
        <v/>
      </c>
      <c r="AH39" s="8" t="str">
        <f aca="false">IF(OR($B39="",Setup!$B$22="",N(Setup!$E$22)=0),"",(N(O39)+N(P39))/Setup!$E$22)</f>
        <v/>
      </c>
      <c r="AI39" s="8" t="str">
        <f aca="false">IF(OR($B39="",Setup!$B$23="",N(Setup!$E$23)=0),"",(N(Q39)+N(R39))/Setup!$E$23)</f>
        <v/>
      </c>
      <c r="AJ39" s="8" t="str">
        <f aca="false">IF(OR($B39="",Setup!$B$24="",N(Setup!$E$24)=0),"",(N(S39)+N(T39))/Setup!$E$24)</f>
        <v/>
      </c>
      <c r="AK39" s="8" t="str">
        <f aca="false">IF($B39="","",U39+(1000-ROW())/100000)</f>
        <v/>
      </c>
      <c r="AL39" s="8" t="str">
        <f aca="false">IF(AM39=1,SUM($AM$7:AM39),"")</f>
        <v/>
      </c>
      <c r="AM39" s="8" t="n">
        <f aca="false">IF(AND(Y39&lt;&gt;"",Y39&lt;&gt;"PASS"),1,0)</f>
        <v>0</v>
      </c>
    </row>
    <row r="40" customFormat="false" ht="15" hidden="false" customHeight="false" outlineLevel="0" collapsed="false">
      <c r="A40" s="104"/>
      <c r="B40" s="100"/>
      <c r="C40" s="100"/>
      <c r="D40" s="99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49" t="str">
        <f aca="false">IF($B40="","",N(E40)+N(F40)+N(G40)+N(H40)+N(I40)+N(J40)+N(K40)+N(L40)+N(M40)+N(N40)+N(O40)+N(P40)+N(Q40)+N(R40)+N(S40)+N(T40))</f>
        <v/>
      </c>
      <c r="V40" s="50" t="str">
        <f aca="false">IF($B40="","",SUM(Setup!$E$17:$E$24))</f>
        <v/>
      </c>
      <c r="W40" s="51" t="str">
        <f aca="false">IF($B40="","",IFERROR(U40/V40,0))</f>
        <v/>
      </c>
      <c r="X40" s="50" t="str">
        <f aca="false">IF($B40="","",IF(AND(Setup!$B$17&lt;&gt;"",Setup!$E$17&gt;0),IF((N(E40)+N(F40))/Setup!$E$17&lt;Setup!$C$11,1,0),0)+IF(AND(Setup!$B$18&lt;&gt;"",Setup!$E$18&gt;0),IF((N(G40)+N(H40))/Setup!$E$18&lt;Setup!$C$11,1,0),0)+IF(AND(Setup!$B$19&lt;&gt;"",Setup!$E$19&gt;0),IF((N(I40)+N(J40))/Setup!$E$19&lt;Setup!$C$11,1,0),0)+IF(AND(Setup!$B$20&lt;&gt;"",Setup!$E$20&gt;0),IF((N(K40)+N(L40))/Setup!$E$20&lt;Setup!$C$11,1,0),0)+IF(AND(Setup!$B$21&lt;&gt;"",Setup!$E$21&gt;0),IF((N(M40)+N(N40))/Setup!$E$21&lt;Setup!$C$11,1,0),0)+IF(AND(Setup!$B$22&lt;&gt;"",Setup!$E$22&gt;0),IF((N(O40)+N(P40))/Setup!$E$22&lt;Setup!$C$11,1,0),0)+IF(AND(Setup!$B$23&lt;&gt;"",Setup!$E$23&gt;0),IF((N(Q40)+N(R40))/Setup!$E$23&lt;Setup!$C$11,1,0),0)+IF(AND(Setup!$B$24&lt;&gt;"",Setup!$E$24&gt;0),IF((N(S40)+N(T40))/Setup!$E$24&lt;Setup!$C$11,1,0),0))</f>
        <v/>
      </c>
      <c r="Y40" s="38" t="str">
        <f aca="false">IF($B40="","",IF(X40=0,"PASS",IF(X40&lt;=Setup!$C$12,"COMPARTMENT","FAIL")))</f>
        <v/>
      </c>
      <c r="Z40" s="39" t="str">
        <f aca="false">IF($B40="","",COUNTIF($U$7:$U$66,"&gt;"&amp;U40)+1)</f>
        <v/>
      </c>
      <c r="AA40" s="38" t="str">
        <f aca="false">IF($B40="","",INDEX(Setup!$G$5:$G$12,COUNTIF(Setup!$F$5:$F$12,"&gt;"&amp;ROUND(W40,4))+1))</f>
        <v/>
      </c>
      <c r="AB40" s="52" t="str">
        <f aca="false">IF($B40="","",IF(((N(E40)&gt;N(Setup!$C$17))+(N(F40)&gt;N(Setup!$D$17)) + (N(G40)&gt;N(Setup!$C$18))+(N(H40)&gt;N(Setup!$D$18)) + (N(I40)&gt;N(Setup!$C$19))+(N(J40)&gt;N(Setup!$D$19)) + (N(K40)&gt;N(Setup!$C$20))+(N(L40)&gt;N(Setup!$D$20)) + (N(M40)&gt;N(Setup!$C$21))+(N(N40)&gt;N(Setup!$D$21)) + (N(O40)&gt;N(Setup!$C$22))+(N(P40)&gt;N(Setup!$D$22)) + (N(Q40)&gt;N(Setup!$C$23))+(N(R40)&gt;N(Setup!$D$23)) + (N(S40)&gt;N(Setup!$C$24))+(N(T40)&gt;N(Setup!$D$24)))&gt;0,"⚠ Marks above max",IF(A40="","⚠ Roll no. missing",IF(COUNTIF($A$7:$A$66,A40)&gt;1,"⚠ Duplicate roll no.","✔"))))</f>
        <v/>
      </c>
      <c r="AC40" s="8" t="str">
        <f aca="false">IF(OR($B40="",Setup!$B$17="",N(Setup!$E$17)=0),"",(N(E40)+N(F40))/Setup!$E$17)</f>
        <v/>
      </c>
      <c r="AD40" s="8" t="str">
        <f aca="false">IF(OR($B40="",Setup!$B$18="",N(Setup!$E$18)=0),"",(N(G40)+N(H40))/Setup!$E$18)</f>
        <v/>
      </c>
      <c r="AE40" s="8" t="str">
        <f aca="false">IF(OR($B40="",Setup!$B$19="",N(Setup!$E$19)=0),"",(N(I40)+N(J40))/Setup!$E$19)</f>
        <v/>
      </c>
      <c r="AF40" s="8" t="str">
        <f aca="false">IF(OR($B40="",Setup!$B$20="",N(Setup!$E$20)=0),"",(N(K40)+N(L40))/Setup!$E$20)</f>
        <v/>
      </c>
      <c r="AG40" s="8" t="str">
        <f aca="false">IF(OR($B40="",Setup!$B$21="",N(Setup!$E$21)=0),"",(N(M40)+N(N40))/Setup!$E$21)</f>
        <v/>
      </c>
      <c r="AH40" s="8" t="str">
        <f aca="false">IF(OR($B40="",Setup!$B$22="",N(Setup!$E$22)=0),"",(N(O40)+N(P40))/Setup!$E$22)</f>
        <v/>
      </c>
      <c r="AI40" s="8" t="str">
        <f aca="false">IF(OR($B40="",Setup!$B$23="",N(Setup!$E$23)=0),"",(N(Q40)+N(R40))/Setup!$E$23)</f>
        <v/>
      </c>
      <c r="AJ40" s="8" t="str">
        <f aca="false">IF(OR($B40="",Setup!$B$24="",N(Setup!$E$24)=0),"",(N(S40)+N(T40))/Setup!$E$24)</f>
        <v/>
      </c>
      <c r="AK40" s="8" t="str">
        <f aca="false">IF($B40="","",U40+(1000-ROW())/100000)</f>
        <v/>
      </c>
      <c r="AL40" s="8" t="str">
        <f aca="false">IF(AM40=1,SUM($AM$7:AM40),"")</f>
        <v/>
      </c>
      <c r="AM40" s="8" t="n">
        <f aca="false">IF(AND(Y40&lt;&gt;"",Y40&lt;&gt;"PASS"),1,0)</f>
        <v>0</v>
      </c>
    </row>
    <row r="41" customFormat="false" ht="15" hidden="false" customHeight="false" outlineLevel="0" collapsed="false">
      <c r="A41" s="104"/>
      <c r="B41" s="100"/>
      <c r="C41" s="100"/>
      <c r="D41" s="99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49" t="str">
        <f aca="false">IF($B41="","",N(E41)+N(F41)+N(G41)+N(H41)+N(I41)+N(J41)+N(K41)+N(L41)+N(M41)+N(N41)+N(O41)+N(P41)+N(Q41)+N(R41)+N(S41)+N(T41))</f>
        <v/>
      </c>
      <c r="V41" s="50" t="str">
        <f aca="false">IF($B41="","",SUM(Setup!$E$17:$E$24))</f>
        <v/>
      </c>
      <c r="W41" s="51" t="str">
        <f aca="false">IF($B41="","",IFERROR(U41/V41,0))</f>
        <v/>
      </c>
      <c r="X41" s="50" t="str">
        <f aca="false">IF($B41="","",IF(AND(Setup!$B$17&lt;&gt;"",Setup!$E$17&gt;0),IF((N(E41)+N(F41))/Setup!$E$17&lt;Setup!$C$11,1,0),0)+IF(AND(Setup!$B$18&lt;&gt;"",Setup!$E$18&gt;0),IF((N(G41)+N(H41))/Setup!$E$18&lt;Setup!$C$11,1,0),0)+IF(AND(Setup!$B$19&lt;&gt;"",Setup!$E$19&gt;0),IF((N(I41)+N(J41))/Setup!$E$19&lt;Setup!$C$11,1,0),0)+IF(AND(Setup!$B$20&lt;&gt;"",Setup!$E$20&gt;0),IF((N(K41)+N(L41))/Setup!$E$20&lt;Setup!$C$11,1,0),0)+IF(AND(Setup!$B$21&lt;&gt;"",Setup!$E$21&gt;0),IF((N(M41)+N(N41))/Setup!$E$21&lt;Setup!$C$11,1,0),0)+IF(AND(Setup!$B$22&lt;&gt;"",Setup!$E$22&gt;0),IF((N(O41)+N(P41))/Setup!$E$22&lt;Setup!$C$11,1,0),0)+IF(AND(Setup!$B$23&lt;&gt;"",Setup!$E$23&gt;0),IF((N(Q41)+N(R41))/Setup!$E$23&lt;Setup!$C$11,1,0),0)+IF(AND(Setup!$B$24&lt;&gt;"",Setup!$E$24&gt;0),IF((N(S41)+N(T41))/Setup!$E$24&lt;Setup!$C$11,1,0),0))</f>
        <v/>
      </c>
      <c r="Y41" s="38" t="str">
        <f aca="false">IF($B41="","",IF(X41=0,"PASS",IF(X41&lt;=Setup!$C$12,"COMPARTMENT","FAIL")))</f>
        <v/>
      </c>
      <c r="Z41" s="39" t="str">
        <f aca="false">IF($B41="","",COUNTIF($U$7:$U$66,"&gt;"&amp;U41)+1)</f>
        <v/>
      </c>
      <c r="AA41" s="38" t="str">
        <f aca="false">IF($B41="","",INDEX(Setup!$G$5:$G$12,COUNTIF(Setup!$F$5:$F$12,"&gt;"&amp;ROUND(W41,4))+1))</f>
        <v/>
      </c>
      <c r="AB41" s="52" t="str">
        <f aca="false">IF($B41="","",IF(((N(E41)&gt;N(Setup!$C$17))+(N(F41)&gt;N(Setup!$D$17)) + (N(G41)&gt;N(Setup!$C$18))+(N(H41)&gt;N(Setup!$D$18)) + (N(I41)&gt;N(Setup!$C$19))+(N(J41)&gt;N(Setup!$D$19)) + (N(K41)&gt;N(Setup!$C$20))+(N(L41)&gt;N(Setup!$D$20)) + (N(M41)&gt;N(Setup!$C$21))+(N(N41)&gt;N(Setup!$D$21)) + (N(O41)&gt;N(Setup!$C$22))+(N(P41)&gt;N(Setup!$D$22)) + (N(Q41)&gt;N(Setup!$C$23))+(N(R41)&gt;N(Setup!$D$23)) + (N(S41)&gt;N(Setup!$C$24))+(N(T41)&gt;N(Setup!$D$24)))&gt;0,"⚠ Marks above max",IF(A41="","⚠ Roll no. missing",IF(COUNTIF($A$7:$A$66,A41)&gt;1,"⚠ Duplicate roll no.","✔"))))</f>
        <v/>
      </c>
      <c r="AC41" s="8" t="str">
        <f aca="false">IF(OR($B41="",Setup!$B$17="",N(Setup!$E$17)=0),"",(N(E41)+N(F41))/Setup!$E$17)</f>
        <v/>
      </c>
      <c r="AD41" s="8" t="str">
        <f aca="false">IF(OR($B41="",Setup!$B$18="",N(Setup!$E$18)=0),"",(N(G41)+N(H41))/Setup!$E$18)</f>
        <v/>
      </c>
      <c r="AE41" s="8" t="str">
        <f aca="false">IF(OR($B41="",Setup!$B$19="",N(Setup!$E$19)=0),"",(N(I41)+N(J41))/Setup!$E$19)</f>
        <v/>
      </c>
      <c r="AF41" s="8" t="str">
        <f aca="false">IF(OR($B41="",Setup!$B$20="",N(Setup!$E$20)=0),"",(N(K41)+N(L41))/Setup!$E$20)</f>
        <v/>
      </c>
      <c r="AG41" s="8" t="str">
        <f aca="false">IF(OR($B41="",Setup!$B$21="",N(Setup!$E$21)=0),"",(N(M41)+N(N41))/Setup!$E$21)</f>
        <v/>
      </c>
      <c r="AH41" s="8" t="str">
        <f aca="false">IF(OR($B41="",Setup!$B$22="",N(Setup!$E$22)=0),"",(N(O41)+N(P41))/Setup!$E$22)</f>
        <v/>
      </c>
      <c r="AI41" s="8" t="str">
        <f aca="false">IF(OR($B41="",Setup!$B$23="",N(Setup!$E$23)=0),"",(N(Q41)+N(R41))/Setup!$E$23)</f>
        <v/>
      </c>
      <c r="AJ41" s="8" t="str">
        <f aca="false">IF(OR($B41="",Setup!$B$24="",N(Setup!$E$24)=0),"",(N(S41)+N(T41))/Setup!$E$24)</f>
        <v/>
      </c>
      <c r="AK41" s="8" t="str">
        <f aca="false">IF($B41="","",U41+(1000-ROW())/100000)</f>
        <v/>
      </c>
      <c r="AL41" s="8" t="str">
        <f aca="false">IF(AM41=1,SUM($AM$7:AM41),"")</f>
        <v/>
      </c>
      <c r="AM41" s="8" t="n">
        <f aca="false">IF(AND(Y41&lt;&gt;"",Y41&lt;&gt;"PASS"),1,0)</f>
        <v>0</v>
      </c>
    </row>
    <row r="42" customFormat="false" ht="15" hidden="false" customHeight="false" outlineLevel="0" collapsed="false">
      <c r="A42" s="104"/>
      <c r="B42" s="100"/>
      <c r="C42" s="100"/>
      <c r="D42" s="99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49" t="str">
        <f aca="false">IF($B42="","",N(E42)+N(F42)+N(G42)+N(H42)+N(I42)+N(J42)+N(K42)+N(L42)+N(M42)+N(N42)+N(O42)+N(P42)+N(Q42)+N(R42)+N(S42)+N(T42))</f>
        <v/>
      </c>
      <c r="V42" s="50" t="str">
        <f aca="false">IF($B42="","",SUM(Setup!$E$17:$E$24))</f>
        <v/>
      </c>
      <c r="W42" s="51" t="str">
        <f aca="false">IF($B42="","",IFERROR(U42/V42,0))</f>
        <v/>
      </c>
      <c r="X42" s="50" t="str">
        <f aca="false">IF($B42="","",IF(AND(Setup!$B$17&lt;&gt;"",Setup!$E$17&gt;0),IF((N(E42)+N(F42))/Setup!$E$17&lt;Setup!$C$11,1,0),0)+IF(AND(Setup!$B$18&lt;&gt;"",Setup!$E$18&gt;0),IF((N(G42)+N(H42))/Setup!$E$18&lt;Setup!$C$11,1,0),0)+IF(AND(Setup!$B$19&lt;&gt;"",Setup!$E$19&gt;0),IF((N(I42)+N(J42))/Setup!$E$19&lt;Setup!$C$11,1,0),0)+IF(AND(Setup!$B$20&lt;&gt;"",Setup!$E$20&gt;0),IF((N(K42)+N(L42))/Setup!$E$20&lt;Setup!$C$11,1,0),0)+IF(AND(Setup!$B$21&lt;&gt;"",Setup!$E$21&gt;0),IF((N(M42)+N(N42))/Setup!$E$21&lt;Setup!$C$11,1,0),0)+IF(AND(Setup!$B$22&lt;&gt;"",Setup!$E$22&gt;0),IF((N(O42)+N(P42))/Setup!$E$22&lt;Setup!$C$11,1,0),0)+IF(AND(Setup!$B$23&lt;&gt;"",Setup!$E$23&gt;0),IF((N(Q42)+N(R42))/Setup!$E$23&lt;Setup!$C$11,1,0),0)+IF(AND(Setup!$B$24&lt;&gt;"",Setup!$E$24&gt;0),IF((N(S42)+N(T42))/Setup!$E$24&lt;Setup!$C$11,1,0),0))</f>
        <v/>
      </c>
      <c r="Y42" s="38" t="str">
        <f aca="false">IF($B42="","",IF(X42=0,"PASS",IF(X42&lt;=Setup!$C$12,"COMPARTMENT","FAIL")))</f>
        <v/>
      </c>
      <c r="Z42" s="39" t="str">
        <f aca="false">IF($B42="","",COUNTIF($U$7:$U$66,"&gt;"&amp;U42)+1)</f>
        <v/>
      </c>
      <c r="AA42" s="38" t="str">
        <f aca="false">IF($B42="","",INDEX(Setup!$G$5:$G$12,COUNTIF(Setup!$F$5:$F$12,"&gt;"&amp;ROUND(W42,4))+1))</f>
        <v/>
      </c>
      <c r="AB42" s="52" t="str">
        <f aca="false">IF($B42="","",IF(((N(E42)&gt;N(Setup!$C$17))+(N(F42)&gt;N(Setup!$D$17)) + (N(G42)&gt;N(Setup!$C$18))+(N(H42)&gt;N(Setup!$D$18)) + (N(I42)&gt;N(Setup!$C$19))+(N(J42)&gt;N(Setup!$D$19)) + (N(K42)&gt;N(Setup!$C$20))+(N(L42)&gt;N(Setup!$D$20)) + (N(M42)&gt;N(Setup!$C$21))+(N(N42)&gt;N(Setup!$D$21)) + (N(O42)&gt;N(Setup!$C$22))+(N(P42)&gt;N(Setup!$D$22)) + (N(Q42)&gt;N(Setup!$C$23))+(N(R42)&gt;N(Setup!$D$23)) + (N(S42)&gt;N(Setup!$C$24))+(N(T42)&gt;N(Setup!$D$24)))&gt;0,"⚠ Marks above max",IF(A42="","⚠ Roll no. missing",IF(COUNTIF($A$7:$A$66,A42)&gt;1,"⚠ Duplicate roll no.","✔"))))</f>
        <v/>
      </c>
      <c r="AC42" s="8" t="str">
        <f aca="false">IF(OR($B42="",Setup!$B$17="",N(Setup!$E$17)=0),"",(N(E42)+N(F42))/Setup!$E$17)</f>
        <v/>
      </c>
      <c r="AD42" s="8" t="str">
        <f aca="false">IF(OR($B42="",Setup!$B$18="",N(Setup!$E$18)=0),"",(N(G42)+N(H42))/Setup!$E$18)</f>
        <v/>
      </c>
      <c r="AE42" s="8" t="str">
        <f aca="false">IF(OR($B42="",Setup!$B$19="",N(Setup!$E$19)=0),"",(N(I42)+N(J42))/Setup!$E$19)</f>
        <v/>
      </c>
      <c r="AF42" s="8" t="str">
        <f aca="false">IF(OR($B42="",Setup!$B$20="",N(Setup!$E$20)=0),"",(N(K42)+N(L42))/Setup!$E$20)</f>
        <v/>
      </c>
      <c r="AG42" s="8" t="str">
        <f aca="false">IF(OR($B42="",Setup!$B$21="",N(Setup!$E$21)=0),"",(N(M42)+N(N42))/Setup!$E$21)</f>
        <v/>
      </c>
      <c r="AH42" s="8" t="str">
        <f aca="false">IF(OR($B42="",Setup!$B$22="",N(Setup!$E$22)=0),"",(N(O42)+N(P42))/Setup!$E$22)</f>
        <v/>
      </c>
      <c r="AI42" s="8" t="str">
        <f aca="false">IF(OR($B42="",Setup!$B$23="",N(Setup!$E$23)=0),"",(N(Q42)+N(R42))/Setup!$E$23)</f>
        <v/>
      </c>
      <c r="AJ42" s="8" t="str">
        <f aca="false">IF(OR($B42="",Setup!$B$24="",N(Setup!$E$24)=0),"",(N(S42)+N(T42))/Setup!$E$24)</f>
        <v/>
      </c>
      <c r="AK42" s="8" t="str">
        <f aca="false">IF($B42="","",U42+(1000-ROW())/100000)</f>
        <v/>
      </c>
      <c r="AL42" s="8" t="str">
        <f aca="false">IF(AM42=1,SUM($AM$7:AM42),"")</f>
        <v/>
      </c>
      <c r="AM42" s="8" t="n">
        <f aca="false">IF(AND(Y42&lt;&gt;"",Y42&lt;&gt;"PASS"),1,0)</f>
        <v>0</v>
      </c>
    </row>
    <row r="43" customFormat="false" ht="15" hidden="false" customHeight="false" outlineLevel="0" collapsed="false">
      <c r="A43" s="104"/>
      <c r="B43" s="100"/>
      <c r="C43" s="100"/>
      <c r="D43" s="99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49" t="str">
        <f aca="false">IF($B43="","",N(E43)+N(F43)+N(G43)+N(H43)+N(I43)+N(J43)+N(K43)+N(L43)+N(M43)+N(N43)+N(O43)+N(P43)+N(Q43)+N(R43)+N(S43)+N(T43))</f>
        <v/>
      </c>
      <c r="V43" s="50" t="str">
        <f aca="false">IF($B43="","",SUM(Setup!$E$17:$E$24))</f>
        <v/>
      </c>
      <c r="W43" s="51" t="str">
        <f aca="false">IF($B43="","",IFERROR(U43/V43,0))</f>
        <v/>
      </c>
      <c r="X43" s="50" t="str">
        <f aca="false">IF($B43="","",IF(AND(Setup!$B$17&lt;&gt;"",Setup!$E$17&gt;0),IF((N(E43)+N(F43))/Setup!$E$17&lt;Setup!$C$11,1,0),0)+IF(AND(Setup!$B$18&lt;&gt;"",Setup!$E$18&gt;0),IF((N(G43)+N(H43))/Setup!$E$18&lt;Setup!$C$11,1,0),0)+IF(AND(Setup!$B$19&lt;&gt;"",Setup!$E$19&gt;0),IF((N(I43)+N(J43))/Setup!$E$19&lt;Setup!$C$11,1,0),0)+IF(AND(Setup!$B$20&lt;&gt;"",Setup!$E$20&gt;0),IF((N(K43)+N(L43))/Setup!$E$20&lt;Setup!$C$11,1,0),0)+IF(AND(Setup!$B$21&lt;&gt;"",Setup!$E$21&gt;0),IF((N(M43)+N(N43))/Setup!$E$21&lt;Setup!$C$11,1,0),0)+IF(AND(Setup!$B$22&lt;&gt;"",Setup!$E$22&gt;0),IF((N(O43)+N(P43))/Setup!$E$22&lt;Setup!$C$11,1,0),0)+IF(AND(Setup!$B$23&lt;&gt;"",Setup!$E$23&gt;0),IF((N(Q43)+N(R43))/Setup!$E$23&lt;Setup!$C$11,1,0),0)+IF(AND(Setup!$B$24&lt;&gt;"",Setup!$E$24&gt;0),IF((N(S43)+N(T43))/Setup!$E$24&lt;Setup!$C$11,1,0),0))</f>
        <v/>
      </c>
      <c r="Y43" s="38" t="str">
        <f aca="false">IF($B43="","",IF(X43=0,"PASS",IF(X43&lt;=Setup!$C$12,"COMPARTMENT","FAIL")))</f>
        <v/>
      </c>
      <c r="Z43" s="39" t="str">
        <f aca="false">IF($B43="","",COUNTIF($U$7:$U$66,"&gt;"&amp;U43)+1)</f>
        <v/>
      </c>
      <c r="AA43" s="38" t="str">
        <f aca="false">IF($B43="","",INDEX(Setup!$G$5:$G$12,COUNTIF(Setup!$F$5:$F$12,"&gt;"&amp;ROUND(W43,4))+1))</f>
        <v/>
      </c>
      <c r="AB43" s="52" t="str">
        <f aca="false">IF($B43="","",IF(((N(E43)&gt;N(Setup!$C$17))+(N(F43)&gt;N(Setup!$D$17)) + (N(G43)&gt;N(Setup!$C$18))+(N(H43)&gt;N(Setup!$D$18)) + (N(I43)&gt;N(Setup!$C$19))+(N(J43)&gt;N(Setup!$D$19)) + (N(K43)&gt;N(Setup!$C$20))+(N(L43)&gt;N(Setup!$D$20)) + (N(M43)&gt;N(Setup!$C$21))+(N(N43)&gt;N(Setup!$D$21)) + (N(O43)&gt;N(Setup!$C$22))+(N(P43)&gt;N(Setup!$D$22)) + (N(Q43)&gt;N(Setup!$C$23))+(N(R43)&gt;N(Setup!$D$23)) + (N(S43)&gt;N(Setup!$C$24))+(N(T43)&gt;N(Setup!$D$24)))&gt;0,"⚠ Marks above max",IF(A43="","⚠ Roll no. missing",IF(COUNTIF($A$7:$A$66,A43)&gt;1,"⚠ Duplicate roll no.","✔"))))</f>
        <v/>
      </c>
      <c r="AC43" s="8" t="str">
        <f aca="false">IF(OR($B43="",Setup!$B$17="",N(Setup!$E$17)=0),"",(N(E43)+N(F43))/Setup!$E$17)</f>
        <v/>
      </c>
      <c r="AD43" s="8" t="str">
        <f aca="false">IF(OR($B43="",Setup!$B$18="",N(Setup!$E$18)=0),"",(N(G43)+N(H43))/Setup!$E$18)</f>
        <v/>
      </c>
      <c r="AE43" s="8" t="str">
        <f aca="false">IF(OR($B43="",Setup!$B$19="",N(Setup!$E$19)=0),"",(N(I43)+N(J43))/Setup!$E$19)</f>
        <v/>
      </c>
      <c r="AF43" s="8" t="str">
        <f aca="false">IF(OR($B43="",Setup!$B$20="",N(Setup!$E$20)=0),"",(N(K43)+N(L43))/Setup!$E$20)</f>
        <v/>
      </c>
      <c r="AG43" s="8" t="str">
        <f aca="false">IF(OR($B43="",Setup!$B$21="",N(Setup!$E$21)=0),"",(N(M43)+N(N43))/Setup!$E$21)</f>
        <v/>
      </c>
      <c r="AH43" s="8" t="str">
        <f aca="false">IF(OR($B43="",Setup!$B$22="",N(Setup!$E$22)=0),"",(N(O43)+N(P43))/Setup!$E$22)</f>
        <v/>
      </c>
      <c r="AI43" s="8" t="str">
        <f aca="false">IF(OR($B43="",Setup!$B$23="",N(Setup!$E$23)=0),"",(N(Q43)+N(R43))/Setup!$E$23)</f>
        <v/>
      </c>
      <c r="AJ43" s="8" t="str">
        <f aca="false">IF(OR($B43="",Setup!$B$24="",N(Setup!$E$24)=0),"",(N(S43)+N(T43))/Setup!$E$24)</f>
        <v/>
      </c>
      <c r="AK43" s="8" t="str">
        <f aca="false">IF($B43="","",U43+(1000-ROW())/100000)</f>
        <v/>
      </c>
      <c r="AL43" s="8" t="str">
        <f aca="false">IF(AM43=1,SUM($AM$7:AM43),"")</f>
        <v/>
      </c>
      <c r="AM43" s="8" t="n">
        <f aca="false">IF(AND(Y43&lt;&gt;"",Y43&lt;&gt;"PASS"),1,0)</f>
        <v>0</v>
      </c>
    </row>
    <row r="44" customFormat="false" ht="15" hidden="false" customHeight="false" outlineLevel="0" collapsed="false">
      <c r="A44" s="104"/>
      <c r="B44" s="100"/>
      <c r="C44" s="100"/>
      <c r="D44" s="99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49" t="str">
        <f aca="false">IF($B44="","",N(E44)+N(F44)+N(G44)+N(H44)+N(I44)+N(J44)+N(K44)+N(L44)+N(M44)+N(N44)+N(O44)+N(P44)+N(Q44)+N(R44)+N(S44)+N(T44))</f>
        <v/>
      </c>
      <c r="V44" s="50" t="str">
        <f aca="false">IF($B44="","",SUM(Setup!$E$17:$E$24))</f>
        <v/>
      </c>
      <c r="W44" s="51" t="str">
        <f aca="false">IF($B44="","",IFERROR(U44/V44,0))</f>
        <v/>
      </c>
      <c r="X44" s="50" t="str">
        <f aca="false">IF($B44="","",IF(AND(Setup!$B$17&lt;&gt;"",Setup!$E$17&gt;0),IF((N(E44)+N(F44))/Setup!$E$17&lt;Setup!$C$11,1,0),0)+IF(AND(Setup!$B$18&lt;&gt;"",Setup!$E$18&gt;0),IF((N(G44)+N(H44))/Setup!$E$18&lt;Setup!$C$11,1,0),0)+IF(AND(Setup!$B$19&lt;&gt;"",Setup!$E$19&gt;0),IF((N(I44)+N(J44))/Setup!$E$19&lt;Setup!$C$11,1,0),0)+IF(AND(Setup!$B$20&lt;&gt;"",Setup!$E$20&gt;0),IF((N(K44)+N(L44))/Setup!$E$20&lt;Setup!$C$11,1,0),0)+IF(AND(Setup!$B$21&lt;&gt;"",Setup!$E$21&gt;0),IF((N(M44)+N(N44))/Setup!$E$21&lt;Setup!$C$11,1,0),0)+IF(AND(Setup!$B$22&lt;&gt;"",Setup!$E$22&gt;0),IF((N(O44)+N(P44))/Setup!$E$22&lt;Setup!$C$11,1,0),0)+IF(AND(Setup!$B$23&lt;&gt;"",Setup!$E$23&gt;0),IF((N(Q44)+N(R44))/Setup!$E$23&lt;Setup!$C$11,1,0),0)+IF(AND(Setup!$B$24&lt;&gt;"",Setup!$E$24&gt;0),IF((N(S44)+N(T44))/Setup!$E$24&lt;Setup!$C$11,1,0),0))</f>
        <v/>
      </c>
      <c r="Y44" s="38" t="str">
        <f aca="false">IF($B44="","",IF(X44=0,"PASS",IF(X44&lt;=Setup!$C$12,"COMPARTMENT","FAIL")))</f>
        <v/>
      </c>
      <c r="Z44" s="39" t="str">
        <f aca="false">IF($B44="","",COUNTIF($U$7:$U$66,"&gt;"&amp;U44)+1)</f>
        <v/>
      </c>
      <c r="AA44" s="38" t="str">
        <f aca="false">IF($B44="","",INDEX(Setup!$G$5:$G$12,COUNTIF(Setup!$F$5:$F$12,"&gt;"&amp;ROUND(W44,4))+1))</f>
        <v/>
      </c>
      <c r="AB44" s="52" t="str">
        <f aca="false">IF($B44="","",IF(((N(E44)&gt;N(Setup!$C$17))+(N(F44)&gt;N(Setup!$D$17)) + (N(G44)&gt;N(Setup!$C$18))+(N(H44)&gt;N(Setup!$D$18)) + (N(I44)&gt;N(Setup!$C$19))+(N(J44)&gt;N(Setup!$D$19)) + (N(K44)&gt;N(Setup!$C$20))+(N(L44)&gt;N(Setup!$D$20)) + (N(M44)&gt;N(Setup!$C$21))+(N(N44)&gt;N(Setup!$D$21)) + (N(O44)&gt;N(Setup!$C$22))+(N(P44)&gt;N(Setup!$D$22)) + (N(Q44)&gt;N(Setup!$C$23))+(N(R44)&gt;N(Setup!$D$23)) + (N(S44)&gt;N(Setup!$C$24))+(N(T44)&gt;N(Setup!$D$24)))&gt;0,"⚠ Marks above max",IF(A44="","⚠ Roll no. missing",IF(COUNTIF($A$7:$A$66,A44)&gt;1,"⚠ Duplicate roll no.","✔"))))</f>
        <v/>
      </c>
      <c r="AC44" s="8" t="str">
        <f aca="false">IF(OR($B44="",Setup!$B$17="",N(Setup!$E$17)=0),"",(N(E44)+N(F44))/Setup!$E$17)</f>
        <v/>
      </c>
      <c r="AD44" s="8" t="str">
        <f aca="false">IF(OR($B44="",Setup!$B$18="",N(Setup!$E$18)=0),"",(N(G44)+N(H44))/Setup!$E$18)</f>
        <v/>
      </c>
      <c r="AE44" s="8" t="str">
        <f aca="false">IF(OR($B44="",Setup!$B$19="",N(Setup!$E$19)=0),"",(N(I44)+N(J44))/Setup!$E$19)</f>
        <v/>
      </c>
      <c r="AF44" s="8" t="str">
        <f aca="false">IF(OR($B44="",Setup!$B$20="",N(Setup!$E$20)=0),"",(N(K44)+N(L44))/Setup!$E$20)</f>
        <v/>
      </c>
      <c r="AG44" s="8" t="str">
        <f aca="false">IF(OR($B44="",Setup!$B$21="",N(Setup!$E$21)=0),"",(N(M44)+N(N44))/Setup!$E$21)</f>
        <v/>
      </c>
      <c r="AH44" s="8" t="str">
        <f aca="false">IF(OR($B44="",Setup!$B$22="",N(Setup!$E$22)=0),"",(N(O44)+N(P44))/Setup!$E$22)</f>
        <v/>
      </c>
      <c r="AI44" s="8" t="str">
        <f aca="false">IF(OR($B44="",Setup!$B$23="",N(Setup!$E$23)=0),"",(N(Q44)+N(R44))/Setup!$E$23)</f>
        <v/>
      </c>
      <c r="AJ44" s="8" t="str">
        <f aca="false">IF(OR($B44="",Setup!$B$24="",N(Setup!$E$24)=0),"",(N(S44)+N(T44))/Setup!$E$24)</f>
        <v/>
      </c>
      <c r="AK44" s="8" t="str">
        <f aca="false">IF($B44="","",U44+(1000-ROW())/100000)</f>
        <v/>
      </c>
      <c r="AL44" s="8" t="str">
        <f aca="false">IF(AM44=1,SUM($AM$7:AM44),"")</f>
        <v/>
      </c>
      <c r="AM44" s="8" t="n">
        <f aca="false">IF(AND(Y44&lt;&gt;"",Y44&lt;&gt;"PASS"),1,0)</f>
        <v>0</v>
      </c>
    </row>
    <row r="45" customFormat="false" ht="15" hidden="false" customHeight="false" outlineLevel="0" collapsed="false">
      <c r="A45" s="104"/>
      <c r="B45" s="100"/>
      <c r="C45" s="100"/>
      <c r="D45" s="99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49" t="str">
        <f aca="false">IF($B45="","",N(E45)+N(F45)+N(G45)+N(H45)+N(I45)+N(J45)+N(K45)+N(L45)+N(M45)+N(N45)+N(O45)+N(P45)+N(Q45)+N(R45)+N(S45)+N(T45))</f>
        <v/>
      </c>
      <c r="V45" s="50" t="str">
        <f aca="false">IF($B45="","",SUM(Setup!$E$17:$E$24))</f>
        <v/>
      </c>
      <c r="W45" s="51" t="str">
        <f aca="false">IF($B45="","",IFERROR(U45/V45,0))</f>
        <v/>
      </c>
      <c r="X45" s="50" t="str">
        <f aca="false">IF($B45="","",IF(AND(Setup!$B$17&lt;&gt;"",Setup!$E$17&gt;0),IF((N(E45)+N(F45))/Setup!$E$17&lt;Setup!$C$11,1,0),0)+IF(AND(Setup!$B$18&lt;&gt;"",Setup!$E$18&gt;0),IF((N(G45)+N(H45))/Setup!$E$18&lt;Setup!$C$11,1,0),0)+IF(AND(Setup!$B$19&lt;&gt;"",Setup!$E$19&gt;0),IF((N(I45)+N(J45))/Setup!$E$19&lt;Setup!$C$11,1,0),0)+IF(AND(Setup!$B$20&lt;&gt;"",Setup!$E$20&gt;0),IF((N(K45)+N(L45))/Setup!$E$20&lt;Setup!$C$11,1,0),0)+IF(AND(Setup!$B$21&lt;&gt;"",Setup!$E$21&gt;0),IF((N(M45)+N(N45))/Setup!$E$21&lt;Setup!$C$11,1,0),0)+IF(AND(Setup!$B$22&lt;&gt;"",Setup!$E$22&gt;0),IF((N(O45)+N(P45))/Setup!$E$22&lt;Setup!$C$11,1,0),0)+IF(AND(Setup!$B$23&lt;&gt;"",Setup!$E$23&gt;0),IF((N(Q45)+N(R45))/Setup!$E$23&lt;Setup!$C$11,1,0),0)+IF(AND(Setup!$B$24&lt;&gt;"",Setup!$E$24&gt;0),IF((N(S45)+N(T45))/Setup!$E$24&lt;Setup!$C$11,1,0),0))</f>
        <v/>
      </c>
      <c r="Y45" s="38" t="str">
        <f aca="false">IF($B45="","",IF(X45=0,"PASS",IF(X45&lt;=Setup!$C$12,"COMPARTMENT","FAIL")))</f>
        <v/>
      </c>
      <c r="Z45" s="39" t="str">
        <f aca="false">IF($B45="","",COUNTIF($U$7:$U$66,"&gt;"&amp;U45)+1)</f>
        <v/>
      </c>
      <c r="AA45" s="38" t="str">
        <f aca="false">IF($B45="","",INDEX(Setup!$G$5:$G$12,COUNTIF(Setup!$F$5:$F$12,"&gt;"&amp;ROUND(W45,4))+1))</f>
        <v/>
      </c>
      <c r="AB45" s="52" t="str">
        <f aca="false">IF($B45="","",IF(((N(E45)&gt;N(Setup!$C$17))+(N(F45)&gt;N(Setup!$D$17)) + (N(G45)&gt;N(Setup!$C$18))+(N(H45)&gt;N(Setup!$D$18)) + (N(I45)&gt;N(Setup!$C$19))+(N(J45)&gt;N(Setup!$D$19)) + (N(K45)&gt;N(Setup!$C$20))+(N(L45)&gt;N(Setup!$D$20)) + (N(M45)&gt;N(Setup!$C$21))+(N(N45)&gt;N(Setup!$D$21)) + (N(O45)&gt;N(Setup!$C$22))+(N(P45)&gt;N(Setup!$D$22)) + (N(Q45)&gt;N(Setup!$C$23))+(N(R45)&gt;N(Setup!$D$23)) + (N(S45)&gt;N(Setup!$C$24))+(N(T45)&gt;N(Setup!$D$24)))&gt;0,"⚠ Marks above max",IF(A45="","⚠ Roll no. missing",IF(COUNTIF($A$7:$A$66,A45)&gt;1,"⚠ Duplicate roll no.","✔"))))</f>
        <v/>
      </c>
      <c r="AC45" s="8" t="str">
        <f aca="false">IF(OR($B45="",Setup!$B$17="",N(Setup!$E$17)=0),"",(N(E45)+N(F45))/Setup!$E$17)</f>
        <v/>
      </c>
      <c r="AD45" s="8" t="str">
        <f aca="false">IF(OR($B45="",Setup!$B$18="",N(Setup!$E$18)=0),"",(N(G45)+N(H45))/Setup!$E$18)</f>
        <v/>
      </c>
      <c r="AE45" s="8" t="str">
        <f aca="false">IF(OR($B45="",Setup!$B$19="",N(Setup!$E$19)=0),"",(N(I45)+N(J45))/Setup!$E$19)</f>
        <v/>
      </c>
      <c r="AF45" s="8" t="str">
        <f aca="false">IF(OR($B45="",Setup!$B$20="",N(Setup!$E$20)=0),"",(N(K45)+N(L45))/Setup!$E$20)</f>
        <v/>
      </c>
      <c r="AG45" s="8" t="str">
        <f aca="false">IF(OR($B45="",Setup!$B$21="",N(Setup!$E$21)=0),"",(N(M45)+N(N45))/Setup!$E$21)</f>
        <v/>
      </c>
      <c r="AH45" s="8" t="str">
        <f aca="false">IF(OR($B45="",Setup!$B$22="",N(Setup!$E$22)=0),"",(N(O45)+N(P45))/Setup!$E$22)</f>
        <v/>
      </c>
      <c r="AI45" s="8" t="str">
        <f aca="false">IF(OR($B45="",Setup!$B$23="",N(Setup!$E$23)=0),"",(N(Q45)+N(R45))/Setup!$E$23)</f>
        <v/>
      </c>
      <c r="AJ45" s="8" t="str">
        <f aca="false">IF(OR($B45="",Setup!$B$24="",N(Setup!$E$24)=0),"",(N(S45)+N(T45))/Setup!$E$24)</f>
        <v/>
      </c>
      <c r="AK45" s="8" t="str">
        <f aca="false">IF($B45="","",U45+(1000-ROW())/100000)</f>
        <v/>
      </c>
      <c r="AL45" s="8" t="str">
        <f aca="false">IF(AM45=1,SUM($AM$7:AM45),"")</f>
        <v/>
      </c>
      <c r="AM45" s="8" t="n">
        <f aca="false">IF(AND(Y45&lt;&gt;"",Y45&lt;&gt;"PASS"),1,0)</f>
        <v>0</v>
      </c>
    </row>
    <row r="46" customFormat="false" ht="15" hidden="false" customHeight="false" outlineLevel="0" collapsed="false">
      <c r="A46" s="104"/>
      <c r="B46" s="100"/>
      <c r="C46" s="100"/>
      <c r="D46" s="99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49" t="str">
        <f aca="false">IF($B46="","",N(E46)+N(F46)+N(G46)+N(H46)+N(I46)+N(J46)+N(K46)+N(L46)+N(M46)+N(N46)+N(O46)+N(P46)+N(Q46)+N(R46)+N(S46)+N(T46))</f>
        <v/>
      </c>
      <c r="V46" s="50" t="str">
        <f aca="false">IF($B46="","",SUM(Setup!$E$17:$E$24))</f>
        <v/>
      </c>
      <c r="W46" s="51" t="str">
        <f aca="false">IF($B46="","",IFERROR(U46/V46,0))</f>
        <v/>
      </c>
      <c r="X46" s="50" t="str">
        <f aca="false">IF($B46="","",IF(AND(Setup!$B$17&lt;&gt;"",Setup!$E$17&gt;0),IF((N(E46)+N(F46))/Setup!$E$17&lt;Setup!$C$11,1,0),0)+IF(AND(Setup!$B$18&lt;&gt;"",Setup!$E$18&gt;0),IF((N(G46)+N(H46))/Setup!$E$18&lt;Setup!$C$11,1,0),0)+IF(AND(Setup!$B$19&lt;&gt;"",Setup!$E$19&gt;0),IF((N(I46)+N(J46))/Setup!$E$19&lt;Setup!$C$11,1,0),0)+IF(AND(Setup!$B$20&lt;&gt;"",Setup!$E$20&gt;0),IF((N(K46)+N(L46))/Setup!$E$20&lt;Setup!$C$11,1,0),0)+IF(AND(Setup!$B$21&lt;&gt;"",Setup!$E$21&gt;0),IF((N(M46)+N(N46))/Setup!$E$21&lt;Setup!$C$11,1,0),0)+IF(AND(Setup!$B$22&lt;&gt;"",Setup!$E$22&gt;0),IF((N(O46)+N(P46))/Setup!$E$22&lt;Setup!$C$11,1,0),0)+IF(AND(Setup!$B$23&lt;&gt;"",Setup!$E$23&gt;0),IF((N(Q46)+N(R46))/Setup!$E$23&lt;Setup!$C$11,1,0),0)+IF(AND(Setup!$B$24&lt;&gt;"",Setup!$E$24&gt;0),IF((N(S46)+N(T46))/Setup!$E$24&lt;Setup!$C$11,1,0),0))</f>
        <v/>
      </c>
      <c r="Y46" s="38" t="str">
        <f aca="false">IF($B46="","",IF(X46=0,"PASS",IF(X46&lt;=Setup!$C$12,"COMPARTMENT","FAIL")))</f>
        <v/>
      </c>
      <c r="Z46" s="39" t="str">
        <f aca="false">IF($B46="","",COUNTIF($U$7:$U$66,"&gt;"&amp;U46)+1)</f>
        <v/>
      </c>
      <c r="AA46" s="38" t="str">
        <f aca="false">IF($B46="","",INDEX(Setup!$G$5:$G$12,COUNTIF(Setup!$F$5:$F$12,"&gt;"&amp;ROUND(W46,4))+1))</f>
        <v/>
      </c>
      <c r="AB46" s="52" t="str">
        <f aca="false">IF($B46="","",IF(((N(E46)&gt;N(Setup!$C$17))+(N(F46)&gt;N(Setup!$D$17)) + (N(G46)&gt;N(Setup!$C$18))+(N(H46)&gt;N(Setup!$D$18)) + (N(I46)&gt;N(Setup!$C$19))+(N(J46)&gt;N(Setup!$D$19)) + (N(K46)&gt;N(Setup!$C$20))+(N(L46)&gt;N(Setup!$D$20)) + (N(M46)&gt;N(Setup!$C$21))+(N(N46)&gt;N(Setup!$D$21)) + (N(O46)&gt;N(Setup!$C$22))+(N(P46)&gt;N(Setup!$D$22)) + (N(Q46)&gt;N(Setup!$C$23))+(N(R46)&gt;N(Setup!$D$23)) + (N(S46)&gt;N(Setup!$C$24))+(N(T46)&gt;N(Setup!$D$24)))&gt;0,"⚠ Marks above max",IF(A46="","⚠ Roll no. missing",IF(COUNTIF($A$7:$A$66,A46)&gt;1,"⚠ Duplicate roll no.","✔"))))</f>
        <v/>
      </c>
      <c r="AC46" s="8" t="str">
        <f aca="false">IF(OR($B46="",Setup!$B$17="",N(Setup!$E$17)=0),"",(N(E46)+N(F46))/Setup!$E$17)</f>
        <v/>
      </c>
      <c r="AD46" s="8" t="str">
        <f aca="false">IF(OR($B46="",Setup!$B$18="",N(Setup!$E$18)=0),"",(N(G46)+N(H46))/Setup!$E$18)</f>
        <v/>
      </c>
      <c r="AE46" s="8" t="str">
        <f aca="false">IF(OR($B46="",Setup!$B$19="",N(Setup!$E$19)=0),"",(N(I46)+N(J46))/Setup!$E$19)</f>
        <v/>
      </c>
      <c r="AF46" s="8" t="str">
        <f aca="false">IF(OR($B46="",Setup!$B$20="",N(Setup!$E$20)=0),"",(N(K46)+N(L46))/Setup!$E$20)</f>
        <v/>
      </c>
      <c r="AG46" s="8" t="str">
        <f aca="false">IF(OR($B46="",Setup!$B$21="",N(Setup!$E$21)=0),"",(N(M46)+N(N46))/Setup!$E$21)</f>
        <v/>
      </c>
      <c r="AH46" s="8" t="str">
        <f aca="false">IF(OR($B46="",Setup!$B$22="",N(Setup!$E$22)=0),"",(N(O46)+N(P46))/Setup!$E$22)</f>
        <v/>
      </c>
      <c r="AI46" s="8" t="str">
        <f aca="false">IF(OR($B46="",Setup!$B$23="",N(Setup!$E$23)=0),"",(N(Q46)+N(R46))/Setup!$E$23)</f>
        <v/>
      </c>
      <c r="AJ46" s="8" t="str">
        <f aca="false">IF(OR($B46="",Setup!$B$24="",N(Setup!$E$24)=0),"",(N(S46)+N(T46))/Setup!$E$24)</f>
        <v/>
      </c>
      <c r="AK46" s="8" t="str">
        <f aca="false">IF($B46="","",U46+(1000-ROW())/100000)</f>
        <v/>
      </c>
      <c r="AL46" s="8" t="str">
        <f aca="false">IF(AM46=1,SUM($AM$7:AM46),"")</f>
        <v/>
      </c>
      <c r="AM46" s="8" t="n">
        <f aca="false">IF(AND(Y46&lt;&gt;"",Y46&lt;&gt;"PASS"),1,0)</f>
        <v>0</v>
      </c>
    </row>
    <row r="47" customFormat="false" ht="15" hidden="false" customHeight="false" outlineLevel="0" collapsed="false">
      <c r="A47" s="104"/>
      <c r="B47" s="100"/>
      <c r="C47" s="100"/>
      <c r="D47" s="99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49" t="str">
        <f aca="false">IF($B47="","",N(E47)+N(F47)+N(G47)+N(H47)+N(I47)+N(J47)+N(K47)+N(L47)+N(M47)+N(N47)+N(O47)+N(P47)+N(Q47)+N(R47)+N(S47)+N(T47))</f>
        <v/>
      </c>
      <c r="V47" s="50" t="str">
        <f aca="false">IF($B47="","",SUM(Setup!$E$17:$E$24))</f>
        <v/>
      </c>
      <c r="W47" s="51" t="str">
        <f aca="false">IF($B47="","",IFERROR(U47/V47,0))</f>
        <v/>
      </c>
      <c r="X47" s="50" t="str">
        <f aca="false">IF($B47="","",IF(AND(Setup!$B$17&lt;&gt;"",Setup!$E$17&gt;0),IF((N(E47)+N(F47))/Setup!$E$17&lt;Setup!$C$11,1,0),0)+IF(AND(Setup!$B$18&lt;&gt;"",Setup!$E$18&gt;0),IF((N(G47)+N(H47))/Setup!$E$18&lt;Setup!$C$11,1,0),0)+IF(AND(Setup!$B$19&lt;&gt;"",Setup!$E$19&gt;0),IF((N(I47)+N(J47))/Setup!$E$19&lt;Setup!$C$11,1,0),0)+IF(AND(Setup!$B$20&lt;&gt;"",Setup!$E$20&gt;0),IF((N(K47)+N(L47))/Setup!$E$20&lt;Setup!$C$11,1,0),0)+IF(AND(Setup!$B$21&lt;&gt;"",Setup!$E$21&gt;0),IF((N(M47)+N(N47))/Setup!$E$21&lt;Setup!$C$11,1,0),0)+IF(AND(Setup!$B$22&lt;&gt;"",Setup!$E$22&gt;0),IF((N(O47)+N(P47))/Setup!$E$22&lt;Setup!$C$11,1,0),0)+IF(AND(Setup!$B$23&lt;&gt;"",Setup!$E$23&gt;0),IF((N(Q47)+N(R47))/Setup!$E$23&lt;Setup!$C$11,1,0),0)+IF(AND(Setup!$B$24&lt;&gt;"",Setup!$E$24&gt;0),IF((N(S47)+N(T47))/Setup!$E$24&lt;Setup!$C$11,1,0),0))</f>
        <v/>
      </c>
      <c r="Y47" s="38" t="str">
        <f aca="false">IF($B47="","",IF(X47=0,"PASS",IF(X47&lt;=Setup!$C$12,"COMPARTMENT","FAIL")))</f>
        <v/>
      </c>
      <c r="Z47" s="39" t="str">
        <f aca="false">IF($B47="","",COUNTIF($U$7:$U$66,"&gt;"&amp;U47)+1)</f>
        <v/>
      </c>
      <c r="AA47" s="38" t="str">
        <f aca="false">IF($B47="","",INDEX(Setup!$G$5:$G$12,COUNTIF(Setup!$F$5:$F$12,"&gt;"&amp;ROUND(W47,4))+1))</f>
        <v/>
      </c>
      <c r="AB47" s="52" t="str">
        <f aca="false">IF($B47="","",IF(((N(E47)&gt;N(Setup!$C$17))+(N(F47)&gt;N(Setup!$D$17)) + (N(G47)&gt;N(Setup!$C$18))+(N(H47)&gt;N(Setup!$D$18)) + (N(I47)&gt;N(Setup!$C$19))+(N(J47)&gt;N(Setup!$D$19)) + (N(K47)&gt;N(Setup!$C$20))+(N(L47)&gt;N(Setup!$D$20)) + (N(M47)&gt;N(Setup!$C$21))+(N(N47)&gt;N(Setup!$D$21)) + (N(O47)&gt;N(Setup!$C$22))+(N(P47)&gt;N(Setup!$D$22)) + (N(Q47)&gt;N(Setup!$C$23))+(N(R47)&gt;N(Setup!$D$23)) + (N(S47)&gt;N(Setup!$C$24))+(N(T47)&gt;N(Setup!$D$24)))&gt;0,"⚠ Marks above max",IF(A47="","⚠ Roll no. missing",IF(COUNTIF($A$7:$A$66,A47)&gt;1,"⚠ Duplicate roll no.","✔"))))</f>
        <v/>
      </c>
      <c r="AC47" s="8" t="str">
        <f aca="false">IF(OR($B47="",Setup!$B$17="",N(Setup!$E$17)=0),"",(N(E47)+N(F47))/Setup!$E$17)</f>
        <v/>
      </c>
      <c r="AD47" s="8" t="str">
        <f aca="false">IF(OR($B47="",Setup!$B$18="",N(Setup!$E$18)=0),"",(N(G47)+N(H47))/Setup!$E$18)</f>
        <v/>
      </c>
      <c r="AE47" s="8" t="str">
        <f aca="false">IF(OR($B47="",Setup!$B$19="",N(Setup!$E$19)=0),"",(N(I47)+N(J47))/Setup!$E$19)</f>
        <v/>
      </c>
      <c r="AF47" s="8" t="str">
        <f aca="false">IF(OR($B47="",Setup!$B$20="",N(Setup!$E$20)=0),"",(N(K47)+N(L47))/Setup!$E$20)</f>
        <v/>
      </c>
      <c r="AG47" s="8" t="str">
        <f aca="false">IF(OR($B47="",Setup!$B$21="",N(Setup!$E$21)=0),"",(N(M47)+N(N47))/Setup!$E$21)</f>
        <v/>
      </c>
      <c r="AH47" s="8" t="str">
        <f aca="false">IF(OR($B47="",Setup!$B$22="",N(Setup!$E$22)=0),"",(N(O47)+N(P47))/Setup!$E$22)</f>
        <v/>
      </c>
      <c r="AI47" s="8" t="str">
        <f aca="false">IF(OR($B47="",Setup!$B$23="",N(Setup!$E$23)=0),"",(N(Q47)+N(R47))/Setup!$E$23)</f>
        <v/>
      </c>
      <c r="AJ47" s="8" t="str">
        <f aca="false">IF(OR($B47="",Setup!$B$24="",N(Setup!$E$24)=0),"",(N(S47)+N(T47))/Setup!$E$24)</f>
        <v/>
      </c>
      <c r="AK47" s="8" t="str">
        <f aca="false">IF($B47="","",U47+(1000-ROW())/100000)</f>
        <v/>
      </c>
      <c r="AL47" s="8" t="str">
        <f aca="false">IF(AM47=1,SUM($AM$7:AM47),"")</f>
        <v/>
      </c>
      <c r="AM47" s="8" t="n">
        <f aca="false">IF(AND(Y47&lt;&gt;"",Y47&lt;&gt;"PASS"),1,0)</f>
        <v>0</v>
      </c>
    </row>
    <row r="48" customFormat="false" ht="15" hidden="false" customHeight="false" outlineLevel="0" collapsed="false">
      <c r="A48" s="104"/>
      <c r="B48" s="100"/>
      <c r="C48" s="100"/>
      <c r="D48" s="99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49" t="str">
        <f aca="false">IF($B48="","",N(E48)+N(F48)+N(G48)+N(H48)+N(I48)+N(J48)+N(K48)+N(L48)+N(M48)+N(N48)+N(O48)+N(P48)+N(Q48)+N(R48)+N(S48)+N(T48))</f>
        <v/>
      </c>
      <c r="V48" s="50" t="str">
        <f aca="false">IF($B48="","",SUM(Setup!$E$17:$E$24))</f>
        <v/>
      </c>
      <c r="W48" s="51" t="str">
        <f aca="false">IF($B48="","",IFERROR(U48/V48,0))</f>
        <v/>
      </c>
      <c r="X48" s="50" t="str">
        <f aca="false">IF($B48="","",IF(AND(Setup!$B$17&lt;&gt;"",Setup!$E$17&gt;0),IF((N(E48)+N(F48))/Setup!$E$17&lt;Setup!$C$11,1,0),0)+IF(AND(Setup!$B$18&lt;&gt;"",Setup!$E$18&gt;0),IF((N(G48)+N(H48))/Setup!$E$18&lt;Setup!$C$11,1,0),0)+IF(AND(Setup!$B$19&lt;&gt;"",Setup!$E$19&gt;0),IF((N(I48)+N(J48))/Setup!$E$19&lt;Setup!$C$11,1,0),0)+IF(AND(Setup!$B$20&lt;&gt;"",Setup!$E$20&gt;0),IF((N(K48)+N(L48))/Setup!$E$20&lt;Setup!$C$11,1,0),0)+IF(AND(Setup!$B$21&lt;&gt;"",Setup!$E$21&gt;0),IF((N(M48)+N(N48))/Setup!$E$21&lt;Setup!$C$11,1,0),0)+IF(AND(Setup!$B$22&lt;&gt;"",Setup!$E$22&gt;0),IF((N(O48)+N(P48))/Setup!$E$22&lt;Setup!$C$11,1,0),0)+IF(AND(Setup!$B$23&lt;&gt;"",Setup!$E$23&gt;0),IF((N(Q48)+N(R48))/Setup!$E$23&lt;Setup!$C$11,1,0),0)+IF(AND(Setup!$B$24&lt;&gt;"",Setup!$E$24&gt;0),IF((N(S48)+N(T48))/Setup!$E$24&lt;Setup!$C$11,1,0),0))</f>
        <v/>
      </c>
      <c r="Y48" s="38" t="str">
        <f aca="false">IF($B48="","",IF(X48=0,"PASS",IF(X48&lt;=Setup!$C$12,"COMPARTMENT","FAIL")))</f>
        <v/>
      </c>
      <c r="Z48" s="39" t="str">
        <f aca="false">IF($B48="","",COUNTIF($U$7:$U$66,"&gt;"&amp;U48)+1)</f>
        <v/>
      </c>
      <c r="AA48" s="38" t="str">
        <f aca="false">IF($B48="","",INDEX(Setup!$G$5:$G$12,COUNTIF(Setup!$F$5:$F$12,"&gt;"&amp;ROUND(W48,4))+1))</f>
        <v/>
      </c>
      <c r="AB48" s="52" t="str">
        <f aca="false">IF($B48="","",IF(((N(E48)&gt;N(Setup!$C$17))+(N(F48)&gt;N(Setup!$D$17)) + (N(G48)&gt;N(Setup!$C$18))+(N(H48)&gt;N(Setup!$D$18)) + (N(I48)&gt;N(Setup!$C$19))+(N(J48)&gt;N(Setup!$D$19)) + (N(K48)&gt;N(Setup!$C$20))+(N(L48)&gt;N(Setup!$D$20)) + (N(M48)&gt;N(Setup!$C$21))+(N(N48)&gt;N(Setup!$D$21)) + (N(O48)&gt;N(Setup!$C$22))+(N(P48)&gt;N(Setup!$D$22)) + (N(Q48)&gt;N(Setup!$C$23))+(N(R48)&gt;N(Setup!$D$23)) + (N(S48)&gt;N(Setup!$C$24))+(N(T48)&gt;N(Setup!$D$24)))&gt;0,"⚠ Marks above max",IF(A48="","⚠ Roll no. missing",IF(COUNTIF($A$7:$A$66,A48)&gt;1,"⚠ Duplicate roll no.","✔"))))</f>
        <v/>
      </c>
      <c r="AC48" s="8" t="str">
        <f aca="false">IF(OR($B48="",Setup!$B$17="",N(Setup!$E$17)=0),"",(N(E48)+N(F48))/Setup!$E$17)</f>
        <v/>
      </c>
      <c r="AD48" s="8" t="str">
        <f aca="false">IF(OR($B48="",Setup!$B$18="",N(Setup!$E$18)=0),"",(N(G48)+N(H48))/Setup!$E$18)</f>
        <v/>
      </c>
      <c r="AE48" s="8" t="str">
        <f aca="false">IF(OR($B48="",Setup!$B$19="",N(Setup!$E$19)=0),"",(N(I48)+N(J48))/Setup!$E$19)</f>
        <v/>
      </c>
      <c r="AF48" s="8" t="str">
        <f aca="false">IF(OR($B48="",Setup!$B$20="",N(Setup!$E$20)=0),"",(N(K48)+N(L48))/Setup!$E$20)</f>
        <v/>
      </c>
      <c r="AG48" s="8" t="str">
        <f aca="false">IF(OR($B48="",Setup!$B$21="",N(Setup!$E$21)=0),"",(N(M48)+N(N48))/Setup!$E$21)</f>
        <v/>
      </c>
      <c r="AH48" s="8" t="str">
        <f aca="false">IF(OR($B48="",Setup!$B$22="",N(Setup!$E$22)=0),"",(N(O48)+N(P48))/Setup!$E$22)</f>
        <v/>
      </c>
      <c r="AI48" s="8" t="str">
        <f aca="false">IF(OR($B48="",Setup!$B$23="",N(Setup!$E$23)=0),"",(N(Q48)+N(R48))/Setup!$E$23)</f>
        <v/>
      </c>
      <c r="AJ48" s="8" t="str">
        <f aca="false">IF(OR($B48="",Setup!$B$24="",N(Setup!$E$24)=0),"",(N(S48)+N(T48))/Setup!$E$24)</f>
        <v/>
      </c>
      <c r="AK48" s="8" t="str">
        <f aca="false">IF($B48="","",U48+(1000-ROW())/100000)</f>
        <v/>
      </c>
      <c r="AL48" s="8" t="str">
        <f aca="false">IF(AM48=1,SUM($AM$7:AM48),"")</f>
        <v/>
      </c>
      <c r="AM48" s="8" t="n">
        <f aca="false">IF(AND(Y48&lt;&gt;"",Y48&lt;&gt;"PASS"),1,0)</f>
        <v>0</v>
      </c>
    </row>
    <row r="49" customFormat="false" ht="15" hidden="false" customHeight="false" outlineLevel="0" collapsed="false">
      <c r="A49" s="104"/>
      <c r="B49" s="100"/>
      <c r="C49" s="100"/>
      <c r="D49" s="99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49" t="str">
        <f aca="false">IF($B49="","",N(E49)+N(F49)+N(G49)+N(H49)+N(I49)+N(J49)+N(K49)+N(L49)+N(M49)+N(N49)+N(O49)+N(P49)+N(Q49)+N(R49)+N(S49)+N(T49))</f>
        <v/>
      </c>
      <c r="V49" s="50" t="str">
        <f aca="false">IF($B49="","",SUM(Setup!$E$17:$E$24))</f>
        <v/>
      </c>
      <c r="W49" s="51" t="str">
        <f aca="false">IF($B49="","",IFERROR(U49/V49,0))</f>
        <v/>
      </c>
      <c r="X49" s="50" t="str">
        <f aca="false">IF($B49="","",IF(AND(Setup!$B$17&lt;&gt;"",Setup!$E$17&gt;0),IF((N(E49)+N(F49))/Setup!$E$17&lt;Setup!$C$11,1,0),0)+IF(AND(Setup!$B$18&lt;&gt;"",Setup!$E$18&gt;0),IF((N(G49)+N(H49))/Setup!$E$18&lt;Setup!$C$11,1,0),0)+IF(AND(Setup!$B$19&lt;&gt;"",Setup!$E$19&gt;0),IF((N(I49)+N(J49))/Setup!$E$19&lt;Setup!$C$11,1,0),0)+IF(AND(Setup!$B$20&lt;&gt;"",Setup!$E$20&gt;0),IF((N(K49)+N(L49))/Setup!$E$20&lt;Setup!$C$11,1,0),0)+IF(AND(Setup!$B$21&lt;&gt;"",Setup!$E$21&gt;0),IF((N(M49)+N(N49))/Setup!$E$21&lt;Setup!$C$11,1,0),0)+IF(AND(Setup!$B$22&lt;&gt;"",Setup!$E$22&gt;0),IF((N(O49)+N(P49))/Setup!$E$22&lt;Setup!$C$11,1,0),0)+IF(AND(Setup!$B$23&lt;&gt;"",Setup!$E$23&gt;0),IF((N(Q49)+N(R49))/Setup!$E$23&lt;Setup!$C$11,1,0),0)+IF(AND(Setup!$B$24&lt;&gt;"",Setup!$E$24&gt;0),IF((N(S49)+N(T49))/Setup!$E$24&lt;Setup!$C$11,1,0),0))</f>
        <v/>
      </c>
      <c r="Y49" s="38" t="str">
        <f aca="false">IF($B49="","",IF(X49=0,"PASS",IF(X49&lt;=Setup!$C$12,"COMPARTMENT","FAIL")))</f>
        <v/>
      </c>
      <c r="Z49" s="39" t="str">
        <f aca="false">IF($B49="","",COUNTIF($U$7:$U$66,"&gt;"&amp;U49)+1)</f>
        <v/>
      </c>
      <c r="AA49" s="38" t="str">
        <f aca="false">IF($B49="","",INDEX(Setup!$G$5:$G$12,COUNTIF(Setup!$F$5:$F$12,"&gt;"&amp;ROUND(W49,4))+1))</f>
        <v/>
      </c>
      <c r="AB49" s="52" t="str">
        <f aca="false">IF($B49="","",IF(((N(E49)&gt;N(Setup!$C$17))+(N(F49)&gt;N(Setup!$D$17)) + (N(G49)&gt;N(Setup!$C$18))+(N(H49)&gt;N(Setup!$D$18)) + (N(I49)&gt;N(Setup!$C$19))+(N(J49)&gt;N(Setup!$D$19)) + (N(K49)&gt;N(Setup!$C$20))+(N(L49)&gt;N(Setup!$D$20)) + (N(M49)&gt;N(Setup!$C$21))+(N(N49)&gt;N(Setup!$D$21)) + (N(O49)&gt;N(Setup!$C$22))+(N(P49)&gt;N(Setup!$D$22)) + (N(Q49)&gt;N(Setup!$C$23))+(N(R49)&gt;N(Setup!$D$23)) + (N(S49)&gt;N(Setup!$C$24))+(N(T49)&gt;N(Setup!$D$24)))&gt;0,"⚠ Marks above max",IF(A49="","⚠ Roll no. missing",IF(COUNTIF($A$7:$A$66,A49)&gt;1,"⚠ Duplicate roll no.","✔"))))</f>
        <v/>
      </c>
      <c r="AC49" s="8" t="str">
        <f aca="false">IF(OR($B49="",Setup!$B$17="",N(Setup!$E$17)=0),"",(N(E49)+N(F49))/Setup!$E$17)</f>
        <v/>
      </c>
      <c r="AD49" s="8" t="str">
        <f aca="false">IF(OR($B49="",Setup!$B$18="",N(Setup!$E$18)=0),"",(N(G49)+N(H49))/Setup!$E$18)</f>
        <v/>
      </c>
      <c r="AE49" s="8" t="str">
        <f aca="false">IF(OR($B49="",Setup!$B$19="",N(Setup!$E$19)=0),"",(N(I49)+N(J49))/Setup!$E$19)</f>
        <v/>
      </c>
      <c r="AF49" s="8" t="str">
        <f aca="false">IF(OR($B49="",Setup!$B$20="",N(Setup!$E$20)=0),"",(N(K49)+N(L49))/Setup!$E$20)</f>
        <v/>
      </c>
      <c r="AG49" s="8" t="str">
        <f aca="false">IF(OR($B49="",Setup!$B$21="",N(Setup!$E$21)=0),"",(N(M49)+N(N49))/Setup!$E$21)</f>
        <v/>
      </c>
      <c r="AH49" s="8" t="str">
        <f aca="false">IF(OR($B49="",Setup!$B$22="",N(Setup!$E$22)=0),"",(N(O49)+N(P49))/Setup!$E$22)</f>
        <v/>
      </c>
      <c r="AI49" s="8" t="str">
        <f aca="false">IF(OR($B49="",Setup!$B$23="",N(Setup!$E$23)=0),"",(N(Q49)+N(R49))/Setup!$E$23)</f>
        <v/>
      </c>
      <c r="AJ49" s="8" t="str">
        <f aca="false">IF(OR($B49="",Setup!$B$24="",N(Setup!$E$24)=0),"",(N(S49)+N(T49))/Setup!$E$24)</f>
        <v/>
      </c>
      <c r="AK49" s="8" t="str">
        <f aca="false">IF($B49="","",U49+(1000-ROW())/100000)</f>
        <v/>
      </c>
      <c r="AL49" s="8" t="str">
        <f aca="false">IF(AM49=1,SUM($AM$7:AM49),"")</f>
        <v/>
      </c>
      <c r="AM49" s="8" t="n">
        <f aca="false">IF(AND(Y49&lt;&gt;"",Y49&lt;&gt;"PASS"),1,0)</f>
        <v>0</v>
      </c>
    </row>
    <row r="50" customFormat="false" ht="15" hidden="false" customHeight="false" outlineLevel="0" collapsed="false">
      <c r="A50" s="104"/>
      <c r="B50" s="100"/>
      <c r="C50" s="100"/>
      <c r="D50" s="99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49" t="str">
        <f aca="false">IF($B50="","",N(E50)+N(F50)+N(G50)+N(H50)+N(I50)+N(J50)+N(K50)+N(L50)+N(M50)+N(N50)+N(O50)+N(P50)+N(Q50)+N(R50)+N(S50)+N(T50))</f>
        <v/>
      </c>
      <c r="V50" s="50" t="str">
        <f aca="false">IF($B50="","",SUM(Setup!$E$17:$E$24))</f>
        <v/>
      </c>
      <c r="W50" s="51" t="str">
        <f aca="false">IF($B50="","",IFERROR(U50/V50,0))</f>
        <v/>
      </c>
      <c r="X50" s="50" t="str">
        <f aca="false">IF($B50="","",IF(AND(Setup!$B$17&lt;&gt;"",Setup!$E$17&gt;0),IF((N(E50)+N(F50))/Setup!$E$17&lt;Setup!$C$11,1,0),0)+IF(AND(Setup!$B$18&lt;&gt;"",Setup!$E$18&gt;0),IF((N(G50)+N(H50))/Setup!$E$18&lt;Setup!$C$11,1,0),0)+IF(AND(Setup!$B$19&lt;&gt;"",Setup!$E$19&gt;0),IF((N(I50)+N(J50))/Setup!$E$19&lt;Setup!$C$11,1,0),0)+IF(AND(Setup!$B$20&lt;&gt;"",Setup!$E$20&gt;0),IF((N(K50)+N(L50))/Setup!$E$20&lt;Setup!$C$11,1,0),0)+IF(AND(Setup!$B$21&lt;&gt;"",Setup!$E$21&gt;0),IF((N(M50)+N(N50))/Setup!$E$21&lt;Setup!$C$11,1,0),0)+IF(AND(Setup!$B$22&lt;&gt;"",Setup!$E$22&gt;0),IF((N(O50)+N(P50))/Setup!$E$22&lt;Setup!$C$11,1,0),0)+IF(AND(Setup!$B$23&lt;&gt;"",Setup!$E$23&gt;0),IF((N(Q50)+N(R50))/Setup!$E$23&lt;Setup!$C$11,1,0),0)+IF(AND(Setup!$B$24&lt;&gt;"",Setup!$E$24&gt;0),IF((N(S50)+N(T50))/Setup!$E$24&lt;Setup!$C$11,1,0),0))</f>
        <v/>
      </c>
      <c r="Y50" s="38" t="str">
        <f aca="false">IF($B50="","",IF(X50=0,"PASS",IF(X50&lt;=Setup!$C$12,"COMPARTMENT","FAIL")))</f>
        <v/>
      </c>
      <c r="Z50" s="39" t="str">
        <f aca="false">IF($B50="","",COUNTIF($U$7:$U$66,"&gt;"&amp;U50)+1)</f>
        <v/>
      </c>
      <c r="AA50" s="38" t="str">
        <f aca="false">IF($B50="","",INDEX(Setup!$G$5:$G$12,COUNTIF(Setup!$F$5:$F$12,"&gt;"&amp;ROUND(W50,4))+1))</f>
        <v/>
      </c>
      <c r="AB50" s="52" t="str">
        <f aca="false">IF($B50="","",IF(((N(E50)&gt;N(Setup!$C$17))+(N(F50)&gt;N(Setup!$D$17)) + (N(G50)&gt;N(Setup!$C$18))+(N(H50)&gt;N(Setup!$D$18)) + (N(I50)&gt;N(Setup!$C$19))+(N(J50)&gt;N(Setup!$D$19)) + (N(K50)&gt;N(Setup!$C$20))+(N(L50)&gt;N(Setup!$D$20)) + (N(M50)&gt;N(Setup!$C$21))+(N(N50)&gt;N(Setup!$D$21)) + (N(O50)&gt;N(Setup!$C$22))+(N(P50)&gt;N(Setup!$D$22)) + (N(Q50)&gt;N(Setup!$C$23))+(N(R50)&gt;N(Setup!$D$23)) + (N(S50)&gt;N(Setup!$C$24))+(N(T50)&gt;N(Setup!$D$24)))&gt;0,"⚠ Marks above max",IF(A50="","⚠ Roll no. missing",IF(COUNTIF($A$7:$A$66,A50)&gt;1,"⚠ Duplicate roll no.","✔"))))</f>
        <v/>
      </c>
      <c r="AC50" s="8" t="str">
        <f aca="false">IF(OR($B50="",Setup!$B$17="",N(Setup!$E$17)=0),"",(N(E50)+N(F50))/Setup!$E$17)</f>
        <v/>
      </c>
      <c r="AD50" s="8" t="str">
        <f aca="false">IF(OR($B50="",Setup!$B$18="",N(Setup!$E$18)=0),"",(N(G50)+N(H50))/Setup!$E$18)</f>
        <v/>
      </c>
      <c r="AE50" s="8" t="str">
        <f aca="false">IF(OR($B50="",Setup!$B$19="",N(Setup!$E$19)=0),"",(N(I50)+N(J50))/Setup!$E$19)</f>
        <v/>
      </c>
      <c r="AF50" s="8" t="str">
        <f aca="false">IF(OR($B50="",Setup!$B$20="",N(Setup!$E$20)=0),"",(N(K50)+N(L50))/Setup!$E$20)</f>
        <v/>
      </c>
      <c r="AG50" s="8" t="str">
        <f aca="false">IF(OR($B50="",Setup!$B$21="",N(Setup!$E$21)=0),"",(N(M50)+N(N50))/Setup!$E$21)</f>
        <v/>
      </c>
      <c r="AH50" s="8" t="str">
        <f aca="false">IF(OR($B50="",Setup!$B$22="",N(Setup!$E$22)=0),"",(N(O50)+N(P50))/Setup!$E$22)</f>
        <v/>
      </c>
      <c r="AI50" s="8" t="str">
        <f aca="false">IF(OR($B50="",Setup!$B$23="",N(Setup!$E$23)=0),"",(N(Q50)+N(R50))/Setup!$E$23)</f>
        <v/>
      </c>
      <c r="AJ50" s="8" t="str">
        <f aca="false">IF(OR($B50="",Setup!$B$24="",N(Setup!$E$24)=0),"",(N(S50)+N(T50))/Setup!$E$24)</f>
        <v/>
      </c>
      <c r="AK50" s="8" t="str">
        <f aca="false">IF($B50="","",U50+(1000-ROW())/100000)</f>
        <v/>
      </c>
      <c r="AL50" s="8" t="str">
        <f aca="false">IF(AM50=1,SUM($AM$7:AM50),"")</f>
        <v/>
      </c>
      <c r="AM50" s="8" t="n">
        <f aca="false">IF(AND(Y50&lt;&gt;"",Y50&lt;&gt;"PASS"),1,0)</f>
        <v>0</v>
      </c>
    </row>
    <row r="51" customFormat="false" ht="15" hidden="false" customHeight="false" outlineLevel="0" collapsed="false">
      <c r="A51" s="104"/>
      <c r="B51" s="100"/>
      <c r="C51" s="100"/>
      <c r="D51" s="99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49" t="str">
        <f aca="false">IF($B51="","",N(E51)+N(F51)+N(G51)+N(H51)+N(I51)+N(J51)+N(K51)+N(L51)+N(M51)+N(N51)+N(O51)+N(P51)+N(Q51)+N(R51)+N(S51)+N(T51))</f>
        <v/>
      </c>
      <c r="V51" s="50" t="str">
        <f aca="false">IF($B51="","",SUM(Setup!$E$17:$E$24))</f>
        <v/>
      </c>
      <c r="W51" s="51" t="str">
        <f aca="false">IF($B51="","",IFERROR(U51/V51,0))</f>
        <v/>
      </c>
      <c r="X51" s="50" t="str">
        <f aca="false">IF($B51="","",IF(AND(Setup!$B$17&lt;&gt;"",Setup!$E$17&gt;0),IF((N(E51)+N(F51))/Setup!$E$17&lt;Setup!$C$11,1,0),0)+IF(AND(Setup!$B$18&lt;&gt;"",Setup!$E$18&gt;0),IF((N(G51)+N(H51))/Setup!$E$18&lt;Setup!$C$11,1,0),0)+IF(AND(Setup!$B$19&lt;&gt;"",Setup!$E$19&gt;0),IF((N(I51)+N(J51))/Setup!$E$19&lt;Setup!$C$11,1,0),0)+IF(AND(Setup!$B$20&lt;&gt;"",Setup!$E$20&gt;0),IF((N(K51)+N(L51))/Setup!$E$20&lt;Setup!$C$11,1,0),0)+IF(AND(Setup!$B$21&lt;&gt;"",Setup!$E$21&gt;0),IF((N(M51)+N(N51))/Setup!$E$21&lt;Setup!$C$11,1,0),0)+IF(AND(Setup!$B$22&lt;&gt;"",Setup!$E$22&gt;0),IF((N(O51)+N(P51))/Setup!$E$22&lt;Setup!$C$11,1,0),0)+IF(AND(Setup!$B$23&lt;&gt;"",Setup!$E$23&gt;0),IF((N(Q51)+N(R51))/Setup!$E$23&lt;Setup!$C$11,1,0),0)+IF(AND(Setup!$B$24&lt;&gt;"",Setup!$E$24&gt;0),IF((N(S51)+N(T51))/Setup!$E$24&lt;Setup!$C$11,1,0),0))</f>
        <v/>
      </c>
      <c r="Y51" s="38" t="str">
        <f aca="false">IF($B51="","",IF(X51=0,"PASS",IF(X51&lt;=Setup!$C$12,"COMPARTMENT","FAIL")))</f>
        <v/>
      </c>
      <c r="Z51" s="39" t="str">
        <f aca="false">IF($B51="","",COUNTIF($U$7:$U$66,"&gt;"&amp;U51)+1)</f>
        <v/>
      </c>
      <c r="AA51" s="38" t="str">
        <f aca="false">IF($B51="","",INDEX(Setup!$G$5:$G$12,COUNTIF(Setup!$F$5:$F$12,"&gt;"&amp;ROUND(W51,4))+1))</f>
        <v/>
      </c>
      <c r="AB51" s="52" t="str">
        <f aca="false">IF($B51="","",IF(((N(E51)&gt;N(Setup!$C$17))+(N(F51)&gt;N(Setup!$D$17)) + (N(G51)&gt;N(Setup!$C$18))+(N(H51)&gt;N(Setup!$D$18)) + (N(I51)&gt;N(Setup!$C$19))+(N(J51)&gt;N(Setup!$D$19)) + (N(K51)&gt;N(Setup!$C$20))+(N(L51)&gt;N(Setup!$D$20)) + (N(M51)&gt;N(Setup!$C$21))+(N(N51)&gt;N(Setup!$D$21)) + (N(O51)&gt;N(Setup!$C$22))+(N(P51)&gt;N(Setup!$D$22)) + (N(Q51)&gt;N(Setup!$C$23))+(N(R51)&gt;N(Setup!$D$23)) + (N(S51)&gt;N(Setup!$C$24))+(N(T51)&gt;N(Setup!$D$24)))&gt;0,"⚠ Marks above max",IF(A51="","⚠ Roll no. missing",IF(COUNTIF($A$7:$A$66,A51)&gt;1,"⚠ Duplicate roll no.","✔"))))</f>
        <v/>
      </c>
      <c r="AC51" s="8" t="str">
        <f aca="false">IF(OR($B51="",Setup!$B$17="",N(Setup!$E$17)=0),"",(N(E51)+N(F51))/Setup!$E$17)</f>
        <v/>
      </c>
      <c r="AD51" s="8" t="str">
        <f aca="false">IF(OR($B51="",Setup!$B$18="",N(Setup!$E$18)=0),"",(N(G51)+N(H51))/Setup!$E$18)</f>
        <v/>
      </c>
      <c r="AE51" s="8" t="str">
        <f aca="false">IF(OR($B51="",Setup!$B$19="",N(Setup!$E$19)=0),"",(N(I51)+N(J51))/Setup!$E$19)</f>
        <v/>
      </c>
      <c r="AF51" s="8" t="str">
        <f aca="false">IF(OR($B51="",Setup!$B$20="",N(Setup!$E$20)=0),"",(N(K51)+N(L51))/Setup!$E$20)</f>
        <v/>
      </c>
      <c r="AG51" s="8" t="str">
        <f aca="false">IF(OR($B51="",Setup!$B$21="",N(Setup!$E$21)=0),"",(N(M51)+N(N51))/Setup!$E$21)</f>
        <v/>
      </c>
      <c r="AH51" s="8" t="str">
        <f aca="false">IF(OR($B51="",Setup!$B$22="",N(Setup!$E$22)=0),"",(N(O51)+N(P51))/Setup!$E$22)</f>
        <v/>
      </c>
      <c r="AI51" s="8" t="str">
        <f aca="false">IF(OR($B51="",Setup!$B$23="",N(Setup!$E$23)=0),"",(N(Q51)+N(R51))/Setup!$E$23)</f>
        <v/>
      </c>
      <c r="AJ51" s="8" t="str">
        <f aca="false">IF(OR($B51="",Setup!$B$24="",N(Setup!$E$24)=0),"",(N(S51)+N(T51))/Setup!$E$24)</f>
        <v/>
      </c>
      <c r="AK51" s="8" t="str">
        <f aca="false">IF($B51="","",U51+(1000-ROW())/100000)</f>
        <v/>
      </c>
      <c r="AL51" s="8" t="str">
        <f aca="false">IF(AM51=1,SUM($AM$7:AM51),"")</f>
        <v/>
      </c>
      <c r="AM51" s="8" t="n">
        <f aca="false">IF(AND(Y51&lt;&gt;"",Y51&lt;&gt;"PASS"),1,0)</f>
        <v>0</v>
      </c>
    </row>
    <row r="52" customFormat="false" ht="15" hidden="false" customHeight="false" outlineLevel="0" collapsed="false">
      <c r="A52" s="104"/>
      <c r="B52" s="100"/>
      <c r="C52" s="100"/>
      <c r="D52" s="99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49" t="str">
        <f aca="false">IF($B52="","",N(E52)+N(F52)+N(G52)+N(H52)+N(I52)+N(J52)+N(K52)+N(L52)+N(M52)+N(N52)+N(O52)+N(P52)+N(Q52)+N(R52)+N(S52)+N(T52))</f>
        <v/>
      </c>
      <c r="V52" s="50" t="str">
        <f aca="false">IF($B52="","",SUM(Setup!$E$17:$E$24))</f>
        <v/>
      </c>
      <c r="W52" s="51" t="str">
        <f aca="false">IF($B52="","",IFERROR(U52/V52,0))</f>
        <v/>
      </c>
      <c r="X52" s="50" t="str">
        <f aca="false">IF($B52="","",IF(AND(Setup!$B$17&lt;&gt;"",Setup!$E$17&gt;0),IF((N(E52)+N(F52))/Setup!$E$17&lt;Setup!$C$11,1,0),0)+IF(AND(Setup!$B$18&lt;&gt;"",Setup!$E$18&gt;0),IF((N(G52)+N(H52))/Setup!$E$18&lt;Setup!$C$11,1,0),0)+IF(AND(Setup!$B$19&lt;&gt;"",Setup!$E$19&gt;0),IF((N(I52)+N(J52))/Setup!$E$19&lt;Setup!$C$11,1,0),0)+IF(AND(Setup!$B$20&lt;&gt;"",Setup!$E$20&gt;0),IF((N(K52)+N(L52))/Setup!$E$20&lt;Setup!$C$11,1,0),0)+IF(AND(Setup!$B$21&lt;&gt;"",Setup!$E$21&gt;0),IF((N(M52)+N(N52))/Setup!$E$21&lt;Setup!$C$11,1,0),0)+IF(AND(Setup!$B$22&lt;&gt;"",Setup!$E$22&gt;0),IF((N(O52)+N(P52))/Setup!$E$22&lt;Setup!$C$11,1,0),0)+IF(AND(Setup!$B$23&lt;&gt;"",Setup!$E$23&gt;0),IF((N(Q52)+N(R52))/Setup!$E$23&lt;Setup!$C$11,1,0),0)+IF(AND(Setup!$B$24&lt;&gt;"",Setup!$E$24&gt;0),IF((N(S52)+N(T52))/Setup!$E$24&lt;Setup!$C$11,1,0),0))</f>
        <v/>
      </c>
      <c r="Y52" s="38" t="str">
        <f aca="false">IF($B52="","",IF(X52=0,"PASS",IF(X52&lt;=Setup!$C$12,"COMPARTMENT","FAIL")))</f>
        <v/>
      </c>
      <c r="Z52" s="39" t="str">
        <f aca="false">IF($B52="","",COUNTIF($U$7:$U$66,"&gt;"&amp;U52)+1)</f>
        <v/>
      </c>
      <c r="AA52" s="38" t="str">
        <f aca="false">IF($B52="","",INDEX(Setup!$G$5:$G$12,COUNTIF(Setup!$F$5:$F$12,"&gt;"&amp;ROUND(W52,4))+1))</f>
        <v/>
      </c>
      <c r="AB52" s="52" t="str">
        <f aca="false">IF($B52="","",IF(((N(E52)&gt;N(Setup!$C$17))+(N(F52)&gt;N(Setup!$D$17)) + (N(G52)&gt;N(Setup!$C$18))+(N(H52)&gt;N(Setup!$D$18)) + (N(I52)&gt;N(Setup!$C$19))+(N(J52)&gt;N(Setup!$D$19)) + (N(K52)&gt;N(Setup!$C$20))+(N(L52)&gt;N(Setup!$D$20)) + (N(M52)&gt;N(Setup!$C$21))+(N(N52)&gt;N(Setup!$D$21)) + (N(O52)&gt;N(Setup!$C$22))+(N(P52)&gt;N(Setup!$D$22)) + (N(Q52)&gt;N(Setup!$C$23))+(N(R52)&gt;N(Setup!$D$23)) + (N(S52)&gt;N(Setup!$C$24))+(N(T52)&gt;N(Setup!$D$24)))&gt;0,"⚠ Marks above max",IF(A52="","⚠ Roll no. missing",IF(COUNTIF($A$7:$A$66,A52)&gt;1,"⚠ Duplicate roll no.","✔"))))</f>
        <v/>
      </c>
      <c r="AC52" s="8" t="str">
        <f aca="false">IF(OR($B52="",Setup!$B$17="",N(Setup!$E$17)=0),"",(N(E52)+N(F52))/Setup!$E$17)</f>
        <v/>
      </c>
      <c r="AD52" s="8" t="str">
        <f aca="false">IF(OR($B52="",Setup!$B$18="",N(Setup!$E$18)=0),"",(N(G52)+N(H52))/Setup!$E$18)</f>
        <v/>
      </c>
      <c r="AE52" s="8" t="str">
        <f aca="false">IF(OR($B52="",Setup!$B$19="",N(Setup!$E$19)=0),"",(N(I52)+N(J52))/Setup!$E$19)</f>
        <v/>
      </c>
      <c r="AF52" s="8" t="str">
        <f aca="false">IF(OR($B52="",Setup!$B$20="",N(Setup!$E$20)=0),"",(N(K52)+N(L52))/Setup!$E$20)</f>
        <v/>
      </c>
      <c r="AG52" s="8" t="str">
        <f aca="false">IF(OR($B52="",Setup!$B$21="",N(Setup!$E$21)=0),"",(N(M52)+N(N52))/Setup!$E$21)</f>
        <v/>
      </c>
      <c r="AH52" s="8" t="str">
        <f aca="false">IF(OR($B52="",Setup!$B$22="",N(Setup!$E$22)=0),"",(N(O52)+N(P52))/Setup!$E$22)</f>
        <v/>
      </c>
      <c r="AI52" s="8" t="str">
        <f aca="false">IF(OR($B52="",Setup!$B$23="",N(Setup!$E$23)=0),"",(N(Q52)+N(R52))/Setup!$E$23)</f>
        <v/>
      </c>
      <c r="AJ52" s="8" t="str">
        <f aca="false">IF(OR($B52="",Setup!$B$24="",N(Setup!$E$24)=0),"",(N(S52)+N(T52))/Setup!$E$24)</f>
        <v/>
      </c>
      <c r="AK52" s="8" t="str">
        <f aca="false">IF($B52="","",U52+(1000-ROW())/100000)</f>
        <v/>
      </c>
      <c r="AL52" s="8" t="str">
        <f aca="false">IF(AM52=1,SUM($AM$7:AM52),"")</f>
        <v/>
      </c>
      <c r="AM52" s="8" t="n">
        <f aca="false">IF(AND(Y52&lt;&gt;"",Y52&lt;&gt;"PASS"),1,0)</f>
        <v>0</v>
      </c>
    </row>
    <row r="53" customFormat="false" ht="15" hidden="false" customHeight="false" outlineLevel="0" collapsed="false">
      <c r="A53" s="104"/>
      <c r="B53" s="100"/>
      <c r="C53" s="100"/>
      <c r="D53" s="99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49" t="str">
        <f aca="false">IF($B53="","",N(E53)+N(F53)+N(G53)+N(H53)+N(I53)+N(J53)+N(K53)+N(L53)+N(M53)+N(N53)+N(O53)+N(P53)+N(Q53)+N(R53)+N(S53)+N(T53))</f>
        <v/>
      </c>
      <c r="V53" s="50" t="str">
        <f aca="false">IF($B53="","",SUM(Setup!$E$17:$E$24))</f>
        <v/>
      </c>
      <c r="W53" s="51" t="str">
        <f aca="false">IF($B53="","",IFERROR(U53/V53,0))</f>
        <v/>
      </c>
      <c r="X53" s="50" t="str">
        <f aca="false">IF($B53="","",IF(AND(Setup!$B$17&lt;&gt;"",Setup!$E$17&gt;0),IF((N(E53)+N(F53))/Setup!$E$17&lt;Setup!$C$11,1,0),0)+IF(AND(Setup!$B$18&lt;&gt;"",Setup!$E$18&gt;0),IF((N(G53)+N(H53))/Setup!$E$18&lt;Setup!$C$11,1,0),0)+IF(AND(Setup!$B$19&lt;&gt;"",Setup!$E$19&gt;0),IF((N(I53)+N(J53))/Setup!$E$19&lt;Setup!$C$11,1,0),0)+IF(AND(Setup!$B$20&lt;&gt;"",Setup!$E$20&gt;0),IF((N(K53)+N(L53))/Setup!$E$20&lt;Setup!$C$11,1,0),0)+IF(AND(Setup!$B$21&lt;&gt;"",Setup!$E$21&gt;0),IF((N(M53)+N(N53))/Setup!$E$21&lt;Setup!$C$11,1,0),0)+IF(AND(Setup!$B$22&lt;&gt;"",Setup!$E$22&gt;0),IF((N(O53)+N(P53))/Setup!$E$22&lt;Setup!$C$11,1,0),0)+IF(AND(Setup!$B$23&lt;&gt;"",Setup!$E$23&gt;0),IF((N(Q53)+N(R53))/Setup!$E$23&lt;Setup!$C$11,1,0),0)+IF(AND(Setup!$B$24&lt;&gt;"",Setup!$E$24&gt;0),IF((N(S53)+N(T53))/Setup!$E$24&lt;Setup!$C$11,1,0),0))</f>
        <v/>
      </c>
      <c r="Y53" s="38" t="str">
        <f aca="false">IF($B53="","",IF(X53=0,"PASS",IF(X53&lt;=Setup!$C$12,"COMPARTMENT","FAIL")))</f>
        <v/>
      </c>
      <c r="Z53" s="39" t="str">
        <f aca="false">IF($B53="","",COUNTIF($U$7:$U$66,"&gt;"&amp;U53)+1)</f>
        <v/>
      </c>
      <c r="AA53" s="38" t="str">
        <f aca="false">IF($B53="","",INDEX(Setup!$G$5:$G$12,COUNTIF(Setup!$F$5:$F$12,"&gt;"&amp;ROUND(W53,4))+1))</f>
        <v/>
      </c>
      <c r="AB53" s="52" t="str">
        <f aca="false">IF($B53="","",IF(((N(E53)&gt;N(Setup!$C$17))+(N(F53)&gt;N(Setup!$D$17)) + (N(G53)&gt;N(Setup!$C$18))+(N(H53)&gt;N(Setup!$D$18)) + (N(I53)&gt;N(Setup!$C$19))+(N(J53)&gt;N(Setup!$D$19)) + (N(K53)&gt;N(Setup!$C$20))+(N(L53)&gt;N(Setup!$D$20)) + (N(M53)&gt;N(Setup!$C$21))+(N(N53)&gt;N(Setup!$D$21)) + (N(O53)&gt;N(Setup!$C$22))+(N(P53)&gt;N(Setup!$D$22)) + (N(Q53)&gt;N(Setup!$C$23))+(N(R53)&gt;N(Setup!$D$23)) + (N(S53)&gt;N(Setup!$C$24))+(N(T53)&gt;N(Setup!$D$24)))&gt;0,"⚠ Marks above max",IF(A53="","⚠ Roll no. missing",IF(COUNTIF($A$7:$A$66,A53)&gt;1,"⚠ Duplicate roll no.","✔"))))</f>
        <v/>
      </c>
      <c r="AC53" s="8" t="str">
        <f aca="false">IF(OR($B53="",Setup!$B$17="",N(Setup!$E$17)=0),"",(N(E53)+N(F53))/Setup!$E$17)</f>
        <v/>
      </c>
      <c r="AD53" s="8" t="str">
        <f aca="false">IF(OR($B53="",Setup!$B$18="",N(Setup!$E$18)=0),"",(N(G53)+N(H53))/Setup!$E$18)</f>
        <v/>
      </c>
      <c r="AE53" s="8" t="str">
        <f aca="false">IF(OR($B53="",Setup!$B$19="",N(Setup!$E$19)=0),"",(N(I53)+N(J53))/Setup!$E$19)</f>
        <v/>
      </c>
      <c r="AF53" s="8" t="str">
        <f aca="false">IF(OR($B53="",Setup!$B$20="",N(Setup!$E$20)=0),"",(N(K53)+N(L53))/Setup!$E$20)</f>
        <v/>
      </c>
      <c r="AG53" s="8" t="str">
        <f aca="false">IF(OR($B53="",Setup!$B$21="",N(Setup!$E$21)=0),"",(N(M53)+N(N53))/Setup!$E$21)</f>
        <v/>
      </c>
      <c r="AH53" s="8" t="str">
        <f aca="false">IF(OR($B53="",Setup!$B$22="",N(Setup!$E$22)=0),"",(N(O53)+N(P53))/Setup!$E$22)</f>
        <v/>
      </c>
      <c r="AI53" s="8" t="str">
        <f aca="false">IF(OR($B53="",Setup!$B$23="",N(Setup!$E$23)=0),"",(N(Q53)+N(R53))/Setup!$E$23)</f>
        <v/>
      </c>
      <c r="AJ53" s="8" t="str">
        <f aca="false">IF(OR($B53="",Setup!$B$24="",N(Setup!$E$24)=0),"",(N(S53)+N(T53))/Setup!$E$24)</f>
        <v/>
      </c>
      <c r="AK53" s="8" t="str">
        <f aca="false">IF($B53="","",U53+(1000-ROW())/100000)</f>
        <v/>
      </c>
      <c r="AL53" s="8" t="str">
        <f aca="false">IF(AM53=1,SUM($AM$7:AM53),"")</f>
        <v/>
      </c>
      <c r="AM53" s="8" t="n">
        <f aca="false">IF(AND(Y53&lt;&gt;"",Y53&lt;&gt;"PASS"),1,0)</f>
        <v>0</v>
      </c>
    </row>
    <row r="54" customFormat="false" ht="15" hidden="false" customHeight="false" outlineLevel="0" collapsed="false">
      <c r="A54" s="104"/>
      <c r="B54" s="100"/>
      <c r="C54" s="100"/>
      <c r="D54" s="99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49" t="str">
        <f aca="false">IF($B54="","",N(E54)+N(F54)+N(G54)+N(H54)+N(I54)+N(J54)+N(K54)+N(L54)+N(M54)+N(N54)+N(O54)+N(P54)+N(Q54)+N(R54)+N(S54)+N(T54))</f>
        <v/>
      </c>
      <c r="V54" s="50" t="str">
        <f aca="false">IF($B54="","",SUM(Setup!$E$17:$E$24))</f>
        <v/>
      </c>
      <c r="W54" s="51" t="str">
        <f aca="false">IF($B54="","",IFERROR(U54/V54,0))</f>
        <v/>
      </c>
      <c r="X54" s="50" t="str">
        <f aca="false">IF($B54="","",IF(AND(Setup!$B$17&lt;&gt;"",Setup!$E$17&gt;0),IF((N(E54)+N(F54))/Setup!$E$17&lt;Setup!$C$11,1,0),0)+IF(AND(Setup!$B$18&lt;&gt;"",Setup!$E$18&gt;0),IF((N(G54)+N(H54))/Setup!$E$18&lt;Setup!$C$11,1,0),0)+IF(AND(Setup!$B$19&lt;&gt;"",Setup!$E$19&gt;0),IF((N(I54)+N(J54))/Setup!$E$19&lt;Setup!$C$11,1,0),0)+IF(AND(Setup!$B$20&lt;&gt;"",Setup!$E$20&gt;0),IF((N(K54)+N(L54))/Setup!$E$20&lt;Setup!$C$11,1,0),0)+IF(AND(Setup!$B$21&lt;&gt;"",Setup!$E$21&gt;0),IF((N(M54)+N(N54))/Setup!$E$21&lt;Setup!$C$11,1,0),0)+IF(AND(Setup!$B$22&lt;&gt;"",Setup!$E$22&gt;0),IF((N(O54)+N(P54))/Setup!$E$22&lt;Setup!$C$11,1,0),0)+IF(AND(Setup!$B$23&lt;&gt;"",Setup!$E$23&gt;0),IF((N(Q54)+N(R54))/Setup!$E$23&lt;Setup!$C$11,1,0),0)+IF(AND(Setup!$B$24&lt;&gt;"",Setup!$E$24&gt;0),IF((N(S54)+N(T54))/Setup!$E$24&lt;Setup!$C$11,1,0),0))</f>
        <v/>
      </c>
      <c r="Y54" s="38" t="str">
        <f aca="false">IF($B54="","",IF(X54=0,"PASS",IF(X54&lt;=Setup!$C$12,"COMPARTMENT","FAIL")))</f>
        <v/>
      </c>
      <c r="Z54" s="39" t="str">
        <f aca="false">IF($B54="","",COUNTIF($U$7:$U$66,"&gt;"&amp;U54)+1)</f>
        <v/>
      </c>
      <c r="AA54" s="38" t="str">
        <f aca="false">IF($B54="","",INDEX(Setup!$G$5:$G$12,COUNTIF(Setup!$F$5:$F$12,"&gt;"&amp;ROUND(W54,4))+1))</f>
        <v/>
      </c>
      <c r="AB54" s="52" t="str">
        <f aca="false">IF($B54="","",IF(((N(E54)&gt;N(Setup!$C$17))+(N(F54)&gt;N(Setup!$D$17)) + (N(G54)&gt;N(Setup!$C$18))+(N(H54)&gt;N(Setup!$D$18)) + (N(I54)&gt;N(Setup!$C$19))+(N(J54)&gt;N(Setup!$D$19)) + (N(K54)&gt;N(Setup!$C$20))+(N(L54)&gt;N(Setup!$D$20)) + (N(M54)&gt;N(Setup!$C$21))+(N(N54)&gt;N(Setup!$D$21)) + (N(O54)&gt;N(Setup!$C$22))+(N(P54)&gt;N(Setup!$D$22)) + (N(Q54)&gt;N(Setup!$C$23))+(N(R54)&gt;N(Setup!$D$23)) + (N(S54)&gt;N(Setup!$C$24))+(N(T54)&gt;N(Setup!$D$24)))&gt;0,"⚠ Marks above max",IF(A54="","⚠ Roll no. missing",IF(COUNTIF($A$7:$A$66,A54)&gt;1,"⚠ Duplicate roll no.","✔"))))</f>
        <v/>
      </c>
      <c r="AC54" s="8" t="str">
        <f aca="false">IF(OR($B54="",Setup!$B$17="",N(Setup!$E$17)=0),"",(N(E54)+N(F54))/Setup!$E$17)</f>
        <v/>
      </c>
      <c r="AD54" s="8" t="str">
        <f aca="false">IF(OR($B54="",Setup!$B$18="",N(Setup!$E$18)=0),"",(N(G54)+N(H54))/Setup!$E$18)</f>
        <v/>
      </c>
      <c r="AE54" s="8" t="str">
        <f aca="false">IF(OR($B54="",Setup!$B$19="",N(Setup!$E$19)=0),"",(N(I54)+N(J54))/Setup!$E$19)</f>
        <v/>
      </c>
      <c r="AF54" s="8" t="str">
        <f aca="false">IF(OR($B54="",Setup!$B$20="",N(Setup!$E$20)=0),"",(N(K54)+N(L54))/Setup!$E$20)</f>
        <v/>
      </c>
      <c r="AG54" s="8" t="str">
        <f aca="false">IF(OR($B54="",Setup!$B$21="",N(Setup!$E$21)=0),"",(N(M54)+N(N54))/Setup!$E$21)</f>
        <v/>
      </c>
      <c r="AH54" s="8" t="str">
        <f aca="false">IF(OR($B54="",Setup!$B$22="",N(Setup!$E$22)=0),"",(N(O54)+N(P54))/Setup!$E$22)</f>
        <v/>
      </c>
      <c r="AI54" s="8" t="str">
        <f aca="false">IF(OR($B54="",Setup!$B$23="",N(Setup!$E$23)=0),"",(N(Q54)+N(R54))/Setup!$E$23)</f>
        <v/>
      </c>
      <c r="AJ54" s="8" t="str">
        <f aca="false">IF(OR($B54="",Setup!$B$24="",N(Setup!$E$24)=0),"",(N(S54)+N(T54))/Setup!$E$24)</f>
        <v/>
      </c>
      <c r="AK54" s="8" t="str">
        <f aca="false">IF($B54="","",U54+(1000-ROW())/100000)</f>
        <v/>
      </c>
      <c r="AL54" s="8" t="str">
        <f aca="false">IF(AM54=1,SUM($AM$7:AM54),"")</f>
        <v/>
      </c>
      <c r="AM54" s="8" t="n">
        <f aca="false">IF(AND(Y54&lt;&gt;"",Y54&lt;&gt;"PASS"),1,0)</f>
        <v>0</v>
      </c>
    </row>
    <row r="55" customFormat="false" ht="15" hidden="false" customHeight="false" outlineLevel="0" collapsed="false">
      <c r="A55" s="104"/>
      <c r="B55" s="100"/>
      <c r="C55" s="100"/>
      <c r="D55" s="99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49" t="str">
        <f aca="false">IF($B55="","",N(E55)+N(F55)+N(G55)+N(H55)+N(I55)+N(J55)+N(K55)+N(L55)+N(M55)+N(N55)+N(O55)+N(P55)+N(Q55)+N(R55)+N(S55)+N(T55))</f>
        <v/>
      </c>
      <c r="V55" s="50" t="str">
        <f aca="false">IF($B55="","",SUM(Setup!$E$17:$E$24))</f>
        <v/>
      </c>
      <c r="W55" s="51" t="str">
        <f aca="false">IF($B55="","",IFERROR(U55/V55,0))</f>
        <v/>
      </c>
      <c r="X55" s="50" t="str">
        <f aca="false">IF($B55="","",IF(AND(Setup!$B$17&lt;&gt;"",Setup!$E$17&gt;0),IF((N(E55)+N(F55))/Setup!$E$17&lt;Setup!$C$11,1,0),0)+IF(AND(Setup!$B$18&lt;&gt;"",Setup!$E$18&gt;0),IF((N(G55)+N(H55))/Setup!$E$18&lt;Setup!$C$11,1,0),0)+IF(AND(Setup!$B$19&lt;&gt;"",Setup!$E$19&gt;0),IF((N(I55)+N(J55))/Setup!$E$19&lt;Setup!$C$11,1,0),0)+IF(AND(Setup!$B$20&lt;&gt;"",Setup!$E$20&gt;0),IF((N(K55)+N(L55))/Setup!$E$20&lt;Setup!$C$11,1,0),0)+IF(AND(Setup!$B$21&lt;&gt;"",Setup!$E$21&gt;0),IF((N(M55)+N(N55))/Setup!$E$21&lt;Setup!$C$11,1,0),0)+IF(AND(Setup!$B$22&lt;&gt;"",Setup!$E$22&gt;0),IF((N(O55)+N(P55))/Setup!$E$22&lt;Setup!$C$11,1,0),0)+IF(AND(Setup!$B$23&lt;&gt;"",Setup!$E$23&gt;0),IF((N(Q55)+N(R55))/Setup!$E$23&lt;Setup!$C$11,1,0),0)+IF(AND(Setup!$B$24&lt;&gt;"",Setup!$E$24&gt;0),IF((N(S55)+N(T55))/Setup!$E$24&lt;Setup!$C$11,1,0),0))</f>
        <v/>
      </c>
      <c r="Y55" s="38" t="str">
        <f aca="false">IF($B55="","",IF(X55=0,"PASS",IF(X55&lt;=Setup!$C$12,"COMPARTMENT","FAIL")))</f>
        <v/>
      </c>
      <c r="Z55" s="39" t="str">
        <f aca="false">IF($B55="","",COUNTIF($U$7:$U$66,"&gt;"&amp;U55)+1)</f>
        <v/>
      </c>
      <c r="AA55" s="38" t="str">
        <f aca="false">IF($B55="","",INDEX(Setup!$G$5:$G$12,COUNTIF(Setup!$F$5:$F$12,"&gt;"&amp;ROUND(W55,4))+1))</f>
        <v/>
      </c>
      <c r="AB55" s="52" t="str">
        <f aca="false">IF($B55="","",IF(((N(E55)&gt;N(Setup!$C$17))+(N(F55)&gt;N(Setup!$D$17)) + (N(G55)&gt;N(Setup!$C$18))+(N(H55)&gt;N(Setup!$D$18)) + (N(I55)&gt;N(Setup!$C$19))+(N(J55)&gt;N(Setup!$D$19)) + (N(K55)&gt;N(Setup!$C$20))+(N(L55)&gt;N(Setup!$D$20)) + (N(M55)&gt;N(Setup!$C$21))+(N(N55)&gt;N(Setup!$D$21)) + (N(O55)&gt;N(Setup!$C$22))+(N(P55)&gt;N(Setup!$D$22)) + (N(Q55)&gt;N(Setup!$C$23))+(N(R55)&gt;N(Setup!$D$23)) + (N(S55)&gt;N(Setup!$C$24))+(N(T55)&gt;N(Setup!$D$24)))&gt;0,"⚠ Marks above max",IF(A55="","⚠ Roll no. missing",IF(COUNTIF($A$7:$A$66,A55)&gt;1,"⚠ Duplicate roll no.","✔"))))</f>
        <v/>
      </c>
      <c r="AC55" s="8" t="str">
        <f aca="false">IF(OR($B55="",Setup!$B$17="",N(Setup!$E$17)=0),"",(N(E55)+N(F55))/Setup!$E$17)</f>
        <v/>
      </c>
      <c r="AD55" s="8" t="str">
        <f aca="false">IF(OR($B55="",Setup!$B$18="",N(Setup!$E$18)=0),"",(N(G55)+N(H55))/Setup!$E$18)</f>
        <v/>
      </c>
      <c r="AE55" s="8" t="str">
        <f aca="false">IF(OR($B55="",Setup!$B$19="",N(Setup!$E$19)=0),"",(N(I55)+N(J55))/Setup!$E$19)</f>
        <v/>
      </c>
      <c r="AF55" s="8" t="str">
        <f aca="false">IF(OR($B55="",Setup!$B$20="",N(Setup!$E$20)=0),"",(N(K55)+N(L55))/Setup!$E$20)</f>
        <v/>
      </c>
      <c r="AG55" s="8" t="str">
        <f aca="false">IF(OR($B55="",Setup!$B$21="",N(Setup!$E$21)=0),"",(N(M55)+N(N55))/Setup!$E$21)</f>
        <v/>
      </c>
      <c r="AH55" s="8" t="str">
        <f aca="false">IF(OR($B55="",Setup!$B$22="",N(Setup!$E$22)=0),"",(N(O55)+N(P55))/Setup!$E$22)</f>
        <v/>
      </c>
      <c r="AI55" s="8" t="str">
        <f aca="false">IF(OR($B55="",Setup!$B$23="",N(Setup!$E$23)=0),"",(N(Q55)+N(R55))/Setup!$E$23)</f>
        <v/>
      </c>
      <c r="AJ55" s="8" t="str">
        <f aca="false">IF(OR($B55="",Setup!$B$24="",N(Setup!$E$24)=0),"",(N(S55)+N(T55))/Setup!$E$24)</f>
        <v/>
      </c>
      <c r="AK55" s="8" t="str">
        <f aca="false">IF($B55="","",U55+(1000-ROW())/100000)</f>
        <v/>
      </c>
      <c r="AL55" s="8" t="str">
        <f aca="false">IF(AM55=1,SUM($AM$7:AM55),"")</f>
        <v/>
      </c>
      <c r="AM55" s="8" t="n">
        <f aca="false">IF(AND(Y55&lt;&gt;"",Y55&lt;&gt;"PASS"),1,0)</f>
        <v>0</v>
      </c>
    </row>
    <row r="56" customFormat="false" ht="15" hidden="false" customHeight="false" outlineLevel="0" collapsed="false">
      <c r="A56" s="104"/>
      <c r="B56" s="100"/>
      <c r="C56" s="100"/>
      <c r="D56" s="99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49" t="str">
        <f aca="false">IF($B56="","",N(E56)+N(F56)+N(G56)+N(H56)+N(I56)+N(J56)+N(K56)+N(L56)+N(M56)+N(N56)+N(O56)+N(P56)+N(Q56)+N(R56)+N(S56)+N(T56))</f>
        <v/>
      </c>
      <c r="V56" s="50" t="str">
        <f aca="false">IF($B56="","",SUM(Setup!$E$17:$E$24))</f>
        <v/>
      </c>
      <c r="W56" s="51" t="str">
        <f aca="false">IF($B56="","",IFERROR(U56/V56,0))</f>
        <v/>
      </c>
      <c r="X56" s="50" t="str">
        <f aca="false">IF($B56="","",IF(AND(Setup!$B$17&lt;&gt;"",Setup!$E$17&gt;0),IF((N(E56)+N(F56))/Setup!$E$17&lt;Setup!$C$11,1,0),0)+IF(AND(Setup!$B$18&lt;&gt;"",Setup!$E$18&gt;0),IF((N(G56)+N(H56))/Setup!$E$18&lt;Setup!$C$11,1,0),0)+IF(AND(Setup!$B$19&lt;&gt;"",Setup!$E$19&gt;0),IF((N(I56)+N(J56))/Setup!$E$19&lt;Setup!$C$11,1,0),0)+IF(AND(Setup!$B$20&lt;&gt;"",Setup!$E$20&gt;0),IF((N(K56)+N(L56))/Setup!$E$20&lt;Setup!$C$11,1,0),0)+IF(AND(Setup!$B$21&lt;&gt;"",Setup!$E$21&gt;0),IF((N(M56)+N(N56))/Setup!$E$21&lt;Setup!$C$11,1,0),0)+IF(AND(Setup!$B$22&lt;&gt;"",Setup!$E$22&gt;0),IF((N(O56)+N(P56))/Setup!$E$22&lt;Setup!$C$11,1,0),0)+IF(AND(Setup!$B$23&lt;&gt;"",Setup!$E$23&gt;0),IF((N(Q56)+N(R56))/Setup!$E$23&lt;Setup!$C$11,1,0),0)+IF(AND(Setup!$B$24&lt;&gt;"",Setup!$E$24&gt;0),IF((N(S56)+N(T56))/Setup!$E$24&lt;Setup!$C$11,1,0),0))</f>
        <v/>
      </c>
      <c r="Y56" s="38" t="str">
        <f aca="false">IF($B56="","",IF(X56=0,"PASS",IF(X56&lt;=Setup!$C$12,"COMPARTMENT","FAIL")))</f>
        <v/>
      </c>
      <c r="Z56" s="39" t="str">
        <f aca="false">IF($B56="","",COUNTIF($U$7:$U$66,"&gt;"&amp;U56)+1)</f>
        <v/>
      </c>
      <c r="AA56" s="38" t="str">
        <f aca="false">IF($B56="","",INDEX(Setup!$G$5:$G$12,COUNTIF(Setup!$F$5:$F$12,"&gt;"&amp;ROUND(W56,4))+1))</f>
        <v/>
      </c>
      <c r="AB56" s="52" t="str">
        <f aca="false">IF($B56="","",IF(((N(E56)&gt;N(Setup!$C$17))+(N(F56)&gt;N(Setup!$D$17)) + (N(G56)&gt;N(Setup!$C$18))+(N(H56)&gt;N(Setup!$D$18)) + (N(I56)&gt;N(Setup!$C$19))+(N(J56)&gt;N(Setup!$D$19)) + (N(K56)&gt;N(Setup!$C$20))+(N(L56)&gt;N(Setup!$D$20)) + (N(M56)&gt;N(Setup!$C$21))+(N(N56)&gt;N(Setup!$D$21)) + (N(O56)&gt;N(Setup!$C$22))+(N(P56)&gt;N(Setup!$D$22)) + (N(Q56)&gt;N(Setup!$C$23))+(N(R56)&gt;N(Setup!$D$23)) + (N(S56)&gt;N(Setup!$C$24))+(N(T56)&gt;N(Setup!$D$24)))&gt;0,"⚠ Marks above max",IF(A56="","⚠ Roll no. missing",IF(COUNTIF($A$7:$A$66,A56)&gt;1,"⚠ Duplicate roll no.","✔"))))</f>
        <v/>
      </c>
      <c r="AC56" s="8" t="str">
        <f aca="false">IF(OR($B56="",Setup!$B$17="",N(Setup!$E$17)=0),"",(N(E56)+N(F56))/Setup!$E$17)</f>
        <v/>
      </c>
      <c r="AD56" s="8" t="str">
        <f aca="false">IF(OR($B56="",Setup!$B$18="",N(Setup!$E$18)=0),"",(N(G56)+N(H56))/Setup!$E$18)</f>
        <v/>
      </c>
      <c r="AE56" s="8" t="str">
        <f aca="false">IF(OR($B56="",Setup!$B$19="",N(Setup!$E$19)=0),"",(N(I56)+N(J56))/Setup!$E$19)</f>
        <v/>
      </c>
      <c r="AF56" s="8" t="str">
        <f aca="false">IF(OR($B56="",Setup!$B$20="",N(Setup!$E$20)=0),"",(N(K56)+N(L56))/Setup!$E$20)</f>
        <v/>
      </c>
      <c r="AG56" s="8" t="str">
        <f aca="false">IF(OR($B56="",Setup!$B$21="",N(Setup!$E$21)=0),"",(N(M56)+N(N56))/Setup!$E$21)</f>
        <v/>
      </c>
      <c r="AH56" s="8" t="str">
        <f aca="false">IF(OR($B56="",Setup!$B$22="",N(Setup!$E$22)=0),"",(N(O56)+N(P56))/Setup!$E$22)</f>
        <v/>
      </c>
      <c r="AI56" s="8" t="str">
        <f aca="false">IF(OR($B56="",Setup!$B$23="",N(Setup!$E$23)=0),"",(N(Q56)+N(R56))/Setup!$E$23)</f>
        <v/>
      </c>
      <c r="AJ56" s="8" t="str">
        <f aca="false">IF(OR($B56="",Setup!$B$24="",N(Setup!$E$24)=0),"",(N(S56)+N(T56))/Setup!$E$24)</f>
        <v/>
      </c>
      <c r="AK56" s="8" t="str">
        <f aca="false">IF($B56="","",U56+(1000-ROW())/100000)</f>
        <v/>
      </c>
      <c r="AL56" s="8" t="str">
        <f aca="false">IF(AM56=1,SUM($AM$7:AM56),"")</f>
        <v/>
      </c>
      <c r="AM56" s="8" t="n">
        <f aca="false">IF(AND(Y56&lt;&gt;"",Y56&lt;&gt;"PASS"),1,0)</f>
        <v>0</v>
      </c>
    </row>
    <row r="57" customFormat="false" ht="15" hidden="false" customHeight="false" outlineLevel="0" collapsed="false">
      <c r="A57" s="104"/>
      <c r="B57" s="100"/>
      <c r="C57" s="100"/>
      <c r="D57" s="99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49" t="str">
        <f aca="false">IF($B57="","",N(E57)+N(F57)+N(G57)+N(H57)+N(I57)+N(J57)+N(K57)+N(L57)+N(M57)+N(N57)+N(O57)+N(P57)+N(Q57)+N(R57)+N(S57)+N(T57))</f>
        <v/>
      </c>
      <c r="V57" s="50" t="str">
        <f aca="false">IF($B57="","",SUM(Setup!$E$17:$E$24))</f>
        <v/>
      </c>
      <c r="W57" s="51" t="str">
        <f aca="false">IF($B57="","",IFERROR(U57/V57,0))</f>
        <v/>
      </c>
      <c r="X57" s="50" t="str">
        <f aca="false">IF($B57="","",IF(AND(Setup!$B$17&lt;&gt;"",Setup!$E$17&gt;0),IF((N(E57)+N(F57))/Setup!$E$17&lt;Setup!$C$11,1,0),0)+IF(AND(Setup!$B$18&lt;&gt;"",Setup!$E$18&gt;0),IF((N(G57)+N(H57))/Setup!$E$18&lt;Setup!$C$11,1,0),0)+IF(AND(Setup!$B$19&lt;&gt;"",Setup!$E$19&gt;0),IF((N(I57)+N(J57))/Setup!$E$19&lt;Setup!$C$11,1,0),0)+IF(AND(Setup!$B$20&lt;&gt;"",Setup!$E$20&gt;0),IF((N(K57)+N(L57))/Setup!$E$20&lt;Setup!$C$11,1,0),0)+IF(AND(Setup!$B$21&lt;&gt;"",Setup!$E$21&gt;0),IF((N(M57)+N(N57))/Setup!$E$21&lt;Setup!$C$11,1,0),0)+IF(AND(Setup!$B$22&lt;&gt;"",Setup!$E$22&gt;0),IF((N(O57)+N(P57))/Setup!$E$22&lt;Setup!$C$11,1,0),0)+IF(AND(Setup!$B$23&lt;&gt;"",Setup!$E$23&gt;0),IF((N(Q57)+N(R57))/Setup!$E$23&lt;Setup!$C$11,1,0),0)+IF(AND(Setup!$B$24&lt;&gt;"",Setup!$E$24&gt;0),IF((N(S57)+N(T57))/Setup!$E$24&lt;Setup!$C$11,1,0),0))</f>
        <v/>
      </c>
      <c r="Y57" s="38" t="str">
        <f aca="false">IF($B57="","",IF(X57=0,"PASS",IF(X57&lt;=Setup!$C$12,"COMPARTMENT","FAIL")))</f>
        <v/>
      </c>
      <c r="Z57" s="39" t="str">
        <f aca="false">IF($B57="","",COUNTIF($U$7:$U$66,"&gt;"&amp;U57)+1)</f>
        <v/>
      </c>
      <c r="AA57" s="38" t="str">
        <f aca="false">IF($B57="","",INDEX(Setup!$G$5:$G$12,COUNTIF(Setup!$F$5:$F$12,"&gt;"&amp;ROUND(W57,4))+1))</f>
        <v/>
      </c>
      <c r="AB57" s="52" t="str">
        <f aca="false">IF($B57="","",IF(((N(E57)&gt;N(Setup!$C$17))+(N(F57)&gt;N(Setup!$D$17)) + (N(G57)&gt;N(Setup!$C$18))+(N(H57)&gt;N(Setup!$D$18)) + (N(I57)&gt;N(Setup!$C$19))+(N(J57)&gt;N(Setup!$D$19)) + (N(K57)&gt;N(Setup!$C$20))+(N(L57)&gt;N(Setup!$D$20)) + (N(M57)&gt;N(Setup!$C$21))+(N(N57)&gt;N(Setup!$D$21)) + (N(O57)&gt;N(Setup!$C$22))+(N(P57)&gt;N(Setup!$D$22)) + (N(Q57)&gt;N(Setup!$C$23))+(N(R57)&gt;N(Setup!$D$23)) + (N(S57)&gt;N(Setup!$C$24))+(N(T57)&gt;N(Setup!$D$24)))&gt;0,"⚠ Marks above max",IF(A57="","⚠ Roll no. missing",IF(COUNTIF($A$7:$A$66,A57)&gt;1,"⚠ Duplicate roll no.","✔"))))</f>
        <v/>
      </c>
      <c r="AC57" s="8" t="str">
        <f aca="false">IF(OR($B57="",Setup!$B$17="",N(Setup!$E$17)=0),"",(N(E57)+N(F57))/Setup!$E$17)</f>
        <v/>
      </c>
      <c r="AD57" s="8" t="str">
        <f aca="false">IF(OR($B57="",Setup!$B$18="",N(Setup!$E$18)=0),"",(N(G57)+N(H57))/Setup!$E$18)</f>
        <v/>
      </c>
      <c r="AE57" s="8" t="str">
        <f aca="false">IF(OR($B57="",Setup!$B$19="",N(Setup!$E$19)=0),"",(N(I57)+N(J57))/Setup!$E$19)</f>
        <v/>
      </c>
      <c r="AF57" s="8" t="str">
        <f aca="false">IF(OR($B57="",Setup!$B$20="",N(Setup!$E$20)=0),"",(N(K57)+N(L57))/Setup!$E$20)</f>
        <v/>
      </c>
      <c r="AG57" s="8" t="str">
        <f aca="false">IF(OR($B57="",Setup!$B$21="",N(Setup!$E$21)=0),"",(N(M57)+N(N57))/Setup!$E$21)</f>
        <v/>
      </c>
      <c r="AH57" s="8" t="str">
        <f aca="false">IF(OR($B57="",Setup!$B$22="",N(Setup!$E$22)=0),"",(N(O57)+N(P57))/Setup!$E$22)</f>
        <v/>
      </c>
      <c r="AI57" s="8" t="str">
        <f aca="false">IF(OR($B57="",Setup!$B$23="",N(Setup!$E$23)=0),"",(N(Q57)+N(R57))/Setup!$E$23)</f>
        <v/>
      </c>
      <c r="AJ57" s="8" t="str">
        <f aca="false">IF(OR($B57="",Setup!$B$24="",N(Setup!$E$24)=0),"",(N(S57)+N(T57))/Setup!$E$24)</f>
        <v/>
      </c>
      <c r="AK57" s="8" t="str">
        <f aca="false">IF($B57="","",U57+(1000-ROW())/100000)</f>
        <v/>
      </c>
      <c r="AL57" s="8" t="str">
        <f aca="false">IF(AM57=1,SUM($AM$7:AM57),"")</f>
        <v/>
      </c>
      <c r="AM57" s="8" t="n">
        <f aca="false">IF(AND(Y57&lt;&gt;"",Y57&lt;&gt;"PASS"),1,0)</f>
        <v>0</v>
      </c>
    </row>
    <row r="58" customFormat="false" ht="15" hidden="false" customHeight="false" outlineLevel="0" collapsed="false">
      <c r="A58" s="104"/>
      <c r="B58" s="100"/>
      <c r="C58" s="100"/>
      <c r="D58" s="99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49" t="str">
        <f aca="false">IF($B58="","",N(E58)+N(F58)+N(G58)+N(H58)+N(I58)+N(J58)+N(K58)+N(L58)+N(M58)+N(N58)+N(O58)+N(P58)+N(Q58)+N(R58)+N(S58)+N(T58))</f>
        <v/>
      </c>
      <c r="V58" s="50" t="str">
        <f aca="false">IF($B58="","",SUM(Setup!$E$17:$E$24))</f>
        <v/>
      </c>
      <c r="W58" s="51" t="str">
        <f aca="false">IF($B58="","",IFERROR(U58/V58,0))</f>
        <v/>
      </c>
      <c r="X58" s="50" t="str">
        <f aca="false">IF($B58="","",IF(AND(Setup!$B$17&lt;&gt;"",Setup!$E$17&gt;0),IF((N(E58)+N(F58))/Setup!$E$17&lt;Setup!$C$11,1,0),0)+IF(AND(Setup!$B$18&lt;&gt;"",Setup!$E$18&gt;0),IF((N(G58)+N(H58))/Setup!$E$18&lt;Setup!$C$11,1,0),0)+IF(AND(Setup!$B$19&lt;&gt;"",Setup!$E$19&gt;0),IF((N(I58)+N(J58))/Setup!$E$19&lt;Setup!$C$11,1,0),0)+IF(AND(Setup!$B$20&lt;&gt;"",Setup!$E$20&gt;0),IF((N(K58)+N(L58))/Setup!$E$20&lt;Setup!$C$11,1,0),0)+IF(AND(Setup!$B$21&lt;&gt;"",Setup!$E$21&gt;0),IF((N(M58)+N(N58))/Setup!$E$21&lt;Setup!$C$11,1,0),0)+IF(AND(Setup!$B$22&lt;&gt;"",Setup!$E$22&gt;0),IF((N(O58)+N(P58))/Setup!$E$22&lt;Setup!$C$11,1,0),0)+IF(AND(Setup!$B$23&lt;&gt;"",Setup!$E$23&gt;0),IF((N(Q58)+N(R58))/Setup!$E$23&lt;Setup!$C$11,1,0),0)+IF(AND(Setup!$B$24&lt;&gt;"",Setup!$E$24&gt;0),IF((N(S58)+N(T58))/Setup!$E$24&lt;Setup!$C$11,1,0),0))</f>
        <v/>
      </c>
      <c r="Y58" s="38" t="str">
        <f aca="false">IF($B58="","",IF(X58=0,"PASS",IF(X58&lt;=Setup!$C$12,"COMPARTMENT","FAIL")))</f>
        <v/>
      </c>
      <c r="Z58" s="39" t="str">
        <f aca="false">IF($B58="","",COUNTIF($U$7:$U$66,"&gt;"&amp;U58)+1)</f>
        <v/>
      </c>
      <c r="AA58" s="38" t="str">
        <f aca="false">IF($B58="","",INDEX(Setup!$G$5:$G$12,COUNTIF(Setup!$F$5:$F$12,"&gt;"&amp;ROUND(W58,4))+1))</f>
        <v/>
      </c>
      <c r="AB58" s="52" t="str">
        <f aca="false">IF($B58="","",IF(((N(E58)&gt;N(Setup!$C$17))+(N(F58)&gt;N(Setup!$D$17)) + (N(G58)&gt;N(Setup!$C$18))+(N(H58)&gt;N(Setup!$D$18)) + (N(I58)&gt;N(Setup!$C$19))+(N(J58)&gt;N(Setup!$D$19)) + (N(K58)&gt;N(Setup!$C$20))+(N(L58)&gt;N(Setup!$D$20)) + (N(M58)&gt;N(Setup!$C$21))+(N(N58)&gt;N(Setup!$D$21)) + (N(O58)&gt;N(Setup!$C$22))+(N(P58)&gt;N(Setup!$D$22)) + (N(Q58)&gt;N(Setup!$C$23))+(N(R58)&gt;N(Setup!$D$23)) + (N(S58)&gt;N(Setup!$C$24))+(N(T58)&gt;N(Setup!$D$24)))&gt;0,"⚠ Marks above max",IF(A58="","⚠ Roll no. missing",IF(COUNTIF($A$7:$A$66,A58)&gt;1,"⚠ Duplicate roll no.","✔"))))</f>
        <v/>
      </c>
      <c r="AC58" s="8" t="str">
        <f aca="false">IF(OR($B58="",Setup!$B$17="",N(Setup!$E$17)=0),"",(N(E58)+N(F58))/Setup!$E$17)</f>
        <v/>
      </c>
      <c r="AD58" s="8" t="str">
        <f aca="false">IF(OR($B58="",Setup!$B$18="",N(Setup!$E$18)=0),"",(N(G58)+N(H58))/Setup!$E$18)</f>
        <v/>
      </c>
      <c r="AE58" s="8" t="str">
        <f aca="false">IF(OR($B58="",Setup!$B$19="",N(Setup!$E$19)=0),"",(N(I58)+N(J58))/Setup!$E$19)</f>
        <v/>
      </c>
      <c r="AF58" s="8" t="str">
        <f aca="false">IF(OR($B58="",Setup!$B$20="",N(Setup!$E$20)=0),"",(N(K58)+N(L58))/Setup!$E$20)</f>
        <v/>
      </c>
      <c r="AG58" s="8" t="str">
        <f aca="false">IF(OR($B58="",Setup!$B$21="",N(Setup!$E$21)=0),"",(N(M58)+N(N58))/Setup!$E$21)</f>
        <v/>
      </c>
      <c r="AH58" s="8" t="str">
        <f aca="false">IF(OR($B58="",Setup!$B$22="",N(Setup!$E$22)=0),"",(N(O58)+N(P58))/Setup!$E$22)</f>
        <v/>
      </c>
      <c r="AI58" s="8" t="str">
        <f aca="false">IF(OR($B58="",Setup!$B$23="",N(Setup!$E$23)=0),"",(N(Q58)+N(R58))/Setup!$E$23)</f>
        <v/>
      </c>
      <c r="AJ58" s="8" t="str">
        <f aca="false">IF(OR($B58="",Setup!$B$24="",N(Setup!$E$24)=0),"",(N(S58)+N(T58))/Setup!$E$24)</f>
        <v/>
      </c>
      <c r="AK58" s="8" t="str">
        <f aca="false">IF($B58="","",U58+(1000-ROW())/100000)</f>
        <v/>
      </c>
      <c r="AL58" s="8" t="str">
        <f aca="false">IF(AM58=1,SUM($AM$7:AM58),"")</f>
        <v/>
      </c>
      <c r="AM58" s="8" t="n">
        <f aca="false">IF(AND(Y58&lt;&gt;"",Y58&lt;&gt;"PASS"),1,0)</f>
        <v>0</v>
      </c>
    </row>
    <row r="59" customFormat="false" ht="15" hidden="false" customHeight="false" outlineLevel="0" collapsed="false">
      <c r="A59" s="104"/>
      <c r="B59" s="100"/>
      <c r="C59" s="100"/>
      <c r="D59" s="99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49" t="str">
        <f aca="false">IF($B59="","",N(E59)+N(F59)+N(G59)+N(H59)+N(I59)+N(J59)+N(K59)+N(L59)+N(M59)+N(N59)+N(O59)+N(P59)+N(Q59)+N(R59)+N(S59)+N(T59))</f>
        <v/>
      </c>
      <c r="V59" s="50" t="str">
        <f aca="false">IF($B59="","",SUM(Setup!$E$17:$E$24))</f>
        <v/>
      </c>
      <c r="W59" s="51" t="str">
        <f aca="false">IF($B59="","",IFERROR(U59/V59,0))</f>
        <v/>
      </c>
      <c r="X59" s="50" t="str">
        <f aca="false">IF($B59="","",IF(AND(Setup!$B$17&lt;&gt;"",Setup!$E$17&gt;0),IF((N(E59)+N(F59))/Setup!$E$17&lt;Setup!$C$11,1,0),0)+IF(AND(Setup!$B$18&lt;&gt;"",Setup!$E$18&gt;0),IF((N(G59)+N(H59))/Setup!$E$18&lt;Setup!$C$11,1,0),0)+IF(AND(Setup!$B$19&lt;&gt;"",Setup!$E$19&gt;0),IF((N(I59)+N(J59))/Setup!$E$19&lt;Setup!$C$11,1,0),0)+IF(AND(Setup!$B$20&lt;&gt;"",Setup!$E$20&gt;0),IF((N(K59)+N(L59))/Setup!$E$20&lt;Setup!$C$11,1,0),0)+IF(AND(Setup!$B$21&lt;&gt;"",Setup!$E$21&gt;0),IF((N(M59)+N(N59))/Setup!$E$21&lt;Setup!$C$11,1,0),0)+IF(AND(Setup!$B$22&lt;&gt;"",Setup!$E$22&gt;0),IF((N(O59)+N(P59))/Setup!$E$22&lt;Setup!$C$11,1,0),0)+IF(AND(Setup!$B$23&lt;&gt;"",Setup!$E$23&gt;0),IF((N(Q59)+N(R59))/Setup!$E$23&lt;Setup!$C$11,1,0),0)+IF(AND(Setup!$B$24&lt;&gt;"",Setup!$E$24&gt;0),IF((N(S59)+N(T59))/Setup!$E$24&lt;Setup!$C$11,1,0),0))</f>
        <v/>
      </c>
      <c r="Y59" s="38" t="str">
        <f aca="false">IF($B59="","",IF(X59=0,"PASS",IF(X59&lt;=Setup!$C$12,"COMPARTMENT","FAIL")))</f>
        <v/>
      </c>
      <c r="Z59" s="39" t="str">
        <f aca="false">IF($B59="","",COUNTIF($U$7:$U$66,"&gt;"&amp;U59)+1)</f>
        <v/>
      </c>
      <c r="AA59" s="38" t="str">
        <f aca="false">IF($B59="","",INDEX(Setup!$G$5:$G$12,COUNTIF(Setup!$F$5:$F$12,"&gt;"&amp;ROUND(W59,4))+1))</f>
        <v/>
      </c>
      <c r="AB59" s="52" t="str">
        <f aca="false">IF($B59="","",IF(((N(E59)&gt;N(Setup!$C$17))+(N(F59)&gt;N(Setup!$D$17)) + (N(G59)&gt;N(Setup!$C$18))+(N(H59)&gt;N(Setup!$D$18)) + (N(I59)&gt;N(Setup!$C$19))+(N(J59)&gt;N(Setup!$D$19)) + (N(K59)&gt;N(Setup!$C$20))+(N(L59)&gt;N(Setup!$D$20)) + (N(M59)&gt;N(Setup!$C$21))+(N(N59)&gt;N(Setup!$D$21)) + (N(O59)&gt;N(Setup!$C$22))+(N(P59)&gt;N(Setup!$D$22)) + (N(Q59)&gt;N(Setup!$C$23))+(N(R59)&gt;N(Setup!$D$23)) + (N(S59)&gt;N(Setup!$C$24))+(N(T59)&gt;N(Setup!$D$24)))&gt;0,"⚠ Marks above max",IF(A59="","⚠ Roll no. missing",IF(COUNTIF($A$7:$A$66,A59)&gt;1,"⚠ Duplicate roll no.","✔"))))</f>
        <v/>
      </c>
      <c r="AC59" s="8" t="str">
        <f aca="false">IF(OR($B59="",Setup!$B$17="",N(Setup!$E$17)=0),"",(N(E59)+N(F59))/Setup!$E$17)</f>
        <v/>
      </c>
      <c r="AD59" s="8" t="str">
        <f aca="false">IF(OR($B59="",Setup!$B$18="",N(Setup!$E$18)=0),"",(N(G59)+N(H59))/Setup!$E$18)</f>
        <v/>
      </c>
      <c r="AE59" s="8" t="str">
        <f aca="false">IF(OR($B59="",Setup!$B$19="",N(Setup!$E$19)=0),"",(N(I59)+N(J59))/Setup!$E$19)</f>
        <v/>
      </c>
      <c r="AF59" s="8" t="str">
        <f aca="false">IF(OR($B59="",Setup!$B$20="",N(Setup!$E$20)=0),"",(N(K59)+N(L59))/Setup!$E$20)</f>
        <v/>
      </c>
      <c r="AG59" s="8" t="str">
        <f aca="false">IF(OR($B59="",Setup!$B$21="",N(Setup!$E$21)=0),"",(N(M59)+N(N59))/Setup!$E$21)</f>
        <v/>
      </c>
      <c r="AH59" s="8" t="str">
        <f aca="false">IF(OR($B59="",Setup!$B$22="",N(Setup!$E$22)=0),"",(N(O59)+N(P59))/Setup!$E$22)</f>
        <v/>
      </c>
      <c r="AI59" s="8" t="str">
        <f aca="false">IF(OR($B59="",Setup!$B$23="",N(Setup!$E$23)=0),"",(N(Q59)+N(R59))/Setup!$E$23)</f>
        <v/>
      </c>
      <c r="AJ59" s="8" t="str">
        <f aca="false">IF(OR($B59="",Setup!$B$24="",N(Setup!$E$24)=0),"",(N(S59)+N(T59))/Setup!$E$24)</f>
        <v/>
      </c>
      <c r="AK59" s="8" t="str">
        <f aca="false">IF($B59="","",U59+(1000-ROW())/100000)</f>
        <v/>
      </c>
      <c r="AL59" s="8" t="str">
        <f aca="false">IF(AM59=1,SUM($AM$7:AM59),"")</f>
        <v/>
      </c>
      <c r="AM59" s="8" t="n">
        <f aca="false">IF(AND(Y59&lt;&gt;"",Y59&lt;&gt;"PASS"),1,0)</f>
        <v>0</v>
      </c>
    </row>
    <row r="60" customFormat="false" ht="15" hidden="false" customHeight="false" outlineLevel="0" collapsed="false">
      <c r="A60" s="104"/>
      <c r="B60" s="100"/>
      <c r="C60" s="100"/>
      <c r="D60" s="99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49" t="str">
        <f aca="false">IF($B60="","",N(E60)+N(F60)+N(G60)+N(H60)+N(I60)+N(J60)+N(K60)+N(L60)+N(M60)+N(N60)+N(O60)+N(P60)+N(Q60)+N(R60)+N(S60)+N(T60))</f>
        <v/>
      </c>
      <c r="V60" s="50" t="str">
        <f aca="false">IF($B60="","",SUM(Setup!$E$17:$E$24))</f>
        <v/>
      </c>
      <c r="W60" s="51" t="str">
        <f aca="false">IF($B60="","",IFERROR(U60/V60,0))</f>
        <v/>
      </c>
      <c r="X60" s="50" t="str">
        <f aca="false">IF($B60="","",IF(AND(Setup!$B$17&lt;&gt;"",Setup!$E$17&gt;0),IF((N(E60)+N(F60))/Setup!$E$17&lt;Setup!$C$11,1,0),0)+IF(AND(Setup!$B$18&lt;&gt;"",Setup!$E$18&gt;0),IF((N(G60)+N(H60))/Setup!$E$18&lt;Setup!$C$11,1,0),0)+IF(AND(Setup!$B$19&lt;&gt;"",Setup!$E$19&gt;0),IF((N(I60)+N(J60))/Setup!$E$19&lt;Setup!$C$11,1,0),0)+IF(AND(Setup!$B$20&lt;&gt;"",Setup!$E$20&gt;0),IF((N(K60)+N(L60))/Setup!$E$20&lt;Setup!$C$11,1,0),0)+IF(AND(Setup!$B$21&lt;&gt;"",Setup!$E$21&gt;0),IF((N(M60)+N(N60))/Setup!$E$21&lt;Setup!$C$11,1,0),0)+IF(AND(Setup!$B$22&lt;&gt;"",Setup!$E$22&gt;0),IF((N(O60)+N(P60))/Setup!$E$22&lt;Setup!$C$11,1,0),0)+IF(AND(Setup!$B$23&lt;&gt;"",Setup!$E$23&gt;0),IF((N(Q60)+N(R60))/Setup!$E$23&lt;Setup!$C$11,1,0),0)+IF(AND(Setup!$B$24&lt;&gt;"",Setup!$E$24&gt;0),IF((N(S60)+N(T60))/Setup!$E$24&lt;Setup!$C$11,1,0),0))</f>
        <v/>
      </c>
      <c r="Y60" s="38" t="str">
        <f aca="false">IF($B60="","",IF(X60=0,"PASS",IF(X60&lt;=Setup!$C$12,"COMPARTMENT","FAIL")))</f>
        <v/>
      </c>
      <c r="Z60" s="39" t="str">
        <f aca="false">IF($B60="","",COUNTIF($U$7:$U$66,"&gt;"&amp;U60)+1)</f>
        <v/>
      </c>
      <c r="AA60" s="38" t="str">
        <f aca="false">IF($B60="","",INDEX(Setup!$G$5:$G$12,COUNTIF(Setup!$F$5:$F$12,"&gt;"&amp;ROUND(W60,4))+1))</f>
        <v/>
      </c>
      <c r="AB60" s="52" t="str">
        <f aca="false">IF($B60="","",IF(((N(E60)&gt;N(Setup!$C$17))+(N(F60)&gt;N(Setup!$D$17)) + (N(G60)&gt;N(Setup!$C$18))+(N(H60)&gt;N(Setup!$D$18)) + (N(I60)&gt;N(Setup!$C$19))+(N(J60)&gt;N(Setup!$D$19)) + (N(K60)&gt;N(Setup!$C$20))+(N(L60)&gt;N(Setup!$D$20)) + (N(M60)&gt;N(Setup!$C$21))+(N(N60)&gt;N(Setup!$D$21)) + (N(O60)&gt;N(Setup!$C$22))+(N(P60)&gt;N(Setup!$D$22)) + (N(Q60)&gt;N(Setup!$C$23))+(N(R60)&gt;N(Setup!$D$23)) + (N(S60)&gt;N(Setup!$C$24))+(N(T60)&gt;N(Setup!$D$24)))&gt;0,"⚠ Marks above max",IF(A60="","⚠ Roll no. missing",IF(COUNTIF($A$7:$A$66,A60)&gt;1,"⚠ Duplicate roll no.","✔"))))</f>
        <v/>
      </c>
      <c r="AC60" s="8" t="str">
        <f aca="false">IF(OR($B60="",Setup!$B$17="",N(Setup!$E$17)=0),"",(N(E60)+N(F60))/Setup!$E$17)</f>
        <v/>
      </c>
      <c r="AD60" s="8" t="str">
        <f aca="false">IF(OR($B60="",Setup!$B$18="",N(Setup!$E$18)=0),"",(N(G60)+N(H60))/Setup!$E$18)</f>
        <v/>
      </c>
      <c r="AE60" s="8" t="str">
        <f aca="false">IF(OR($B60="",Setup!$B$19="",N(Setup!$E$19)=0),"",(N(I60)+N(J60))/Setup!$E$19)</f>
        <v/>
      </c>
      <c r="AF60" s="8" t="str">
        <f aca="false">IF(OR($B60="",Setup!$B$20="",N(Setup!$E$20)=0),"",(N(K60)+N(L60))/Setup!$E$20)</f>
        <v/>
      </c>
      <c r="AG60" s="8" t="str">
        <f aca="false">IF(OR($B60="",Setup!$B$21="",N(Setup!$E$21)=0),"",(N(M60)+N(N60))/Setup!$E$21)</f>
        <v/>
      </c>
      <c r="AH60" s="8" t="str">
        <f aca="false">IF(OR($B60="",Setup!$B$22="",N(Setup!$E$22)=0),"",(N(O60)+N(P60))/Setup!$E$22)</f>
        <v/>
      </c>
      <c r="AI60" s="8" t="str">
        <f aca="false">IF(OR($B60="",Setup!$B$23="",N(Setup!$E$23)=0),"",(N(Q60)+N(R60))/Setup!$E$23)</f>
        <v/>
      </c>
      <c r="AJ60" s="8" t="str">
        <f aca="false">IF(OR($B60="",Setup!$B$24="",N(Setup!$E$24)=0),"",(N(S60)+N(T60))/Setup!$E$24)</f>
        <v/>
      </c>
      <c r="AK60" s="8" t="str">
        <f aca="false">IF($B60="","",U60+(1000-ROW())/100000)</f>
        <v/>
      </c>
      <c r="AL60" s="8" t="str">
        <f aca="false">IF(AM60=1,SUM($AM$7:AM60),"")</f>
        <v/>
      </c>
      <c r="AM60" s="8" t="n">
        <f aca="false">IF(AND(Y60&lt;&gt;"",Y60&lt;&gt;"PASS"),1,0)</f>
        <v>0</v>
      </c>
    </row>
    <row r="61" customFormat="false" ht="15" hidden="false" customHeight="false" outlineLevel="0" collapsed="false">
      <c r="A61" s="104"/>
      <c r="B61" s="100"/>
      <c r="C61" s="100"/>
      <c r="D61" s="99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49" t="str">
        <f aca="false">IF($B61="","",N(E61)+N(F61)+N(G61)+N(H61)+N(I61)+N(J61)+N(K61)+N(L61)+N(M61)+N(N61)+N(O61)+N(P61)+N(Q61)+N(R61)+N(S61)+N(T61))</f>
        <v/>
      </c>
      <c r="V61" s="50" t="str">
        <f aca="false">IF($B61="","",SUM(Setup!$E$17:$E$24))</f>
        <v/>
      </c>
      <c r="W61" s="51" t="str">
        <f aca="false">IF($B61="","",IFERROR(U61/V61,0))</f>
        <v/>
      </c>
      <c r="X61" s="50" t="str">
        <f aca="false">IF($B61="","",IF(AND(Setup!$B$17&lt;&gt;"",Setup!$E$17&gt;0),IF((N(E61)+N(F61))/Setup!$E$17&lt;Setup!$C$11,1,0),0)+IF(AND(Setup!$B$18&lt;&gt;"",Setup!$E$18&gt;0),IF((N(G61)+N(H61))/Setup!$E$18&lt;Setup!$C$11,1,0),0)+IF(AND(Setup!$B$19&lt;&gt;"",Setup!$E$19&gt;0),IF((N(I61)+N(J61))/Setup!$E$19&lt;Setup!$C$11,1,0),0)+IF(AND(Setup!$B$20&lt;&gt;"",Setup!$E$20&gt;0),IF((N(K61)+N(L61))/Setup!$E$20&lt;Setup!$C$11,1,0),0)+IF(AND(Setup!$B$21&lt;&gt;"",Setup!$E$21&gt;0),IF((N(M61)+N(N61))/Setup!$E$21&lt;Setup!$C$11,1,0),0)+IF(AND(Setup!$B$22&lt;&gt;"",Setup!$E$22&gt;0),IF((N(O61)+N(P61))/Setup!$E$22&lt;Setup!$C$11,1,0),0)+IF(AND(Setup!$B$23&lt;&gt;"",Setup!$E$23&gt;0),IF((N(Q61)+N(R61))/Setup!$E$23&lt;Setup!$C$11,1,0),0)+IF(AND(Setup!$B$24&lt;&gt;"",Setup!$E$24&gt;0),IF((N(S61)+N(T61))/Setup!$E$24&lt;Setup!$C$11,1,0),0))</f>
        <v/>
      </c>
      <c r="Y61" s="38" t="str">
        <f aca="false">IF($B61="","",IF(X61=0,"PASS",IF(X61&lt;=Setup!$C$12,"COMPARTMENT","FAIL")))</f>
        <v/>
      </c>
      <c r="Z61" s="39" t="str">
        <f aca="false">IF($B61="","",COUNTIF($U$7:$U$66,"&gt;"&amp;U61)+1)</f>
        <v/>
      </c>
      <c r="AA61" s="38" t="str">
        <f aca="false">IF($B61="","",INDEX(Setup!$G$5:$G$12,COUNTIF(Setup!$F$5:$F$12,"&gt;"&amp;ROUND(W61,4))+1))</f>
        <v/>
      </c>
      <c r="AB61" s="52" t="str">
        <f aca="false">IF($B61="","",IF(((N(E61)&gt;N(Setup!$C$17))+(N(F61)&gt;N(Setup!$D$17)) + (N(G61)&gt;N(Setup!$C$18))+(N(H61)&gt;N(Setup!$D$18)) + (N(I61)&gt;N(Setup!$C$19))+(N(J61)&gt;N(Setup!$D$19)) + (N(K61)&gt;N(Setup!$C$20))+(N(L61)&gt;N(Setup!$D$20)) + (N(M61)&gt;N(Setup!$C$21))+(N(N61)&gt;N(Setup!$D$21)) + (N(O61)&gt;N(Setup!$C$22))+(N(P61)&gt;N(Setup!$D$22)) + (N(Q61)&gt;N(Setup!$C$23))+(N(R61)&gt;N(Setup!$D$23)) + (N(S61)&gt;N(Setup!$C$24))+(N(T61)&gt;N(Setup!$D$24)))&gt;0,"⚠ Marks above max",IF(A61="","⚠ Roll no. missing",IF(COUNTIF($A$7:$A$66,A61)&gt;1,"⚠ Duplicate roll no.","✔"))))</f>
        <v/>
      </c>
      <c r="AC61" s="8" t="str">
        <f aca="false">IF(OR($B61="",Setup!$B$17="",N(Setup!$E$17)=0),"",(N(E61)+N(F61))/Setup!$E$17)</f>
        <v/>
      </c>
      <c r="AD61" s="8" t="str">
        <f aca="false">IF(OR($B61="",Setup!$B$18="",N(Setup!$E$18)=0),"",(N(G61)+N(H61))/Setup!$E$18)</f>
        <v/>
      </c>
      <c r="AE61" s="8" t="str">
        <f aca="false">IF(OR($B61="",Setup!$B$19="",N(Setup!$E$19)=0),"",(N(I61)+N(J61))/Setup!$E$19)</f>
        <v/>
      </c>
      <c r="AF61" s="8" t="str">
        <f aca="false">IF(OR($B61="",Setup!$B$20="",N(Setup!$E$20)=0),"",(N(K61)+N(L61))/Setup!$E$20)</f>
        <v/>
      </c>
      <c r="AG61" s="8" t="str">
        <f aca="false">IF(OR($B61="",Setup!$B$21="",N(Setup!$E$21)=0),"",(N(M61)+N(N61))/Setup!$E$21)</f>
        <v/>
      </c>
      <c r="AH61" s="8" t="str">
        <f aca="false">IF(OR($B61="",Setup!$B$22="",N(Setup!$E$22)=0),"",(N(O61)+N(P61))/Setup!$E$22)</f>
        <v/>
      </c>
      <c r="AI61" s="8" t="str">
        <f aca="false">IF(OR($B61="",Setup!$B$23="",N(Setup!$E$23)=0),"",(N(Q61)+N(R61))/Setup!$E$23)</f>
        <v/>
      </c>
      <c r="AJ61" s="8" t="str">
        <f aca="false">IF(OR($B61="",Setup!$B$24="",N(Setup!$E$24)=0),"",(N(S61)+N(T61))/Setup!$E$24)</f>
        <v/>
      </c>
      <c r="AK61" s="8" t="str">
        <f aca="false">IF($B61="","",U61+(1000-ROW())/100000)</f>
        <v/>
      </c>
      <c r="AL61" s="8" t="str">
        <f aca="false">IF(AM61=1,SUM($AM$7:AM61),"")</f>
        <v/>
      </c>
      <c r="AM61" s="8" t="n">
        <f aca="false">IF(AND(Y61&lt;&gt;"",Y61&lt;&gt;"PASS"),1,0)</f>
        <v>0</v>
      </c>
    </row>
    <row r="62" customFormat="false" ht="15" hidden="false" customHeight="false" outlineLevel="0" collapsed="false">
      <c r="A62" s="104"/>
      <c r="B62" s="100"/>
      <c r="C62" s="100"/>
      <c r="D62" s="99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49" t="str">
        <f aca="false">IF($B62="","",N(E62)+N(F62)+N(G62)+N(H62)+N(I62)+N(J62)+N(K62)+N(L62)+N(M62)+N(N62)+N(O62)+N(P62)+N(Q62)+N(R62)+N(S62)+N(T62))</f>
        <v/>
      </c>
      <c r="V62" s="50" t="str">
        <f aca="false">IF($B62="","",SUM(Setup!$E$17:$E$24))</f>
        <v/>
      </c>
      <c r="W62" s="51" t="str">
        <f aca="false">IF($B62="","",IFERROR(U62/V62,0))</f>
        <v/>
      </c>
      <c r="X62" s="50" t="str">
        <f aca="false">IF($B62="","",IF(AND(Setup!$B$17&lt;&gt;"",Setup!$E$17&gt;0),IF((N(E62)+N(F62))/Setup!$E$17&lt;Setup!$C$11,1,0),0)+IF(AND(Setup!$B$18&lt;&gt;"",Setup!$E$18&gt;0),IF((N(G62)+N(H62))/Setup!$E$18&lt;Setup!$C$11,1,0),0)+IF(AND(Setup!$B$19&lt;&gt;"",Setup!$E$19&gt;0),IF((N(I62)+N(J62))/Setup!$E$19&lt;Setup!$C$11,1,0),0)+IF(AND(Setup!$B$20&lt;&gt;"",Setup!$E$20&gt;0),IF((N(K62)+N(L62))/Setup!$E$20&lt;Setup!$C$11,1,0),0)+IF(AND(Setup!$B$21&lt;&gt;"",Setup!$E$21&gt;0),IF((N(M62)+N(N62))/Setup!$E$21&lt;Setup!$C$11,1,0),0)+IF(AND(Setup!$B$22&lt;&gt;"",Setup!$E$22&gt;0),IF((N(O62)+N(P62))/Setup!$E$22&lt;Setup!$C$11,1,0),0)+IF(AND(Setup!$B$23&lt;&gt;"",Setup!$E$23&gt;0),IF((N(Q62)+N(R62))/Setup!$E$23&lt;Setup!$C$11,1,0),0)+IF(AND(Setup!$B$24&lt;&gt;"",Setup!$E$24&gt;0),IF((N(S62)+N(T62))/Setup!$E$24&lt;Setup!$C$11,1,0),0))</f>
        <v/>
      </c>
      <c r="Y62" s="38" t="str">
        <f aca="false">IF($B62="","",IF(X62=0,"PASS",IF(X62&lt;=Setup!$C$12,"COMPARTMENT","FAIL")))</f>
        <v/>
      </c>
      <c r="Z62" s="39" t="str">
        <f aca="false">IF($B62="","",COUNTIF($U$7:$U$66,"&gt;"&amp;U62)+1)</f>
        <v/>
      </c>
      <c r="AA62" s="38" t="str">
        <f aca="false">IF($B62="","",INDEX(Setup!$G$5:$G$12,COUNTIF(Setup!$F$5:$F$12,"&gt;"&amp;ROUND(W62,4))+1))</f>
        <v/>
      </c>
      <c r="AB62" s="52" t="str">
        <f aca="false">IF($B62="","",IF(((N(E62)&gt;N(Setup!$C$17))+(N(F62)&gt;N(Setup!$D$17)) + (N(G62)&gt;N(Setup!$C$18))+(N(H62)&gt;N(Setup!$D$18)) + (N(I62)&gt;N(Setup!$C$19))+(N(J62)&gt;N(Setup!$D$19)) + (N(K62)&gt;N(Setup!$C$20))+(N(L62)&gt;N(Setup!$D$20)) + (N(M62)&gt;N(Setup!$C$21))+(N(N62)&gt;N(Setup!$D$21)) + (N(O62)&gt;N(Setup!$C$22))+(N(P62)&gt;N(Setup!$D$22)) + (N(Q62)&gt;N(Setup!$C$23))+(N(R62)&gt;N(Setup!$D$23)) + (N(S62)&gt;N(Setup!$C$24))+(N(T62)&gt;N(Setup!$D$24)))&gt;0,"⚠ Marks above max",IF(A62="","⚠ Roll no. missing",IF(COUNTIF($A$7:$A$66,A62)&gt;1,"⚠ Duplicate roll no.","✔"))))</f>
        <v/>
      </c>
      <c r="AC62" s="8" t="str">
        <f aca="false">IF(OR($B62="",Setup!$B$17="",N(Setup!$E$17)=0),"",(N(E62)+N(F62))/Setup!$E$17)</f>
        <v/>
      </c>
      <c r="AD62" s="8" t="str">
        <f aca="false">IF(OR($B62="",Setup!$B$18="",N(Setup!$E$18)=0),"",(N(G62)+N(H62))/Setup!$E$18)</f>
        <v/>
      </c>
      <c r="AE62" s="8" t="str">
        <f aca="false">IF(OR($B62="",Setup!$B$19="",N(Setup!$E$19)=0),"",(N(I62)+N(J62))/Setup!$E$19)</f>
        <v/>
      </c>
      <c r="AF62" s="8" t="str">
        <f aca="false">IF(OR($B62="",Setup!$B$20="",N(Setup!$E$20)=0),"",(N(K62)+N(L62))/Setup!$E$20)</f>
        <v/>
      </c>
      <c r="AG62" s="8" t="str">
        <f aca="false">IF(OR($B62="",Setup!$B$21="",N(Setup!$E$21)=0),"",(N(M62)+N(N62))/Setup!$E$21)</f>
        <v/>
      </c>
      <c r="AH62" s="8" t="str">
        <f aca="false">IF(OR($B62="",Setup!$B$22="",N(Setup!$E$22)=0),"",(N(O62)+N(P62))/Setup!$E$22)</f>
        <v/>
      </c>
      <c r="AI62" s="8" t="str">
        <f aca="false">IF(OR($B62="",Setup!$B$23="",N(Setup!$E$23)=0),"",(N(Q62)+N(R62))/Setup!$E$23)</f>
        <v/>
      </c>
      <c r="AJ62" s="8" t="str">
        <f aca="false">IF(OR($B62="",Setup!$B$24="",N(Setup!$E$24)=0),"",(N(S62)+N(T62))/Setup!$E$24)</f>
        <v/>
      </c>
      <c r="AK62" s="8" t="str">
        <f aca="false">IF($B62="","",U62+(1000-ROW())/100000)</f>
        <v/>
      </c>
      <c r="AL62" s="8" t="str">
        <f aca="false">IF(AM62=1,SUM($AM$7:AM62),"")</f>
        <v/>
      </c>
      <c r="AM62" s="8" t="n">
        <f aca="false">IF(AND(Y62&lt;&gt;"",Y62&lt;&gt;"PASS"),1,0)</f>
        <v>0</v>
      </c>
    </row>
    <row r="63" customFormat="false" ht="15" hidden="false" customHeight="false" outlineLevel="0" collapsed="false">
      <c r="A63" s="104"/>
      <c r="B63" s="100"/>
      <c r="C63" s="100"/>
      <c r="D63" s="99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49" t="str">
        <f aca="false">IF($B63="","",N(E63)+N(F63)+N(G63)+N(H63)+N(I63)+N(J63)+N(K63)+N(L63)+N(M63)+N(N63)+N(O63)+N(P63)+N(Q63)+N(R63)+N(S63)+N(T63))</f>
        <v/>
      </c>
      <c r="V63" s="50" t="str">
        <f aca="false">IF($B63="","",SUM(Setup!$E$17:$E$24))</f>
        <v/>
      </c>
      <c r="W63" s="51" t="str">
        <f aca="false">IF($B63="","",IFERROR(U63/V63,0))</f>
        <v/>
      </c>
      <c r="X63" s="50" t="str">
        <f aca="false">IF($B63="","",IF(AND(Setup!$B$17&lt;&gt;"",Setup!$E$17&gt;0),IF((N(E63)+N(F63))/Setup!$E$17&lt;Setup!$C$11,1,0),0)+IF(AND(Setup!$B$18&lt;&gt;"",Setup!$E$18&gt;0),IF((N(G63)+N(H63))/Setup!$E$18&lt;Setup!$C$11,1,0),0)+IF(AND(Setup!$B$19&lt;&gt;"",Setup!$E$19&gt;0),IF((N(I63)+N(J63))/Setup!$E$19&lt;Setup!$C$11,1,0),0)+IF(AND(Setup!$B$20&lt;&gt;"",Setup!$E$20&gt;0),IF((N(K63)+N(L63))/Setup!$E$20&lt;Setup!$C$11,1,0),0)+IF(AND(Setup!$B$21&lt;&gt;"",Setup!$E$21&gt;0),IF((N(M63)+N(N63))/Setup!$E$21&lt;Setup!$C$11,1,0),0)+IF(AND(Setup!$B$22&lt;&gt;"",Setup!$E$22&gt;0),IF((N(O63)+N(P63))/Setup!$E$22&lt;Setup!$C$11,1,0),0)+IF(AND(Setup!$B$23&lt;&gt;"",Setup!$E$23&gt;0),IF((N(Q63)+N(R63))/Setup!$E$23&lt;Setup!$C$11,1,0),0)+IF(AND(Setup!$B$24&lt;&gt;"",Setup!$E$24&gt;0),IF((N(S63)+N(T63))/Setup!$E$24&lt;Setup!$C$11,1,0),0))</f>
        <v/>
      </c>
      <c r="Y63" s="38" t="str">
        <f aca="false">IF($B63="","",IF(X63=0,"PASS",IF(X63&lt;=Setup!$C$12,"COMPARTMENT","FAIL")))</f>
        <v/>
      </c>
      <c r="Z63" s="39" t="str">
        <f aca="false">IF($B63="","",COUNTIF($U$7:$U$66,"&gt;"&amp;U63)+1)</f>
        <v/>
      </c>
      <c r="AA63" s="38" t="str">
        <f aca="false">IF($B63="","",INDEX(Setup!$G$5:$G$12,COUNTIF(Setup!$F$5:$F$12,"&gt;"&amp;ROUND(W63,4))+1))</f>
        <v/>
      </c>
      <c r="AB63" s="52" t="str">
        <f aca="false">IF($B63="","",IF(((N(E63)&gt;N(Setup!$C$17))+(N(F63)&gt;N(Setup!$D$17)) + (N(G63)&gt;N(Setup!$C$18))+(N(H63)&gt;N(Setup!$D$18)) + (N(I63)&gt;N(Setup!$C$19))+(N(J63)&gt;N(Setup!$D$19)) + (N(K63)&gt;N(Setup!$C$20))+(N(L63)&gt;N(Setup!$D$20)) + (N(M63)&gt;N(Setup!$C$21))+(N(N63)&gt;N(Setup!$D$21)) + (N(O63)&gt;N(Setup!$C$22))+(N(P63)&gt;N(Setup!$D$22)) + (N(Q63)&gt;N(Setup!$C$23))+(N(R63)&gt;N(Setup!$D$23)) + (N(S63)&gt;N(Setup!$C$24))+(N(T63)&gt;N(Setup!$D$24)))&gt;0,"⚠ Marks above max",IF(A63="","⚠ Roll no. missing",IF(COUNTIF($A$7:$A$66,A63)&gt;1,"⚠ Duplicate roll no.","✔"))))</f>
        <v/>
      </c>
      <c r="AC63" s="8" t="str">
        <f aca="false">IF(OR($B63="",Setup!$B$17="",N(Setup!$E$17)=0),"",(N(E63)+N(F63))/Setup!$E$17)</f>
        <v/>
      </c>
      <c r="AD63" s="8" t="str">
        <f aca="false">IF(OR($B63="",Setup!$B$18="",N(Setup!$E$18)=0),"",(N(G63)+N(H63))/Setup!$E$18)</f>
        <v/>
      </c>
      <c r="AE63" s="8" t="str">
        <f aca="false">IF(OR($B63="",Setup!$B$19="",N(Setup!$E$19)=0),"",(N(I63)+N(J63))/Setup!$E$19)</f>
        <v/>
      </c>
      <c r="AF63" s="8" t="str">
        <f aca="false">IF(OR($B63="",Setup!$B$20="",N(Setup!$E$20)=0),"",(N(K63)+N(L63))/Setup!$E$20)</f>
        <v/>
      </c>
      <c r="AG63" s="8" t="str">
        <f aca="false">IF(OR($B63="",Setup!$B$21="",N(Setup!$E$21)=0),"",(N(M63)+N(N63))/Setup!$E$21)</f>
        <v/>
      </c>
      <c r="AH63" s="8" t="str">
        <f aca="false">IF(OR($B63="",Setup!$B$22="",N(Setup!$E$22)=0),"",(N(O63)+N(P63))/Setup!$E$22)</f>
        <v/>
      </c>
      <c r="AI63" s="8" t="str">
        <f aca="false">IF(OR($B63="",Setup!$B$23="",N(Setup!$E$23)=0),"",(N(Q63)+N(R63))/Setup!$E$23)</f>
        <v/>
      </c>
      <c r="AJ63" s="8" t="str">
        <f aca="false">IF(OR($B63="",Setup!$B$24="",N(Setup!$E$24)=0),"",(N(S63)+N(T63))/Setup!$E$24)</f>
        <v/>
      </c>
      <c r="AK63" s="8" t="str">
        <f aca="false">IF($B63="","",U63+(1000-ROW())/100000)</f>
        <v/>
      </c>
      <c r="AL63" s="8" t="str">
        <f aca="false">IF(AM63=1,SUM($AM$7:AM63),"")</f>
        <v/>
      </c>
      <c r="AM63" s="8" t="n">
        <f aca="false">IF(AND(Y63&lt;&gt;"",Y63&lt;&gt;"PASS"),1,0)</f>
        <v>0</v>
      </c>
    </row>
    <row r="64" customFormat="false" ht="15" hidden="false" customHeight="false" outlineLevel="0" collapsed="false">
      <c r="A64" s="104"/>
      <c r="B64" s="100"/>
      <c r="C64" s="100"/>
      <c r="D64" s="99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49" t="str">
        <f aca="false">IF($B64="","",N(E64)+N(F64)+N(G64)+N(H64)+N(I64)+N(J64)+N(K64)+N(L64)+N(M64)+N(N64)+N(O64)+N(P64)+N(Q64)+N(R64)+N(S64)+N(T64))</f>
        <v/>
      </c>
      <c r="V64" s="50" t="str">
        <f aca="false">IF($B64="","",SUM(Setup!$E$17:$E$24))</f>
        <v/>
      </c>
      <c r="W64" s="51" t="str">
        <f aca="false">IF($B64="","",IFERROR(U64/V64,0))</f>
        <v/>
      </c>
      <c r="X64" s="50" t="str">
        <f aca="false">IF($B64="","",IF(AND(Setup!$B$17&lt;&gt;"",Setup!$E$17&gt;0),IF((N(E64)+N(F64))/Setup!$E$17&lt;Setup!$C$11,1,0),0)+IF(AND(Setup!$B$18&lt;&gt;"",Setup!$E$18&gt;0),IF((N(G64)+N(H64))/Setup!$E$18&lt;Setup!$C$11,1,0),0)+IF(AND(Setup!$B$19&lt;&gt;"",Setup!$E$19&gt;0),IF((N(I64)+N(J64))/Setup!$E$19&lt;Setup!$C$11,1,0),0)+IF(AND(Setup!$B$20&lt;&gt;"",Setup!$E$20&gt;0),IF((N(K64)+N(L64))/Setup!$E$20&lt;Setup!$C$11,1,0),0)+IF(AND(Setup!$B$21&lt;&gt;"",Setup!$E$21&gt;0),IF((N(M64)+N(N64))/Setup!$E$21&lt;Setup!$C$11,1,0),0)+IF(AND(Setup!$B$22&lt;&gt;"",Setup!$E$22&gt;0),IF((N(O64)+N(P64))/Setup!$E$22&lt;Setup!$C$11,1,0),0)+IF(AND(Setup!$B$23&lt;&gt;"",Setup!$E$23&gt;0),IF((N(Q64)+N(R64))/Setup!$E$23&lt;Setup!$C$11,1,0),0)+IF(AND(Setup!$B$24&lt;&gt;"",Setup!$E$24&gt;0),IF((N(S64)+N(T64))/Setup!$E$24&lt;Setup!$C$11,1,0),0))</f>
        <v/>
      </c>
      <c r="Y64" s="38" t="str">
        <f aca="false">IF($B64="","",IF(X64=0,"PASS",IF(X64&lt;=Setup!$C$12,"COMPARTMENT","FAIL")))</f>
        <v/>
      </c>
      <c r="Z64" s="39" t="str">
        <f aca="false">IF($B64="","",COUNTIF($U$7:$U$66,"&gt;"&amp;U64)+1)</f>
        <v/>
      </c>
      <c r="AA64" s="38" t="str">
        <f aca="false">IF($B64="","",INDEX(Setup!$G$5:$G$12,COUNTIF(Setup!$F$5:$F$12,"&gt;"&amp;ROUND(W64,4))+1))</f>
        <v/>
      </c>
      <c r="AB64" s="52" t="str">
        <f aca="false">IF($B64="","",IF(((N(E64)&gt;N(Setup!$C$17))+(N(F64)&gt;N(Setup!$D$17)) + (N(G64)&gt;N(Setup!$C$18))+(N(H64)&gt;N(Setup!$D$18)) + (N(I64)&gt;N(Setup!$C$19))+(N(J64)&gt;N(Setup!$D$19)) + (N(K64)&gt;N(Setup!$C$20))+(N(L64)&gt;N(Setup!$D$20)) + (N(M64)&gt;N(Setup!$C$21))+(N(N64)&gt;N(Setup!$D$21)) + (N(O64)&gt;N(Setup!$C$22))+(N(P64)&gt;N(Setup!$D$22)) + (N(Q64)&gt;N(Setup!$C$23))+(N(R64)&gt;N(Setup!$D$23)) + (N(S64)&gt;N(Setup!$C$24))+(N(T64)&gt;N(Setup!$D$24)))&gt;0,"⚠ Marks above max",IF(A64="","⚠ Roll no. missing",IF(COUNTIF($A$7:$A$66,A64)&gt;1,"⚠ Duplicate roll no.","✔"))))</f>
        <v/>
      </c>
      <c r="AC64" s="8" t="str">
        <f aca="false">IF(OR($B64="",Setup!$B$17="",N(Setup!$E$17)=0),"",(N(E64)+N(F64))/Setup!$E$17)</f>
        <v/>
      </c>
      <c r="AD64" s="8" t="str">
        <f aca="false">IF(OR($B64="",Setup!$B$18="",N(Setup!$E$18)=0),"",(N(G64)+N(H64))/Setup!$E$18)</f>
        <v/>
      </c>
      <c r="AE64" s="8" t="str">
        <f aca="false">IF(OR($B64="",Setup!$B$19="",N(Setup!$E$19)=0),"",(N(I64)+N(J64))/Setup!$E$19)</f>
        <v/>
      </c>
      <c r="AF64" s="8" t="str">
        <f aca="false">IF(OR($B64="",Setup!$B$20="",N(Setup!$E$20)=0),"",(N(K64)+N(L64))/Setup!$E$20)</f>
        <v/>
      </c>
      <c r="AG64" s="8" t="str">
        <f aca="false">IF(OR($B64="",Setup!$B$21="",N(Setup!$E$21)=0),"",(N(M64)+N(N64))/Setup!$E$21)</f>
        <v/>
      </c>
      <c r="AH64" s="8" t="str">
        <f aca="false">IF(OR($B64="",Setup!$B$22="",N(Setup!$E$22)=0),"",(N(O64)+N(P64))/Setup!$E$22)</f>
        <v/>
      </c>
      <c r="AI64" s="8" t="str">
        <f aca="false">IF(OR($B64="",Setup!$B$23="",N(Setup!$E$23)=0),"",(N(Q64)+N(R64))/Setup!$E$23)</f>
        <v/>
      </c>
      <c r="AJ64" s="8" t="str">
        <f aca="false">IF(OR($B64="",Setup!$B$24="",N(Setup!$E$24)=0),"",(N(S64)+N(T64))/Setup!$E$24)</f>
        <v/>
      </c>
      <c r="AK64" s="8" t="str">
        <f aca="false">IF($B64="","",U64+(1000-ROW())/100000)</f>
        <v/>
      </c>
      <c r="AL64" s="8" t="str">
        <f aca="false">IF(AM64=1,SUM($AM$7:AM64),"")</f>
        <v/>
      </c>
      <c r="AM64" s="8" t="n">
        <f aca="false">IF(AND(Y64&lt;&gt;"",Y64&lt;&gt;"PASS"),1,0)</f>
        <v>0</v>
      </c>
    </row>
    <row r="65" customFormat="false" ht="15" hidden="false" customHeight="false" outlineLevel="0" collapsed="false">
      <c r="A65" s="104"/>
      <c r="B65" s="100"/>
      <c r="C65" s="100"/>
      <c r="D65" s="99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49" t="str">
        <f aca="false">IF($B65="","",N(E65)+N(F65)+N(G65)+N(H65)+N(I65)+N(J65)+N(K65)+N(L65)+N(M65)+N(N65)+N(O65)+N(P65)+N(Q65)+N(R65)+N(S65)+N(T65))</f>
        <v/>
      </c>
      <c r="V65" s="50" t="str">
        <f aca="false">IF($B65="","",SUM(Setup!$E$17:$E$24))</f>
        <v/>
      </c>
      <c r="W65" s="51" t="str">
        <f aca="false">IF($B65="","",IFERROR(U65/V65,0))</f>
        <v/>
      </c>
      <c r="X65" s="50" t="str">
        <f aca="false">IF($B65="","",IF(AND(Setup!$B$17&lt;&gt;"",Setup!$E$17&gt;0),IF((N(E65)+N(F65))/Setup!$E$17&lt;Setup!$C$11,1,0),0)+IF(AND(Setup!$B$18&lt;&gt;"",Setup!$E$18&gt;0),IF((N(G65)+N(H65))/Setup!$E$18&lt;Setup!$C$11,1,0),0)+IF(AND(Setup!$B$19&lt;&gt;"",Setup!$E$19&gt;0),IF((N(I65)+N(J65))/Setup!$E$19&lt;Setup!$C$11,1,0),0)+IF(AND(Setup!$B$20&lt;&gt;"",Setup!$E$20&gt;0),IF((N(K65)+N(L65))/Setup!$E$20&lt;Setup!$C$11,1,0),0)+IF(AND(Setup!$B$21&lt;&gt;"",Setup!$E$21&gt;0),IF((N(M65)+N(N65))/Setup!$E$21&lt;Setup!$C$11,1,0),0)+IF(AND(Setup!$B$22&lt;&gt;"",Setup!$E$22&gt;0),IF((N(O65)+N(P65))/Setup!$E$22&lt;Setup!$C$11,1,0),0)+IF(AND(Setup!$B$23&lt;&gt;"",Setup!$E$23&gt;0),IF((N(Q65)+N(R65))/Setup!$E$23&lt;Setup!$C$11,1,0),0)+IF(AND(Setup!$B$24&lt;&gt;"",Setup!$E$24&gt;0),IF((N(S65)+N(T65))/Setup!$E$24&lt;Setup!$C$11,1,0),0))</f>
        <v/>
      </c>
      <c r="Y65" s="38" t="str">
        <f aca="false">IF($B65="","",IF(X65=0,"PASS",IF(X65&lt;=Setup!$C$12,"COMPARTMENT","FAIL")))</f>
        <v/>
      </c>
      <c r="Z65" s="39" t="str">
        <f aca="false">IF($B65="","",COUNTIF($U$7:$U$66,"&gt;"&amp;U65)+1)</f>
        <v/>
      </c>
      <c r="AA65" s="38" t="str">
        <f aca="false">IF($B65="","",INDEX(Setup!$G$5:$G$12,COUNTIF(Setup!$F$5:$F$12,"&gt;"&amp;ROUND(W65,4))+1))</f>
        <v/>
      </c>
      <c r="AB65" s="52" t="str">
        <f aca="false">IF($B65="","",IF(((N(E65)&gt;N(Setup!$C$17))+(N(F65)&gt;N(Setup!$D$17)) + (N(G65)&gt;N(Setup!$C$18))+(N(H65)&gt;N(Setup!$D$18)) + (N(I65)&gt;N(Setup!$C$19))+(N(J65)&gt;N(Setup!$D$19)) + (N(K65)&gt;N(Setup!$C$20))+(N(L65)&gt;N(Setup!$D$20)) + (N(M65)&gt;N(Setup!$C$21))+(N(N65)&gt;N(Setup!$D$21)) + (N(O65)&gt;N(Setup!$C$22))+(N(P65)&gt;N(Setup!$D$22)) + (N(Q65)&gt;N(Setup!$C$23))+(N(R65)&gt;N(Setup!$D$23)) + (N(S65)&gt;N(Setup!$C$24))+(N(T65)&gt;N(Setup!$D$24)))&gt;0,"⚠ Marks above max",IF(A65="","⚠ Roll no. missing",IF(COUNTIF($A$7:$A$66,A65)&gt;1,"⚠ Duplicate roll no.","✔"))))</f>
        <v/>
      </c>
      <c r="AC65" s="8" t="str">
        <f aca="false">IF(OR($B65="",Setup!$B$17="",N(Setup!$E$17)=0),"",(N(E65)+N(F65))/Setup!$E$17)</f>
        <v/>
      </c>
      <c r="AD65" s="8" t="str">
        <f aca="false">IF(OR($B65="",Setup!$B$18="",N(Setup!$E$18)=0),"",(N(G65)+N(H65))/Setup!$E$18)</f>
        <v/>
      </c>
      <c r="AE65" s="8" t="str">
        <f aca="false">IF(OR($B65="",Setup!$B$19="",N(Setup!$E$19)=0),"",(N(I65)+N(J65))/Setup!$E$19)</f>
        <v/>
      </c>
      <c r="AF65" s="8" t="str">
        <f aca="false">IF(OR($B65="",Setup!$B$20="",N(Setup!$E$20)=0),"",(N(K65)+N(L65))/Setup!$E$20)</f>
        <v/>
      </c>
      <c r="AG65" s="8" t="str">
        <f aca="false">IF(OR($B65="",Setup!$B$21="",N(Setup!$E$21)=0),"",(N(M65)+N(N65))/Setup!$E$21)</f>
        <v/>
      </c>
      <c r="AH65" s="8" t="str">
        <f aca="false">IF(OR($B65="",Setup!$B$22="",N(Setup!$E$22)=0),"",(N(O65)+N(P65))/Setup!$E$22)</f>
        <v/>
      </c>
      <c r="AI65" s="8" t="str">
        <f aca="false">IF(OR($B65="",Setup!$B$23="",N(Setup!$E$23)=0),"",(N(Q65)+N(R65))/Setup!$E$23)</f>
        <v/>
      </c>
      <c r="AJ65" s="8" t="str">
        <f aca="false">IF(OR($B65="",Setup!$B$24="",N(Setup!$E$24)=0),"",(N(S65)+N(T65))/Setup!$E$24)</f>
        <v/>
      </c>
      <c r="AK65" s="8" t="str">
        <f aca="false">IF($B65="","",U65+(1000-ROW())/100000)</f>
        <v/>
      </c>
      <c r="AL65" s="8" t="str">
        <f aca="false">IF(AM65=1,SUM($AM$7:AM65),"")</f>
        <v/>
      </c>
      <c r="AM65" s="8" t="n">
        <f aca="false">IF(AND(Y65&lt;&gt;"",Y65&lt;&gt;"PASS"),1,0)</f>
        <v>0</v>
      </c>
    </row>
    <row r="66" customFormat="false" ht="15" hidden="false" customHeight="false" outlineLevel="0" collapsed="false">
      <c r="A66" s="104"/>
      <c r="B66" s="100"/>
      <c r="C66" s="100"/>
      <c r="D66" s="99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49" t="str">
        <f aca="false">IF($B66="","",N(E66)+N(F66)+N(G66)+N(H66)+N(I66)+N(J66)+N(K66)+N(L66)+N(M66)+N(N66)+N(O66)+N(P66)+N(Q66)+N(R66)+N(S66)+N(T66))</f>
        <v/>
      </c>
      <c r="V66" s="50" t="str">
        <f aca="false">IF($B66="","",SUM(Setup!$E$17:$E$24))</f>
        <v/>
      </c>
      <c r="W66" s="51" t="str">
        <f aca="false">IF($B66="","",IFERROR(U66/V66,0))</f>
        <v/>
      </c>
      <c r="X66" s="50" t="str">
        <f aca="false">IF($B66="","",IF(AND(Setup!$B$17&lt;&gt;"",Setup!$E$17&gt;0),IF((N(E66)+N(F66))/Setup!$E$17&lt;Setup!$C$11,1,0),0)+IF(AND(Setup!$B$18&lt;&gt;"",Setup!$E$18&gt;0),IF((N(G66)+N(H66))/Setup!$E$18&lt;Setup!$C$11,1,0),0)+IF(AND(Setup!$B$19&lt;&gt;"",Setup!$E$19&gt;0),IF((N(I66)+N(J66))/Setup!$E$19&lt;Setup!$C$11,1,0),0)+IF(AND(Setup!$B$20&lt;&gt;"",Setup!$E$20&gt;0),IF((N(K66)+N(L66))/Setup!$E$20&lt;Setup!$C$11,1,0),0)+IF(AND(Setup!$B$21&lt;&gt;"",Setup!$E$21&gt;0),IF((N(M66)+N(N66))/Setup!$E$21&lt;Setup!$C$11,1,0),0)+IF(AND(Setup!$B$22&lt;&gt;"",Setup!$E$22&gt;0),IF((N(O66)+N(P66))/Setup!$E$22&lt;Setup!$C$11,1,0),0)+IF(AND(Setup!$B$23&lt;&gt;"",Setup!$E$23&gt;0),IF((N(Q66)+N(R66))/Setup!$E$23&lt;Setup!$C$11,1,0),0)+IF(AND(Setup!$B$24&lt;&gt;"",Setup!$E$24&gt;0),IF((N(S66)+N(T66))/Setup!$E$24&lt;Setup!$C$11,1,0),0))</f>
        <v/>
      </c>
      <c r="Y66" s="38" t="str">
        <f aca="false">IF($B66="","",IF(X66=0,"PASS",IF(X66&lt;=Setup!$C$12,"COMPARTMENT","FAIL")))</f>
        <v/>
      </c>
      <c r="Z66" s="39" t="str">
        <f aca="false">IF($B66="","",COUNTIF($U$7:$U$66,"&gt;"&amp;U66)+1)</f>
        <v/>
      </c>
      <c r="AA66" s="38" t="str">
        <f aca="false">IF($B66="","",INDEX(Setup!$G$5:$G$12,COUNTIF(Setup!$F$5:$F$12,"&gt;"&amp;ROUND(W66,4))+1))</f>
        <v/>
      </c>
      <c r="AB66" s="52" t="str">
        <f aca="false">IF($B66="","",IF(((N(E66)&gt;N(Setup!$C$17))+(N(F66)&gt;N(Setup!$D$17)) + (N(G66)&gt;N(Setup!$C$18))+(N(H66)&gt;N(Setup!$D$18)) + (N(I66)&gt;N(Setup!$C$19))+(N(J66)&gt;N(Setup!$D$19)) + (N(K66)&gt;N(Setup!$C$20))+(N(L66)&gt;N(Setup!$D$20)) + (N(M66)&gt;N(Setup!$C$21))+(N(N66)&gt;N(Setup!$D$21)) + (N(O66)&gt;N(Setup!$C$22))+(N(P66)&gt;N(Setup!$D$22)) + (N(Q66)&gt;N(Setup!$C$23))+(N(R66)&gt;N(Setup!$D$23)) + (N(S66)&gt;N(Setup!$C$24))+(N(T66)&gt;N(Setup!$D$24)))&gt;0,"⚠ Marks above max",IF(A66="","⚠ Roll no. missing",IF(COUNTIF($A$7:$A$66,A66)&gt;1,"⚠ Duplicate roll no.","✔"))))</f>
        <v/>
      </c>
      <c r="AC66" s="8" t="str">
        <f aca="false">IF(OR($B66="",Setup!$B$17="",N(Setup!$E$17)=0),"",(N(E66)+N(F66))/Setup!$E$17)</f>
        <v/>
      </c>
      <c r="AD66" s="8" t="str">
        <f aca="false">IF(OR($B66="",Setup!$B$18="",N(Setup!$E$18)=0),"",(N(G66)+N(H66))/Setup!$E$18)</f>
        <v/>
      </c>
      <c r="AE66" s="8" t="str">
        <f aca="false">IF(OR($B66="",Setup!$B$19="",N(Setup!$E$19)=0),"",(N(I66)+N(J66))/Setup!$E$19)</f>
        <v/>
      </c>
      <c r="AF66" s="8" t="str">
        <f aca="false">IF(OR($B66="",Setup!$B$20="",N(Setup!$E$20)=0),"",(N(K66)+N(L66))/Setup!$E$20)</f>
        <v/>
      </c>
      <c r="AG66" s="8" t="str">
        <f aca="false">IF(OR($B66="",Setup!$B$21="",N(Setup!$E$21)=0),"",(N(M66)+N(N66))/Setup!$E$21)</f>
        <v/>
      </c>
      <c r="AH66" s="8" t="str">
        <f aca="false">IF(OR($B66="",Setup!$B$22="",N(Setup!$E$22)=0),"",(N(O66)+N(P66))/Setup!$E$22)</f>
        <v/>
      </c>
      <c r="AI66" s="8" t="str">
        <f aca="false">IF(OR($B66="",Setup!$B$23="",N(Setup!$E$23)=0),"",(N(Q66)+N(R66))/Setup!$E$23)</f>
        <v/>
      </c>
      <c r="AJ66" s="8" t="str">
        <f aca="false">IF(OR($B66="",Setup!$B$24="",N(Setup!$E$24)=0),"",(N(S66)+N(T66))/Setup!$E$24)</f>
        <v/>
      </c>
      <c r="AK66" s="8" t="str">
        <f aca="false">IF($B66="","",U66+(1000-ROW())/100000)</f>
        <v/>
      </c>
      <c r="AL66" s="8" t="str">
        <f aca="false">IF(AM66=1,SUM($AM$7:AM66),"")</f>
        <v/>
      </c>
      <c r="AM66" s="8" t="n">
        <f aca="false">IF(AND(Y66&lt;&gt;"",Y66&lt;&gt;"PASS"),1,0)</f>
        <v>0</v>
      </c>
    </row>
  </sheetData>
  <sheetProtection sheet="1" objects="1" scenarios="1" formatColumns="0" formatRows="0" algorithmName="SHA-512" hashValue="WbXWUarrsHkDOs+x5RqpLWUU73To9EHxn9gA6hSRUequvQyam2p3HZNNXtQHSlJXARt+VAVkUD9jwQOxxcLrPQ==" saltValue="AdLG046ZpeiAtzrWuivyZg==" spinCount="100000"/>
  <mergeCells count="22">
    <mergeCell ref="A2:AB2"/>
    <mergeCell ref="A3:AB3"/>
    <mergeCell ref="A5:A6"/>
    <mergeCell ref="B5:B6"/>
    <mergeCell ref="C5:C6"/>
    <mergeCell ref="D5:D6"/>
    <mergeCell ref="E5:F5"/>
    <mergeCell ref="G5:H5"/>
    <mergeCell ref="I5:J5"/>
    <mergeCell ref="K5:L5"/>
    <mergeCell ref="M5:N5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</mergeCells>
  <conditionalFormatting sqref="E7:E66">
    <cfRule type="expression" priority="2" aboveAverage="0" equalAverage="0" bottom="0" percent="0" rank="0" text="" dxfId="0">
      <formula>N(E7)&gt;N(Setup!$C$17)</formula>
    </cfRule>
    <cfRule type="expression" priority="3" aboveAverage="0" equalAverage="0" bottom="0" percent="0" rank="0" text="" dxfId="1">
      <formula>AND(E7&lt;&gt;"",N(Setup!$E$17)&gt;0,(N(E7)+N(F7))/Setup!$E$17&lt;Setup!$C$11)</formula>
    </cfRule>
  </conditionalFormatting>
  <conditionalFormatting sqref="F7:F66">
    <cfRule type="expression" priority="4" aboveAverage="0" equalAverage="0" bottom="0" percent="0" rank="0" text="" dxfId="0">
      <formula>N(F7)&gt;N(Setup!$D$17)</formula>
    </cfRule>
    <cfRule type="expression" priority="5" aboveAverage="0" equalAverage="0" bottom="0" percent="0" rank="0" text="" dxfId="1">
      <formula>AND(F7&lt;&gt;"",N(Setup!$E$17)&gt;0,(N(E7)+N(F7))/Setup!$E$17&lt;Setup!$C$11)</formula>
    </cfRule>
  </conditionalFormatting>
  <conditionalFormatting sqref="G7:G66">
    <cfRule type="expression" priority="6" aboveAverage="0" equalAverage="0" bottom="0" percent="0" rank="0" text="" dxfId="0">
      <formula>N(G7)&gt;N(Setup!$C$18)</formula>
    </cfRule>
    <cfRule type="expression" priority="7" aboveAverage="0" equalAverage="0" bottom="0" percent="0" rank="0" text="" dxfId="1">
      <formula>AND(G7&lt;&gt;"",N(Setup!$E$18)&gt;0,(N(G7)+N(H7))/Setup!$E$18&lt;Setup!$C$11)</formula>
    </cfRule>
  </conditionalFormatting>
  <conditionalFormatting sqref="H7:H66">
    <cfRule type="expression" priority="8" aboveAverage="0" equalAverage="0" bottom="0" percent="0" rank="0" text="" dxfId="0">
      <formula>N(H7)&gt;N(Setup!$D$18)</formula>
    </cfRule>
    <cfRule type="expression" priority="9" aboveAverage="0" equalAverage="0" bottom="0" percent="0" rank="0" text="" dxfId="1">
      <formula>AND(H7&lt;&gt;"",N(Setup!$E$18)&gt;0,(N(G7)+N(H7))/Setup!$E$18&lt;Setup!$C$11)</formula>
    </cfRule>
  </conditionalFormatting>
  <conditionalFormatting sqref="I7:I66">
    <cfRule type="expression" priority="10" aboveAverage="0" equalAverage="0" bottom="0" percent="0" rank="0" text="" dxfId="0">
      <formula>N(I7)&gt;N(Setup!$C$19)</formula>
    </cfRule>
    <cfRule type="expression" priority="11" aboveAverage="0" equalAverage="0" bottom="0" percent="0" rank="0" text="" dxfId="1">
      <formula>AND(I7&lt;&gt;"",N(Setup!$E$19)&gt;0,(N(I7)+N(J7))/Setup!$E$19&lt;Setup!$C$11)</formula>
    </cfRule>
  </conditionalFormatting>
  <conditionalFormatting sqref="J7:J66">
    <cfRule type="expression" priority="12" aboveAverage="0" equalAverage="0" bottom="0" percent="0" rank="0" text="" dxfId="0">
      <formula>N(J7)&gt;N(Setup!$D$19)</formula>
    </cfRule>
    <cfRule type="expression" priority="13" aboveAverage="0" equalAverage="0" bottom="0" percent="0" rank="0" text="" dxfId="1">
      <formula>AND(J7&lt;&gt;"",N(Setup!$E$19)&gt;0,(N(I7)+N(J7))/Setup!$E$19&lt;Setup!$C$11)</formula>
    </cfRule>
  </conditionalFormatting>
  <conditionalFormatting sqref="K7:K66">
    <cfRule type="expression" priority="14" aboveAverage="0" equalAverage="0" bottom="0" percent="0" rank="0" text="" dxfId="0">
      <formula>N(K7)&gt;N(Setup!$C$20)</formula>
    </cfRule>
    <cfRule type="expression" priority="15" aboveAverage="0" equalAverage="0" bottom="0" percent="0" rank="0" text="" dxfId="1">
      <formula>AND(K7&lt;&gt;"",N(Setup!$E$20)&gt;0,(N(K7)+N(L7))/Setup!$E$20&lt;Setup!$C$11)</formula>
    </cfRule>
  </conditionalFormatting>
  <conditionalFormatting sqref="L7:L66">
    <cfRule type="expression" priority="16" aboveAverage="0" equalAverage="0" bottom="0" percent="0" rank="0" text="" dxfId="0">
      <formula>N(L7)&gt;N(Setup!$D$20)</formula>
    </cfRule>
    <cfRule type="expression" priority="17" aboveAverage="0" equalAverage="0" bottom="0" percent="0" rank="0" text="" dxfId="1">
      <formula>AND(L7&lt;&gt;"",N(Setup!$E$20)&gt;0,(N(K7)+N(L7))/Setup!$E$20&lt;Setup!$C$11)</formula>
    </cfRule>
  </conditionalFormatting>
  <conditionalFormatting sqref="M7:M66">
    <cfRule type="expression" priority="18" aboveAverage="0" equalAverage="0" bottom="0" percent="0" rank="0" text="" dxfId="0">
      <formula>N(M7)&gt;N(Setup!$C$21)</formula>
    </cfRule>
    <cfRule type="expression" priority="19" aboveAverage="0" equalAverage="0" bottom="0" percent="0" rank="0" text="" dxfId="1">
      <formula>AND(M7&lt;&gt;"",N(Setup!$E$21)&gt;0,(N(M7)+N(N7))/Setup!$E$21&lt;Setup!$C$11)</formula>
    </cfRule>
  </conditionalFormatting>
  <conditionalFormatting sqref="N7:N66">
    <cfRule type="expression" priority="20" aboveAverage="0" equalAverage="0" bottom="0" percent="0" rank="0" text="" dxfId="0">
      <formula>N(N7)&gt;N(Setup!$D$21)</formula>
    </cfRule>
    <cfRule type="expression" priority="21" aboveAverage="0" equalAverage="0" bottom="0" percent="0" rank="0" text="" dxfId="1">
      <formula>AND(N7&lt;&gt;"",N(Setup!$E$21)&gt;0,(N(M7)+N(N7))/Setup!$E$21&lt;Setup!$C$11)</formula>
    </cfRule>
  </conditionalFormatting>
  <conditionalFormatting sqref="O7:O66">
    <cfRule type="expression" priority="22" aboveAverage="0" equalAverage="0" bottom="0" percent="0" rank="0" text="" dxfId="0">
      <formula>N(O7)&gt;N(Setup!$C$22)</formula>
    </cfRule>
    <cfRule type="expression" priority="23" aboveAverage="0" equalAverage="0" bottom="0" percent="0" rank="0" text="" dxfId="1">
      <formula>AND(O7&lt;&gt;"",N(Setup!$E$22)&gt;0,(N(O7)+N(P7))/Setup!$E$22&lt;Setup!$C$11)</formula>
    </cfRule>
  </conditionalFormatting>
  <conditionalFormatting sqref="P7:P66">
    <cfRule type="expression" priority="24" aboveAverage="0" equalAverage="0" bottom="0" percent="0" rank="0" text="" dxfId="0">
      <formula>N(P7)&gt;N(Setup!$D$22)</formula>
    </cfRule>
    <cfRule type="expression" priority="25" aboveAverage="0" equalAverage="0" bottom="0" percent="0" rank="0" text="" dxfId="1">
      <formula>AND(P7&lt;&gt;"",N(Setup!$E$22)&gt;0,(N(O7)+N(P7))/Setup!$E$22&lt;Setup!$C$11)</formula>
    </cfRule>
  </conditionalFormatting>
  <conditionalFormatting sqref="Q7:Q66">
    <cfRule type="expression" priority="26" aboveAverage="0" equalAverage="0" bottom="0" percent="0" rank="0" text="" dxfId="0">
      <formula>N(Q7)&gt;N(Setup!$C$23)</formula>
    </cfRule>
    <cfRule type="expression" priority="27" aboveAverage="0" equalAverage="0" bottom="0" percent="0" rank="0" text="" dxfId="1">
      <formula>AND(Q7&lt;&gt;"",N(Setup!$E$23)&gt;0,(N(Q7)+N(R7))/Setup!$E$23&lt;Setup!$C$11)</formula>
    </cfRule>
  </conditionalFormatting>
  <conditionalFormatting sqref="R7:R66">
    <cfRule type="expression" priority="28" aboveAverage="0" equalAverage="0" bottom="0" percent="0" rank="0" text="" dxfId="0">
      <formula>N(R7)&gt;N(Setup!$D$23)</formula>
    </cfRule>
    <cfRule type="expression" priority="29" aboveAverage="0" equalAverage="0" bottom="0" percent="0" rank="0" text="" dxfId="1">
      <formula>AND(R7&lt;&gt;"",N(Setup!$E$23)&gt;0,(N(Q7)+N(R7))/Setup!$E$23&lt;Setup!$C$11)</formula>
    </cfRule>
  </conditionalFormatting>
  <conditionalFormatting sqref="S7:S66">
    <cfRule type="expression" priority="30" aboveAverage="0" equalAverage="0" bottom="0" percent="0" rank="0" text="" dxfId="0">
      <formula>N(S7)&gt;N(Setup!$C$24)</formula>
    </cfRule>
    <cfRule type="expression" priority="31" aboveAverage="0" equalAverage="0" bottom="0" percent="0" rank="0" text="" dxfId="1">
      <formula>AND(S7&lt;&gt;"",N(Setup!$E$24)&gt;0,(N(S7)+N(T7))/Setup!$E$24&lt;Setup!$C$11)</formula>
    </cfRule>
  </conditionalFormatting>
  <conditionalFormatting sqref="T7:T66">
    <cfRule type="expression" priority="32" aboveAverage="0" equalAverage="0" bottom="0" percent="0" rank="0" text="" dxfId="0">
      <formula>N(T7)&gt;N(Setup!$D$24)</formula>
    </cfRule>
    <cfRule type="expression" priority="33" aboveAverage="0" equalAverage="0" bottom="0" percent="0" rank="0" text="" dxfId="1">
      <formula>AND(T7&lt;&gt;"",N(Setup!$E$24)&gt;0,(N(S7)+N(T7))/Setup!$E$24&lt;Setup!$C$11)</formula>
    </cfRule>
  </conditionalFormatting>
  <conditionalFormatting sqref="Y7:Y66">
    <cfRule type="expression" priority="34" aboveAverage="0" equalAverage="0" bottom="0" percent="0" rank="0" text="" dxfId="2">
      <formula>$Y7="PASS"</formula>
    </cfRule>
    <cfRule type="expression" priority="35" aboveAverage="0" equalAverage="0" bottom="0" percent="0" rank="0" text="" dxfId="3">
      <formula>$Y7="COMPARTMENT"</formula>
    </cfRule>
    <cfRule type="expression" priority="36" aboveAverage="0" equalAverage="0" bottom="0" percent="0" rank="0" text="" dxfId="0">
      <formula>$Y7="FAIL"</formula>
    </cfRule>
  </conditionalFormatting>
  <conditionalFormatting sqref="AB7:AB66">
    <cfRule type="expression" priority="37" aboveAverage="0" equalAverage="0" bottom="0" percent="0" rank="0" text="" dxfId="0">
      <formula>LEFT($AB7,1)="⚠"</formula>
    </cfRule>
  </conditionalFormatting>
  <conditionalFormatting sqref="Z7:Z66">
    <cfRule type="expression" priority="38" aboveAverage="0" equalAverage="0" bottom="0" percent="0" rank="0" text="" dxfId="4">
      <formula>AND(ISNUMBER($Z7),$Z7&lt;=3)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2:L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6"/>
    <col collapsed="false" customWidth="true" hidden="false" outlineLevel="0" max="7" min="4" style="0" width="12"/>
    <col collapsed="false" customWidth="true" hidden="false" outlineLevel="0" max="9" min="8" style="0" width="9"/>
    <col collapsed="false" customWidth="true" hidden="false" outlineLevel="0" max="11" min="11" style="0" width="22"/>
    <col collapsed="false" customWidth="true" hidden="false" outlineLevel="0" max="12" min="12" style="0" width="10"/>
  </cols>
  <sheetData>
    <row r="2" customFormat="false" ht="30" hidden="false" customHeight="true" outlineLevel="0" collapsed="false">
      <c r="D2" s="53" t="str">
        <f aca="false">Setup!$C$4</f>
        <v>Xplore Public School, Hoshiarpur</v>
      </c>
      <c r="E2" s="53"/>
      <c r="F2" s="53"/>
      <c r="G2" s="53"/>
      <c r="H2" s="53"/>
      <c r="I2" s="53"/>
      <c r="K2" s="54" t="s">
        <v>151</v>
      </c>
      <c r="L2" s="106" t="n">
        <v>101</v>
      </c>
    </row>
    <row r="3" customFormat="false" ht="15" hidden="false" customHeight="false" outlineLevel="0" collapsed="false">
      <c r="D3" s="56" t="str">
        <f aca="false">Setup!$C$5</f>
        <v>Affiliation No. 1234567</v>
      </c>
      <c r="E3" s="56"/>
      <c r="F3" s="56"/>
      <c r="G3" s="56"/>
      <c r="H3" s="56"/>
      <c r="I3" s="56"/>
      <c r="K3" s="57" t="s">
        <v>152</v>
      </c>
    </row>
    <row r="5" customFormat="false" ht="24" hidden="false" customHeight="true" outlineLevel="0" collapsed="false">
      <c r="B5" s="58" t="str">
        <f aca="false">"REPORT CARD  •  "&amp;UPPER(Setup!$C$8)&amp;"  •  SESSION "&amp;Setup!$C$7</f>
        <v>REPORT CARD  •  HALF-YEARLY EXAMINATION  •  SESSION 2026-27</v>
      </c>
      <c r="C5" s="58"/>
      <c r="D5" s="58"/>
      <c r="E5" s="58"/>
      <c r="F5" s="58"/>
      <c r="G5" s="58"/>
      <c r="H5" s="58"/>
      <c r="I5" s="58"/>
      <c r="K5" s="17" t="s">
        <v>18</v>
      </c>
    </row>
    <row r="7" customFormat="false" ht="15" hidden="false" customHeight="true" outlineLevel="0" collapsed="false">
      <c r="B7" s="59" t="s">
        <v>90</v>
      </c>
      <c r="C7" s="59"/>
      <c r="D7" s="60" t="str">
        <f aca="false">IFERROR(INDEX('Marks Entry'!$B$7:$B$66,MATCH($L$2,'Marks Entry'!$A$7:$A$66,0)),"")</f>
        <v>Aarav Sharma</v>
      </c>
      <c r="E7" s="60"/>
      <c r="F7" s="60"/>
      <c r="G7" s="59" t="s">
        <v>89</v>
      </c>
      <c r="H7" s="61" t="n">
        <f aca="false">$L$2</f>
        <v>101</v>
      </c>
      <c r="I7" s="61"/>
    </row>
    <row r="8" customFormat="false" ht="15" hidden="false" customHeight="true" outlineLevel="0" collapsed="false">
      <c r="B8" s="59" t="s">
        <v>91</v>
      </c>
      <c r="C8" s="59"/>
      <c r="D8" s="60" t="str">
        <f aca="false">IFERROR(INDEX('Marks Entry'!$C$7:$C$66,MATCH($L$2,'Marks Entry'!$A$7:$A$66,0)),"")</f>
        <v>Rajesh Sharma</v>
      </c>
      <c r="E8" s="60"/>
      <c r="F8" s="60"/>
      <c r="G8" s="59" t="s">
        <v>153</v>
      </c>
      <c r="H8" s="60" t="str">
        <f aca="false">Setup!$C$6</f>
        <v>X – A</v>
      </c>
      <c r="I8" s="60"/>
    </row>
    <row r="9" customFormat="false" ht="15" hidden="false" customHeight="true" outlineLevel="0" collapsed="false">
      <c r="B9" s="59" t="s">
        <v>154</v>
      </c>
      <c r="C9" s="59"/>
      <c r="D9" s="60" t="str">
        <f aca="false">IFERROR(IFERROR(INDEX('Marks Entry'!$D$7:$D$66,MATCH($L$2,'Marks Entry'!$A$7:$A$66,0)),"")&amp;" / "&amp;Setup!$C$9&amp;" days ("&amp;TEXT(IFERROR(INDEX('Marks Entry'!$D$7:$D$66,MATCH($L$2,'Marks Entry'!$A$7:$A$66,0)),"")/Setup!$C$9,"0%")&amp;")","")</f>
        <v>100 / 112 days (89%)</v>
      </c>
      <c r="E9" s="60"/>
      <c r="F9" s="60"/>
      <c r="G9" s="59" t="s">
        <v>155</v>
      </c>
      <c r="H9" s="61" t="n">
        <f aca="false">IFERROR(INDEX('Marks Entry'!$Z$7:$Z$66,MATCH($L$2,'Marks Entry'!$A$7:$A$66,0)),"")</f>
        <v>20</v>
      </c>
      <c r="I9" s="61"/>
    </row>
    <row r="11" customFormat="false" ht="31.5" hidden="false" customHeight="true" outlineLevel="0" collapsed="false">
      <c r="B11" s="37" t="s">
        <v>77</v>
      </c>
      <c r="C11" s="37" t="s">
        <v>78</v>
      </c>
      <c r="D11" s="37" t="s">
        <v>156</v>
      </c>
      <c r="E11" s="37" t="s">
        <v>157</v>
      </c>
      <c r="F11" s="37" t="s">
        <v>93</v>
      </c>
      <c r="G11" s="37" t="s">
        <v>158</v>
      </c>
      <c r="H11" s="37" t="s">
        <v>42</v>
      </c>
      <c r="I11" s="37" t="s">
        <v>43</v>
      </c>
    </row>
    <row r="12" customFormat="false" ht="15" hidden="false" customHeight="false" outlineLevel="0" collapsed="false">
      <c r="B12" s="62" t="n">
        <f aca="false">IF(Setup!$B$17="","",1)</f>
        <v>1</v>
      </c>
      <c r="C12" s="63" t="str">
        <f aca="false">IF(Setup!$B$17="","",Setup!$B$17)</f>
        <v>English</v>
      </c>
      <c r="D12" s="64" t="n">
        <f aca="false">IF(Setup!$B$17="","",IFERROR(INDEX('Marks Entry'!$E$7:$E$66,MATCH($L$2,'Marks Entry'!$A$7:$A$66,0)),""))</f>
        <v>42</v>
      </c>
      <c r="E12" s="64" t="n">
        <f aca="false">IF(Setup!$B$17="","",IFERROR(INDEX('Marks Entry'!$F$7:$F$66,MATCH($L$2,'Marks Entry'!$A$7:$A$66,0)),""))</f>
        <v>14</v>
      </c>
      <c r="F12" s="49" t="n">
        <f aca="false">IF(Setup!$B$17="","",N(D12)+N(E12))</f>
        <v>56</v>
      </c>
      <c r="G12" s="50" t="n">
        <f aca="false">IF(Setup!$B$17="","",Setup!$E$17)</f>
        <v>100</v>
      </c>
      <c r="H12" s="65" t="str">
        <f aca="false">IF(Setup!$B$17="","",INDEX(Setup!$G$5:$G$12,COUNTIF(Setup!$F$5:$F$12,"&gt;"&amp;ROUND(F12/G12,4))+1))</f>
        <v>C1</v>
      </c>
      <c r="I12" s="50" t="n">
        <f aca="false">IF(Setup!$B$17="","",INDEX(Setup!$H$5:$H$12,COUNTIF(Setup!$F$5:$F$12,"&gt;"&amp;ROUND(F12/G12,4))+1))</f>
        <v>6</v>
      </c>
    </row>
    <row r="13" customFormat="false" ht="15" hidden="false" customHeight="false" outlineLevel="0" collapsed="false">
      <c r="B13" s="62" t="n">
        <f aca="false">IF(Setup!$B$18="","",2)</f>
        <v>2</v>
      </c>
      <c r="C13" s="63" t="str">
        <f aca="false">IF(Setup!$B$18="","",Setup!$B$18)</f>
        <v>Hindi</v>
      </c>
      <c r="D13" s="64" t="n">
        <f aca="false">IF(Setup!$B$18="","",IFERROR(INDEX('Marks Entry'!$G$7:$G$66,MATCH($L$2,'Marks Entry'!$A$7:$A$66,0)),""))</f>
        <v>41</v>
      </c>
      <c r="E13" s="64" t="n">
        <f aca="false">IF(Setup!$B$18="","",IFERROR(INDEX('Marks Entry'!$H$7:$H$66,MATCH($L$2,'Marks Entry'!$A$7:$A$66,0)),""))</f>
        <v>14</v>
      </c>
      <c r="F13" s="49" t="n">
        <f aca="false">IF(Setup!$B$18="","",N(D13)+N(E13))</f>
        <v>55</v>
      </c>
      <c r="G13" s="50" t="n">
        <f aca="false">IF(Setup!$B$18="","",Setup!$E$18)</f>
        <v>100</v>
      </c>
      <c r="H13" s="65" t="str">
        <f aca="false">IF(Setup!$B$18="","",INDEX(Setup!$G$5:$G$12,COUNTIF(Setup!$F$5:$F$12,"&gt;"&amp;ROUND(F13/G13,4))+1))</f>
        <v>C1</v>
      </c>
      <c r="I13" s="50" t="n">
        <f aca="false">IF(Setup!$B$18="","",INDEX(Setup!$H$5:$H$12,COUNTIF(Setup!$F$5:$F$12,"&gt;"&amp;ROUND(F13/G13,4))+1))</f>
        <v>6</v>
      </c>
    </row>
    <row r="14" customFormat="false" ht="15" hidden="false" customHeight="false" outlineLevel="0" collapsed="false">
      <c r="B14" s="62" t="n">
        <f aca="false">IF(Setup!$B$19="","",3)</f>
        <v>3</v>
      </c>
      <c r="C14" s="63" t="str">
        <f aca="false">IF(Setup!$B$19="","",Setup!$B$19)</f>
        <v>Mathematics</v>
      </c>
      <c r="D14" s="64" t="n">
        <f aca="false">IF(Setup!$B$19="","",IFERROR(INDEX('Marks Entry'!$I$7:$I$66,MATCH($L$2,'Marks Entry'!$A$7:$A$66,0)),""))</f>
        <v>46</v>
      </c>
      <c r="E14" s="64" t="n">
        <f aca="false">IF(Setup!$B$19="","",IFERROR(INDEX('Marks Entry'!$J$7:$J$66,MATCH($L$2,'Marks Entry'!$A$7:$A$66,0)),""))</f>
        <v>13</v>
      </c>
      <c r="F14" s="49" t="n">
        <f aca="false">IF(Setup!$B$19="","",N(D14)+N(E14))</f>
        <v>59</v>
      </c>
      <c r="G14" s="50" t="n">
        <f aca="false">IF(Setup!$B$19="","",Setup!$E$19)</f>
        <v>100</v>
      </c>
      <c r="H14" s="65" t="str">
        <f aca="false">IF(Setup!$B$19="","",INDEX(Setup!$G$5:$G$12,COUNTIF(Setup!$F$5:$F$12,"&gt;"&amp;ROUND(F14/G14,4))+1))</f>
        <v>C1</v>
      </c>
      <c r="I14" s="50" t="n">
        <f aca="false">IF(Setup!$B$19="","",INDEX(Setup!$H$5:$H$12,COUNTIF(Setup!$F$5:$F$12,"&gt;"&amp;ROUND(F14/G14,4))+1))</f>
        <v>6</v>
      </c>
    </row>
    <row r="15" customFormat="false" ht="15" hidden="false" customHeight="false" outlineLevel="0" collapsed="false">
      <c r="B15" s="62" t="n">
        <f aca="false">IF(Setup!$B$20="","",4)</f>
        <v>4</v>
      </c>
      <c r="C15" s="63" t="str">
        <f aca="false">IF(Setup!$B$20="","",Setup!$B$20)</f>
        <v>Science</v>
      </c>
      <c r="D15" s="64" t="n">
        <f aca="false">IF(Setup!$B$20="","",IFERROR(INDEX('Marks Entry'!$K$7:$K$66,MATCH($L$2,'Marks Entry'!$A$7:$A$66,0)),""))</f>
        <v>48</v>
      </c>
      <c r="E15" s="64" t="n">
        <f aca="false">IF(Setup!$B$20="","",IFERROR(INDEX('Marks Entry'!$L$7:$L$66,MATCH($L$2,'Marks Entry'!$A$7:$A$66,0)),""))</f>
        <v>12</v>
      </c>
      <c r="F15" s="49" t="n">
        <f aca="false">IF(Setup!$B$20="","",N(D15)+N(E15))</f>
        <v>60</v>
      </c>
      <c r="G15" s="50" t="n">
        <f aca="false">IF(Setup!$B$20="","",Setup!$E$20)</f>
        <v>100</v>
      </c>
      <c r="H15" s="65" t="str">
        <f aca="false">IF(Setup!$B$20="","",INDEX(Setup!$G$5:$G$12,COUNTIF(Setup!$F$5:$F$12,"&gt;"&amp;ROUND(F15/G15,4))+1))</f>
        <v>C1</v>
      </c>
      <c r="I15" s="50" t="n">
        <f aca="false">IF(Setup!$B$20="","",INDEX(Setup!$H$5:$H$12,COUNTIF(Setup!$F$5:$F$12,"&gt;"&amp;ROUND(F15/G15,4))+1))</f>
        <v>6</v>
      </c>
    </row>
    <row r="16" customFormat="false" ht="15" hidden="false" customHeight="false" outlineLevel="0" collapsed="false">
      <c r="B16" s="62" t="n">
        <f aca="false">IF(Setup!$B$21="","",5)</f>
        <v>5</v>
      </c>
      <c r="C16" s="63" t="str">
        <f aca="false">IF(Setup!$B$21="","",Setup!$B$21)</f>
        <v>Social Science</v>
      </c>
      <c r="D16" s="64" t="n">
        <f aca="false">IF(Setup!$B$21="","",IFERROR(INDEX('Marks Entry'!$M$7:$M$66,MATCH($L$2,'Marks Entry'!$A$7:$A$66,0)),""))</f>
        <v>47</v>
      </c>
      <c r="E16" s="64" t="n">
        <f aca="false">IF(Setup!$B$21="","",IFERROR(INDEX('Marks Entry'!$N$7:$N$66,MATCH($L$2,'Marks Entry'!$A$7:$A$66,0)),""))</f>
        <v>13</v>
      </c>
      <c r="F16" s="49" t="n">
        <f aca="false">IF(Setup!$B$21="","",N(D16)+N(E16))</f>
        <v>60</v>
      </c>
      <c r="G16" s="50" t="n">
        <f aca="false">IF(Setup!$B$21="","",Setup!$E$21)</f>
        <v>100</v>
      </c>
      <c r="H16" s="65" t="str">
        <f aca="false">IF(Setup!$B$21="","",INDEX(Setup!$G$5:$G$12,COUNTIF(Setup!$F$5:$F$12,"&gt;"&amp;ROUND(F16/G16,4))+1))</f>
        <v>C1</v>
      </c>
      <c r="I16" s="50" t="n">
        <f aca="false">IF(Setup!$B$21="","",INDEX(Setup!$H$5:$H$12,COUNTIF(Setup!$F$5:$F$12,"&gt;"&amp;ROUND(F16/G16,4))+1))</f>
        <v>6</v>
      </c>
    </row>
    <row r="17" customFormat="false" ht="15" hidden="false" customHeight="false" outlineLevel="0" collapsed="false">
      <c r="B17" s="62" t="n">
        <f aca="false">IF(Setup!$B$22="","",6)</f>
        <v>6</v>
      </c>
      <c r="C17" s="63" t="str">
        <f aca="false">IF(Setup!$B$22="","",Setup!$B$22)</f>
        <v>Information Technology</v>
      </c>
      <c r="D17" s="64" t="n">
        <f aca="false">IF(Setup!$B$22="","",IFERROR(INDEX('Marks Entry'!$O$7:$O$66,MATCH($L$2,'Marks Entry'!$A$7:$A$66,0)),""))</f>
        <v>26</v>
      </c>
      <c r="E17" s="64" t="n">
        <f aca="false">IF(Setup!$B$22="","",IFERROR(INDEX('Marks Entry'!$P$7:$P$66,MATCH($L$2,'Marks Entry'!$A$7:$A$66,0)),""))</f>
        <v>34</v>
      </c>
      <c r="F17" s="49" t="n">
        <f aca="false">IF(Setup!$B$22="","",N(D17)+N(E17))</f>
        <v>60</v>
      </c>
      <c r="G17" s="50" t="n">
        <f aca="false">IF(Setup!$B$22="","",Setup!$E$22)</f>
        <v>100</v>
      </c>
      <c r="H17" s="65" t="str">
        <f aca="false">IF(Setup!$B$22="","",INDEX(Setup!$G$5:$G$12,COUNTIF(Setup!$F$5:$F$12,"&gt;"&amp;ROUND(F17/G17,4))+1))</f>
        <v>C1</v>
      </c>
      <c r="I17" s="50" t="n">
        <f aca="false">IF(Setup!$B$22="","",INDEX(Setup!$H$5:$H$12,COUNTIF(Setup!$F$5:$F$12,"&gt;"&amp;ROUND(F17/G17,4))+1))</f>
        <v>6</v>
      </c>
    </row>
    <row r="18" customFormat="false" ht="15" hidden="false" customHeight="false" outlineLevel="0" collapsed="false">
      <c r="B18" s="62" t="str">
        <f aca="false">IF(Setup!$B$23="","",7)</f>
        <v/>
      </c>
      <c r="C18" s="63" t="str">
        <f aca="false">IF(Setup!$B$23="","",Setup!$B$23)</f>
        <v/>
      </c>
      <c r="D18" s="64" t="str">
        <f aca="false">IF(Setup!$B$23="","",IFERROR(INDEX('Marks Entry'!$Q$7:$Q$66,MATCH($L$2,'Marks Entry'!$A$7:$A$66,0)),""))</f>
        <v/>
      </c>
      <c r="E18" s="64" t="str">
        <f aca="false">IF(Setup!$B$23="","",IFERROR(INDEX('Marks Entry'!$R$7:$R$66,MATCH($L$2,'Marks Entry'!$A$7:$A$66,0)),""))</f>
        <v/>
      </c>
      <c r="F18" s="49" t="str">
        <f aca="false">IF(Setup!$B$23="","",N(D18)+N(E18))</f>
        <v/>
      </c>
      <c r="G18" s="50" t="str">
        <f aca="false">IF(Setup!$B$23="","",Setup!$E$23)</f>
        <v/>
      </c>
      <c r="H18" s="65" t="str">
        <f aca="false">IF(Setup!$B$23="","",INDEX(Setup!$G$5:$G$12,COUNTIF(Setup!$F$5:$F$12,"&gt;"&amp;ROUND(F18/G18,4))+1))</f>
        <v/>
      </c>
      <c r="I18" s="50" t="str">
        <f aca="false">IF(Setup!$B$23="","",INDEX(Setup!$H$5:$H$12,COUNTIF(Setup!$F$5:$F$12,"&gt;"&amp;ROUND(F18/G18,4))+1))</f>
        <v/>
      </c>
    </row>
    <row r="19" customFormat="false" ht="15" hidden="false" customHeight="false" outlineLevel="0" collapsed="false">
      <c r="B19" s="62" t="str">
        <f aca="false">IF(Setup!$B$24="","",8)</f>
        <v/>
      </c>
      <c r="C19" s="63" t="str">
        <f aca="false">IF(Setup!$B$24="","",Setup!$B$24)</f>
        <v/>
      </c>
      <c r="D19" s="64" t="str">
        <f aca="false">IF(Setup!$B$24="","",IFERROR(INDEX('Marks Entry'!$S$7:$S$66,MATCH($L$2,'Marks Entry'!$A$7:$A$66,0)),""))</f>
        <v/>
      </c>
      <c r="E19" s="64" t="str">
        <f aca="false">IF(Setup!$B$24="","",IFERROR(INDEX('Marks Entry'!$T$7:$T$66,MATCH($L$2,'Marks Entry'!$A$7:$A$66,0)),""))</f>
        <v/>
      </c>
      <c r="F19" s="49" t="str">
        <f aca="false">IF(Setup!$B$24="","",N(D19)+N(E19))</f>
        <v/>
      </c>
      <c r="G19" s="50" t="str">
        <f aca="false">IF(Setup!$B$24="","",Setup!$E$24)</f>
        <v/>
      </c>
      <c r="H19" s="65" t="str">
        <f aca="false">IF(Setup!$B$24="","",INDEX(Setup!$G$5:$G$12,COUNTIF(Setup!$F$5:$F$12,"&gt;"&amp;ROUND(F19/G19,4))+1))</f>
        <v/>
      </c>
      <c r="I19" s="50" t="str">
        <f aca="false">IF(Setup!$B$24="","",INDEX(Setup!$H$5:$H$12,COUNTIF(Setup!$F$5:$F$12,"&gt;"&amp;ROUND(F19/G19,4))+1))</f>
        <v/>
      </c>
    </row>
    <row r="20" customFormat="false" ht="15" hidden="false" customHeight="false" outlineLevel="0" collapsed="false">
      <c r="B20" s="66"/>
      <c r="C20" s="67" t="s">
        <v>159</v>
      </c>
      <c r="D20" s="66"/>
      <c r="E20" s="66"/>
      <c r="F20" s="68" t="n">
        <f aca="false">SUM(F12:F19)</f>
        <v>350</v>
      </c>
      <c r="G20" s="69" t="n">
        <f aca="false">SUM(G12:G19)</f>
        <v>600</v>
      </c>
      <c r="H20" s="66"/>
      <c r="I20" s="66"/>
    </row>
    <row r="22" customFormat="false" ht="24" hidden="false" customHeight="true" outlineLevel="0" collapsed="false">
      <c r="B22" s="70" t="s">
        <v>95</v>
      </c>
      <c r="C22" s="70"/>
      <c r="D22" s="70"/>
      <c r="E22" s="71" t="n">
        <f aca="false">IFERROR(F20/G20,"")</f>
        <v>0.583333333333333</v>
      </c>
      <c r="F22" s="70" t="s">
        <v>160</v>
      </c>
      <c r="G22" s="70"/>
      <c r="H22" s="72" t="str">
        <f aca="false">IFERROR(INDEX(Setup!$G$5:$G$12,COUNTIF(Setup!$F$5:$F$12,"&gt;"&amp;ROUND(F20/G20,4))+1),"")</f>
        <v>C1</v>
      </c>
      <c r="I22" s="72"/>
    </row>
    <row r="23" customFormat="false" ht="24" hidden="false" customHeight="true" outlineLevel="0" collapsed="false">
      <c r="B23" s="70" t="s">
        <v>161</v>
      </c>
      <c r="C23" s="70"/>
      <c r="D23" s="70"/>
      <c r="E23" s="73" t="n">
        <f aca="false">IFERROR(AVERAGE(I12:I19),"")</f>
        <v>6</v>
      </c>
      <c r="F23" s="70" t="s">
        <v>97</v>
      </c>
      <c r="G23" s="70"/>
      <c r="H23" s="72" t="str">
        <f aca="false">IFERROR(INDEX('Marks Entry'!$Y$7:$Y$66,MATCH($L$2,'Marks Entry'!$A$7:$A$66,0)),"")</f>
        <v>PASS</v>
      </c>
      <c r="I23" s="72"/>
    </row>
    <row r="25" customFormat="false" ht="15" hidden="false" customHeight="true" outlineLevel="0" collapsed="false">
      <c r="B25" s="74" t="s">
        <v>162</v>
      </c>
      <c r="C25" s="74"/>
      <c r="D25" s="75" t="str">
        <f aca="false">IFERROR(IF(IFERROR(INDEX('Marks Entry'!$Y$7:$Y$66,MATCH($L$2,'Marks Entry'!$A$7:$A$66,0)),"")="PASS",INDEX(Setup!$I$5:$I$12,COUNTIF(Setup!$F$5:$F$12,"&gt;"&amp;ROUND(F20/G20,4))+1)&amp;" performance. Keep it up!",IF(IFERROR(INDEX('Marks Entry'!$Y$7:$Y$66,MATCH($L$2,'Marks Entry'!$A$7:$A$66,0)),"")="COMPARTMENT","Needs to work hard in the subject(s) marked in red and appear for the compartment exam.","Needs serious effort. Please meet the class teacher.")),"")</f>
        <v>Above average performance. Keep it up!</v>
      </c>
      <c r="E25" s="75"/>
      <c r="F25" s="75"/>
      <c r="G25" s="75"/>
      <c r="H25" s="75"/>
      <c r="I25" s="75"/>
    </row>
    <row r="26" customFormat="false" ht="15" hidden="false" customHeight="false" outlineLevel="0" collapsed="false">
      <c r="D26" s="75"/>
      <c r="E26" s="75"/>
      <c r="F26" s="75"/>
      <c r="G26" s="75"/>
      <c r="H26" s="75"/>
      <c r="I26" s="75"/>
    </row>
    <row r="28" customFormat="false" ht="15" hidden="false" customHeight="true" outlineLevel="0" collapsed="false">
      <c r="B28" s="76" t="s">
        <v>163</v>
      </c>
      <c r="C28" s="76"/>
      <c r="D28" s="77" t="str">
        <f aca="false">Setup!$G$5&amp;" "&amp;TEXT(Setup!$F$5,"0%")&amp;"+"&amp;"   "&amp;Setup!$G$6&amp;" "&amp;TEXT(Setup!$F$6,"0%")&amp;"+"&amp;"   "&amp;Setup!$G$7&amp;" "&amp;TEXT(Setup!$F$7,"0%")&amp;"+"&amp;"   "&amp;Setup!$G$8&amp;" "&amp;TEXT(Setup!$F$8,"0%")&amp;"+"&amp;"   "&amp;Setup!$G$9&amp;" "&amp;TEXT(Setup!$F$9,"0%")&amp;"+"&amp;"   "&amp;Setup!$G$10&amp;" "&amp;TEXT(Setup!$F$10,"0%")&amp;"+"&amp;"   "&amp;Setup!$G$11&amp;" "&amp;TEXT(Setup!$F$11,"0%")&amp;"+"&amp;"   "&amp;Setup!$G$12&amp;" "&amp;TEXT(Setup!$F$12,"0%")&amp;"+"</f>
        <v>A1 91%+   A2 81%+   B1 71%+   B2 61%+   C1 51%+   C2 41%+   D 33%+   E 0%+</v>
      </c>
      <c r="E28" s="77"/>
      <c r="F28" s="77"/>
      <c r="G28" s="77"/>
      <c r="H28" s="77"/>
      <c r="I28" s="77"/>
    </row>
    <row r="32" customFormat="false" ht="15" hidden="false" customHeight="true" outlineLevel="0" collapsed="false">
      <c r="B32" s="78" t="s">
        <v>164</v>
      </c>
      <c r="C32" s="78"/>
      <c r="E32" s="78" t="s">
        <v>164</v>
      </c>
      <c r="F32" s="78"/>
      <c r="H32" s="78" t="s">
        <v>164</v>
      </c>
      <c r="I32" s="78"/>
    </row>
    <row r="33" customFormat="false" ht="15" hidden="false" customHeight="true" outlineLevel="0" collapsed="false">
      <c r="B33" s="79" t="s">
        <v>64</v>
      </c>
      <c r="C33" s="79"/>
      <c r="E33" s="79" t="s">
        <v>165</v>
      </c>
      <c r="F33" s="79"/>
      <c r="H33" s="79" t="s">
        <v>166</v>
      </c>
      <c r="I33" s="79"/>
    </row>
    <row r="35" customFormat="false" ht="15" hidden="false" customHeight="false" outlineLevel="0" collapsed="false">
      <c r="B35" s="80" t="str">
        <f aca="false">"Date: "&amp;TEXT(Setup!$C$13,"dd mmm yyyy")</f>
        <v>Date: 30 Oct 2026</v>
      </c>
      <c r="C35" s="80"/>
      <c r="D35" s="80"/>
      <c r="G35" s="81" t="s">
        <v>167</v>
      </c>
      <c r="H35" s="81"/>
      <c r="I35" s="81"/>
    </row>
  </sheetData>
  <sheetProtection sheet="1" objects="1" scenarios="1" formatColumns="0" formatRows="0" algorithmName="SHA-512" hashValue="fiRXfB7mFRj2ND4jPdl6mfXyjWRToR07GNm/qhyziyQRE1HB3VL7Iq0GR3KLfrwBq8F+4sshP1kgQmqRzJQSxQ==" saltValue="DM5yP9NhKa+1GCypn4Y2kg==" spinCount="100000"/>
  <mergeCells count="30">
    <mergeCell ref="D2:I2"/>
    <mergeCell ref="D3:I3"/>
    <mergeCell ref="B5:I5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22:D22"/>
    <mergeCell ref="F22:G22"/>
    <mergeCell ref="H22:I22"/>
    <mergeCell ref="B23:D23"/>
    <mergeCell ref="F23:G23"/>
    <mergeCell ref="H23:I23"/>
    <mergeCell ref="B25:C25"/>
    <mergeCell ref="D25:I26"/>
    <mergeCell ref="B28:C28"/>
    <mergeCell ref="D28:I28"/>
    <mergeCell ref="B32:C32"/>
    <mergeCell ref="E32:F32"/>
    <mergeCell ref="H32:I32"/>
    <mergeCell ref="B33:C33"/>
    <mergeCell ref="E33:F33"/>
    <mergeCell ref="H33:I33"/>
    <mergeCell ref="B35:D35"/>
    <mergeCell ref="G35:I35"/>
  </mergeCells>
  <conditionalFormatting sqref="F12:F19">
    <cfRule type="expression" priority="2" aboveAverage="0" equalAverage="0" bottom="0" percent="0" rank="0" text="" dxfId="0">
      <formula>AND(ISNUMBER(F12),ISNUMBER(G12),G12&gt;0,F12/G12&lt;Setup!$C$11)</formula>
    </cfRule>
  </conditionalFormatting>
  <conditionalFormatting sqref="D12:E19">
    <cfRule type="expression" priority="3" aboveAverage="0" equalAverage="0" bottom="0" percent="0" rank="0" text="" dxfId="5">
      <formula>D12="AB"</formula>
    </cfRule>
  </conditionalFormatting>
  <conditionalFormatting sqref="H23">
    <cfRule type="expression" priority="4" aboveAverage="0" equalAverage="0" bottom="0" percent="0" rank="0" text="" dxfId="0">
      <formula>H23="FAIL"</formula>
    </cfRule>
    <cfRule type="expression" priority="5" aboveAverage="0" equalAverage="0" bottom="0" percent="0" rank="0" text="" dxfId="3">
      <formula>H23="COMPARTMENT"</formula>
    </cfRule>
  </conditionalFormatting>
  <dataValidations count="1">
    <dataValidation allowBlank="true" errorStyle="stop" operator="between" showDropDown="false" showErrorMessage="false" showInputMessage="false" sqref="L2" type="list">
      <formula1>'Marks Entry'!$A$7:$A$66</formula1>
      <formula2>0</formula2>
    </dataValidation>
  </dataValidations>
  <hyperlinks>
    <hyperlink ref="K5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P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7" min="6" style="0" width="9"/>
    <col collapsed="false" customWidth="true" hidden="false" outlineLevel="0" max="8" min="8" style="0" width="7"/>
    <col collapsed="false" customWidth="true" hidden="false" outlineLevel="0" max="16" min="9" style="0" width="6"/>
  </cols>
  <sheetData>
    <row r="1" customFormat="false" ht="15" hidden="false" customHeight="false" outlineLevel="0" collapsed="false">
      <c r="A1" s="17" t="s">
        <v>18</v>
      </c>
    </row>
    <row r="2" customFormat="false" ht="27.75" hidden="false" customHeight="true" outlineLevel="0" collapsed="false">
      <c r="A2" s="41" t="str">
        <f aca="false">"Class Result Analysis – "&amp;Setup!$C$6&amp;" – "&amp;Setup!$C$8&amp;" "&amp;Setup!$C$7</f>
        <v>Class Result Analysis – X – A – Half-Yearly Examination 2026-27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4" customFormat="false" ht="30" hidden="false" customHeight="true" outlineLevel="0" collapsed="false">
      <c r="A4" s="37" t="s">
        <v>78</v>
      </c>
      <c r="B4" s="37" t="s">
        <v>168</v>
      </c>
      <c r="C4" s="37" t="s">
        <v>6</v>
      </c>
      <c r="D4" s="37" t="s">
        <v>169</v>
      </c>
      <c r="E4" s="37" t="s">
        <v>170</v>
      </c>
      <c r="F4" s="37" t="s">
        <v>171</v>
      </c>
      <c r="G4" s="37" t="s">
        <v>172</v>
      </c>
      <c r="H4" s="37" t="s">
        <v>94</v>
      </c>
      <c r="I4" s="37" t="str">
        <f aca="false">Setup!$G$5</f>
        <v>A1</v>
      </c>
      <c r="J4" s="37" t="str">
        <f aca="false">Setup!$G$6</f>
        <v>A2</v>
      </c>
      <c r="K4" s="37" t="str">
        <f aca="false">Setup!$G$7</f>
        <v>B1</v>
      </c>
      <c r="L4" s="37" t="str">
        <f aca="false">Setup!$G$8</f>
        <v>B2</v>
      </c>
      <c r="M4" s="37" t="str">
        <f aca="false">Setup!$G$9</f>
        <v>C1</v>
      </c>
      <c r="N4" s="37" t="str">
        <f aca="false">Setup!$G$10</f>
        <v>C2</v>
      </c>
      <c r="O4" s="37" t="str">
        <f aca="false">Setup!$G$11</f>
        <v>D</v>
      </c>
      <c r="P4" s="37" t="str">
        <f aca="false">Setup!$G$12</f>
        <v>E</v>
      </c>
    </row>
    <row r="5" customFormat="false" ht="15" hidden="false" customHeight="false" outlineLevel="0" collapsed="false">
      <c r="A5" s="63" t="str">
        <f aca="false">IF(Setup!$B$17="","",Setup!$B$17)</f>
        <v>English</v>
      </c>
      <c r="B5" s="64" t="n">
        <f aca="false">IF(A5="","",COUNT('Marks Entry'!$AC$7:$AC$66))</f>
        <v>25</v>
      </c>
      <c r="C5" s="64" t="n">
        <f aca="false">IF(A5="","",COUNTIF('Marks Entry'!$AC$7:$AC$66,"&gt;="&amp;Setup!$C$11))</f>
        <v>24</v>
      </c>
      <c r="D5" s="82" t="n">
        <f aca="false">IF(A5="","",IFERROR(C5/B5,0))</f>
        <v>0.96</v>
      </c>
      <c r="E5" s="51" t="n">
        <f aca="false">IF(A5="","",IFERROR(AVERAGE('Marks Entry'!$AC$7:$AC$66),0))</f>
        <v>0.7296</v>
      </c>
      <c r="F5" s="64" t="n">
        <f aca="false">IF(A5="","",IFERROR(MAX('Marks Entry'!$AC$7:$AC$66)*Setup!$E$17,0))</f>
        <v>97</v>
      </c>
      <c r="G5" s="64" t="n">
        <f aca="false">IF(A5="","",IFERROR(MIN('Marks Entry'!$AC$7:$AC$66)*Setup!$E$17,0))</f>
        <v>24</v>
      </c>
      <c r="H5" s="64" t="n">
        <f aca="false">IF(A5="","",Setup!$E$17)</f>
        <v>100</v>
      </c>
      <c r="I5" s="83" t="n">
        <f aca="false">IF(A5="","",COUNTIFS('Marks Entry'!$AC$7:$AC$66,"&gt;="&amp;Setup!$F$5))</f>
        <v>7</v>
      </c>
      <c r="J5" s="83" t="n">
        <f aca="false">IF(A5="","",COUNTIFS('Marks Entry'!$AC$7:$AC$66,"&gt;="&amp;Setup!$F$6,'Marks Entry'!$AC$7:$AC$66,"&lt;"&amp;Setup!$F$5))</f>
        <v>4</v>
      </c>
      <c r="K5" s="83" t="n">
        <f aca="false">IF(A5="","",COUNTIFS('Marks Entry'!$AC$7:$AC$66,"&gt;="&amp;Setup!$F$7,'Marks Entry'!$AC$7:$AC$66,"&lt;"&amp;Setup!$F$6))</f>
        <v>2</v>
      </c>
      <c r="L5" s="83" t="n">
        <f aca="false">IF(A5="","",COUNTIFS('Marks Entry'!$AC$7:$AC$66,"&gt;="&amp;Setup!$F$8,'Marks Entry'!$AC$7:$AC$66,"&lt;"&amp;Setup!$F$7))</f>
        <v>7</v>
      </c>
      <c r="M5" s="83" t="n">
        <f aca="false">IF(A5="","",COUNTIFS('Marks Entry'!$AC$7:$AC$66,"&gt;="&amp;Setup!$F$9,'Marks Entry'!$AC$7:$AC$66,"&lt;"&amp;Setup!$F$8))</f>
        <v>2</v>
      </c>
      <c r="N5" s="83" t="n">
        <f aca="false">IF(A5="","",COUNTIFS('Marks Entry'!$AC$7:$AC$66,"&gt;="&amp;Setup!$F$10,'Marks Entry'!$AC$7:$AC$66,"&lt;"&amp;Setup!$F$9))</f>
        <v>1</v>
      </c>
      <c r="O5" s="83" t="n">
        <f aca="false">IF(A5="","",COUNTIFS('Marks Entry'!$AC$7:$AC$66,"&gt;="&amp;Setup!$F$11,'Marks Entry'!$AC$7:$AC$66,"&lt;"&amp;Setup!$F$10))</f>
        <v>1</v>
      </c>
      <c r="P5" s="83" t="n">
        <f aca="false">IF(A5="","",COUNTIFS('Marks Entry'!$AC$7:$AC$66,"&gt;="&amp;Setup!$F$12,'Marks Entry'!$AC$7:$AC$66,"&lt;"&amp;Setup!$F$11))</f>
        <v>1</v>
      </c>
    </row>
    <row r="6" customFormat="false" ht="15" hidden="false" customHeight="false" outlineLevel="0" collapsed="false">
      <c r="A6" s="63" t="str">
        <f aca="false">IF(Setup!$B$18="","",Setup!$B$18)</f>
        <v>Hindi</v>
      </c>
      <c r="B6" s="64" t="n">
        <f aca="false">IF(A6="","",COUNT('Marks Entry'!$AD$7:$AD$66))</f>
        <v>25</v>
      </c>
      <c r="C6" s="64" t="n">
        <f aca="false">IF(A6="","",COUNTIF('Marks Entry'!$AD$7:$AD$66,"&gt;="&amp;Setup!$C$11))</f>
        <v>24</v>
      </c>
      <c r="D6" s="82" t="n">
        <f aca="false">IF(A6="","",IFERROR(C6/B6,0))</f>
        <v>0.96</v>
      </c>
      <c r="E6" s="51" t="n">
        <f aca="false">IF(A6="","",IFERROR(AVERAGE('Marks Entry'!$AD$7:$AD$66),0))</f>
        <v>0.7204</v>
      </c>
      <c r="F6" s="64" t="n">
        <f aca="false">IF(A6="","",IFERROR(MAX('Marks Entry'!$AD$7:$AD$66)*Setup!$E$18,0))</f>
        <v>100</v>
      </c>
      <c r="G6" s="64" t="n">
        <f aca="false">IF(A6="","",IFERROR(MIN('Marks Entry'!$AD$7:$AD$66)*Setup!$E$18,0))</f>
        <v>18</v>
      </c>
      <c r="H6" s="64" t="n">
        <f aca="false">IF(A6="","",Setup!$E$18)</f>
        <v>100</v>
      </c>
      <c r="I6" s="83" t="n">
        <f aca="false">IF(A6="","",COUNTIFS('Marks Entry'!$AD$7:$AD$66,"&gt;="&amp;Setup!$F$5))</f>
        <v>5</v>
      </c>
      <c r="J6" s="83" t="n">
        <f aca="false">IF(A6="","",COUNTIFS('Marks Entry'!$AD$7:$AD$66,"&gt;="&amp;Setup!$F$6,'Marks Entry'!$AD$7:$AD$66,"&lt;"&amp;Setup!$F$5))</f>
        <v>7</v>
      </c>
      <c r="K6" s="83" t="n">
        <f aca="false">IF(A6="","",COUNTIFS('Marks Entry'!$AD$7:$AD$66,"&gt;="&amp;Setup!$F$7,'Marks Entry'!$AD$7:$AD$66,"&lt;"&amp;Setup!$F$6))</f>
        <v>2</v>
      </c>
      <c r="L6" s="83" t="n">
        <f aca="false">IF(A6="","",COUNTIFS('Marks Entry'!$AD$7:$AD$66,"&gt;="&amp;Setup!$F$8,'Marks Entry'!$AD$7:$AD$66,"&lt;"&amp;Setup!$F$7))</f>
        <v>5</v>
      </c>
      <c r="M6" s="83" t="n">
        <f aca="false">IF(A6="","",COUNTIFS('Marks Entry'!$AD$7:$AD$66,"&gt;="&amp;Setup!$F$9,'Marks Entry'!$AD$7:$AD$66,"&lt;"&amp;Setup!$F$8))</f>
        <v>2</v>
      </c>
      <c r="N6" s="83" t="n">
        <f aca="false">IF(A6="","",COUNTIFS('Marks Entry'!$AD$7:$AD$66,"&gt;="&amp;Setup!$F$10,'Marks Entry'!$AD$7:$AD$66,"&lt;"&amp;Setup!$F$9))</f>
        <v>2</v>
      </c>
      <c r="O6" s="83" t="n">
        <f aca="false">IF(A6="","",COUNTIFS('Marks Entry'!$AD$7:$AD$66,"&gt;="&amp;Setup!$F$11,'Marks Entry'!$AD$7:$AD$66,"&lt;"&amp;Setup!$F$10))</f>
        <v>1</v>
      </c>
      <c r="P6" s="83" t="n">
        <f aca="false">IF(A6="","",COUNTIFS('Marks Entry'!$AD$7:$AD$66,"&gt;="&amp;Setup!$F$12,'Marks Entry'!$AD$7:$AD$66,"&lt;"&amp;Setup!$F$11))</f>
        <v>1</v>
      </c>
    </row>
    <row r="7" customFormat="false" ht="15" hidden="false" customHeight="false" outlineLevel="0" collapsed="false">
      <c r="A7" s="63" t="str">
        <f aca="false">IF(Setup!$B$19="","",Setup!$B$19)</f>
        <v>Mathematics</v>
      </c>
      <c r="B7" s="64" t="n">
        <f aca="false">IF(A7="","",COUNT('Marks Entry'!$AE$7:$AE$66))</f>
        <v>25</v>
      </c>
      <c r="C7" s="64" t="n">
        <f aca="false">IF(A7="","",COUNTIF('Marks Entry'!$AE$7:$AE$66,"&gt;="&amp;Setup!$C$11))</f>
        <v>23</v>
      </c>
      <c r="D7" s="82" t="n">
        <f aca="false">IF(A7="","",IFERROR(C7/B7,0))</f>
        <v>0.92</v>
      </c>
      <c r="E7" s="51" t="n">
        <f aca="false">IF(A7="","",IFERROR(AVERAGE('Marks Entry'!$AE$7:$AE$66),0))</f>
        <v>0.6964</v>
      </c>
      <c r="F7" s="64" t="n">
        <f aca="false">IF(A7="","",IFERROR(MAX('Marks Entry'!$AE$7:$AE$66)*Setup!$E$19,0))</f>
        <v>93</v>
      </c>
      <c r="G7" s="64" t="n">
        <f aca="false">IF(A7="","",IFERROR(MIN('Marks Entry'!$AE$7:$AE$66)*Setup!$E$19,0))</f>
        <v>16</v>
      </c>
      <c r="H7" s="64" t="n">
        <f aca="false">IF(A7="","",Setup!$E$19)</f>
        <v>100</v>
      </c>
      <c r="I7" s="83" t="n">
        <f aca="false">IF(A7="","",COUNTIFS('Marks Entry'!$AE$7:$AE$66,"&gt;="&amp;Setup!$F$5))</f>
        <v>1</v>
      </c>
      <c r="J7" s="83" t="n">
        <f aca="false">IF(A7="","",COUNTIFS('Marks Entry'!$AE$7:$AE$66,"&gt;="&amp;Setup!$F$6,'Marks Entry'!$AE$7:$AE$66,"&lt;"&amp;Setup!$F$5))</f>
        <v>9</v>
      </c>
      <c r="K7" s="83" t="n">
        <f aca="false">IF(A7="","",COUNTIFS('Marks Entry'!$AE$7:$AE$66,"&gt;="&amp;Setup!$F$7,'Marks Entry'!$AE$7:$AE$66,"&lt;"&amp;Setup!$F$6))</f>
        <v>3</v>
      </c>
      <c r="L7" s="83" t="n">
        <f aca="false">IF(A7="","",COUNTIFS('Marks Entry'!$AE$7:$AE$66,"&gt;="&amp;Setup!$F$8,'Marks Entry'!$AE$7:$AE$66,"&lt;"&amp;Setup!$F$7))</f>
        <v>5</v>
      </c>
      <c r="M7" s="83" t="n">
        <f aca="false">IF(A7="","",COUNTIFS('Marks Entry'!$AE$7:$AE$66,"&gt;="&amp;Setup!$F$9,'Marks Entry'!$AE$7:$AE$66,"&lt;"&amp;Setup!$F$8))</f>
        <v>4</v>
      </c>
      <c r="N7" s="83" t="n">
        <f aca="false">IF(A7="","",COUNTIFS('Marks Entry'!$AE$7:$AE$66,"&gt;="&amp;Setup!$F$10,'Marks Entry'!$AE$7:$AE$66,"&lt;"&amp;Setup!$F$9))</f>
        <v>1</v>
      </c>
      <c r="O7" s="83" t="n">
        <f aca="false">IF(A7="","",COUNTIFS('Marks Entry'!$AE$7:$AE$66,"&gt;="&amp;Setup!$F$11,'Marks Entry'!$AE$7:$AE$66,"&lt;"&amp;Setup!$F$10))</f>
        <v>0</v>
      </c>
      <c r="P7" s="83" t="n">
        <f aca="false">IF(A7="","",COUNTIFS('Marks Entry'!$AE$7:$AE$66,"&gt;="&amp;Setup!$F$12,'Marks Entry'!$AE$7:$AE$66,"&lt;"&amp;Setup!$F$11))</f>
        <v>2</v>
      </c>
    </row>
    <row r="8" customFormat="false" ht="15" hidden="false" customHeight="false" outlineLevel="0" collapsed="false">
      <c r="A8" s="63" t="str">
        <f aca="false">IF(Setup!$B$20="","",Setup!$B$20)</f>
        <v>Science</v>
      </c>
      <c r="B8" s="64" t="n">
        <f aca="false">IF(A8="","",COUNT('Marks Entry'!$AF$7:$AF$66))</f>
        <v>25</v>
      </c>
      <c r="C8" s="64" t="n">
        <f aca="false">IF(A8="","",COUNTIF('Marks Entry'!$AF$7:$AF$66,"&gt;="&amp;Setup!$C$11))</f>
        <v>24</v>
      </c>
      <c r="D8" s="82" t="n">
        <f aca="false">IF(A8="","",IFERROR(C8/B8,0))</f>
        <v>0.96</v>
      </c>
      <c r="E8" s="51" t="n">
        <f aca="false">IF(A8="","",IFERROR(AVERAGE('Marks Entry'!$AF$7:$AF$66),0))</f>
        <v>0.7136</v>
      </c>
      <c r="F8" s="64" t="n">
        <f aca="false">IF(A8="","",IFERROR(MAX('Marks Entry'!$AF$7:$AF$66)*Setup!$E$20,0))</f>
        <v>100</v>
      </c>
      <c r="G8" s="64" t="n">
        <f aca="false">IF(A8="","",IFERROR(MIN('Marks Entry'!$AF$7:$AF$66)*Setup!$E$20,0))</f>
        <v>20</v>
      </c>
      <c r="H8" s="64" t="n">
        <f aca="false">IF(A8="","",Setup!$E$20)</f>
        <v>100</v>
      </c>
      <c r="I8" s="83" t="n">
        <f aca="false">IF(A8="","",COUNTIFS('Marks Entry'!$AF$7:$AF$66,"&gt;="&amp;Setup!$F$5))</f>
        <v>6</v>
      </c>
      <c r="J8" s="83" t="n">
        <f aca="false">IF(A8="","",COUNTIFS('Marks Entry'!$AF$7:$AF$66,"&gt;="&amp;Setup!$F$6,'Marks Entry'!$AF$7:$AF$66,"&lt;"&amp;Setup!$F$5))</f>
        <v>4</v>
      </c>
      <c r="K8" s="83" t="n">
        <f aca="false">IF(A8="","",COUNTIFS('Marks Entry'!$AF$7:$AF$66,"&gt;="&amp;Setup!$F$7,'Marks Entry'!$AF$7:$AF$66,"&lt;"&amp;Setup!$F$6))</f>
        <v>4</v>
      </c>
      <c r="L8" s="83" t="n">
        <f aca="false">IF(A8="","",COUNTIFS('Marks Entry'!$AF$7:$AF$66,"&gt;="&amp;Setup!$F$8,'Marks Entry'!$AF$7:$AF$66,"&lt;"&amp;Setup!$F$7))</f>
        <v>2</v>
      </c>
      <c r="M8" s="83" t="n">
        <f aca="false">IF(A8="","",COUNTIFS('Marks Entry'!$AF$7:$AF$66,"&gt;="&amp;Setup!$F$9,'Marks Entry'!$AF$7:$AF$66,"&lt;"&amp;Setup!$F$8))</f>
        <v>5</v>
      </c>
      <c r="N8" s="83" t="n">
        <f aca="false">IF(A8="","",COUNTIFS('Marks Entry'!$AF$7:$AF$66,"&gt;="&amp;Setup!$F$10,'Marks Entry'!$AF$7:$AF$66,"&lt;"&amp;Setup!$F$9))</f>
        <v>2</v>
      </c>
      <c r="O8" s="83" t="n">
        <f aca="false">IF(A8="","",COUNTIFS('Marks Entry'!$AF$7:$AF$66,"&gt;="&amp;Setup!$F$11,'Marks Entry'!$AF$7:$AF$66,"&lt;"&amp;Setup!$F$10))</f>
        <v>1</v>
      </c>
      <c r="P8" s="83" t="n">
        <f aca="false">IF(A8="","",COUNTIFS('Marks Entry'!$AF$7:$AF$66,"&gt;="&amp;Setup!$F$12,'Marks Entry'!$AF$7:$AF$66,"&lt;"&amp;Setup!$F$11))</f>
        <v>1</v>
      </c>
    </row>
    <row r="9" customFormat="false" ht="15" hidden="false" customHeight="false" outlineLevel="0" collapsed="false">
      <c r="A9" s="63" t="str">
        <f aca="false">IF(Setup!$B$21="","",Setup!$B$21)</f>
        <v>Social Science</v>
      </c>
      <c r="B9" s="64" t="n">
        <f aca="false">IF(A9="","",COUNT('Marks Entry'!$AG$7:$AG$66))</f>
        <v>25</v>
      </c>
      <c r="C9" s="64" t="n">
        <f aca="false">IF(A9="","",COUNTIF('Marks Entry'!$AG$7:$AG$66,"&gt;="&amp;Setup!$C$11))</f>
        <v>25</v>
      </c>
      <c r="D9" s="82" t="n">
        <f aca="false">IF(A9="","",IFERROR(C9/B9,0))</f>
        <v>1</v>
      </c>
      <c r="E9" s="51" t="n">
        <f aca="false">IF(A9="","",IFERROR(AVERAGE('Marks Entry'!$AG$7:$AG$66),0))</f>
        <v>0.7388</v>
      </c>
      <c r="F9" s="64" t="n">
        <f aca="false">IF(A9="","",IFERROR(MAX('Marks Entry'!$AG$7:$AG$66)*Setup!$E$21,0))</f>
        <v>96</v>
      </c>
      <c r="G9" s="64" t="n">
        <f aca="false">IF(A9="","",IFERROR(MIN('Marks Entry'!$AG$7:$AG$66)*Setup!$E$21,0))</f>
        <v>42</v>
      </c>
      <c r="H9" s="64" t="n">
        <f aca="false">IF(A9="","",Setup!$E$21)</f>
        <v>100</v>
      </c>
      <c r="I9" s="83" t="n">
        <f aca="false">IF(A9="","",COUNTIFS('Marks Entry'!$AG$7:$AG$66,"&gt;="&amp;Setup!$F$5))</f>
        <v>3</v>
      </c>
      <c r="J9" s="83" t="n">
        <f aca="false">IF(A9="","",COUNTIFS('Marks Entry'!$AG$7:$AG$66,"&gt;="&amp;Setup!$F$6,'Marks Entry'!$AG$7:$AG$66,"&lt;"&amp;Setup!$F$5))</f>
        <v>7</v>
      </c>
      <c r="K9" s="83" t="n">
        <f aca="false">IF(A9="","",COUNTIFS('Marks Entry'!$AG$7:$AG$66,"&gt;="&amp;Setup!$F$7,'Marks Entry'!$AG$7:$AG$66,"&lt;"&amp;Setup!$F$6))</f>
        <v>6</v>
      </c>
      <c r="L9" s="83" t="n">
        <f aca="false">IF(A9="","",COUNTIFS('Marks Entry'!$AG$7:$AG$66,"&gt;="&amp;Setup!$F$8,'Marks Entry'!$AG$7:$AG$66,"&lt;"&amp;Setup!$F$7))</f>
        <v>1</v>
      </c>
      <c r="M9" s="83" t="n">
        <f aca="false">IF(A9="","",COUNTIFS('Marks Entry'!$AG$7:$AG$66,"&gt;="&amp;Setup!$F$9,'Marks Entry'!$AG$7:$AG$66,"&lt;"&amp;Setup!$F$8))</f>
        <v>6</v>
      </c>
      <c r="N9" s="83" t="n">
        <f aca="false">IF(A9="","",COUNTIFS('Marks Entry'!$AG$7:$AG$66,"&gt;="&amp;Setup!$F$10,'Marks Entry'!$AG$7:$AG$66,"&lt;"&amp;Setup!$F$9))</f>
        <v>2</v>
      </c>
      <c r="O9" s="83" t="n">
        <f aca="false">IF(A9="","",COUNTIFS('Marks Entry'!$AG$7:$AG$66,"&gt;="&amp;Setup!$F$11,'Marks Entry'!$AG$7:$AG$66,"&lt;"&amp;Setup!$F$10))</f>
        <v>0</v>
      </c>
      <c r="P9" s="83" t="n">
        <f aca="false">IF(A9="","",COUNTIFS('Marks Entry'!$AG$7:$AG$66,"&gt;="&amp;Setup!$F$12,'Marks Entry'!$AG$7:$AG$66,"&lt;"&amp;Setup!$F$11))</f>
        <v>0</v>
      </c>
    </row>
    <row r="10" customFormat="false" ht="15" hidden="false" customHeight="false" outlineLevel="0" collapsed="false">
      <c r="A10" s="63" t="str">
        <f aca="false">IF(Setup!$B$22="","",Setup!$B$22)</f>
        <v>Information Technology</v>
      </c>
      <c r="B10" s="64" t="n">
        <f aca="false">IF(A10="","",COUNT('Marks Entry'!$AH$7:$AH$66))</f>
        <v>25</v>
      </c>
      <c r="C10" s="64" t="n">
        <f aca="false">IF(A10="","",COUNTIF('Marks Entry'!$AH$7:$AH$66,"&gt;="&amp;Setup!$C$11))</f>
        <v>25</v>
      </c>
      <c r="D10" s="82" t="n">
        <f aca="false">IF(A10="","",IFERROR(C10/B10,0))</f>
        <v>1</v>
      </c>
      <c r="E10" s="51" t="n">
        <f aca="false">IF(A10="","",IFERROR(AVERAGE('Marks Entry'!$AH$7:$AH$66),0))</f>
        <v>0.77</v>
      </c>
      <c r="F10" s="64" t="n">
        <f aca="false">IF(A10="","",IFERROR(MAX('Marks Entry'!$AH$7:$AH$66)*Setup!$E$22,0))</f>
        <v>100</v>
      </c>
      <c r="G10" s="64" t="n">
        <f aca="false">IF(A10="","",IFERROR(MIN('Marks Entry'!$AH$7:$AH$66)*Setup!$E$22,0))</f>
        <v>47</v>
      </c>
      <c r="H10" s="64" t="n">
        <f aca="false">IF(A10="","",Setup!$E$22)</f>
        <v>100</v>
      </c>
      <c r="I10" s="83" t="n">
        <f aca="false">IF(A10="","",COUNTIFS('Marks Entry'!$AH$7:$AH$66,"&gt;="&amp;Setup!$F$5))</f>
        <v>9</v>
      </c>
      <c r="J10" s="83" t="n">
        <f aca="false">IF(A10="","",COUNTIFS('Marks Entry'!$AH$7:$AH$66,"&gt;="&amp;Setup!$F$6,'Marks Entry'!$AH$7:$AH$66,"&lt;"&amp;Setup!$F$5))</f>
        <v>4</v>
      </c>
      <c r="K10" s="83" t="n">
        <f aca="false">IF(A10="","",COUNTIFS('Marks Entry'!$AH$7:$AH$66,"&gt;="&amp;Setup!$F$7,'Marks Entry'!$AH$7:$AH$66,"&lt;"&amp;Setup!$F$6))</f>
        <v>4</v>
      </c>
      <c r="L10" s="83" t="n">
        <f aca="false">IF(A10="","",COUNTIFS('Marks Entry'!$AH$7:$AH$66,"&gt;="&amp;Setup!$F$8,'Marks Entry'!$AH$7:$AH$66,"&lt;"&amp;Setup!$F$7))</f>
        <v>2</v>
      </c>
      <c r="M10" s="83" t="n">
        <f aca="false">IF(A10="","",COUNTIFS('Marks Entry'!$AH$7:$AH$66,"&gt;="&amp;Setup!$F$9,'Marks Entry'!$AH$7:$AH$66,"&lt;"&amp;Setup!$F$8))</f>
        <v>4</v>
      </c>
      <c r="N10" s="83" t="n">
        <f aca="false">IF(A10="","",COUNTIFS('Marks Entry'!$AH$7:$AH$66,"&gt;="&amp;Setup!$F$10,'Marks Entry'!$AH$7:$AH$66,"&lt;"&amp;Setup!$F$9))</f>
        <v>2</v>
      </c>
      <c r="O10" s="83" t="n">
        <f aca="false">IF(A10="","",COUNTIFS('Marks Entry'!$AH$7:$AH$66,"&gt;="&amp;Setup!$F$11,'Marks Entry'!$AH$7:$AH$66,"&lt;"&amp;Setup!$F$10))</f>
        <v>0</v>
      </c>
      <c r="P10" s="83" t="n">
        <f aca="false">IF(A10="","",COUNTIFS('Marks Entry'!$AH$7:$AH$66,"&gt;="&amp;Setup!$F$12,'Marks Entry'!$AH$7:$AH$66,"&lt;"&amp;Setup!$F$11))</f>
        <v>0</v>
      </c>
    </row>
    <row r="11" customFormat="false" ht="15" hidden="false" customHeight="false" outlineLevel="0" collapsed="false">
      <c r="A11" s="63" t="str">
        <f aca="false">IF(Setup!$B$23="","",Setup!$B$23)</f>
        <v/>
      </c>
      <c r="B11" s="64" t="str">
        <f aca="false">IF(A11="","",COUNT('Marks Entry'!$AI$7:$AI$66))</f>
        <v/>
      </c>
      <c r="C11" s="64" t="str">
        <f aca="false">IF(A11="","",COUNTIF('Marks Entry'!$AI$7:$AI$66,"&gt;="&amp;Setup!$C$11))</f>
        <v/>
      </c>
      <c r="D11" s="82" t="str">
        <f aca="false">IF(A11="","",IFERROR(C11/B11,0))</f>
        <v/>
      </c>
      <c r="E11" s="51" t="str">
        <f aca="false">IF(A11="","",IFERROR(AVERAGE('Marks Entry'!$AI$7:$AI$66),0))</f>
        <v/>
      </c>
      <c r="F11" s="64" t="str">
        <f aca="false">IF(A11="","",IFERROR(MAX('Marks Entry'!$AI$7:$AI$66)*Setup!$E$23,0))</f>
        <v/>
      </c>
      <c r="G11" s="64" t="str">
        <f aca="false">IF(A11="","",IFERROR(MIN('Marks Entry'!$AI$7:$AI$66)*Setup!$E$23,0))</f>
        <v/>
      </c>
      <c r="H11" s="64" t="str">
        <f aca="false">IF(A11="","",Setup!$E$23)</f>
        <v/>
      </c>
      <c r="I11" s="83" t="str">
        <f aca="false">IF(A11="","",COUNTIFS('Marks Entry'!$AI$7:$AI$66,"&gt;="&amp;Setup!$F$5))</f>
        <v/>
      </c>
      <c r="J11" s="83" t="str">
        <f aca="false">IF(A11="","",COUNTIFS('Marks Entry'!$AI$7:$AI$66,"&gt;="&amp;Setup!$F$6,'Marks Entry'!$AI$7:$AI$66,"&lt;"&amp;Setup!$F$5))</f>
        <v/>
      </c>
      <c r="K11" s="83" t="str">
        <f aca="false">IF(A11="","",COUNTIFS('Marks Entry'!$AI$7:$AI$66,"&gt;="&amp;Setup!$F$7,'Marks Entry'!$AI$7:$AI$66,"&lt;"&amp;Setup!$F$6))</f>
        <v/>
      </c>
      <c r="L11" s="83" t="str">
        <f aca="false">IF(A11="","",COUNTIFS('Marks Entry'!$AI$7:$AI$66,"&gt;="&amp;Setup!$F$8,'Marks Entry'!$AI$7:$AI$66,"&lt;"&amp;Setup!$F$7))</f>
        <v/>
      </c>
      <c r="M11" s="83" t="str">
        <f aca="false">IF(A11="","",COUNTIFS('Marks Entry'!$AI$7:$AI$66,"&gt;="&amp;Setup!$F$9,'Marks Entry'!$AI$7:$AI$66,"&lt;"&amp;Setup!$F$8))</f>
        <v/>
      </c>
      <c r="N11" s="83" t="str">
        <f aca="false">IF(A11="","",COUNTIFS('Marks Entry'!$AI$7:$AI$66,"&gt;="&amp;Setup!$F$10,'Marks Entry'!$AI$7:$AI$66,"&lt;"&amp;Setup!$F$9))</f>
        <v/>
      </c>
      <c r="O11" s="83" t="str">
        <f aca="false">IF(A11="","",COUNTIFS('Marks Entry'!$AI$7:$AI$66,"&gt;="&amp;Setup!$F$11,'Marks Entry'!$AI$7:$AI$66,"&lt;"&amp;Setup!$F$10))</f>
        <v/>
      </c>
      <c r="P11" s="83" t="str">
        <f aca="false">IF(A11="","",COUNTIFS('Marks Entry'!$AI$7:$AI$66,"&gt;="&amp;Setup!$F$12,'Marks Entry'!$AI$7:$AI$66,"&lt;"&amp;Setup!$F$11))</f>
        <v/>
      </c>
    </row>
    <row r="12" customFormat="false" ht="15" hidden="false" customHeight="false" outlineLevel="0" collapsed="false">
      <c r="A12" s="63" t="str">
        <f aca="false">IF(Setup!$B$24="","",Setup!$B$24)</f>
        <v/>
      </c>
      <c r="B12" s="64" t="str">
        <f aca="false">IF(A12="","",COUNT('Marks Entry'!$AJ$7:$AJ$66))</f>
        <v/>
      </c>
      <c r="C12" s="64" t="str">
        <f aca="false">IF(A12="","",COUNTIF('Marks Entry'!$AJ$7:$AJ$66,"&gt;="&amp;Setup!$C$11))</f>
        <v/>
      </c>
      <c r="D12" s="82" t="str">
        <f aca="false">IF(A12="","",IFERROR(C12/B12,0))</f>
        <v/>
      </c>
      <c r="E12" s="51" t="str">
        <f aca="false">IF(A12="","",IFERROR(AVERAGE('Marks Entry'!$AJ$7:$AJ$66),0))</f>
        <v/>
      </c>
      <c r="F12" s="64" t="str">
        <f aca="false">IF(A12="","",IFERROR(MAX('Marks Entry'!$AJ$7:$AJ$66)*Setup!$E$24,0))</f>
        <v/>
      </c>
      <c r="G12" s="64" t="str">
        <f aca="false">IF(A12="","",IFERROR(MIN('Marks Entry'!$AJ$7:$AJ$66)*Setup!$E$24,0))</f>
        <v/>
      </c>
      <c r="H12" s="64" t="str">
        <f aca="false">IF(A12="","",Setup!$E$24)</f>
        <v/>
      </c>
      <c r="I12" s="83" t="str">
        <f aca="false">IF(A12="","",COUNTIFS('Marks Entry'!$AJ$7:$AJ$66,"&gt;="&amp;Setup!$F$5))</f>
        <v/>
      </c>
      <c r="J12" s="83" t="str">
        <f aca="false">IF(A12="","",COUNTIFS('Marks Entry'!$AJ$7:$AJ$66,"&gt;="&amp;Setup!$F$6,'Marks Entry'!$AJ$7:$AJ$66,"&lt;"&amp;Setup!$F$5))</f>
        <v/>
      </c>
      <c r="K12" s="83" t="str">
        <f aca="false">IF(A12="","",COUNTIFS('Marks Entry'!$AJ$7:$AJ$66,"&gt;="&amp;Setup!$F$7,'Marks Entry'!$AJ$7:$AJ$66,"&lt;"&amp;Setup!$F$6))</f>
        <v/>
      </c>
      <c r="L12" s="83" t="str">
        <f aca="false">IF(A12="","",COUNTIFS('Marks Entry'!$AJ$7:$AJ$66,"&gt;="&amp;Setup!$F$8,'Marks Entry'!$AJ$7:$AJ$66,"&lt;"&amp;Setup!$F$7))</f>
        <v/>
      </c>
      <c r="M12" s="83" t="str">
        <f aca="false">IF(A12="","",COUNTIFS('Marks Entry'!$AJ$7:$AJ$66,"&gt;="&amp;Setup!$F$9,'Marks Entry'!$AJ$7:$AJ$66,"&lt;"&amp;Setup!$F$8))</f>
        <v/>
      </c>
      <c r="N12" s="83" t="str">
        <f aca="false">IF(A12="","",COUNTIFS('Marks Entry'!$AJ$7:$AJ$66,"&gt;="&amp;Setup!$F$10,'Marks Entry'!$AJ$7:$AJ$66,"&lt;"&amp;Setup!$F$9))</f>
        <v/>
      </c>
      <c r="O12" s="83" t="str">
        <f aca="false">IF(A12="","",COUNTIFS('Marks Entry'!$AJ$7:$AJ$66,"&gt;="&amp;Setup!$F$11,'Marks Entry'!$AJ$7:$AJ$66,"&lt;"&amp;Setup!$F$10))</f>
        <v/>
      </c>
      <c r="P12" s="83" t="str">
        <f aca="false">IF(A12="","",COUNTIFS('Marks Entry'!$AJ$7:$AJ$66,"&gt;="&amp;Setup!$F$12,'Marks Entry'!$AJ$7:$AJ$66,"&lt;"&amp;Setup!$F$11))</f>
        <v/>
      </c>
    </row>
    <row r="13" customFormat="false" ht="15" hidden="false" customHeight="false" outlineLevel="0" collapsed="false">
      <c r="A13" s="84" t="s">
        <v>173</v>
      </c>
      <c r="B13" s="85" t="n">
        <f aca="false">COUNT('Marks Entry'!$U$7:$U$66)</f>
        <v>25</v>
      </c>
      <c r="C13" s="85" t="n">
        <f aca="false">COUNTIF('Marks Entry'!$Y$7:$Y$66,"PASS")</f>
        <v>22</v>
      </c>
      <c r="D13" s="86" t="n">
        <f aca="false">IFERROR(C13/B13,0)</f>
        <v>0.88</v>
      </c>
      <c r="E13" s="86" t="n">
        <f aca="false">IFERROR(AVERAGE('Marks Entry'!$W$7:$W$66),0)</f>
        <v>0.728133333333333</v>
      </c>
      <c r="F13" s="87" t="n">
        <f aca="false">IFERROR(MAX('Marks Entry'!$U$7:$U$66),0)</f>
        <v>562</v>
      </c>
      <c r="G13" s="87" t="n">
        <f aca="false">IFERROR(MIN('Marks Entry'!$U$7:$U$66),0)</f>
        <v>258</v>
      </c>
      <c r="H13" s="85" t="n">
        <f aca="false">SUM(Setup!$E$17:$E$24)</f>
        <v>600</v>
      </c>
      <c r="I13" s="88" t="n">
        <f aca="false">COUNTIF('Marks Entry'!$AA$7:$AA$66,Setup!$G$5)</f>
        <v>3</v>
      </c>
      <c r="J13" s="88" t="n">
        <f aca="false">COUNTIF('Marks Entry'!$AA$7:$AA$66,Setup!$G$6)</f>
        <v>7</v>
      </c>
      <c r="K13" s="88" t="n">
        <f aca="false">COUNTIF('Marks Entry'!$AA$7:$AA$66,Setup!$G$7)</f>
        <v>3</v>
      </c>
      <c r="L13" s="88" t="n">
        <f aca="false">COUNTIF('Marks Entry'!$AA$7:$AA$66,Setup!$G$8)</f>
        <v>4</v>
      </c>
      <c r="M13" s="88" t="n">
        <f aca="false">COUNTIF('Marks Entry'!$AA$7:$AA$66,Setup!$G$9)</f>
        <v>5</v>
      </c>
      <c r="N13" s="88" t="n">
        <f aca="false">COUNTIF('Marks Entry'!$AA$7:$AA$66,Setup!$G$10)</f>
        <v>3</v>
      </c>
      <c r="O13" s="88" t="n">
        <f aca="false">COUNTIF('Marks Entry'!$AA$7:$AA$66,Setup!$G$11)</f>
        <v>0</v>
      </c>
      <c r="P13" s="88" t="n">
        <f aca="false">COUNTIF('Marks Entry'!$AA$7:$AA$66,Setup!$G$12)</f>
        <v>0</v>
      </c>
    </row>
    <row r="16" customFormat="false" ht="15" hidden="false" customHeight="true" outlineLevel="0" collapsed="false">
      <c r="A16" s="89" t="s">
        <v>174</v>
      </c>
      <c r="B16" s="89"/>
      <c r="C16" s="89"/>
      <c r="D16" s="89"/>
      <c r="E16" s="89"/>
      <c r="G16" s="89" t="s">
        <v>175</v>
      </c>
      <c r="H16" s="89"/>
      <c r="I16" s="89"/>
      <c r="K16" s="89" t="s">
        <v>176</v>
      </c>
      <c r="L16" s="89"/>
      <c r="M16" s="89"/>
      <c r="N16" s="89"/>
      <c r="O16" s="89"/>
      <c r="P16" s="89"/>
    </row>
    <row r="17" customFormat="false" ht="21.75" hidden="false" customHeight="true" outlineLevel="0" collapsed="false">
      <c r="A17" s="37" t="s">
        <v>98</v>
      </c>
      <c r="B17" s="37" t="s">
        <v>89</v>
      </c>
      <c r="C17" s="37" t="s">
        <v>90</v>
      </c>
      <c r="D17" s="37" t="s">
        <v>93</v>
      </c>
      <c r="E17" s="37" t="s">
        <v>177</v>
      </c>
      <c r="G17" s="90" t="s">
        <v>178</v>
      </c>
      <c r="H17" s="90"/>
      <c r="I17" s="91" t="n">
        <f aca="false">COUNTIF('Marks Entry'!$Y$7:$Y$66,"PASS")</f>
        <v>22</v>
      </c>
      <c r="K17" s="14" t="str">
        <f aca="false">IFERROR(INDEX('Marks Entry'!$A$7:$A$66,MATCH(1,'Marks Entry'!$AL$7:$AL$66,0))&amp;"  "&amp;INDEX('Marks Entry'!$B$7:$B$66,MATCH(1,'Marks Entry'!$AL$7:$AL$66,0))&amp;"  –  "&amp;INDEX('Marks Entry'!$Y$7:$Y$66,MATCH(1,'Marks Entry'!$AL$7:$AL$66,0))&amp;" ("&amp;INDEX('Marks Entry'!$X$7:$X$66,MATCH(1,'Marks Entry'!$AL$7:$AL$66,0))&amp;" subject"&amp;IF(INDEX('Marks Entry'!$X$7:$X$66,MATCH(1,'Marks Entry'!$AL$7:$AL$66,0))&gt;1,"s","")&amp;")",IF(0=0,"✔ None",""))</f>
        <v>113  Yash Thakur  –  COMPARTMENT (1 subject)</v>
      </c>
      <c r="L17" s="14"/>
      <c r="M17" s="14"/>
      <c r="N17" s="14"/>
      <c r="O17" s="14"/>
      <c r="P17" s="14"/>
    </row>
    <row r="18" customFormat="false" ht="23.85" hidden="false" customHeight="true" outlineLevel="0" collapsed="false">
      <c r="A18" s="92" t="n">
        <f aca="false">IFERROR(INDEX('Marks Entry'!$Z$7:$Z$66,MATCH(LARGE('Marks Entry'!$AK$7:$AK$66,1),'Marks Entry'!$AK$7:$AK$66,0)),"")</f>
        <v>1</v>
      </c>
      <c r="B18" s="50" t="n">
        <f aca="false">IFERROR(INDEX('Marks Entry'!$A$7:$A$66,MATCH(LARGE('Marks Entry'!$AK$7:$AK$66,1),'Marks Entry'!$AK$7:$AK$66,0)),"")</f>
        <v>112</v>
      </c>
      <c r="C18" s="63" t="str">
        <f aca="false">IFERROR(INDEX('Marks Entry'!$B$7:$B$66,MATCH(LARGE('Marks Entry'!$AK$7:$AK$66,1),'Marks Entry'!$AK$7:$AK$66,0)),"")</f>
        <v>Sneha Arora</v>
      </c>
      <c r="D18" s="64" t="n">
        <f aca="false">IFERROR(INDEX('Marks Entry'!$U$7:$U$66,MATCH(LARGE('Marks Entry'!$AK$7:$AK$66,1),'Marks Entry'!$AK$7:$AK$66,0)),"")</f>
        <v>562</v>
      </c>
      <c r="E18" s="82" t="n">
        <f aca="false">IFERROR(INDEX('Marks Entry'!$W$7:$W$66,MATCH(LARGE('Marks Entry'!$AK$7:$AK$66,1),'Marks Entry'!$AK$7:$AK$66,0)),"")</f>
        <v>0.936666666666667</v>
      </c>
      <c r="G18" s="90" t="s">
        <v>179</v>
      </c>
      <c r="H18" s="90"/>
      <c r="I18" s="93" t="n">
        <f aca="false">COUNTIF('Marks Entry'!$Y$7:$Y$66,"COMPARTMENT")</f>
        <v>2</v>
      </c>
      <c r="K18" s="14" t="str">
        <f aca="false">IFERROR(INDEX('Marks Entry'!$A$7:$A$66,MATCH(2,'Marks Entry'!$AL$7:$AL$66,0))&amp;"  "&amp;INDEX('Marks Entry'!$B$7:$B$66,MATCH(2,'Marks Entry'!$AL$7:$AL$66,0))&amp;"  –  "&amp;INDEX('Marks Entry'!$Y$7:$Y$66,MATCH(2,'Marks Entry'!$AL$7:$AL$66,0))&amp;" ("&amp;INDEX('Marks Entry'!$X$7:$X$66,MATCH(2,'Marks Entry'!$AL$7:$AL$66,0))&amp;" subject"&amp;IF(INDEX('Marks Entry'!$X$7:$X$66,MATCH(2,'Marks Entry'!$AL$7:$AL$66,0))&gt;1,"s","")&amp;")",IF(1=0,"✔ None",""))</f>
        <v>119  Vivek Rana  –  COMPARTMENT (1 subject)</v>
      </c>
      <c r="L18" s="14"/>
      <c r="M18" s="14"/>
      <c r="N18" s="14"/>
      <c r="O18" s="14"/>
      <c r="P18" s="14"/>
    </row>
    <row r="19" customFormat="false" ht="15" hidden="false" customHeight="true" outlineLevel="0" collapsed="false">
      <c r="A19" s="92" t="n">
        <f aca="false">IFERROR(INDEX('Marks Entry'!$Z$7:$Z$66,MATCH(LARGE('Marks Entry'!$AK$7:$AK$66,2),'Marks Entry'!$AK$7:$AK$66,0)),"")</f>
        <v>1</v>
      </c>
      <c r="B19" s="50" t="n">
        <f aca="false">IFERROR(INDEX('Marks Entry'!$A$7:$A$66,MATCH(LARGE('Marks Entry'!$AK$7:$AK$66,2),'Marks Entry'!$AK$7:$AK$66,0)),"")</f>
        <v>116</v>
      </c>
      <c r="C19" s="63" t="str">
        <f aca="false">IFERROR(INDEX('Marks Entry'!$B$7:$B$66,MATCH(LARGE('Marks Entry'!$AK$7:$AK$66,2),'Marks Entry'!$AK$7:$AK$66,0)),"")</f>
        <v>Riya Sood</v>
      </c>
      <c r="D19" s="64" t="n">
        <f aca="false">IFERROR(INDEX('Marks Entry'!$U$7:$U$66,MATCH(LARGE('Marks Entry'!$AK$7:$AK$66,2),'Marks Entry'!$AK$7:$AK$66,0)),"")</f>
        <v>562</v>
      </c>
      <c r="E19" s="82" t="n">
        <f aca="false">IFERROR(INDEX('Marks Entry'!$W$7:$W$66,MATCH(LARGE('Marks Entry'!$AK$7:$AK$66,2),'Marks Entry'!$AK$7:$AK$66,0)),"")</f>
        <v>0.936666666666667</v>
      </c>
      <c r="G19" s="90" t="s">
        <v>180</v>
      </c>
      <c r="H19" s="90"/>
      <c r="I19" s="94" t="n">
        <f aca="false">COUNTIF('Marks Entry'!$Y$7:$Y$66,"FAIL")</f>
        <v>1</v>
      </c>
      <c r="K19" s="14" t="str">
        <f aca="false">IFERROR(INDEX('Marks Entry'!$A$7:$A$66,MATCH(3,'Marks Entry'!$AL$7:$AL$66,0))&amp;"  "&amp;INDEX('Marks Entry'!$B$7:$B$66,MATCH(3,'Marks Entry'!$AL$7:$AL$66,0))&amp;"  –  "&amp;INDEX('Marks Entry'!$Y$7:$Y$66,MATCH(3,'Marks Entry'!$AL$7:$AL$66,0))&amp;" ("&amp;INDEX('Marks Entry'!$X$7:$X$66,MATCH(3,'Marks Entry'!$AL$7:$AL$66,0))&amp;" subject"&amp;IF(INDEX('Marks Entry'!$X$7:$X$66,MATCH(3,'Marks Entry'!$AL$7:$AL$66,0))&gt;1,"s","")&amp;")",IF(2=0,"✔ None",""))</f>
        <v>124  Pooja Dhiman  –  FAIL (3 subjects)</v>
      </c>
      <c r="L19" s="14"/>
      <c r="M19" s="14"/>
      <c r="N19" s="14"/>
      <c r="O19" s="14"/>
      <c r="P19" s="14"/>
    </row>
    <row r="20" customFormat="false" ht="15" hidden="false" customHeight="true" outlineLevel="0" collapsed="false">
      <c r="A20" s="92" t="n">
        <f aca="false">IFERROR(INDEX('Marks Entry'!$Z$7:$Z$66,MATCH(LARGE('Marks Entry'!$AK$7:$AK$66,3),'Marks Entry'!$AK$7:$AK$66,0)),"")</f>
        <v>3</v>
      </c>
      <c r="B20" s="50" t="n">
        <f aca="false">IFERROR(INDEX('Marks Entry'!$A$7:$A$66,MATCH(LARGE('Marks Entry'!$AK$7:$AK$66,3),'Marks Entry'!$AK$7:$AK$66,0)),"")</f>
        <v>123</v>
      </c>
      <c r="C20" s="63" t="str">
        <f aca="false">IFERROR(INDEX('Marks Entry'!$B$7:$B$66,MATCH(LARGE('Marks Entry'!$AK$7:$AK$66,3),'Marks Entry'!$AK$7:$AK$66,0)),"")</f>
        <v>Dev Bhatia</v>
      </c>
      <c r="D20" s="64" t="n">
        <f aca="false">IFERROR(INDEX('Marks Entry'!$U$7:$U$66,MATCH(LARGE('Marks Entry'!$AK$7:$AK$66,3),'Marks Entry'!$AK$7:$AK$66,0)),"")</f>
        <v>555</v>
      </c>
      <c r="E20" s="82" t="n">
        <f aca="false">IFERROR(INDEX('Marks Entry'!$W$7:$W$66,MATCH(LARGE('Marks Entry'!$AK$7:$AK$66,3),'Marks Entry'!$AK$7:$AK$66,0)),"")</f>
        <v>0.925</v>
      </c>
      <c r="G20" s="90" t="s">
        <v>181</v>
      </c>
      <c r="H20" s="90"/>
      <c r="I20" s="95" t="n">
        <f aca="false">COUNT('Marks Entry'!$U$7:$U$66)</f>
        <v>25</v>
      </c>
      <c r="K20" s="14" t="str">
        <f aca="false">IFERROR(INDEX('Marks Entry'!$A$7:$A$66,MATCH(4,'Marks Entry'!$AL$7:$AL$66,0))&amp;"  "&amp;INDEX('Marks Entry'!$B$7:$B$66,MATCH(4,'Marks Entry'!$AL$7:$AL$66,0))&amp;"  –  "&amp;INDEX('Marks Entry'!$Y$7:$Y$66,MATCH(4,'Marks Entry'!$AL$7:$AL$66,0))&amp;" ("&amp;INDEX('Marks Entry'!$X$7:$X$66,MATCH(4,'Marks Entry'!$AL$7:$AL$66,0))&amp;" subject"&amp;IF(INDEX('Marks Entry'!$X$7:$X$66,MATCH(4,'Marks Entry'!$AL$7:$AL$66,0))&gt;1,"s","")&amp;")",IF(3=0,"✔ None",""))</f>
        <v/>
      </c>
      <c r="L20" s="14"/>
      <c r="M20" s="14"/>
      <c r="N20" s="14"/>
      <c r="O20" s="14"/>
      <c r="P20" s="14"/>
    </row>
    <row r="21" customFormat="false" ht="15" hidden="false" customHeight="false" outlineLevel="0" collapsed="false">
      <c r="A21" s="92" t="n">
        <f aca="false">IFERROR(INDEX('Marks Entry'!$Z$7:$Z$66,MATCH(LARGE('Marks Entry'!$AK$7:$AK$66,4),'Marks Entry'!$AK$7:$AK$66,0)),"")</f>
        <v>4</v>
      </c>
      <c r="B21" s="50" t="n">
        <f aca="false">IFERROR(INDEX('Marks Entry'!$A$7:$A$66,MATCH(LARGE('Marks Entry'!$AK$7:$AK$66,4),'Marks Entry'!$AK$7:$AK$66,0)),"")</f>
        <v>108</v>
      </c>
      <c r="C21" s="63" t="str">
        <f aca="false">IFERROR(INDEX('Marks Entry'!$B$7:$B$66,MATCH(LARGE('Marks Entry'!$AK$7:$AK$66,4),'Marks Entry'!$AK$7:$AK$66,0)),"")</f>
        <v>Navneet Kaur</v>
      </c>
      <c r="D21" s="64" t="n">
        <f aca="false">IFERROR(INDEX('Marks Entry'!$U$7:$U$66,MATCH(LARGE('Marks Entry'!$AK$7:$AK$66,4),'Marks Entry'!$AK$7:$AK$66,0)),"")</f>
        <v>545</v>
      </c>
      <c r="E21" s="82" t="n">
        <f aca="false">IFERROR(INDEX('Marks Entry'!$W$7:$W$66,MATCH(LARGE('Marks Entry'!$AK$7:$AK$66,4),'Marks Entry'!$AK$7:$AK$66,0)),"")</f>
        <v>0.908333333333333</v>
      </c>
      <c r="K21" s="14" t="str">
        <f aca="false">IFERROR(INDEX('Marks Entry'!$A$7:$A$66,MATCH(5,'Marks Entry'!$AL$7:$AL$66,0))&amp;"  "&amp;INDEX('Marks Entry'!$B$7:$B$66,MATCH(5,'Marks Entry'!$AL$7:$AL$66,0))&amp;"  –  "&amp;INDEX('Marks Entry'!$Y$7:$Y$66,MATCH(5,'Marks Entry'!$AL$7:$AL$66,0))&amp;" ("&amp;INDEX('Marks Entry'!$X$7:$X$66,MATCH(5,'Marks Entry'!$AL$7:$AL$66,0))&amp;" subject"&amp;IF(INDEX('Marks Entry'!$X$7:$X$66,MATCH(5,'Marks Entry'!$AL$7:$AL$66,0))&gt;1,"s","")&amp;")",IF(4=0,"✔ None",""))</f>
        <v/>
      </c>
      <c r="L21" s="14"/>
      <c r="M21" s="14"/>
      <c r="N21" s="14"/>
      <c r="O21" s="14"/>
      <c r="P21" s="14"/>
    </row>
    <row r="22" customFormat="false" ht="15" hidden="false" customHeight="false" outlineLevel="0" collapsed="false">
      <c r="A22" s="92" t="n">
        <f aca="false">IFERROR(INDEX('Marks Entry'!$Z$7:$Z$66,MATCH(LARGE('Marks Entry'!$AK$7:$AK$66,5),'Marks Entry'!$AK$7:$AK$66,0)),"")</f>
        <v>5</v>
      </c>
      <c r="B22" s="50" t="n">
        <f aca="false">IFERROR(INDEX('Marks Entry'!$A$7:$A$66,MATCH(LARGE('Marks Entry'!$AK$7:$AK$66,5),'Marks Entry'!$AK$7:$AK$66,0)),"")</f>
        <v>118</v>
      </c>
      <c r="C22" s="63" t="str">
        <f aca="false">IFERROR(INDEX('Marks Entry'!$B$7:$B$66,MATCH(LARGE('Marks Entry'!$AK$7:$AK$66,5),'Marks Entry'!$AK$7:$AK$66,0)),"")</f>
        <v>Tanvi Jain</v>
      </c>
      <c r="D22" s="64" t="n">
        <f aca="false">IFERROR(INDEX('Marks Entry'!$U$7:$U$66,MATCH(LARGE('Marks Entry'!$AK$7:$AK$66,5),'Marks Entry'!$AK$7:$AK$66,0)),"")</f>
        <v>539</v>
      </c>
      <c r="E22" s="82" t="n">
        <f aca="false">IFERROR(INDEX('Marks Entry'!$W$7:$W$66,MATCH(LARGE('Marks Entry'!$AK$7:$AK$66,5),'Marks Entry'!$AK$7:$AK$66,0)),"")</f>
        <v>0.898333333333333</v>
      </c>
      <c r="K22" s="14" t="str">
        <f aca="false">IFERROR(INDEX('Marks Entry'!$A$7:$A$66,MATCH(6,'Marks Entry'!$AL$7:$AL$66,0))&amp;"  "&amp;INDEX('Marks Entry'!$B$7:$B$66,MATCH(6,'Marks Entry'!$AL$7:$AL$66,0))&amp;"  –  "&amp;INDEX('Marks Entry'!$Y$7:$Y$66,MATCH(6,'Marks Entry'!$AL$7:$AL$66,0))&amp;" ("&amp;INDEX('Marks Entry'!$X$7:$X$66,MATCH(6,'Marks Entry'!$AL$7:$AL$66,0))&amp;" subject"&amp;IF(INDEX('Marks Entry'!$X$7:$X$66,MATCH(6,'Marks Entry'!$AL$7:$AL$66,0))&gt;1,"s","")&amp;")",IF(5=0,"✔ None",""))</f>
        <v/>
      </c>
      <c r="L22" s="14"/>
      <c r="M22" s="14"/>
      <c r="N22" s="14"/>
      <c r="O22" s="14"/>
      <c r="P22" s="14"/>
    </row>
  </sheetData>
  <sheetProtection sheet="1" objects="1" scenarios="1" formatColumns="0" formatRows="0" algorithmName="SHA-512" hashValue="aaBYjBo3o54+jxKBddsaXAJV9M+s9DcCNSBXYuMjiaiHo2KnwTcN8BS4uDQdu1UYmfnn9GW23GVv9NllXSSIJQ==" saltValue="G64ilcEEjuy61zXtcBwfbQ==" spinCount="100000"/>
  <mergeCells count="14">
    <mergeCell ref="A2:P2"/>
    <mergeCell ref="A16:E16"/>
    <mergeCell ref="G16:I16"/>
    <mergeCell ref="K16:P16"/>
    <mergeCell ref="G17:H17"/>
    <mergeCell ref="K17:P17"/>
    <mergeCell ref="G18:H18"/>
    <mergeCell ref="K18:P18"/>
    <mergeCell ref="G19:H19"/>
    <mergeCell ref="K19:P19"/>
    <mergeCell ref="G20:H20"/>
    <mergeCell ref="K20:P20"/>
    <mergeCell ref="K21:P21"/>
    <mergeCell ref="K22:P22"/>
  </mergeCells>
  <conditionalFormatting sqref="I5:P12">
    <cfRule type="expression" priority="2" aboveAverage="0" equalAverage="0" bottom="0" percent="0" rank="0" text="" dxfId="6">
      <formula>AND(ISNUMBER(I5),I5&gt;0)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sheetProtection sheet="1" objects="1" scenarios="1" formatColumns="0" formatRows="0" algorithmName="SHA-512" hashValue="jkLndUvd+t+695Hdy7K9s2QuBIDDHTl5uD2Nw1mxWz+2zvofUeQ3qcnj1AZ4CtE7BCOaMZM8FDuvctNCU6+F8Q==" saltValue="w/bPEMyxDJmqwu3essCdog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2026-10-11T12:57:02Z</dcterms:created>
  <dc:creator>Xplorexcel.com</dc:creator>
  <dc:description/>
  <dc:language>en-US</dc:language>
  <cp:lastModifiedBy/>
  <dcterms:modified xsi:type="dcterms:W3CDTF">2026-10-11T12:57:04Z</dcterms:modified>
  <cp:revision>1</cp:revision>
  <dc:subject/>
  <dc:title>Student Marks &amp; Report Card Generator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